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lente convergente e divergente" sheetId="1" r:id="rId1"/>
    <sheet name="Regressione lineare (3)" sheetId="2" r:id="rId2"/>
    <sheet name="Foglio2" sheetId="3" r:id="rId3"/>
    <sheet name="Foglio3" sheetId="4" r:id="rId4"/>
  </sheets>
  <definedNames>
    <definedName name="_xlnm.Print_Area" localSheetId="0">#REF!</definedName>
    <definedName name="_xlnm.Sheet_Title" localSheetId="0">"lente convergente e divergente"</definedName>
    <definedName name="_xlnm.Print_Area" localSheetId="1">#REF!</definedName>
    <definedName name="_xlnm.Sheet_Title" localSheetId="1">"Regressione lineare (3)"</definedName>
    <definedName name="_xlnm.Print_Area" localSheetId="2">#REF!</definedName>
    <definedName name="_xlnm.Sheet_Title" localSheetId="2">"Foglio2"</definedName>
    <definedName name="_xlnm.Print_Area" localSheetId="3">#REF!</definedName>
    <definedName name="_xlnm.Sheet_Title" localSheetId="3">"Foglio3"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<sst xmlns="http://schemas.openxmlformats.org/spreadsheetml/2006/main" uniqueCount="3" count="3">
  <si>
    <t>sigma f</t>
  </si>
  <si>
    <t>sigma f</t>
  </si>
  <si>
    <t>chi 2</t>
  </si>
</sst>
</file>

<file path=xl/styles.xml><?xml version="1.0" encoding="utf-8"?>
<styleSheet xmlns="http://schemas.openxmlformats.org/spreadsheetml/2006/main">
  <fonts count="2">
    <font>
      <b val="0"/>
      <i val="0"/>
      <color rgb="FF000000"/>
      <name val="Sans"/>
      <strike val="0"/>
    </font>
    <font>
      <b val="0"/>
      <i val="0"/>
      <color rgb="FF000000"/>
      <name val="Calibri"/>
      <sz val="11"/>
      <strike val="0"/>
    </font>
  </fonts>
  <fills count="10">
    <fill>
      <patternFill patternType="none"/>
    </fill>
    <fill>
      <patternFill patternType="gray125"/>
    </fill>
    <fill>
      <patternFill patternType="solid">
        <fgColor rgb="FF538AD5"/>
      </patternFill>
    </fill>
    <fill>
      <patternFill patternType="solid">
        <fgColor rgb="FFC5D8F1"/>
      </patternFill>
    </fill>
    <fill>
      <patternFill patternType="solid">
        <fgColor rgb="FF494429"/>
      </patternFill>
    </fill>
    <fill>
      <patternFill patternType="solid">
        <fgColor rgb="FF00B050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366092"/>
      </patternFill>
    </fill>
    <fill>
      <patternFill patternType="solid">
        <fgColor rgb="FFC00000"/>
      </patternFill>
    </fill>
  </fills>
  <borders count="2">
    <border diagonalUp="0">
      <left style="none">
        <color rgb="FFC7C7C7"/>
      </left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/>
  </cellStyleXfs>
  <cellXfs count="14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2" borderId="1" numFmtId="0" xfId="0">
      <alignment horizontal="general" vertical="bottom" wrapText="0" shrinkToFit="0" textRotation="0" indent="0"/>
    </xf>
    <xf applyAlignment="1" applyBorder="1" applyFont="1" applyFill="1" applyNumberFormat="1" fontId="1" fillId="3" borderId="1" numFmtId="0" xfId="0">
      <alignment horizontal="general" vertical="bottom" wrapText="0" shrinkToFit="0" textRotation="0" indent="0"/>
    </xf>
    <xf applyAlignment="1" applyBorder="1" applyFont="1" applyFill="1" applyNumberFormat="1" fontId="1" fillId="4" borderId="1" numFmtId="0" xfId="0">
      <alignment horizontal="general" vertical="bottom" wrapText="0" shrinkToFit="0" textRotation="0" indent="0"/>
    </xf>
    <xf applyAlignment="1" applyBorder="1" applyFont="1" applyFill="1" applyNumberFormat="1" fontId="1" fillId="5" borderId="1" numFmtId="0" xfId="0">
      <alignment horizontal="general" vertical="bottom" wrapText="0" shrinkToFit="0" textRotation="0" indent="0"/>
    </xf>
    <xf applyAlignment="1" applyBorder="1" applyFont="1" applyFill="1" applyNumberFormat="1" fontId="1" fillId="6" borderId="1" numFmtId="0" xfId="0">
      <alignment horizontal="general" vertical="bottom" wrapText="0" shrinkToFit="0" textRotation="0" indent="0"/>
    </xf>
    <xf applyAlignment="1" applyBorder="1" applyFont="1" applyFill="1" applyNumberFormat="1" fontId="1" fillId="7" borderId="1" numFmtId="0" xfId="0">
      <alignment horizontal="general" vertical="bottom" wrapText="0" shrinkToFit="0" textRotation="0" indent="0"/>
    </xf>
    <xf applyAlignment="1" applyBorder="1" applyFont="1" applyFill="1" applyNumberFormat="1" fontId="1" fillId="8" borderId="1" numFmtId="0" xfId="0">
      <alignment horizontal="general" vertical="bottom" wrapText="0" shrinkToFit="0" textRotation="0" indent="0"/>
    </xf>
    <xf applyAlignment="1" applyBorder="1" applyFont="1" applyFill="1" applyNumberFormat="1" fontId="1" fillId="9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6" Type="http://schemas.openxmlformats.org/officeDocument/2006/relationships/styles" Target="styles.xml"/>
  <Relationship Id="rId5" Type="http://schemas.openxmlformats.org/officeDocument/2006/relationships/sharedStrings" Target="sharedStrings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T33"/>
  <sheetViews>
    <sheetView topLeftCell="G1" workbookViewId="0" tabSelected="1">
      <selection activeCell="L18" sqref="L18:M20"/>
    </sheetView>
  </sheetViews>
  <sheetFormatPr defaultRowHeight="15"/>
  <cols>
    <col min="1" max="6" style="1" width="9.142308"/>
    <col min="7" max="7" style="1" width="14.28516" bestFit="1" customWidth="1"/>
    <col min="8" max="8" style="1" width="12" bestFit="1" customWidth="1"/>
    <col min="9" max="11" style="1" width="9.142308"/>
    <col min="12" max="12" style="1" width="22.57031" bestFit="1" customWidth="1"/>
    <col min="13" max="13" style="1" width="16.57031" bestFit="1" customWidth="1"/>
    <col min="14" max="14" style="1" width="24.7128" customWidth="1"/>
    <col min="15" max="15" style="1" width="28.42686" customWidth="1"/>
    <col min="16" max="16" style="1" width="17.99892" customWidth="1"/>
    <col min="17" max="17" style="1" width="24" bestFit="1" customWidth="1"/>
    <col min="18" max="18" style="1" width="12.57031" customWidth="1"/>
    <col min="19" max="19" style="1" width="12.14062" bestFit="1" customWidth="1"/>
    <col min="20" max="20" style="1" width="9.142308"/>
    <col min="21" max="16384" style="1"/>
  </cols>
  <sheetData>
    <row r="1" spans="1:20">
      <c r="A1" t="str">
        <v>p (cm)</v>
      </c>
      <c r="B1" t="str">
        <v>q1 (cm)</v>
      </c>
      <c r="C1" t="str">
        <v>q2 (cm)</v>
      </c>
      <c r="D1" t="str">
        <v>q (media)</v>
      </c>
      <c r="E1" t="str">
        <v>h1 (cm)</v>
      </c>
      <c r="F1" t="str">
        <v>h (cm)</v>
      </c>
      <c r="G1" t="str">
        <v>m con q e p</v>
      </c>
      <c r="H1" t="str">
        <v>m con h e h1</v>
      </c>
      <c r="I1" t="str">
        <v>1/f</v>
      </c>
      <c r="J1" t="str">
        <v>f</v>
      </c>
      <c r="K1" t="str">
        <v>sigma q</v>
      </c>
      <c r="L1" t="str">
        <v>sigma p</v>
      </c>
      <c r="M1" t="str">
        <v>sigma h1</v>
      </c>
      <c r="N1" t="str">
        <v>sigma m con q e p</v>
      </c>
      <c r="O1" t="str">
        <v>sigma m con h e h1</v>
      </c>
      <c r="P1" t="str">
        <v>sigma 1/f</v>
      </c>
      <c r="Q1" t="s">
        <v>0</v>
      </c>
      <c r="S1" t="str">
        <v>f media circa</v>
      </c>
    </row>
    <row r="2" spans="1:20">
      <c r="A2">
        <v>28.8</v>
      </c>
      <c r="B2">
        <v>145.3</v>
      </c>
      <c r="C2">
        <v>153.4</v>
      </c>
      <c r="D2">
        <f>(B2+C2)/2</f>
        <v>149.35</v>
      </c>
      <c r="E2">
        <v>4.59</v>
      </c>
      <c r="F2">
        <v>0.9</v>
      </c>
      <c r="G2">
        <f>D2/A2</f>
        <v>5.18576388888889</v>
      </c>
      <c r="H2">
        <f>E2/F2</f>
        <v>5.1</v>
      </c>
      <c r="I2">
        <f>1/D2+1/A2</f>
        <v>0.041417903507793</v>
      </c>
      <c r="J2">
        <f>1/I2</f>
        <v>24.1441481897278</v>
      </c>
      <c r="K2">
        <f>0.05</f>
        <v>0.05</v>
      </c>
      <c r="L2">
        <f>0.05</f>
        <v>0.05</v>
      </c>
      <c r="M2">
        <v>0.01</v>
      </c>
      <c r="N2">
        <f>SQRT(((1/A2)^2)*(K2^2)+((D2/(A2^2))^2)*(L2^2))</f>
        <v>0.00916892647454575</v>
      </c>
      <c r="O2">
        <f>SQRT(((1/E2)^2)*(M2^2))</f>
        <v>0.00217864923747277</v>
      </c>
      <c r="P2">
        <f>SQRT(((1/A2)^2)*(L2^2)+((1/D2)^2)*(K2^2))</f>
        <v>0.00176809563084645</v>
      </c>
      <c r="Q2">
        <f>(J2^2)*P2</f>
        <v>1.03069347575101</v>
      </c>
      <c r="S2">
        <f>SUM(J2:J13)/12</f>
        <v>24.0686310283773</v>
      </c>
    </row>
    <row r="3" spans="1:20">
      <c r="A3">
        <v>30.8</v>
      </c>
      <c r="B3">
        <v>109.3</v>
      </c>
      <c r="C3">
        <v>114.2</v>
      </c>
      <c r="D3">
        <f>(B3+C3)/2</f>
        <v>111.75</v>
      </c>
      <c r="E3">
        <v>3.225</v>
      </c>
      <c r="F3">
        <v>0.9</v>
      </c>
      <c r="G3">
        <f>D3/A3</f>
        <v>3.62824675324675</v>
      </c>
      <c r="H3">
        <f>E3/F3</f>
        <v>3.58333333333333</v>
      </c>
      <c r="I3">
        <f>1/D3+1/A3</f>
        <v>0.04141607832883</v>
      </c>
      <c r="J3">
        <f>1/I3</f>
        <v>24.1452122062434</v>
      </c>
      <c r="K3">
        <f>0.05</f>
        <v>0.05</v>
      </c>
      <c r="L3">
        <f>0.05</f>
        <v>0.05</v>
      </c>
      <c r="M3">
        <v>0.01</v>
      </c>
      <c r="N3">
        <f>SQRT(((1/A3)^2)*(K3^2)+((D3/(A3^2))^2)*(L3^2))</f>
        <v>0.0061096301693578</v>
      </c>
      <c r="O3">
        <f>SQRT(((1/E3)^2)*(M3^2))</f>
        <v>0.00310077519379845</v>
      </c>
      <c r="P3">
        <f>SQRT(((1/A3)^2)*(L3^2)+((1/D3)^2)*(K3^2))</f>
        <v>0.00168390701759481</v>
      </c>
      <c r="Q3">
        <f>(J3^2)*P3</f>
        <v>0.981703094933221</v>
      </c>
      <c r="S3" t="str">
        <v>sigma</v>
      </c>
    </row>
    <row r="4" spans="1:20">
      <c r="A4">
        <v>32.8</v>
      </c>
      <c r="B4">
        <v>94.3</v>
      </c>
      <c r="C4">
        <v>89.4</v>
      </c>
      <c r="D4">
        <f>(B4+C4)/2</f>
        <v>91.85</v>
      </c>
      <c r="E4">
        <v>2.49</v>
      </c>
      <c r="F4">
        <v>0.9</v>
      </c>
      <c r="G4">
        <f>D4/A4</f>
        <v>2.80030487804878</v>
      </c>
      <c r="H4">
        <f>E4/F4</f>
        <v>2.76666666666667</v>
      </c>
      <c r="I4">
        <f>1/D4+1/A4</f>
        <v>0.0413751211545866</v>
      </c>
      <c r="J4">
        <f>1/I4</f>
        <v>24.16911351785</v>
      </c>
      <c r="K4">
        <f>0.05</f>
        <v>0.05</v>
      </c>
      <c r="L4">
        <f>0.05</f>
        <v>0.05</v>
      </c>
      <c r="M4">
        <v>0.01</v>
      </c>
      <c r="N4">
        <f>SQRT(((1/A4)^2)*(K4^2)+((D4/(A4^2))^2)*(L4^2))</f>
        <v>0.00453277571290891</v>
      </c>
      <c r="O4">
        <f>SQRT(((1/E4)^2)*(M4^2))</f>
        <v>0.00401606425702811</v>
      </c>
      <c r="P4">
        <f>SQRT(((1/A4)^2)*(L4^2)+((1/D4)^2)*(K4^2))</f>
        <v>0.00161867221974319</v>
      </c>
      <c r="Q4">
        <f>(J4^2)*P4</f>
        <v>0.945540980556782</v>
      </c>
      <c r="S4">
        <v>1</v>
      </c>
    </row>
    <row r="5" spans="1:20">
      <c r="A5">
        <v>34.9</v>
      </c>
      <c r="D5">
        <v>77.6</v>
      </c>
      <c r="E5">
        <v>1.85</v>
      </c>
      <c r="F5">
        <v>0.9</v>
      </c>
      <c r="G5">
        <f>D5/A5</f>
        <v>2.22349570200573</v>
      </c>
      <c r="H5">
        <f>E5/F5</f>
        <v>2.05555555555556</v>
      </c>
      <c r="I5">
        <f>1/D5+1/A5</f>
        <v>0.0415398930670842</v>
      </c>
      <c r="J5">
        <f>1/I5</f>
        <v>24.0732444444444</v>
      </c>
      <c r="K5">
        <f>0.05</f>
        <v>0.05</v>
      </c>
      <c r="L5">
        <f>0.05</f>
        <v>0.05</v>
      </c>
      <c r="M5">
        <v>0.01</v>
      </c>
      <c r="N5">
        <f>SQRT(((1/A5)^2)*(K5^2)+((D5/(A5^2))^2)*(L5^2))</f>
        <v>0.00349286286627672</v>
      </c>
      <c r="O5">
        <f>SQRT(((1/E5)^2)*(M5^2))</f>
        <v>0.0054054054054054</v>
      </c>
      <c r="P5">
        <f>SQRT(((1/A5)^2)*(L5^2)+((1/D5)^2)*(K5^2))</f>
        <v>0.00157088806743631</v>
      </c>
      <c r="Q5">
        <f>(J5^2)*P5</f>
        <v>0.910362777804559</v>
      </c>
    </row>
    <row r="6" spans="1:20">
      <c r="A6">
        <v>36.9</v>
      </c>
      <c r="D6">
        <v>69.6</v>
      </c>
      <c r="E6">
        <v>1.69</v>
      </c>
      <c r="F6">
        <v>0.9</v>
      </c>
      <c r="G6">
        <f>D6/A6</f>
        <v>1.88617886178862</v>
      </c>
      <c r="H6">
        <f>E6/F6</f>
        <v>1.87777777777778</v>
      </c>
      <c r="I6">
        <f>1/D6+1/A6</f>
        <v>0.0414680870946641</v>
      </c>
      <c r="J6">
        <f>1/I6</f>
        <v>24.1149295774648</v>
      </c>
      <c r="K6">
        <f>0.05</f>
        <v>0.05</v>
      </c>
      <c r="L6">
        <f>0.05</f>
        <v>0.05</v>
      </c>
      <c r="M6">
        <v>0.01</v>
      </c>
      <c r="N6">
        <f>SQRT(((1/A6)^2)*(K6^2)+((D6/(A6^2))^2)*(L6^2))</f>
        <v>0.00289277802587085</v>
      </c>
      <c r="O6">
        <f>SQRT(((1/E6)^2)*(M6^2))</f>
        <v>0.00591715976331361</v>
      </c>
      <c r="P6">
        <f>SQRT(((1/A6)^2)*(L6^2)+((1/D6)^2)*(K6^2))</f>
        <v>0.0015336711085436</v>
      </c>
      <c r="Q6">
        <f>(J6^2)*P6</f>
        <v>0.891875496766772</v>
      </c>
    </row>
    <row r="7" spans="1:20">
      <c r="A7">
        <v>38.8</v>
      </c>
      <c r="D7">
        <v>63</v>
      </c>
      <c r="E7">
        <v>1.44</v>
      </c>
      <c r="F7">
        <v>0.9</v>
      </c>
      <c r="G7">
        <f>D7/A7</f>
        <v>1.62371134020619</v>
      </c>
      <c r="H7">
        <f>E7/F7</f>
        <v>1.6</v>
      </c>
      <c r="I7">
        <f>1/D7+1/A7</f>
        <v>0.0416462117493045</v>
      </c>
      <c r="J7">
        <f>1/I7</f>
        <v>24.0117878192534</v>
      </c>
      <c r="K7">
        <f>0.05</f>
        <v>0.05</v>
      </c>
      <c r="L7">
        <f>0.05</f>
        <v>0.05</v>
      </c>
      <c r="M7">
        <v>0.01</v>
      </c>
      <c r="N7">
        <f>SQRT(((1/A7)^2)*(K7^2)+((D7/(A7^2))^2)*(L7^2))</f>
        <v>0.00245740310834894</v>
      </c>
      <c r="O7">
        <f>SQRT(((1/E7)^2)*(M7^2))</f>
        <v>0.00694444444444444</v>
      </c>
      <c r="P7">
        <f>SQRT(((1/A7)^2)*(L7^2)+((1/D7)^2)*(K7^2))</f>
        <v>0.00151344826355459</v>
      </c>
      <c r="Q7">
        <f>(J7^2)*P7</f>
        <v>0.872602742324985</v>
      </c>
    </row>
    <row r="8" spans="1:20">
      <c r="A8">
        <v>40.8</v>
      </c>
      <c r="D8">
        <f>58.5</f>
        <v>58.5</v>
      </c>
      <c r="E8">
        <f>1.28</f>
        <v>1.28</v>
      </c>
      <c r="F8">
        <v>0.9</v>
      </c>
      <c r="G8">
        <f>D8/A8</f>
        <v>1.43382352941176</v>
      </c>
      <c r="H8">
        <f>E8/F8</f>
        <v>1.42222222222222</v>
      </c>
      <c r="I8">
        <f>1/D8+1/A8</f>
        <v>0.0416038210155857</v>
      </c>
      <c r="J8">
        <f>1/I8</f>
        <v>24.036253776435</v>
      </c>
      <c r="K8">
        <f>0.05</f>
        <v>0.05</v>
      </c>
      <c r="L8">
        <f>0.05</f>
        <v>0.05</v>
      </c>
      <c r="M8">
        <v>0.01</v>
      </c>
      <c r="N8">
        <f>SQRT(((1/A8)^2)*(K8^2)+((D8/(A8^2))^2)*(L8^2))</f>
        <v>0.00214227811606302</v>
      </c>
      <c r="O8">
        <f>SQRT(((1/E8)^2)*(M8^2))</f>
        <v>0.0078125</v>
      </c>
      <c r="P8">
        <f>SQRT(((1/A8)^2)*(L8^2)+((1/D8)^2)*(K8^2))</f>
        <v>0.0014941016604337</v>
      </c>
      <c r="Q8">
        <f>(J8^2)*P8</f>
        <v>0.863204527885155</v>
      </c>
    </row>
    <row r="9" spans="1:20">
      <c r="A9">
        <v>42.8</v>
      </c>
      <c r="D9">
        <f>54.9</f>
        <v>54.9</v>
      </c>
      <c r="E9">
        <v>1.13</v>
      </c>
      <c r="F9">
        <v>0.9</v>
      </c>
      <c r="G9">
        <f>D9/A9</f>
        <v>1.28271028037383</v>
      </c>
      <c r="H9">
        <f>E9/F9</f>
        <v>1.25555555555556</v>
      </c>
      <c r="I9">
        <f>1/D9+1/A9</f>
        <v>0.0415794222290315</v>
      </c>
      <c r="J9">
        <f>1/I9</f>
        <v>24.0503582395087</v>
      </c>
      <c r="K9">
        <f>0.05</f>
        <v>0.05</v>
      </c>
      <c r="L9">
        <f>0.05</f>
        <v>0.05</v>
      </c>
      <c r="M9">
        <v>0.01</v>
      </c>
      <c r="N9">
        <f>SQRT(((1/A9)^2)*(K9^2)+((D9/(A9^2))^2)*(L9^2))</f>
        <v>0.00190006058787559</v>
      </c>
      <c r="O9">
        <f>SQRT(((1/E9)^2)*(M9^2))</f>
        <v>0.00884955752212389</v>
      </c>
      <c r="P9">
        <f>SQRT(((1/A9)^2)*(L9^2)+((1/D9)^2)*(K9^2))</f>
        <v>0.00148128584992851</v>
      </c>
      <c r="Q9">
        <f>(J9^2)*P9</f>
        <v>0.856804963514416</v>
      </c>
    </row>
    <row r="10" spans="1:20">
      <c r="A10">
        <v>44.8</v>
      </c>
      <c r="D10">
        <f>51.7</f>
        <v>51.7</v>
      </c>
      <c r="E10">
        <v>0.99</v>
      </c>
      <c r="F10">
        <v>0.9</v>
      </c>
      <c r="G10">
        <f>D10/A10</f>
        <v>1.15401785714286</v>
      </c>
      <c r="H10">
        <f>E10/F10</f>
        <v>1.1</v>
      </c>
      <c r="I10">
        <f>1/D10+1/A10</f>
        <v>0.0416637883393203</v>
      </c>
      <c r="J10">
        <f>1/I10</f>
        <v>24.0016580310881</v>
      </c>
      <c r="K10">
        <f>0.05</f>
        <v>0.05</v>
      </c>
      <c r="L10">
        <f>0.05</f>
        <v>0.05</v>
      </c>
      <c r="M10">
        <v>0.01</v>
      </c>
      <c r="N10">
        <f>SQRT(((1/A10)^2)*(K10^2)+((D10/(A10^2))^2)*(L10^2))</f>
        <v>0.00170425138230572</v>
      </c>
      <c r="O10">
        <f>SQRT(((1/E10)^2)*(M10^2))</f>
        <v>0.0101010101010101</v>
      </c>
      <c r="P10">
        <f>SQRT(((1/A10)^2)*(L10^2)+((1/D10)^2)*(K10^2))</f>
        <v>0.00147679810304248</v>
      </c>
      <c r="Q10">
        <f>(J10^2)*P10</f>
        <v>0.850753243116237</v>
      </c>
    </row>
    <row r="11" spans="1:20">
      <c r="A11">
        <v>46.9</v>
      </c>
      <c r="D11">
        <f>49.2</f>
        <v>49.2</v>
      </c>
      <c r="E11">
        <v>0.915</v>
      </c>
      <c r="F11">
        <v>0.9</v>
      </c>
      <c r="G11">
        <f>D11/A11</f>
        <v>1.04904051172708</v>
      </c>
      <c r="H11">
        <f>E11/F11</f>
        <v>1.01666666666667</v>
      </c>
      <c r="I11">
        <f>1/D11+1/A11</f>
        <v>0.0416471648725016</v>
      </c>
      <c r="J11">
        <f>1/I11</f>
        <v>24.0112382934443</v>
      </c>
      <c r="K11">
        <f>0.05</f>
        <v>0.05</v>
      </c>
      <c r="L11">
        <f>0.05</f>
        <v>0.05</v>
      </c>
      <c r="M11">
        <v>0.01</v>
      </c>
      <c r="N11">
        <f>SQRT(((1/A11)^2)*(K11^2)+((D11/(A11^2))^2)*(L11^2))</f>
        <v>0.0015451016516083</v>
      </c>
      <c r="O11">
        <f>SQRT(((1/E11)^2)*(M11^2))</f>
        <v>0.0109289617486339</v>
      </c>
      <c r="P11">
        <f>SQRT(((1/A11)^2)*(L11^2)+((1/D11)^2)*(K11^2))</f>
        <v>0.00147287128984612</v>
      </c>
      <c r="Q11">
        <f>(J11^2)*P11</f>
        <v>0.849168571842416</v>
      </c>
    </row>
    <row r="12" spans="1:20">
      <c r="A12">
        <v>48.9</v>
      </c>
      <c r="D12">
        <f>47.4</f>
        <v>47.4</v>
      </c>
      <c r="E12">
        <v>0.85</v>
      </c>
      <c r="F12">
        <v>0.9</v>
      </c>
      <c r="G12">
        <f>D12/A12</f>
        <v>0.969325153374233</v>
      </c>
      <c r="H12">
        <f>E12/F12</f>
        <v>0.944444444444444</v>
      </c>
      <c r="I12">
        <f>1/D12+1/A12</f>
        <v>0.0415469441640134</v>
      </c>
      <c r="J12">
        <f>1/I12</f>
        <v>24.0691588785047</v>
      </c>
      <c r="K12">
        <f>0.05</f>
        <v>0.05</v>
      </c>
      <c r="L12">
        <f>0.05</f>
        <v>0.05</v>
      </c>
      <c r="M12">
        <v>0.01</v>
      </c>
      <c r="N12">
        <f>SQRT(((1/A12)^2)*(K12^2)+((D12/(A12^2))^2)*(L12^2))</f>
        <v>0.00142402054023932</v>
      </c>
      <c r="O12">
        <f>SQRT(((1/E12)^2)*(M12^2))</f>
        <v>0.0117647058823529</v>
      </c>
      <c r="P12">
        <f>SQRT(((1/A12)^2)*(L12^2)+((1/D12)^2)*(K12^2))</f>
        <v>0.00146908448138613</v>
      </c>
      <c r="Q12">
        <f>(J12^2)*P12</f>
        <v>0.851076499124477</v>
      </c>
    </row>
    <row r="13" spans="1:20">
      <c r="A13">
        <v>50.9</v>
      </c>
      <c r="D13">
        <v>45.4</v>
      </c>
      <c r="E13">
        <v>0.78</v>
      </c>
      <c r="F13">
        <v>0.9</v>
      </c>
      <c r="G13">
        <f>D13/A13</f>
        <v>0.891944990176817</v>
      </c>
      <c r="H13">
        <f>E13/F13</f>
        <v>0.866666666666667</v>
      </c>
      <c r="I13">
        <f>1/D13+1/A13</f>
        <v>0.0416727971404585</v>
      </c>
      <c r="J13">
        <f>1/I13</f>
        <v>23.9964693665628</v>
      </c>
      <c r="K13">
        <f>0.05</f>
        <v>0.05</v>
      </c>
      <c r="L13">
        <f>0.05</f>
        <v>0.05</v>
      </c>
      <c r="M13">
        <v>0.01</v>
      </c>
      <c r="N13">
        <f>SQRT(((1/A13)^2)*(K13^2)+((D13/(A13^2))^2)*(L13^2))</f>
        <v>0.00131629397169578</v>
      </c>
      <c r="O13">
        <f>SQRT(((1/E13)^2)*(M13^2))</f>
        <v>0.0128205128205128</v>
      </c>
      <c r="P13">
        <f>SQRT(((1/A13)^2)*(L13^2)+((1/D13)^2)*(K13^2))</f>
        <v>0.00147575689778227</v>
      </c>
      <c r="Q13">
        <f>(J13^2)*P13</f>
        <v>0.849785894399322</v>
      </c>
    </row>
    <row r="16" spans="1:20">
      <c r="A16" t="str">
        <v>DIVERGENTE</v>
      </c>
    </row>
    <row r="17" spans="1:20">
      <c r="A17" t="str">
        <v>p conv</v>
      </c>
      <c r="B17" t="str">
        <v>q div</v>
      </c>
      <c r="C17" t="str">
        <v>x div</v>
      </c>
      <c r="D17" t="str">
        <v>D</v>
      </c>
      <c r="E17" t="str">
        <v>h1</v>
      </c>
      <c r="F17" t="str">
        <v>f div</v>
      </c>
      <c r="G17" t="str">
        <v>1/f div</v>
      </c>
      <c r="H17" t="str">
        <v>m div con q e p</v>
      </c>
      <c r="I17" t="str">
        <v>m tot sperimentale</v>
      </c>
      <c r="J17" t="str">
        <v>h</v>
      </c>
      <c r="K17" t="str">
        <v>x</v>
      </c>
      <c r="L17" t="str">
        <v>sigma q div</v>
      </c>
      <c r="M17" t="str">
        <v>sigma p conv</v>
      </c>
      <c r="N17" t="str">
        <v>sigma 1/f div</v>
      </c>
      <c r="O17" t="s">
        <v>1</v>
      </c>
      <c r="P17" t="str">
        <v>sigma x</v>
      </c>
      <c r="Q17" t="str">
        <v>sigma m div</v>
      </c>
      <c r="R17" t="str">
        <v>sigma m tot sperimentale</v>
      </c>
      <c r="S17" t="str">
        <v>m tot teo</v>
      </c>
      <c r="T17" t="str">
        <v>sigma m teo</v>
      </c>
    </row>
    <row r="18" spans="1:20">
      <c r="A18">
        <v>76</v>
      </c>
      <c r="B18">
        <v>30.5</v>
      </c>
      <c r="C18">
        <v>-12.1237191967003</v>
      </c>
      <c r="D18">
        <v>23.1</v>
      </c>
      <c r="E18">
        <v>0.785</v>
      </c>
      <c r="F18">
        <f>1/G18</f>
        <v>-20.1223217830325</v>
      </c>
      <c r="G18">
        <f>1/B18+1/C18</f>
        <v>-0.0496960545001929</v>
      </c>
      <c r="H18">
        <f>ABS(C18/B18)</f>
        <v>0.397498990055748</v>
      </c>
      <c r="I18">
        <f>E18/J18</f>
        <v>0.872222222222222</v>
      </c>
      <c r="J18">
        <v>0.9</v>
      </c>
      <c r="K18">
        <f>$S$2*A18/(A18-$S$2)-D18</f>
        <v>12.1237191967003</v>
      </c>
      <c r="L18">
        <v>0.05</v>
      </c>
      <c r="M18">
        <v>0.05</v>
      </c>
      <c r="N18">
        <f>SQRT(((1/B18)^4)*(L18^2)+((1/C18)^4)*(P18^2))</f>
        <v>0.0145754720851571</v>
      </c>
      <c r="O18">
        <f>(F18^2)*N18</f>
        <v>5.90172283065251</v>
      </c>
      <c r="P18">
        <f>SQRT(((A18^4)/(A18-$S$2)^4)*($S$4^2)+(($S$2^4)/(A18-$S$2)^4)*(L18^2)+(0.05^2))</f>
        <v>2.14235488889374</v>
      </c>
      <c r="Q18">
        <f>SQRT((P18^2)*(1/B18^2)+(L18^2)*(K18/(B18^2))^2)</f>
        <v>0.0702441665036936</v>
      </c>
      <c r="R18">
        <f>SQRT((0.01^2)*(1/(J18^2)))</f>
        <v>0.0111111111111111</v>
      </c>
      <c r="S18">
        <f>(L23*H18)</f>
        <v>0.857658530478713</v>
      </c>
      <c r="T18">
        <f>SQRT((M23^2)*(H18^2)+(Q18^2)*(L23^2))</f>
        <v>0.160292676020976</v>
      </c>
    </row>
    <row r="19" spans="1:20">
      <c r="A19">
        <v>67.1</v>
      </c>
      <c r="B19">
        <v>30.5</v>
      </c>
      <c r="C19">
        <v>-12.3308799278299</v>
      </c>
      <c r="D19">
        <v>25.2</v>
      </c>
      <c r="E19">
        <v>0.64</v>
      </c>
      <c r="F19">
        <f>1/G19</f>
        <v>-20.6995075328319</v>
      </c>
      <c r="G19">
        <f>1/B19+1/C19</f>
        <v>-0.0483103280797324</v>
      </c>
      <c r="H19">
        <f>ABS(C19/B19)</f>
        <v>0.404291145174751</v>
      </c>
      <c r="I19">
        <f>E19/J19</f>
        <v>0.711111111111111</v>
      </c>
      <c r="J19">
        <v>0.9</v>
      </c>
      <c r="K19">
        <f>$S$2*A19/(A19-$S$2)-D19</f>
        <v>12.3308799278299</v>
      </c>
      <c r="L19">
        <v>0.05</v>
      </c>
      <c r="M19">
        <v>0.05</v>
      </c>
      <c r="N19">
        <f>SQRT(((1/B19)^4)*(L19^2)+((1/C19)^4)*(P19^2))</f>
        <v>0.015995205145334</v>
      </c>
      <c r="O19">
        <f>(F19^2)*N19</f>
        <v>6.85345934410941</v>
      </c>
      <c r="P19">
        <f>SQRT(((A19^4)/(A19-$S$2)^4)*($S$4^2)+(($S$2^4)/(A19-$S$2)^4)*(L19^2)+(0.05^2))</f>
        <v>2.43206680493091</v>
      </c>
      <c r="Q19">
        <f>SQRT((P19^2)*(1/B19^2)+(L19^2)*(K19/(B19^2))^2)</f>
        <v>0.0797426495714773</v>
      </c>
      <c r="R19">
        <f>SQRT((0.01^2)*(1/(J19^2)))</f>
        <v>0.0111111111111111</v>
      </c>
      <c r="S19">
        <f>(L24*H19)</f>
        <v>0.722816408605167</v>
      </c>
      <c r="T19">
        <f>SQRT((M24^2)*(H19^2)+(Q19^2)*(L24^2))</f>
        <v>0.150070112543453</v>
      </c>
    </row>
    <row r="20" spans="1:20">
      <c r="A20">
        <v>61.6</v>
      </c>
      <c r="B20">
        <v>30.5</v>
      </c>
      <c r="C20">
        <v>-12.3036928300977</v>
      </c>
      <c r="D20">
        <v>27.2</v>
      </c>
      <c r="E20">
        <v>0.55</v>
      </c>
      <c r="F20">
        <f>1/G20</f>
        <v>-20.6230103621621</v>
      </c>
      <c r="G20">
        <f>1/B20+1/C20</f>
        <v>-0.0484895261379852</v>
      </c>
      <c r="H20">
        <f>ABS(C20/B20)</f>
        <v>0.403399764921236</v>
      </c>
      <c r="I20">
        <f>E20/J20</f>
        <v>0.611111111111111</v>
      </c>
      <c r="J20">
        <v>0.9</v>
      </c>
      <c r="K20">
        <f>$S$2*A20/(A20-$S$2)-D20</f>
        <v>12.3036928300976</v>
      </c>
      <c r="L20">
        <v>0.05</v>
      </c>
      <c r="M20">
        <v>0.05</v>
      </c>
      <c r="N20">
        <f>SQRT(((1/B20)^4)*(L20^2)+((1/C20)^4)*(P20^2))</f>
        <v>0.0177988144585437</v>
      </c>
      <c r="O20">
        <f>(F20^2)*N20</f>
        <v>7.56998808295633</v>
      </c>
      <c r="P20">
        <f>SQRT(((A20^4)/(A20-$S$2)^4)*($S$4^2)+(($S$2^4)/(A20-$S$2)^4)*(L20^2)+(0.05^2))</f>
        <v>2.69438750543666</v>
      </c>
      <c r="Q20">
        <f>SQRT((P20^2)*(1/B20^2)+(L20^2)*(K20/(B20^2))^2)</f>
        <v>0.0883430491773469</v>
      </c>
      <c r="R20">
        <f>SQRT((0.01^2)*(1/(J20^2)))</f>
        <v>0.0111111111111111</v>
      </c>
      <c r="S20">
        <f>(L25*H20)</f>
        <v>0.629040571625128</v>
      </c>
      <c r="T20">
        <f>SQRT((M25^2)*(H20^2)+(Q20^2)*(L25^2))</f>
        <v>0.144287272600711</v>
      </c>
    </row>
    <row r="22" spans="1:20">
      <c r="B22" t="str">
        <v>chiaramente nel caso della divergente m è l'ingrandimento del sistema di lenti, non della singola lente</v>
      </c>
      <c r="L22" t="str">
        <v>m conv</v>
      </c>
      <c r="M22" t="str">
        <v>sigma m conv</v>
      </c>
    </row>
    <row r="23" spans="1:20">
      <c r="B23" t="str">
        <v>il prodotto totale è il prodotto dell'ingrandimento delle singole lenti.</v>
      </c>
      <c r="L23">
        <f>((D18-C18)/A18)^(-1)</f>
        <v>2.15763700521209</v>
      </c>
      <c r="M23">
        <f>SQRT(((1/(D18-C18))^2)*(M18^2)+((A18/((D18-C18)^2))^2)*((0.05^2)+(P18^2)))</f>
        <v>0.131273851162009</v>
      </c>
    </row>
    <row r="24" spans="1:20">
      <c r="L24">
        <f>((D19-C19)/A19)^(-1)</f>
        <v>1.78786109275962</v>
      </c>
      <c r="M24">
        <f>SQRT(((1/(D19-C19))^2)*(M19^2)+((A19/((D19-C19)^2))^2)*((0.05^2)+(P19^2)))</f>
        <v>0.115888671731028</v>
      </c>
      <c r="O24" s="2" t="str">
        <v>tragedia</v>
      </c>
    </row>
    <row r="25" spans="1:20">
      <c r="L25">
        <f>((D20-C20)/A20)^(-1)</f>
        <v>1.55934788843506</v>
      </c>
      <c r="M25">
        <f>SQRT(((1/(D20-C20))^2)*(M20^2)+((A20/((D20-C20)^2))^2)*((0.05^2)+(P20^2)))</f>
        <v>0.106382669060189</v>
      </c>
    </row>
    <row r="27" spans="1:20">
      <c r="L27" t="str">
        <v>media pesata delle f div</v>
      </c>
    </row>
    <row r="28" spans="1:20">
      <c r="L28" t="str">
        <v>xi/(sigma i quadro)</v>
      </c>
      <c r="M28" t="str">
        <v>1/(sigma i quadro</v>
      </c>
    </row>
    <row r="29" spans="1:20">
      <c r="L29">
        <f>F18/(O18^2)</f>
        <v>-0.577724081681567</v>
      </c>
      <c r="M29">
        <f>1/(O18^2)</f>
        <v>0.028710607449321</v>
      </c>
    </row>
    <row r="30" spans="1:20">
      <c r="L30">
        <f>F19/(O19^2)</f>
        <v>-0.440697240947075</v>
      </c>
      <c r="M30">
        <f>1/(O19^2)</f>
        <v>0.0212902282939861</v>
      </c>
    </row>
    <row r="31" spans="1:20">
      <c r="L31">
        <f>F20/(O20^2)</f>
        <v>-0.359883278632481</v>
      </c>
      <c r="M31">
        <f>1/(O20^2)</f>
        <v>0.0174505696458735</v>
      </c>
      <c r="O31" t="str">
        <v>risultati</v>
      </c>
    </row>
    <row r="32" spans="1:20">
      <c r="O32" t="str">
        <v>media</v>
      </c>
      <c r="P32" t="str">
        <v>sigma media</v>
      </c>
    </row>
    <row r="33" spans="1:20">
      <c r="K33" t="str">
        <v>somme</v>
      </c>
      <c r="L33">
        <f>SUM(L29:L32)</f>
        <v>-1.37830460126112</v>
      </c>
      <c r="M33">
        <f>SUM(M29:M32)</f>
        <v>0.0674514053891806</v>
      </c>
      <c r="O33">
        <f>L33/M33</f>
        <v>-20.4340383022206</v>
      </c>
      <c r="P33">
        <f>1/(SQRT(M33))</f>
        <v>3.85038803012106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W112"/>
  <sheetViews>
    <sheetView workbookViewId="0" zoomScale="85">
      <selection activeCell="J20" sqref="J20"/>
    </sheetView>
  </sheetViews>
  <sheetFormatPr defaultRowHeight="15"/>
  <cols>
    <col min="1" max="9" style="3" width="9.142308"/>
    <col min="10" max="10" style="3"/>
    <col min="11" max="19" style="3" width="9.142308"/>
    <col min="20" max="22" style="3"/>
    <col min="23" max="23" style="3" width="9.142308"/>
    <col min="24" max="16384" style="3"/>
  </cols>
  <sheetData>
    <row r="1" spans="1:23">
      <c r="A1" s="4" t="str">
        <v>Pi</v>
      </c>
      <c r="B1" s="4" t="str">
        <v>delta Pi a posteriori</v>
      </c>
      <c r="C1" s="4" t="str">
        <v>delta Pi</v>
      </c>
      <c r="D1" s="4" t="str">
        <v>1/Ti</v>
      </c>
      <c r="E1" s="4" t="str">
        <v>wi</v>
      </c>
      <c r="F1" s="5" t="str">
        <v>wi*(1/Ti)^2</v>
      </c>
      <c r="G1" s="5" t="str">
        <v>wi*(1/Ti)</v>
      </c>
      <c r="H1" s="5" t="str">
        <v>wi*Pi</v>
      </c>
      <c r="I1" s="5" t="str">
        <v>wi*(1/Ti)*Pi</v>
      </c>
    </row>
    <row r="2" spans="1:23">
      <c r="A2" s="4">
        <v>11.4748081428571</v>
      </c>
      <c r="B2" s="4">
        <f>C2*$L$10</f>
        <v>0.0247052352355444</v>
      </c>
      <c r="C2" s="4">
        <v>0.000415541242468315</v>
      </c>
      <c r="D2" s="4">
        <v>2</v>
      </c>
      <c r="E2" s="4">
        <f>1/(B2)^2</f>
        <v>1638.40782347173</v>
      </c>
      <c r="F2" s="5">
        <f>E2*D2^2</f>
        <v>6553.63129388692</v>
      </c>
      <c r="G2" s="5">
        <f>D2*E2</f>
        <v>3276.81564694346</v>
      </c>
      <c r="H2" s="5">
        <f>A2*E2</f>
        <v>18800.4154340942</v>
      </c>
      <c r="I2" s="5">
        <f>E2*D2*A2</f>
        <v>37600.8308681884</v>
      </c>
    </row>
    <row r="3" spans="1:23">
      <c r="A3" s="4">
        <v>11.4637352207795</v>
      </c>
      <c r="B3" s="4">
        <f>C3*$L$10</f>
        <v>0.0249803145354359</v>
      </c>
      <c r="C3" s="4">
        <v>0.000420168067226891</v>
      </c>
      <c r="D3" s="4">
        <v>4</v>
      </c>
      <c r="E3" s="4">
        <f>1/(B3)^2</f>
        <v>1602.52271872641</v>
      </c>
      <c r="F3" s="5">
        <f>E3*D3^2</f>
        <v>25640.3634996226</v>
      </c>
      <c r="G3" s="5">
        <f>D3*E3</f>
        <v>6410.09087490565</v>
      </c>
      <c r="H3" s="5">
        <f>A3*E3</f>
        <v>18370.8961327632</v>
      </c>
      <c r="I3" s="5">
        <f>E3*D3*A3</f>
        <v>73483.5845310529</v>
      </c>
    </row>
    <row r="4" spans="1:23">
      <c r="A4" s="4">
        <v>11.4524320845413</v>
      </c>
      <c r="B4" s="4">
        <f>C4*$L$10</f>
        <v>0.025264272216865</v>
      </c>
      <c r="C4" s="4">
        <v>0.000424944226070328</v>
      </c>
      <c r="D4" s="4">
        <v>6</v>
      </c>
      <c r="E4" s="4">
        <f>1/(B4)^2</f>
        <v>1566.70206470966</v>
      </c>
      <c r="F4" s="5">
        <f>E4*D4^2</f>
        <v>56401.2743295477</v>
      </c>
      <c r="G4" s="5">
        <f>D4*E4</f>
        <v>9400.21238825794</v>
      </c>
      <c r="H4" s="5">
        <f>A4*E4</f>
        <v>17942.5489927979</v>
      </c>
      <c r="I4" s="5">
        <f>E4*D4*A4</f>
        <v>107655.293956788</v>
      </c>
    </row>
    <row r="5" spans="1:23">
      <c r="A5" s="4">
        <v>11.4438968785598</v>
      </c>
      <c r="B5" s="4">
        <f>C5*$L$10</f>
        <v>0.0254808308558181</v>
      </c>
      <c r="C5" s="4">
        <v>0.000428586735240544</v>
      </c>
      <c r="D5" s="4">
        <v>8</v>
      </c>
      <c r="E5" s="4">
        <f>1/(B5)^2</f>
        <v>1540.18478937136</v>
      </c>
      <c r="F5" s="5">
        <f>E5*D5^2</f>
        <v>98571.8265197673</v>
      </c>
      <c r="G5" s="5">
        <f>D5*E5</f>
        <v>12321.4783149709</v>
      </c>
      <c r="H5" s="5">
        <f>A5*E5</f>
        <v>17625.7159034922</v>
      </c>
      <c r="I5" s="5">
        <f>E5*D5*A5</f>
        <v>141005.727227938</v>
      </c>
    </row>
    <row r="6" spans="1:23">
      <c r="A6" s="4">
        <v>11.4295438560312</v>
      </c>
      <c r="B6" s="4">
        <f>C6*$L$10</f>
        <v>0.0258491950410163</v>
      </c>
      <c r="C6" s="4">
        <v>0.000434782608695652</v>
      </c>
      <c r="D6" s="4">
        <v>10</v>
      </c>
      <c r="E6" s="4">
        <f>1/(B6)^2</f>
        <v>1496.60073124474</v>
      </c>
      <c r="F6" s="5">
        <f>E6*D6^2</f>
        <v>149660.073124474</v>
      </c>
      <c r="G6" s="5">
        <f>D6*E6</f>
        <v>14966.0073124474</v>
      </c>
      <c r="H6" s="5">
        <f>A6*E6</f>
        <v>17105.4636927301</v>
      </c>
      <c r="I6" s="5">
        <f>E6*D6*A6</f>
        <v>171054.636927301</v>
      </c>
    </row>
    <row r="7" spans="1:23">
      <c r="A7" s="4">
        <v>11.4208101760624</v>
      </c>
      <c r="B7" s="4">
        <f>C7*$L$10</f>
        <v>0.0260759423659375</v>
      </c>
      <c r="C7" s="4">
        <v>0.00043859649122807</v>
      </c>
      <c r="D7" s="4">
        <v>12</v>
      </c>
      <c r="E7" s="4">
        <f>1/(B7)^2</f>
        <v>1470.68605695703</v>
      </c>
      <c r="F7" s="5">
        <f>E7*D7^2</f>
        <v>211778.792201812</v>
      </c>
      <c r="G7" s="5">
        <f>D7*E7</f>
        <v>17648.2326834843</v>
      </c>
      <c r="H7" s="5">
        <f>A7*E7</f>
        <v>16796.4262850879</v>
      </c>
      <c r="I7" s="5">
        <f>E7*D7*A7</f>
        <v>201557.115421055</v>
      </c>
    </row>
    <row r="8" spans="1:23">
      <c r="A8" s="4">
        <v>11.4090083515505</v>
      </c>
      <c r="B8" s="4">
        <f>C8*$L$10</f>
        <v>0.0263855091953123</v>
      </c>
      <c r="C8" s="4">
        <v>0.000443803395095972</v>
      </c>
      <c r="D8" s="4">
        <v>14</v>
      </c>
      <c r="E8" s="4">
        <f>1/(B8)^2</f>
        <v>1436.378978349</v>
      </c>
      <c r="F8" s="5">
        <f>E8*D8^2</f>
        <v>281530.279756403</v>
      </c>
      <c r="G8" s="5">
        <f>D8*E8</f>
        <v>20109.305696886</v>
      </c>
      <c r="H8" s="5">
        <f>A8*E8</f>
        <v>16387.6597599752</v>
      </c>
      <c r="I8" s="5">
        <f>E8*D8*A8</f>
        <v>229427.236639653</v>
      </c>
      <c r="P8" s="6" t="str">
        <v>retta</v>
      </c>
      <c r="Q8" s="6"/>
    </row>
    <row r="9" spans="1:23">
      <c r="A9" s="4">
        <v>11.3970655788757</v>
      </c>
      <c r="B9" s="4">
        <f>C9*$L$10</f>
        <v>0.0267025145269874</v>
      </c>
      <c r="C9" s="4">
        <v>0.00044913541432742</v>
      </c>
      <c r="D9" s="4">
        <v>16</v>
      </c>
      <c r="E9" s="4">
        <f>1/(B9)^2</f>
        <v>1402.4767811628</v>
      </c>
      <c r="F9" s="5">
        <f>E9*D9^2</f>
        <v>359034.055977677</v>
      </c>
      <c r="G9" s="5">
        <f>D9*E9</f>
        <v>22439.6284986048</v>
      </c>
      <c r="H9" s="5">
        <f>A9*E9</f>
        <v>15984.1198477629</v>
      </c>
      <c r="I9" s="5">
        <f>E9*D9*A9</f>
        <v>255745.917564207</v>
      </c>
      <c r="L9" s="7" t="str">
        <v>fattore di correzione</v>
      </c>
      <c r="M9" s="7"/>
      <c r="P9" s="6">
        <v>4.03</v>
      </c>
      <c r="Q9" s="6">
        <f>P9*M19+M18</f>
        <v>11.4636697392961</v>
      </c>
    </row>
    <row r="10" spans="1:23">
      <c r="A10" s="4">
        <v>11.3880422828235</v>
      </c>
      <c r="B10" s="4">
        <f>C10*$L$10</f>
        <v>0.0269445495555574</v>
      </c>
      <c r="C10" s="4">
        <v>0.000453206435531385</v>
      </c>
      <c r="D10" s="4">
        <v>18</v>
      </c>
      <c r="E10" s="4">
        <f>1/(B10)^2</f>
        <v>1377.39386607166</v>
      </c>
      <c r="F10" s="5">
        <f>E10*D10^2</f>
        <v>446275.612607216</v>
      </c>
      <c r="G10" s="5">
        <f>D10*E10</f>
        <v>24793.0895892898</v>
      </c>
      <c r="H10" s="5">
        <f>A10*E10</f>
        <v>15685.8195869258</v>
      </c>
      <c r="I10" s="5">
        <f>E10*D10*A10</f>
        <v>282344.752564664</v>
      </c>
      <c r="L10" s="7">
        <v>59.4531485943375</v>
      </c>
      <c r="M10" s="7"/>
      <c r="P10" s="6">
        <v>4.82</v>
      </c>
      <c r="Q10" s="6">
        <f>P10*M19+M18</f>
        <v>11.4593565048288</v>
      </c>
    </row>
    <row r="11" spans="1:23">
      <c r="A11" s="4">
        <v>11.3759596098971</v>
      </c>
      <c r="B11" s="4">
        <f>C11*$L$10</f>
        <v>0.027272086511164</v>
      </c>
      <c r="C11" s="4">
        <v>0.000458715596330275</v>
      </c>
      <c r="D11" s="4">
        <v>20</v>
      </c>
      <c r="E11" s="4">
        <f>1/(B11)^2</f>
        <v>1344.50762101465</v>
      </c>
      <c r="F11" s="5">
        <f>E11*D11^2</f>
        <v>537803.048405862</v>
      </c>
      <c r="G11" s="5">
        <f>D11*E11</f>
        <v>26890.1524202931</v>
      </c>
      <c r="H11" s="5">
        <f>A11*E11</f>
        <v>15295.0643918615</v>
      </c>
      <c r="I11" s="5">
        <f>E11*D11*A11</f>
        <v>305901.28783723</v>
      </c>
    </row>
    <row r="12" spans="1:23">
      <c r="A12" s="4">
        <v>11.3667429547921</v>
      </c>
      <c r="B12" s="4">
        <f>C12*$L$10</f>
        <v>0.0275246058307118</v>
      </c>
      <c r="C12" s="4">
        <v>0.000462962962962963</v>
      </c>
      <c r="D12" s="4">
        <v>22</v>
      </c>
      <c r="E12" s="4">
        <f>1/(B12)^2</f>
        <v>1319.95092092542</v>
      </c>
      <c r="F12" s="5">
        <f>E12*D12^2</f>
        <v>638856.245727904</v>
      </c>
      <c r="G12" s="5">
        <f>D12*E12</f>
        <v>29038.9202603593</v>
      </c>
      <c r="H12" s="5">
        <f>A12*E12</f>
        <v>15003.5428311004</v>
      </c>
      <c r="I12" s="5">
        <f>E12*D12*A12</f>
        <v>330077.94228421</v>
      </c>
    </row>
    <row r="13" spans="1:23">
      <c r="A13" s="4">
        <v>11.3542813715306</v>
      </c>
      <c r="B13" s="4">
        <f>C13*$L$10</f>
        <v>0.0278697520657858</v>
      </c>
      <c r="C13" s="4">
        <v>0.000468768311262159</v>
      </c>
      <c r="D13" s="4">
        <v>24</v>
      </c>
      <c r="E13" s="4">
        <f>1/(B13)^2</f>
        <v>1287.46013280786</v>
      </c>
      <c r="F13" s="5">
        <f>E13*D13^2</f>
        <v>741577.036497328</v>
      </c>
      <c r="G13" s="5">
        <f>D13*E13</f>
        <v>30899.0431873887</v>
      </c>
      <c r="H13" s="5">
        <f>A13*E13</f>
        <v>14618.1846025287</v>
      </c>
      <c r="I13" s="5">
        <f>E13*D13*A13</f>
        <v>350836.430460688</v>
      </c>
    </row>
    <row r="14" spans="1:23">
      <c r="A14">
        <v>11.344861779923</v>
      </c>
      <c r="B14" s="4">
        <f>C14*$L$10</f>
        <v>0.0281335140633325</v>
      </c>
      <c r="C14">
        <v>0.000473204779368272</v>
      </c>
      <c r="D14">
        <v>26</v>
      </c>
      <c r="E14" s="4">
        <f>1/(B14)^2</f>
        <v>1263.43247683345</v>
      </c>
      <c r="F14" s="5">
        <f>E14*D14^2</f>
        <v>854080.354339415</v>
      </c>
      <c r="G14" s="5">
        <f>D14*E14</f>
        <v>32849.2443976698</v>
      </c>
      <c r="H14" s="5">
        <f>A14*E14</f>
        <v>14333.4668179413</v>
      </c>
      <c r="I14" s="5">
        <f>E14*D14*A14</f>
        <v>372670.137266473</v>
      </c>
    </row>
    <row r="15" spans="1:23">
      <c r="A15">
        <v>11.3353526151985</v>
      </c>
      <c r="B15" s="4">
        <f>C15*$L$10</f>
        <v>0.0284023162996955</v>
      </c>
      <c r="C15">
        <v>0.000477726024125164</v>
      </c>
      <c r="D15">
        <v>28</v>
      </c>
      <c r="E15" s="4">
        <f>1/(B15)^2</f>
        <v>1239.63114989213</v>
      </c>
      <c r="F15" s="5">
        <f>E15*D15^2</f>
        <v>971870.821515427</v>
      </c>
      <c r="G15" s="5">
        <f>D15*E15</f>
        <v>34709.6721969795</v>
      </c>
      <c r="H15" s="5">
        <f>A15*E15</f>
        <v>14051.6561968112</v>
      </c>
      <c r="I15" s="5">
        <f>E15*D15*A15</f>
        <v>393446.373510714</v>
      </c>
      <c r="K15" s="8" t="str">
        <v>somma</v>
      </c>
      <c r="L15" s="8"/>
      <c r="M15" s="8"/>
      <c r="N15" s="8">
        <f>SUM(E2:E13)</f>
        <v>17483.2724848123</v>
      </c>
      <c r="O15" s="8">
        <f>SUM(F2:F13)</f>
        <v>3553682.2399415</v>
      </c>
      <c r="P15" s="8">
        <f>SUM(G2:G13)</f>
        <v>218192.976873831</v>
      </c>
      <c r="Q15" s="8">
        <f>SUM(H2:H13)</f>
        <v>199615.85746112</v>
      </c>
      <c r="R15" s="8">
        <f>SUM(I2:I13)</f>
        <v>2486690.75628297</v>
      </c>
      <c r="S15" s="5">
        <f>SUM(I2:I13)</f>
        <v>2486690.75628297</v>
      </c>
    </row>
    <row r="16" spans="1:23">
      <c r="A16">
        <v>11.3257521574452</v>
      </c>
      <c r="B16" s="4">
        <f>C16*$L$10</f>
        <v>0.0286763046397383</v>
      </c>
      <c r="C16">
        <v>0.000482334498975039</v>
      </c>
      <c r="D16">
        <v>30</v>
      </c>
      <c r="E16" s="4">
        <f>1/(B16)^2</f>
        <v>1216.05615198388</v>
      </c>
      <c r="F16" s="5">
        <f>E16*D16^2</f>
        <v>1094450.53678549</v>
      </c>
      <c r="G16" s="5">
        <f>D16*E16</f>
        <v>36481.6845595164</v>
      </c>
      <c r="H16" s="5">
        <f>A16*E16</f>
        <v>13772.750586906</v>
      </c>
      <c r="I16" s="5">
        <f>E16*D16*A16</f>
        <v>413182.51760718</v>
      </c>
      <c r="K16" s="9" t="str">
        <v>deta W</v>
      </c>
      <c r="L16" s="9">
        <f>N15*O15-(P15)^2</f>
        <v>14521819768.2712</v>
      </c>
    </row>
    <row r="17" spans="1:23">
      <c r="A17">
        <v>11.3160586367342</v>
      </c>
      <c r="B17" s="4">
        <f>C17*$L$10</f>
        <v>0.0289556306316023</v>
      </c>
      <c r="C17">
        <v>0.000487032752952636</v>
      </c>
      <c r="D17">
        <v>32</v>
      </c>
      <c r="E17" s="4">
        <f>1/(B17)^2</f>
        <v>1192.70748310871</v>
      </c>
      <c r="F17" s="5">
        <f>E17*D17^2</f>
        <v>1221332.46270332</v>
      </c>
      <c r="G17" s="5">
        <f>D17*E17</f>
        <v>38166.6394594788</v>
      </c>
      <c r="H17" s="5">
        <f>A17*E17</f>
        <v>13496.7478153299</v>
      </c>
      <c r="I17" s="5">
        <f>E17*D17*A17</f>
        <v>431895.930090557</v>
      </c>
    </row>
    <row r="18" spans="1:23">
      <c r="A18">
        <v>11.3029449001823</v>
      </c>
      <c r="B18" s="4">
        <f>C18*$L$10</f>
        <v>0.029337847813638</v>
      </c>
      <c r="C18">
        <v>0.000493461633358006</v>
      </c>
      <c r="D18">
        <v>34</v>
      </c>
      <c r="E18" s="4">
        <f>1/(B18)^2</f>
        <v>1161.83243673997</v>
      </c>
      <c r="F18" s="5">
        <f>E18*D18^2</f>
        <v>1343078.2968714</v>
      </c>
      <c r="G18" s="5">
        <f>D18*E18</f>
        <v>39502.302849159</v>
      </c>
      <c r="H18" s="5">
        <f>A18*E18</f>
        <v>13132.1280157164</v>
      </c>
      <c r="I18" s="5">
        <f>E18*D18*A18</f>
        <v>446492.352534358</v>
      </c>
      <c r="K18" s="7" t="str">
        <v>intercetta</v>
      </c>
      <c r="L18" s="7" t="str">
        <v>b</v>
      </c>
      <c r="M18" s="7">
        <f>(O15*Q15-P15*R15)/L16</f>
        <v>11.48567269487</v>
      </c>
      <c r="N18" s="7"/>
      <c r="O18" s="7" t="str">
        <v>delta b</v>
      </c>
      <c r="P18" s="7">
        <f>SQRT(O15/L16)</f>
        <v>0.0156433144312778</v>
      </c>
      <c r="R18" s="10" t="s">
        <v>2</v>
      </c>
      <c r="S18" s="10"/>
      <c r="T18" s="10"/>
      <c r="W18" s="7">
        <f>SQRT(O32/74)</f>
        <v>1.00000000000045</v>
      </c>
    </row>
    <row r="19" spans="1:23">
      <c r="A19">
        <v>11.2930266438209</v>
      </c>
      <c r="B19" s="4">
        <f>C19*$L$10</f>
        <v>0.0296302759004922</v>
      </c>
      <c r="C19">
        <v>0.00049838026414154</v>
      </c>
      <c r="D19">
        <v>36</v>
      </c>
      <c r="E19" s="4">
        <f>1/(B19)^2</f>
        <v>1139.01281197963</v>
      </c>
      <c r="F19" s="5">
        <f>E19*D19^2</f>
        <v>1476160.6043256</v>
      </c>
      <c r="G19" s="5">
        <f>D19*E19</f>
        <v>41004.4612312666</v>
      </c>
      <c r="H19" s="5">
        <f>A19*E19</f>
        <v>12862.9020333393</v>
      </c>
      <c r="I19" s="5">
        <f>E19*D19*A19</f>
        <v>463064.473200215</v>
      </c>
      <c r="K19" s="7" t="str">
        <v>pendenza</v>
      </c>
      <c r="L19" s="7" t="str">
        <v>a</v>
      </c>
      <c r="M19" s="7">
        <f>(N15*R15-Q15*P15)/L16</f>
        <v>-0.00545979046497685</v>
      </c>
      <c r="N19" s="7"/>
      <c r="O19" s="7" t="str">
        <v>delta a</v>
      </c>
      <c r="P19" s="7">
        <f>SQRT(N15/L16)</f>
        <v>0.00109723800530476</v>
      </c>
      <c r="R19" s="10" t="str">
        <v>(Pi-a*(1/Ti)-b)^2</v>
      </c>
      <c r="S19" s="10" t="str">
        <v>(Pi-a*(1/Ti)-b)^2/(delta Pi)^2</v>
      </c>
      <c r="T19" s="10"/>
    </row>
    <row r="20" spans="1:23">
      <c r="A20">
        <v>11.2830090293686</v>
      </c>
      <c r="B20" s="4">
        <f>C20*$L$10</f>
        <v>0.0299285922951611</v>
      </c>
      <c r="C20">
        <v>0.000503397936068462</v>
      </c>
      <c r="D20">
        <v>38</v>
      </c>
      <c r="E20" s="4">
        <f>1/(B20)^2</f>
        <v>1116.41951625237</v>
      </c>
      <c r="F20" s="5">
        <f>E20*D20^2</f>
        <v>1612109.78146842</v>
      </c>
      <c r="G20" s="5">
        <f>D20*E20</f>
        <v>42423.94161759</v>
      </c>
      <c r="H20" s="5">
        <f>A20*E20</f>
        <v>12596.5714824388</v>
      </c>
      <c r="I20" s="5">
        <f>E20*D20*A20</f>
        <v>478669.716332674</v>
      </c>
      <c r="R20" s="10">
        <f>(A2-$M$19*D2-$M$18)^2</f>
        <v>3.0281817130403e-09</v>
      </c>
      <c r="S20" s="10">
        <f>R20/B2^2</f>
        <v>4.96139660953925e-06</v>
      </c>
      <c r="T20" s="10"/>
    </row>
    <row r="21" spans="1:23">
      <c r="A21">
        <v>11.2728900459858</v>
      </c>
      <c r="B21" s="4">
        <f>C21*$L$10</f>
        <v>0.0302329766561594</v>
      </c>
      <c r="C21">
        <v>0.000508517670989067</v>
      </c>
      <c r="D21">
        <v>40</v>
      </c>
      <c r="E21" s="4">
        <f>1/(B21)^2</f>
        <v>1094.05254955819</v>
      </c>
      <c r="F21" s="5">
        <f>E21*D21^2</f>
        <v>1750484.0792931</v>
      </c>
      <c r="G21" s="5">
        <f>D21*E21</f>
        <v>43762.1019823276</v>
      </c>
      <c r="H21" s="5">
        <f>A21*E21</f>
        <v>12333.1340956999</v>
      </c>
      <c r="I21" s="5">
        <f>E21*D21*A21</f>
        <v>493325.363827996</v>
      </c>
      <c r="R21" s="10">
        <f>(A3-$M$19*D3-$M$18)^2</f>
        <v>9.66529469113064e-09</v>
      </c>
      <c r="S21" s="10">
        <f>R21/B3^2</f>
        <v>1.54888543257226e-05</v>
      </c>
      <c r="T21" s="10"/>
    </row>
    <row r="22" spans="1:23">
      <c r="A22">
        <v>11.2593227061713</v>
      </c>
      <c r="B22" s="4">
        <f>C22*$L$10</f>
        <v>0.0306459528836791</v>
      </c>
      <c r="C22">
        <v>0.000515463917525773</v>
      </c>
      <c r="D22">
        <v>42</v>
      </c>
      <c r="E22" s="4">
        <f>1/(B22)^2</f>
        <v>1064.76493612717</v>
      </c>
      <c r="F22" s="5">
        <f>E22*D22^2</f>
        <v>1878245.34732832</v>
      </c>
      <c r="G22" s="5">
        <f>D22*E22</f>
        <v>44720.1273173411</v>
      </c>
      <c r="H22" s="5">
        <f>A22*E22</f>
        <v>11988.5320220717</v>
      </c>
      <c r="I22" s="5">
        <f>E22*D22*A22</f>
        <v>503518.34492701</v>
      </c>
      <c r="R22" s="10">
        <f>(A4-$M$19*D4-$M$18)^2</f>
        <v>2.32196325011309e-07</v>
      </c>
      <c r="S22" s="10">
        <f>R22/B4^2</f>
        <v>0.000363782461813212</v>
      </c>
      <c r="T22" s="10"/>
    </row>
    <row r="23" spans="1:23">
      <c r="A23">
        <v>11.252469378772</v>
      </c>
      <c r="B23" s="4">
        <f>C23*$L$10</f>
        <v>0.0308567009702024</v>
      </c>
      <c r="C23">
        <v>0.000519008693395614</v>
      </c>
      <c r="D23">
        <v>44</v>
      </c>
      <c r="E23" s="4">
        <f>1/(B23)^2</f>
        <v>1050.27013525242</v>
      </c>
      <c r="F23" s="5">
        <f>E23*D23^2</f>
        <v>2033322.98184869</v>
      </c>
      <c r="G23" s="5">
        <f>D23*E23</f>
        <v>46211.8859511065</v>
      </c>
      <c r="H23" s="5">
        <f>A23*E23</f>
        <v>11818.1325363666</v>
      </c>
      <c r="I23" s="5">
        <f>E23*D23*A23</f>
        <v>519997.831600132</v>
      </c>
      <c r="K23" s="11" t="str">
        <v>R</v>
      </c>
      <c r="L23" s="11">
        <v>8.31</v>
      </c>
      <c r="R23" s="10">
        <f>(A5-$M$19*D5-$M$18)^2</f>
        <v>3.61953444364359e-06</v>
      </c>
      <c r="S23" s="10">
        <f>R23/B5^2</f>
        <v>0.0055747518947056</v>
      </c>
      <c r="T23" s="10"/>
    </row>
    <row r="24" spans="1:23">
      <c r="A24">
        <v>11.2420349551583</v>
      </c>
      <c r="B24" s="4">
        <f>C24*$L$10</f>
        <v>0.0311803585128294</v>
      </c>
      <c r="C24">
        <v>0.00052445260259604</v>
      </c>
      <c r="D24">
        <v>46</v>
      </c>
      <c r="E24" s="4">
        <f>1/(B24)^2</f>
        <v>1028.57932654457</v>
      </c>
      <c r="F24" s="5">
        <f>E24*D24^2</f>
        <v>2176473.85496831</v>
      </c>
      <c r="G24" s="5">
        <f>D24*E24</f>
        <v>47314.6490210502</v>
      </c>
      <c r="H24" s="5">
        <f>A24*E24</f>
        <v>11563.3247431672</v>
      </c>
      <c r="I24" s="5">
        <f>E24*D24*A24</f>
        <v>531912.938185692</v>
      </c>
      <c r="K24" s="11" t="str">
        <v>Lambda</v>
      </c>
      <c r="L24" s="11">
        <f>-M19*L23</f>
        <v>0.0453708587639576</v>
      </c>
      <c r="R24" s="10">
        <f>(A6-$M$19*D6-$M$18)^2</f>
        <v>2.34375949119244e-06</v>
      </c>
      <c r="S24" s="10">
        <f>R24/B6^2</f>
        <v>0.00350767216838041</v>
      </c>
      <c r="T24" s="10"/>
    </row>
    <row r="25" spans="1:23">
      <c r="A25">
        <v>11.2314905052789</v>
      </c>
      <c r="B25" s="4">
        <f>C25*$L$10</f>
        <v>0.0315108777497482</v>
      </c>
      <c r="C25">
        <v>0.000530011925268318</v>
      </c>
      <c r="D25">
        <v>48</v>
      </c>
      <c r="E25" s="4">
        <f>1/(B25)^2</f>
        <v>1007.1148468698</v>
      </c>
      <c r="F25" s="5">
        <f>E25*D25^2</f>
        <v>2320392.60718802</v>
      </c>
      <c r="G25" s="5">
        <f>D25*E25</f>
        <v>48341.5126497503</v>
      </c>
      <c r="H25" s="5">
        <f>A25*E25</f>
        <v>11311.4008403436</v>
      </c>
      <c r="I25" s="5">
        <f>E25*D25*A25</f>
        <v>542947.240336491</v>
      </c>
      <c r="R25" s="10">
        <f>(A7-$M$19*D7-$M$18)^2</f>
        <v>4.2898147262443e-07</v>
      </c>
      <c r="S25" s="10">
        <f>R25/B7^2</f>
        <v>0.000630897070481643</v>
      </c>
      <c r="T25" s="10"/>
    </row>
    <row r="26" spans="1:23">
      <c r="A26">
        <v>11.2208336840297</v>
      </c>
      <c r="B26" s="4">
        <f>C26*$L$10</f>
        <v>0.0318484792255725</v>
      </c>
      <c r="C26">
        <v>0.000535690370965582</v>
      </c>
      <c r="D26">
        <v>50</v>
      </c>
      <c r="E26" s="4">
        <f>1/(B26)^2</f>
        <v>985.876696228107</v>
      </c>
      <c r="F26" s="5">
        <f>E26*D26^2</f>
        <v>2464691.74057027</v>
      </c>
      <c r="G26" s="5">
        <f>D26*E26</f>
        <v>49293.8348114054</v>
      </c>
      <c r="H26" s="5">
        <f>A26*E26</f>
        <v>11062.3584413363</v>
      </c>
      <c r="I26" s="5">
        <f>E26*D26*A26</f>
        <v>553117.922066815</v>
      </c>
      <c r="R26" s="10">
        <f>(A8-$M$19*D8-$M$18)^2</f>
        <v>5.16547482997903e-08</v>
      </c>
      <c r="S26" s="10">
        <f>R26/B8^2</f>
        <v>7.41957945897273e-05</v>
      </c>
      <c r="T26" s="10"/>
    </row>
    <row r="27" spans="1:23">
      <c r="A27">
        <v>11.1917555483575</v>
      </c>
      <c r="B27" s="4">
        <f>C27*$L$10</f>
        <v>0.0327881696370261</v>
      </c>
      <c r="C27">
        <v>0.000551495932717496</v>
      </c>
      <c r="D27">
        <v>55</v>
      </c>
      <c r="E27" s="4">
        <f>1/(B27)^2</f>
        <v>930.177121186999</v>
      </c>
      <c r="F27" s="5">
        <f>E27*D27^2</f>
        <v>2813785.79159067</v>
      </c>
      <c r="G27" s="5">
        <f>D27*E27</f>
        <v>51159.7416652849</v>
      </c>
      <c r="H27" s="5">
        <f>A27*E27</f>
        <v>10410.3149569998</v>
      </c>
      <c r="I27" s="5">
        <f>E27*D27*A27</f>
        <v>572567.322634987</v>
      </c>
      <c r="R27" s="10">
        <f>(A9-$M$19*D9-$M$18)^2</f>
        <v>1.56367160621718e-06</v>
      </c>
      <c r="S27" s="10">
        <f>R27/B9^2</f>
        <v>0.00219301312108314</v>
      </c>
      <c r="T27" s="10"/>
    </row>
    <row r="28" spans="1:23">
      <c r="A28">
        <v>11.1657764336849</v>
      </c>
      <c r="B28" s="4">
        <f>C28*$L$10</f>
        <v>0.0336511383015919</v>
      </c>
      <c r="C28">
        <v>0.000566011037215226</v>
      </c>
      <c r="D28">
        <v>60</v>
      </c>
      <c r="E28" s="4">
        <f>1/(B28)^2</f>
        <v>883.080878515862</v>
      </c>
      <c r="F28" s="5">
        <f>E28*D28^2</f>
        <v>3179091.1626571</v>
      </c>
      <c r="G28" s="5">
        <f>D28*E28</f>
        <v>52984.8527109517</v>
      </c>
      <c r="H28" s="5">
        <f>A28*E28</f>
        <v>9860.28366237017</v>
      </c>
      <c r="I28" s="5">
        <f>E28*D28*A28</f>
        <v>591617.01974221</v>
      </c>
      <c r="R28" s="10">
        <f>(A10-$M$19*D10-$M$18)^2</f>
        <v>4.17078723219417e-07</v>
      </c>
      <c r="S28" s="10">
        <f>R28/B10^2</f>
        <v>0.000574481675031423</v>
      </c>
      <c r="T28" s="10"/>
    </row>
    <row r="29" spans="1:23">
      <c r="A29">
        <v>11.1389590239214</v>
      </c>
      <c r="B29" s="4">
        <f>C29*$L$10</f>
        <v>0.0345657840664753</v>
      </c>
      <c r="C29">
        <v>0.000581395348837209</v>
      </c>
      <c r="D29">
        <v>65</v>
      </c>
      <c r="E29" s="4">
        <f>1/(B29)^2</f>
        <v>836.964764331654</v>
      </c>
      <c r="F29" s="5">
        <f>E29*D29^2</f>
        <v>3536176.12930124</v>
      </c>
      <c r="G29" s="5">
        <f>D29*E29</f>
        <v>54402.7096815575</v>
      </c>
      <c r="H29" s="5">
        <f>A29*E29</f>
        <v>9322.91621435636</v>
      </c>
      <c r="I29" s="5">
        <f>E29*D29*A29</f>
        <v>605989.553933163</v>
      </c>
      <c r="R29" s="10">
        <f>(A11-$M$19*D11-$M$18)^2</f>
        <v>2.67574122273951e-07</v>
      </c>
      <c r="S29" s="10">
        <f>R29/B11^2</f>
        <v>0.000359755446583634</v>
      </c>
      <c r="T29" s="10"/>
    </row>
    <row r="30" spans="1:23">
      <c r="A30">
        <v>11.1114025760947</v>
      </c>
      <c r="B30" s="4">
        <f>C30*$L$10</f>
        <v>0.0355315395752802</v>
      </c>
      <c r="C30">
        <v>0.000597639324667563</v>
      </c>
      <c r="D30">
        <v>70</v>
      </c>
      <c r="E30" s="4">
        <f>1/(B30)^2</f>
        <v>792.085290765851</v>
      </c>
      <c r="F30" s="5">
        <f>E30*D30^2</f>
        <v>3881217.92475267</v>
      </c>
      <c r="G30" s="5">
        <f>D30*E30</f>
        <v>55445.9703536096</v>
      </c>
      <c r="H30" s="5">
        <f>A30*E30</f>
        <v>8801.17854030239</v>
      </c>
      <c r="I30" s="5">
        <f>E30*D30*A30</f>
        <v>616082.497821167</v>
      </c>
      <c r="R30" s="10">
        <f>(A12-$M$19*D12-$M$18)^2</f>
        <v>1.40576628209782e-06</v>
      </c>
      <c r="S30" s="10">
        <f>R30/B12^2</f>
        <v>0.00185554249866092</v>
      </c>
      <c r="T30" s="10"/>
    </row>
    <row r="31" spans="1:23">
      <c r="A31">
        <v>11.0872066278348</v>
      </c>
      <c r="B31" s="4">
        <f>C31*$L$10</f>
        <v>0.0364017441263355</v>
      </c>
      <c r="C31">
        <v>0.000612276136537578</v>
      </c>
      <c r="D31">
        <v>75</v>
      </c>
      <c r="E31" s="4">
        <f>1/(B31)^2</f>
        <v>754.667443371819</v>
      </c>
      <c r="F31" s="5">
        <f>E31*D31^2</f>
        <v>4245004.36896648</v>
      </c>
      <c r="G31" s="5">
        <f>D31*E31</f>
        <v>56600.0582528864</v>
      </c>
      <c r="H31" s="5">
        <f>A31*E31</f>
        <v>8367.15387996317</v>
      </c>
      <c r="I31" s="5">
        <f>E31*D31*A31</f>
        <v>627536.540997238</v>
      </c>
      <c r="R31" s="10">
        <f>(A13-$M$19*D13-$M$18)^2</f>
        <v>1.26986876131778e-07</v>
      </c>
      <c r="S31" s="10">
        <f>R31/B13^2</f>
        <v>0.000163490540409474</v>
      </c>
      <c r="T31" s="10"/>
    </row>
    <row r="32" spans="1:23">
      <c r="A32">
        <v>11.0624106883083</v>
      </c>
      <c r="B32" s="4">
        <f>C32*$L$10</f>
        <v>0.0373156432413855</v>
      </c>
      <c r="C32">
        <v>0.000627647889533971</v>
      </c>
      <c r="D32">
        <v>80</v>
      </c>
      <c r="E32" s="4">
        <f>1/(B32)^2</f>
        <v>718.154912110109</v>
      </c>
      <c r="F32" s="5">
        <f>E32*D32^2</f>
        <v>4596191.43750469</v>
      </c>
      <c r="G32" s="5">
        <f>D32*E32</f>
        <v>57452.3929688087</v>
      </c>
      <c r="H32" s="5">
        <f>A32*E32</f>
        <v>7944.524575588</v>
      </c>
      <c r="I32" s="5">
        <f>E32*D32*A32</f>
        <v>635561.96604704</v>
      </c>
      <c r="N32" s="10" t="s">
        <v>2</v>
      </c>
      <c r="O32" s="10">
        <f>SUM(S20:S78)</f>
        <v>74.0000000000668</v>
      </c>
      <c r="R32" s="10">
        <f>(A14-$M$19*D14-$M$18)^2</f>
        <v>1.3079059134323e-06</v>
      </c>
      <c r="S32" s="10">
        <f>R32/B14^2</f>
        <v>0.00165245080767289</v>
      </c>
      <c r="T32" s="10"/>
    </row>
    <row r="33" spans="1:23">
      <c r="A33">
        <v>11.0369842430577</v>
      </c>
      <c r="B33" s="4">
        <f>C33*$L$10</f>
        <v>0.0382766126472477</v>
      </c>
      <c r="C33">
        <v>0.000643811363270562</v>
      </c>
      <c r="D33">
        <v>85</v>
      </c>
      <c r="E33" s="4">
        <f>1/(B33)^2</f>
        <v>682.547696980721</v>
      </c>
      <c r="F33" s="5">
        <f>E33*D33^2</f>
        <v>4931407.11068571</v>
      </c>
      <c r="G33" s="5">
        <f>D33*E33</f>
        <v>58016.5542433612</v>
      </c>
      <c r="H33" s="5">
        <f>A33*E33</f>
        <v>7533.26817671156</v>
      </c>
      <c r="I33" s="5">
        <f>E33*D33*A33</f>
        <v>640327.795020483</v>
      </c>
      <c r="R33" s="10">
        <f>(A15-$M$19*D15-$M$18)^2</f>
        <v>6.52318850360297e-06</v>
      </c>
      <c r="S33" s="10">
        <f>R33/B15^2</f>
        <v>0.00808634766568445</v>
      </c>
    </row>
    <row r="34" spans="1:23">
      <c r="A34">
        <v>11.0153450679543</v>
      </c>
      <c r="B34" s="4">
        <f>C34*$L$10</f>
        <v>0.0391139135489063</v>
      </c>
      <c r="C34">
        <v>0.000657894736842105</v>
      </c>
      <c r="D34">
        <v>90</v>
      </c>
      <c r="E34" s="4">
        <f>1/(B34)^2</f>
        <v>653.638247536457</v>
      </c>
      <c r="F34" s="5">
        <f>E34*D34^2</f>
        <v>5294469.8050453</v>
      </c>
      <c r="G34" s="5">
        <f>D34*E34</f>
        <v>58827.4422782811</v>
      </c>
      <c r="H34" s="5">
        <f>A34*E34</f>
        <v>7200.05084622697</v>
      </c>
      <c r="I34" s="5">
        <f>E34*D34*A34</f>
        <v>648004.576160428</v>
      </c>
      <c r="R34" s="10">
        <f>(A16-$M$19*D16-$M$18)^2</f>
        <v>1.50014963904223e-05</v>
      </c>
      <c r="S34" s="10">
        <f>R34/B16^2</f>
        <v>0.0182426619745371</v>
      </c>
    </row>
    <row r="35" spans="1:23">
      <c r="A35">
        <v>10.9932272627006</v>
      </c>
      <c r="B35" s="4">
        <f>C35*$L$10</f>
        <v>0.0399886656091054</v>
      </c>
      <c r="C35">
        <v>0.00067260803766605</v>
      </c>
      <c r="D35">
        <v>95</v>
      </c>
      <c r="E35" s="4">
        <f>1/(B35)^2</f>
        <v>625.354350321281</v>
      </c>
      <c r="F35" s="5">
        <f>E35*D35^2</f>
        <v>5643823.01164956</v>
      </c>
      <c r="G35" s="5">
        <f>D35*E35</f>
        <v>59408.6632805217</v>
      </c>
      <c r="H35" s="5">
        <f>A35*E35</f>
        <v>6874.66249280035</v>
      </c>
      <c r="I35" s="5">
        <f>E35*D35*A35</f>
        <v>653092.936816033</v>
      </c>
      <c r="R35" s="10">
        <f>(A17-$M$19*D17-$M$18)^2</f>
        <v>2.60022153663227e-05</v>
      </c>
      <c r="S35" s="10">
        <f>R35/B17^2</f>
        <v>0.0310130368448174</v>
      </c>
    </row>
    <row r="36" spans="1:23">
      <c r="A36">
        <v>10.9659543945679</v>
      </c>
      <c r="B36" s="4">
        <f>C36*$L$10</f>
        <v>0.0410942793117937</v>
      </c>
      <c r="C36">
        <v>0.000691204423708312</v>
      </c>
      <c r="D36">
        <v>100</v>
      </c>
      <c r="E36" s="4">
        <f>1/(B36)^2</f>
        <v>592.1575393942</v>
      </c>
      <c r="F36" s="5">
        <f>E36*D36^2</f>
        <v>5921575.393942</v>
      </c>
      <c r="G36" s="5">
        <f>D36*E36</f>
        <v>59215.75393942</v>
      </c>
      <c r="H36" s="5">
        <f>A36*E36</f>
        <v>6493.57257139633</v>
      </c>
      <c r="I36" s="5">
        <f>E36*D36*A36</f>
        <v>649357.257139633</v>
      </c>
      <c r="R36" s="10">
        <f>(A18-$M$19*D18-$M$18)^2</f>
        <v>8.43949632262411e-06</v>
      </c>
      <c r="S36" s="10">
        <f>R36/B18^2</f>
        <v>0.00980528057737238</v>
      </c>
    </row>
    <row r="37" spans="1:23">
      <c r="A37">
        <v>10.9282738805636</v>
      </c>
      <c r="B37" s="4">
        <f>C37*$L$10</f>
        <v>0.0426722760411538</v>
      </c>
      <c r="C37">
        <v>0.00071774627669119</v>
      </c>
      <c r="D37">
        <v>110</v>
      </c>
      <c r="E37" s="4">
        <f>1/(B37)^2</f>
        <v>549.171997786387</v>
      </c>
      <c r="F37" s="5">
        <f>E37*D37^2</f>
        <v>6644981.17321529</v>
      </c>
      <c r="G37" s="5">
        <f>D37*E37</f>
        <v>60408.9197565026</v>
      </c>
      <c r="H37" s="5">
        <f>A37*E37</f>
        <v>6001.5019993459</v>
      </c>
      <c r="I37" s="5">
        <f>E37*D37*A37</f>
        <v>660165.219928049</v>
      </c>
      <c r="R37" s="10">
        <f>(A19-$M$19*D19-$M$18)^2</f>
        <v>1.52600054154993e-05</v>
      </c>
      <c r="S37" s="10">
        <f>R37/B19^2</f>
        <v>0.0173813416791323</v>
      </c>
    </row>
    <row r="38" spans="1:23">
      <c r="A38">
        <v>10.8793670758219</v>
      </c>
      <c r="B38" s="4">
        <f>C38*$L$10</f>
        <v>0.0448111163326456</v>
      </c>
      <c r="C38">
        <v>0.000753721499905785</v>
      </c>
      <c r="D38">
        <v>120</v>
      </c>
      <c r="E38" s="4">
        <f>1/(B38)^2</f>
        <v>497.999003406889</v>
      </c>
      <c r="F38" s="5">
        <f>E38*D38^2</f>
        <v>7171185.6490592</v>
      </c>
      <c r="G38" s="5">
        <f>D38*E38</f>
        <v>59759.8804088266</v>
      </c>
      <c r="H38" s="5">
        <f>A38*E38</f>
        <v>5417.91396145704</v>
      </c>
      <c r="I38" s="5">
        <f>E38*D38*A38</f>
        <v>650149.675374845</v>
      </c>
      <c r="R38" s="10">
        <f>(A20-$M$19*D20-$M$18)^2</f>
        <v>2.3120442903282e-05</v>
      </c>
      <c r="S38" s="10">
        <f>R38/B20^2</f>
        <v>0.0258121136816226</v>
      </c>
    </row>
    <row r="39" spans="1:23">
      <c r="A39">
        <v>10.8382074198786</v>
      </c>
      <c r="B39" s="4">
        <f>C39*$L$10</f>
        <v>0.0466940102841842</v>
      </c>
      <c r="C39">
        <v>0.000785391714117416</v>
      </c>
      <c r="D39">
        <v>130</v>
      </c>
      <c r="E39" s="4">
        <f>1/(B39)^2</f>
        <v>458.646042780018</v>
      </c>
      <c r="F39" s="5">
        <f>E39*D39^2</f>
        <v>7751118.12298231</v>
      </c>
      <c r="G39" s="5">
        <f>D39*E39</f>
        <v>59623.9855614024</v>
      </c>
      <c r="H39" s="5">
        <f>A39*E39</f>
        <v>4970.90094395637</v>
      </c>
      <c r="I39" s="5">
        <f>E39*D39*A39</f>
        <v>646217.122714329</v>
      </c>
      <c r="R39" s="10">
        <f>(A21-$M$19*D21-$M$18)^2</f>
        <v>3.1460541262476e-05</v>
      </c>
      <c r="S39" s="10">
        <f>R39/B21^2</f>
        <v>0.0344194853786925</v>
      </c>
    </row>
    <row r="40" spans="1:23">
      <c r="A40">
        <v>10.8010031290839</v>
      </c>
      <c r="B40" s="4">
        <f>C40*$L$10</f>
        <v>0.0484639483141125</v>
      </c>
      <c r="C40">
        <v>0.000815162013450173</v>
      </c>
      <c r="D40">
        <v>140</v>
      </c>
      <c r="E40" s="4">
        <f>1/(B40)^2</f>
        <v>425.75760516051</v>
      </c>
      <c r="F40" s="5">
        <f>E40*D40^2</f>
        <v>8344849.06114599</v>
      </c>
      <c r="G40" s="5">
        <f>D40*E40</f>
        <v>59606.0647224713</v>
      </c>
      <c r="H40" s="5">
        <f>A40*E40</f>
        <v>4598.60922556995</v>
      </c>
      <c r="I40" s="5">
        <f>E40*D40*A40</f>
        <v>643805.291579793</v>
      </c>
      <c r="R40" s="10">
        <f>(A22-$M$19*D22-$M$18)^2</f>
        <v>8.76876958175881e-06</v>
      </c>
      <c r="S40" s="10">
        <f>R40/B22^2</f>
        <v>0.00933667838363527</v>
      </c>
    </row>
    <row r="41" spans="1:23">
      <c r="A41">
        <v>10.7508568389439</v>
      </c>
      <c r="B41" s="4">
        <f>C41*$L$10</f>
        <v>0.0509562019235805</v>
      </c>
      <c r="C41">
        <v>0.000857081637025927</v>
      </c>
      <c r="D41">
        <v>150</v>
      </c>
      <c r="E41" s="4">
        <f>1/(B41)^2</f>
        <v>385.128714609648</v>
      </c>
      <c r="F41" s="5">
        <f>E41*D41^2</f>
        <v>8665396.07871708</v>
      </c>
      <c r="G41" s="5">
        <f>D41*E41</f>
        <v>57769.3071914472</v>
      </c>
      <c r="H41" s="5">
        <f>A41*E41</f>
        <v>4140.46367533479</v>
      </c>
      <c r="I41" s="5">
        <f>E41*D41*A41</f>
        <v>621069.551300219</v>
      </c>
      <c r="R41" s="10">
        <f>(A23-$M$19*D23-$M$18)^2</f>
        <v>4.93852553455276e-05</v>
      </c>
      <c r="S41" s="10">
        <f>R41/B23^2</f>
        <v>0.0518678588112226</v>
      </c>
    </row>
    <row r="42" spans="1:23">
      <c r="A42">
        <v>10.7039183983157</v>
      </c>
      <c r="B42" s="4">
        <f>C42*$L$10</f>
        <v>0.0534050290539749</v>
      </c>
      <c r="C42">
        <v>0.000898270828654839</v>
      </c>
      <c r="D42">
        <v>160</v>
      </c>
      <c r="E42" s="4">
        <f>1/(B42)^2</f>
        <v>350.6191952907</v>
      </c>
      <c r="F42" s="5">
        <f>E42*D42^2</f>
        <v>8975851.39944192</v>
      </c>
      <c r="G42" s="5">
        <f>D42*E42</f>
        <v>56099.071246512</v>
      </c>
      <c r="H42" s="5">
        <f>A42*E42</f>
        <v>3752.99925527479</v>
      </c>
      <c r="I42" s="5">
        <f>E42*D42*A42</f>
        <v>600479.880843966</v>
      </c>
      <c r="R42" s="10">
        <f>(A24-$M$19*D24-$M$18)^2</f>
        <v>5.64394844651443e-05</v>
      </c>
      <c r="S42" s="10">
        <f>R42/B24^2</f>
        <v>0.0580524869216808</v>
      </c>
    </row>
    <row r="43" spans="1:23">
      <c r="A43">
        <v>10.6485153549731</v>
      </c>
      <c r="B43" s="4">
        <f>C43*$L$10</f>
        <v>0.0564473283592096</v>
      </c>
      <c r="C43">
        <v>0.00094944220270591</v>
      </c>
      <c r="D43">
        <v>170</v>
      </c>
      <c r="E43" s="4">
        <f>1/(B43)^2</f>
        <v>313.843556528034</v>
      </c>
      <c r="F43" s="5">
        <f>E43*D43^2</f>
        <v>9070078.78366018</v>
      </c>
      <c r="G43" s="5">
        <f>D43*E43</f>
        <v>53353.4046097658</v>
      </c>
      <c r="H43" s="5">
        <f>A43*E43</f>
        <v>3341.96793074812</v>
      </c>
      <c r="I43" s="5">
        <f>E43*D43*A43</f>
        <v>568134.548227181</v>
      </c>
      <c r="R43" s="10">
        <f>(A25-$M$19*D25-$M$18)^2</f>
        <v>6.22166430950891e-05</v>
      </c>
      <c r="S43" s="10">
        <f>R43/B25^2</f>
        <v>0.0626593049834635</v>
      </c>
    </row>
    <row r="44" spans="1:23">
      <c r="A44">
        <v>10.6033620538455</v>
      </c>
      <c r="B44" s="4">
        <f>C44*$L$10</f>
        <v>0.0590545305133723</v>
      </c>
      <c r="C44">
        <v>0.000993295257015148</v>
      </c>
      <c r="D44">
        <v>180</v>
      </c>
      <c r="E44" s="4">
        <f>1/(B44)^2</f>
        <v>286.743483929559</v>
      </c>
      <c r="F44" s="5">
        <f>E44*D44^2</f>
        <v>9290488.8793177</v>
      </c>
      <c r="G44" s="5">
        <f>D44*E44</f>
        <v>51613.8271073206</v>
      </c>
      <c r="H44" s="5">
        <f>A44*E44</f>
        <v>3040.44497668614</v>
      </c>
      <c r="I44" s="5">
        <f>E44*D44*A44</f>
        <v>547280.095803505</v>
      </c>
      <c r="R44" s="10">
        <f>(A26-$M$19*D26-$M$18)^2</f>
        <v>6.6430852522708e-05</v>
      </c>
      <c r="S44" s="10">
        <f>R44/B26^2</f>
        <v>0.0654926294127039</v>
      </c>
    </row>
    <row r="45" spans="1:23">
      <c r="A45">
        <v>10.5558127385758</v>
      </c>
      <c r="B45" s="4">
        <f>C45*$L$10</f>
        <v>0.0619303631191016</v>
      </c>
      <c r="C45">
        <v>0.00104166666666667</v>
      </c>
      <c r="D45">
        <v>190</v>
      </c>
      <c r="E45" s="4">
        <f>1/(B45)^2</f>
        <v>260.731046108725</v>
      </c>
      <c r="F45" s="5">
        <f>E45*D45^2</f>
        <v>9412390.76452498</v>
      </c>
      <c r="G45" s="5">
        <f>D45*E45</f>
        <v>49538.8987606578</v>
      </c>
      <c r="H45" s="5">
        <f>A45*E45</f>
        <v>2752.22809785668</v>
      </c>
      <c r="I45" s="5">
        <f>E45*D45*A45</f>
        <v>522923.338592769</v>
      </c>
      <c r="R45" s="10">
        <f>(A27-$M$19*D27-$M$18)^2</f>
        <v>4.05938340059923e-05</v>
      </c>
      <c r="S45" s="10">
        <f>R45/B27^2</f>
        <v>0.0377594556536368</v>
      </c>
    </row>
    <row r="46" spans="1:23">
      <c r="A46">
        <v>10.506162829932</v>
      </c>
      <c r="B46" s="4">
        <f>C46*$L$10</f>
        <v>0.0650828118164614</v>
      </c>
      <c r="C46">
        <v>0.00109469074986316</v>
      </c>
      <c r="D46">
        <v>200</v>
      </c>
      <c r="E46" s="4">
        <f>1/(B46)^2</f>
        <v>236.084450956665</v>
      </c>
      <c r="F46" s="5">
        <f>E46*D46^2</f>
        <v>9443378.03826661</v>
      </c>
      <c r="G46" s="5">
        <f>D46*E46</f>
        <v>47216.890191333</v>
      </c>
      <c r="H46" s="5">
        <f>A46*E46</f>
        <v>2480.34168336582</v>
      </c>
      <c r="I46" s="5">
        <f>E46*D46*A46</f>
        <v>496068.336673164</v>
      </c>
      <c r="R46" s="10">
        <f>(A28-$M$19*D28-$M$18)^2</f>
        <v>5.91540454151682e-05</v>
      </c>
      <c r="S46" s="10">
        <f>R46/B28^2</f>
        <v>0.0522378063929939</v>
      </c>
    </row>
    <row r="47" spans="1:23">
      <c r="A47">
        <v>10.461387583688</v>
      </c>
      <c r="B47" s="4">
        <f>C47*$L$10</f>
        <v>0.068063135196723</v>
      </c>
      <c r="C47">
        <v>0.00114481969089868</v>
      </c>
      <c r="D47">
        <v>210</v>
      </c>
      <c r="E47" s="4">
        <f>1/(B47)^2</f>
        <v>215.861951850923</v>
      </c>
      <c r="F47" s="5">
        <f>E47*D47^2</f>
        <v>9519512.07662572</v>
      </c>
      <c r="G47" s="5">
        <f>D47*E47</f>
        <v>45331.0098886939</v>
      </c>
      <c r="H47" s="5">
        <f>A47*E47</f>
        <v>2258.21554288392</v>
      </c>
      <c r="I47" s="5">
        <f>E47*D47*A47</f>
        <v>474225.264005623</v>
      </c>
      <c r="R47" s="10">
        <f>(A29-$M$19*D29-$M$18)^2</f>
        <v>6.67931768926788e-05</v>
      </c>
      <c r="S47" s="10">
        <f>R47/B29^2</f>
        <v>0.0559035355569433</v>
      </c>
    </row>
    <row r="48" spans="1:23">
      <c r="A48">
        <v>10.4145131563048</v>
      </c>
      <c r="B48" s="4">
        <f>C48*$L$10</f>
        <v>0.0713295124107229</v>
      </c>
      <c r="C48">
        <v>0.0011997600479904</v>
      </c>
      <c r="D48">
        <v>220</v>
      </c>
      <c r="E48" s="4">
        <f>1/(B48)^2</f>
        <v>196.544768877504</v>
      </c>
      <c r="F48" s="5">
        <f>E48*D48^2</f>
        <v>9512766.81367117</v>
      </c>
      <c r="G48" s="5">
        <f>D48*E48</f>
        <v>43239.8491530508</v>
      </c>
      <c r="H48" s="5">
        <f>A48*E48</f>
        <v>2046.91808127764</v>
      </c>
      <c r="I48" s="5">
        <f>E48*D48*A48</f>
        <v>450321.977881082</v>
      </c>
      <c r="R48" s="10">
        <f>(A30-$M$19*D30-$M$18)^2</f>
        <v>6.26506090734959e-05</v>
      </c>
      <c r="S48" s="10">
        <f>R48/B30^2</f>
        <v>0.0496246259046377</v>
      </c>
    </row>
    <row r="49" spans="1:23">
      <c r="A49">
        <v>10.3567899900585</v>
      </c>
      <c r="B49" s="4">
        <f>C49*$L$10</f>
        <v>0.0755680312606769</v>
      </c>
      <c r="C49">
        <v>0.00127105179536066</v>
      </c>
      <c r="D49">
        <v>230</v>
      </c>
      <c r="E49" s="4">
        <f>1/(B49)^2</f>
        <v>175.115175701347</v>
      </c>
      <c r="F49" s="5">
        <f>E49*D49^2</f>
        <v>9263592.79460127</v>
      </c>
      <c r="G49" s="5">
        <f>D49*E49</f>
        <v>40276.4904113098</v>
      </c>
      <c r="H49" s="5">
        <f>A49*E49</f>
        <v>1813.63109881104</v>
      </c>
      <c r="I49" s="5">
        <f>E49*D49*A49</f>
        <v>417135.152726539</v>
      </c>
      <c r="R49" s="10">
        <f>(A31-$M$19*D31-$M$18)^2</f>
        <v>0.00012140112432711</v>
      </c>
      <c r="S49" s="10">
        <f>R49/B31^2</f>
        <v>0.0916174761184045</v>
      </c>
    </row>
    <row r="50" spans="1:23">
      <c r="A50">
        <v>10.2774619935529</v>
      </c>
      <c r="B50" s="4">
        <f>C50*$L$10</f>
        <v>0.0818068780107843</v>
      </c>
      <c r="C50">
        <v>0.00137598899208806</v>
      </c>
      <c r="D50">
        <v>245</v>
      </c>
      <c r="E50" s="4">
        <f>1/(B50)^2</f>
        <v>149.424001333798</v>
      </c>
      <c r="F50" s="5">
        <f>E50*D50^2</f>
        <v>8969175.68006123</v>
      </c>
      <c r="G50" s="5">
        <f>D50*E50</f>
        <v>36608.8803267805</v>
      </c>
      <c r="H50" s="5">
        <f>A50*E50</f>
        <v>1535.69949463271</v>
      </c>
      <c r="I50" s="5">
        <f>E50*D50*A50</f>
        <v>376246.376185014</v>
      </c>
      <c r="R50" s="10">
        <f>(A32-$M$19*D32-$M$18)^2</f>
        <v>0.000182823677925307</v>
      </c>
      <c r="S50" s="10">
        <f>R50/B32^2</f>
        <v>0.131295722352095</v>
      </c>
    </row>
    <row r="51" spans="1:23">
      <c r="A51">
        <v>10.2109722522841</v>
      </c>
      <c r="B51" s="4">
        <f>C51*$L$10</f>
        <v>0.0874311008740258</v>
      </c>
      <c r="C51">
        <v>0.00147058823529412</v>
      </c>
      <c r="D51">
        <v>260</v>
      </c>
      <c r="E51" s="4">
        <f>1/(B51)^2</f>
        <v>130.818181120524</v>
      </c>
      <c r="F51" s="5">
        <f>E51*D51^2</f>
        <v>8843309.04374739</v>
      </c>
      <c r="G51" s="5">
        <f>D51*E51</f>
        <v>34012.7270913361</v>
      </c>
      <c r="H51" s="5">
        <f>A51*E51</f>
        <v>1335.78081751594</v>
      </c>
      <c r="I51" s="5">
        <f>E51*D51*A51</f>
        <v>347303.012554144</v>
      </c>
      <c r="R51" s="10">
        <f>(A33-$M$19*D33-$M$18)^2</f>
        <v>0.000236967160708318</v>
      </c>
      <c r="S51" s="10">
        <f>R51/B33^2</f>
        <v>0.161741389801523</v>
      </c>
    </row>
    <row r="52" spans="1:23">
      <c r="A52">
        <v>10.1503476304677</v>
      </c>
      <c r="B52" s="4">
        <f>C52*$L$10</f>
        <v>0.0928955446786524</v>
      </c>
      <c r="C52">
        <v>0.0015625</v>
      </c>
      <c r="D52">
        <v>275</v>
      </c>
      <c r="E52" s="4">
        <f>1/(B52)^2</f>
        <v>115.880464937211</v>
      </c>
      <c r="F52" s="5">
        <f>E52*D52^2</f>
        <v>8763460.16087659</v>
      </c>
      <c r="G52" s="5">
        <f>D52*E52</f>
        <v>31867.1278577331</v>
      </c>
      <c r="H52" s="5">
        <f>A52*E52</f>
        <v>1176.22700269291</v>
      </c>
      <c r="I52" s="5">
        <f>E52*D52*A52</f>
        <v>323462.425740551</v>
      </c>
      <c r="R52" s="10">
        <f>(A34-$M$19*D34-$M$18)^2</f>
        <v>0.000443250490999704</v>
      </c>
      <c r="S52" s="10">
        <f>R52/B34^2</f>
        <v>0.28972547415672</v>
      </c>
    </row>
    <row r="53" spans="1:23">
      <c r="A53">
        <v>10.0749166681637</v>
      </c>
      <c r="B53" s="4">
        <f>C53*$L$10</f>
        <v>0.100173797126095</v>
      </c>
      <c r="C53">
        <v>0.0016849199663016</v>
      </c>
      <c r="D53">
        <v>290</v>
      </c>
      <c r="E53" s="4">
        <f>1/(B53)^2</f>
        <v>99.6533098157455</v>
      </c>
      <c r="F53" s="5">
        <f>E53*D53^2</f>
        <v>8380843.3555042</v>
      </c>
      <c r="G53" s="5">
        <f>D53*E53</f>
        <v>28899.4598465662</v>
      </c>
      <c r="H53" s="5">
        <f>A53*E53</f>
        <v>1003.99879210033</v>
      </c>
      <c r="I53" s="5">
        <f>E53*D53*A53</f>
        <v>291159.649709096</v>
      </c>
      <c r="R53" s="10">
        <f>(A35-$M$19*D35-$M$18)^2</f>
        <v>0.000688257490435166</v>
      </c>
      <c r="S53" s="10">
        <f>R53/B35^2</f>
        <v>0.430404815784838</v>
      </c>
    </row>
    <row r="54" spans="1:23">
      <c r="A54">
        <v>10.0168162378431</v>
      </c>
      <c r="B54" s="4">
        <f>C54*$L$10</f>
        <v>0.106166336775603</v>
      </c>
      <c r="C54">
        <v>0.00178571428571429</v>
      </c>
      <c r="D54">
        <v>305</v>
      </c>
      <c r="E54" s="4">
        <f>1/(B54)^2</f>
        <v>88.7209809675523</v>
      </c>
      <c r="F54" s="5">
        <f>E54*D54^2</f>
        <v>8253269.25450655</v>
      </c>
      <c r="G54" s="5">
        <f>D54*E54</f>
        <v>27059.8991951035</v>
      </c>
      <c r="H54" s="5">
        <f>A54*E54</f>
        <v>888.701762793149</v>
      </c>
      <c r="I54" s="5">
        <f>E54*D54*A54</f>
        <v>271054.037651911</v>
      </c>
      <c r="R54" s="10">
        <f>(A36-$M$19*D36-$M$18)^2</f>
        <v>0.000689626790748515</v>
      </c>
      <c r="S54" s="10">
        <f>R54/B36^2</f>
        <v>0.408367703509959</v>
      </c>
    </row>
    <row r="55" spans="1:23">
      <c r="A55">
        <v>9.94270826568941</v>
      </c>
      <c r="B55" s="4">
        <f>C55*$L$10</f>
        <v>0.114332978066034</v>
      </c>
      <c r="C55">
        <v>0.00192307692307692</v>
      </c>
      <c r="D55">
        <v>320</v>
      </c>
      <c r="E55" s="4">
        <f>1/(B55)^2</f>
        <v>76.4992131812058</v>
      </c>
      <c r="F55" s="5">
        <f>E55*D55^2</f>
        <v>7833519.42975547</v>
      </c>
      <c r="G55" s="5">
        <f>D55*E55</f>
        <v>24479.7482179859</v>
      </c>
      <c r="H55" s="5">
        <f>A55*E55</f>
        <v>760.609359215511</v>
      </c>
      <c r="I55" s="5">
        <f>E55*D55*A55</f>
        <v>243394.994948964</v>
      </c>
      <c r="R55" s="10">
        <f>(A37-$M$19*D37-$M$18)^2</f>
        <v>0.00186435150106396</v>
      </c>
      <c r="S55" s="10">
        <f>R55/B37^2</f>
        <v>1.02384963841534</v>
      </c>
    </row>
    <row r="56" spans="1:23">
      <c r="A56">
        <v>9.86266555801587</v>
      </c>
      <c r="B56" s="4">
        <f>C56*$L$10</f>
        <v>0.123860726238203</v>
      </c>
      <c r="C56">
        <v>0.00208333333333333</v>
      </c>
      <c r="D56">
        <v>340</v>
      </c>
      <c r="E56" s="4">
        <f>1/(B56)^2</f>
        <v>65.1827615271813</v>
      </c>
      <c r="F56" s="5">
        <f>E56*D56^2</f>
        <v>7535127.23254216</v>
      </c>
      <c r="G56" s="5">
        <f>D56*E56</f>
        <v>22162.1389192416</v>
      </c>
      <c r="H56" s="5">
        <f>A56*E56</f>
        <v>642.875777090493</v>
      </c>
      <c r="I56" s="5">
        <f>E56*D56*A56</f>
        <v>218577.764210768</v>
      </c>
      <c r="R56" s="10">
        <f>(A38-$M$19*D38-$M$18)^2</f>
        <v>0.00238820230044655</v>
      </c>
      <c r="S56" s="10">
        <f>R56/B38^2</f>
        <v>1.18932236555642</v>
      </c>
    </row>
    <row r="57" spans="1:23">
      <c r="A57">
        <v>9.77565418102624</v>
      </c>
      <c r="B57" s="4">
        <f>C57*$L$10</f>
        <v>0.135120792259858</v>
      </c>
      <c r="C57">
        <v>0.00227272727272727</v>
      </c>
      <c r="D57">
        <v>360</v>
      </c>
      <c r="E57" s="4">
        <f>1/(B57)^2</f>
        <v>54.7716260054787</v>
      </c>
      <c r="F57" s="5">
        <f>E57*D57^2</f>
        <v>7098402.73031004</v>
      </c>
      <c r="G57" s="5">
        <f>D57*E57</f>
        <v>19717.7853619723</v>
      </c>
      <c r="H57" s="5">
        <f>A57*E57</f>
        <v>535.428474762064</v>
      </c>
      <c r="I57" s="5">
        <f>E57*D57*A57</f>
        <v>192754.250914343</v>
      </c>
      <c r="R57" s="10">
        <f>(A39-$M$19*D39-$M$18)^2</f>
        <v>0.00388222274380598</v>
      </c>
      <c r="S57" s="10">
        <f>R57/B39^2</f>
        <v>1.7805660986372</v>
      </c>
    </row>
    <row r="58" spans="1:23">
      <c r="A58">
        <v>9.71353696857768</v>
      </c>
      <c r="B58" s="4">
        <f>C58*$L$10</f>
        <v>0.143780286806137</v>
      </c>
      <c r="C58">
        <v>0.00241837968561064</v>
      </c>
      <c r="D58">
        <v>380</v>
      </c>
      <c r="E58" s="4">
        <f>1/(B58)^2</f>
        <v>48.3728091455334</v>
      </c>
      <c r="F58" s="5">
        <f>E58*D58^2</f>
        <v>6985033.64061502</v>
      </c>
      <c r="G58" s="5">
        <f>D58*E58</f>
        <v>18381.6674753027</v>
      </c>
      <c r="H58" s="5">
        <f>A58*E58</f>
        <v>469.871069909091</v>
      </c>
      <c r="I58" s="5">
        <f>E58*D58*A58</f>
        <v>178551.006565455</v>
      </c>
      <c r="R58" s="10">
        <f>(A40-$M$19*D40-$M$18)^2</f>
        <v>0.00635226523133663</v>
      </c>
      <c r="S58" s="10">
        <f>R58/B40^2</f>
        <v>2.70452523223825</v>
      </c>
    </row>
    <row r="59" spans="1:23">
      <c r="A59">
        <v>9.62905070683437</v>
      </c>
      <c r="B59" s="4">
        <f>C59*$L$10</f>
        <v>0.156455654195625</v>
      </c>
      <c r="C59">
        <v>0.00263157894736842</v>
      </c>
      <c r="D59">
        <v>400</v>
      </c>
      <c r="E59" s="4">
        <f>1/(B59)^2</f>
        <v>40.8523904710285</v>
      </c>
      <c r="F59" s="5">
        <f>E59*D59^2</f>
        <v>6536382.47536457</v>
      </c>
      <c r="G59" s="5">
        <f>D59*E59</f>
        <v>16340.9561884114</v>
      </c>
      <c r="H59" s="5">
        <f>A59*E59</f>
        <v>393.369739340931</v>
      </c>
      <c r="I59" s="5">
        <f>E59*D59*A59</f>
        <v>157347.895736372</v>
      </c>
      <c r="R59" s="10">
        <f>(A41-$M$19*D41-$M$18)^2</f>
        <v>0.00708167924333749</v>
      </c>
      <c r="S59" s="10">
        <f>R59/B41^2</f>
        <v>2.72735802426439</v>
      </c>
    </row>
    <row r="60" spans="1:23">
      <c r="A60">
        <v>9.55676293945056</v>
      </c>
      <c r="B60" s="4">
        <f>C60*$L$10</f>
        <v>0.168184295882143</v>
      </c>
      <c r="C60">
        <v>0.00282885431400283</v>
      </c>
      <c r="D60">
        <v>420</v>
      </c>
      <c r="E60" s="4">
        <f>1/(B60)^2</f>
        <v>35.3532315175782</v>
      </c>
      <c r="F60" s="5">
        <f>E60*D60^2</f>
        <v>6236310.03970079</v>
      </c>
      <c r="G60" s="5">
        <f>D60*E60</f>
        <v>14848.3572373828</v>
      </c>
      <c r="H60" s="5">
        <f>A60*E60</f>
        <v>337.862452757007</v>
      </c>
      <c r="I60" s="5">
        <f>E60*D60*A60</f>
        <v>141902.230157943</v>
      </c>
      <c r="R60" s="10">
        <f>(A42-$M$19*D42-$M$18)^2</f>
        <v>0.00842947600010078</v>
      </c>
      <c r="S60" s="10">
        <f>R60/B42^2</f>
        <v>2.95553609187761</v>
      </c>
    </row>
    <row r="61" spans="1:23">
      <c r="B61" s="4"/>
      <c r="E61" s="4"/>
      <c r="F61" s="5"/>
      <c r="G61" s="5"/>
      <c r="H61" s="5"/>
      <c r="I61" s="5"/>
      <c r="R61" s="10">
        <f>(A43-$M$19*D43-$M$18)^2</f>
        <v>0.00828228117469217</v>
      </c>
      <c r="S61" s="10">
        <f>R61/B43^2</f>
        <v>2.59934058003057</v>
      </c>
    </row>
    <row r="62" spans="1:23">
      <c r="B62" s="4"/>
      <c r="E62" s="4"/>
      <c r="F62" s="5"/>
      <c r="G62" s="5"/>
      <c r="H62" s="5"/>
      <c r="I62" s="5"/>
      <c r="R62" s="10">
        <f>(A44-$M$19*D44-$M$18)^2</f>
        <v>0.0100905325153709</v>
      </c>
      <c r="S62" s="10">
        <f>R62/B44^2</f>
        <v>2.89339444816194</v>
      </c>
    </row>
    <row r="63" spans="1:23">
      <c r="B63" s="4"/>
      <c r="E63" s="4"/>
      <c r="F63" s="5"/>
      <c r="G63" s="5"/>
      <c r="H63" s="5"/>
      <c r="I63" s="5"/>
      <c r="R63" s="10">
        <f>(A45-$M$19*D45-$M$18)^2</f>
        <v>0.011556299891111</v>
      </c>
      <c r="S63" s="10">
        <f>R63/B45^2</f>
        <v>3.01308615975552</v>
      </c>
    </row>
    <row r="64" spans="1:23">
      <c r="B64" s="4"/>
      <c r="E64" s="4"/>
      <c r="F64" s="5"/>
      <c r="G64" s="5"/>
      <c r="H64" s="5"/>
      <c r="I64" s="5"/>
      <c r="R64" s="10">
        <f>(A46-$M$19*D46-$M$18)^2</f>
        <v>0.0126446039932437</v>
      </c>
      <c r="S64" s="10">
        <f>R64/B46^2</f>
        <v>2.98519439130939</v>
      </c>
    </row>
    <row r="65" spans="1:23">
      <c r="B65" s="4"/>
      <c r="E65" s="4"/>
      <c r="F65" s="5"/>
      <c r="G65" s="5"/>
      <c r="H65" s="5"/>
      <c r="I65" s="5"/>
      <c r="R65" s="10">
        <f>(A47-$M$19*D47-$M$18)^2</f>
        <v>0.0149501696764955</v>
      </c>
      <c r="S65" s="10">
        <f>R65/B47^2</f>
        <v>3.2271728068708</v>
      </c>
    </row>
    <row r="66" spans="1:23">
      <c r="B66" s="4"/>
      <c r="E66" s="4"/>
      <c r="F66" s="5"/>
      <c r="G66" s="5"/>
      <c r="H66" s="5"/>
      <c r="I66" s="5"/>
      <c r="R66" s="10">
        <f>(A48-$M$19*D48-$M$18)^2</f>
        <v>0.0168985346014897</v>
      </c>
      <c r="S66" s="10">
        <f>R66/B48^2</f>
        <v>3.32131857761829</v>
      </c>
    </row>
    <row r="67" spans="1:23">
      <c r="B67" s="4"/>
      <c r="E67" s="4"/>
      <c r="F67" s="5"/>
      <c r="G67" s="5"/>
      <c r="H67" s="5"/>
      <c r="I67" s="5"/>
      <c r="R67" s="10">
        <f>(A49-$M$19*D49-$M$18)^2</f>
        <v>0.0160957690760683</v>
      </c>
      <c r="S67" s="10">
        <f>R67/B49^2</f>
        <v>2.81861342980401</v>
      </c>
    </row>
    <row r="68" spans="1:23">
      <c r="B68" s="4"/>
      <c r="E68" s="4"/>
      <c r="F68" s="5"/>
      <c r="G68" s="5"/>
      <c r="H68" s="5"/>
      <c r="I68" s="5"/>
      <c r="R68" s="10">
        <f>(A50-$M$19*D50-$M$18)^2</f>
        <v>0.0167541861626237</v>
      </c>
      <c r="S68" s="10">
        <f>R68/B50^2</f>
        <v>2.50347753551058</v>
      </c>
    </row>
    <row r="69" spans="1:23">
      <c r="B69" s="4"/>
      <c r="E69" s="4"/>
      <c r="F69" s="5"/>
      <c r="G69" s="5"/>
      <c r="H69" s="5"/>
      <c r="I69" s="5"/>
      <c r="R69" s="10">
        <f>(A51-$M$19*D51-$M$18)^2</f>
        <v>0.0209800967100734</v>
      </c>
      <c r="S69" s="10">
        <f>R69/B51^2</f>
        <v>2.74457809134448</v>
      </c>
    </row>
    <row r="70" spans="1:23">
      <c r="B70" s="4"/>
      <c r="E70" s="4"/>
      <c r="F70" s="5"/>
      <c r="G70" s="5"/>
      <c r="H70" s="5"/>
      <c r="I70" s="5"/>
      <c r="R70" s="10">
        <f>(A52-$M$19*D52-$M$18)^2</f>
        <v>0.0275949618332598</v>
      </c>
      <c r="S70" s="10">
        <f>R70/B52^2</f>
        <v>3.19771700716274</v>
      </c>
    </row>
    <row r="71" spans="1:23">
      <c r="B71" s="4"/>
      <c r="E71" s="4"/>
      <c r="F71" s="5"/>
      <c r="G71" s="5"/>
      <c r="H71" s="5"/>
      <c r="I71" s="5"/>
      <c r="R71" s="10">
        <f>(A53-$M$19*D53-$M$18)^2</f>
        <v>0.0297849637308433</v>
      </c>
      <c r="S71" s="10">
        <f>R71/B53^2</f>
        <v>2.96817021852047</v>
      </c>
    </row>
    <row r="72" spans="1:23">
      <c r="B72" s="4"/>
      <c r="E72" s="4"/>
      <c r="F72" s="5"/>
      <c r="G72" s="5"/>
      <c r="H72" s="5"/>
      <c r="I72" s="5"/>
      <c r="R72" s="10">
        <f>(A54-$M$19*D54-$M$18)^2</f>
        <v>0.0385649609606774</v>
      </c>
      <c r="S72" s="10">
        <f>R72/B54^2</f>
        <v>3.42152116740666</v>
      </c>
    </row>
    <row r="73" spans="1:23">
      <c r="B73" s="4"/>
      <c r="E73" s="4"/>
      <c r="F73" s="5"/>
      <c r="G73" s="5"/>
      <c r="H73" s="5"/>
      <c r="I73" s="5"/>
      <c r="R73" s="10">
        <f>(A55-$M$19*D55-$M$18)^2</f>
        <v>0.0416847844005595</v>
      </c>
      <c r="S73" s="10">
        <f>R73/B55^2</f>
        <v>3.18885320827101</v>
      </c>
    </row>
    <row r="74" spans="1:23">
      <c r="B74" s="4"/>
      <c r="E74" s="4"/>
      <c r="F74" s="5"/>
      <c r="G74" s="5"/>
      <c r="H74" s="5"/>
      <c r="I74" s="5"/>
      <c r="R74" s="10">
        <f>(A56-$M$19*D56-$M$18)^2</f>
        <v>0.0544389789371336</v>
      </c>
      <c r="S74" s="10">
        <f>R74/B56^2</f>
        <v>3.54848298184243</v>
      </c>
    </row>
    <row r="75" spans="1:23">
      <c r="B75" s="4"/>
      <c r="E75" s="4"/>
      <c r="F75" s="5"/>
      <c r="G75" s="5"/>
      <c r="H75" s="5"/>
      <c r="I75" s="5"/>
      <c r="R75" s="10">
        <f>(A57-$M$19*D57-$M$18)^2</f>
        <v>0.0652833433996309</v>
      </c>
      <c r="S75" s="10">
        <f>R75/B57^2</f>
        <v>3.57567486907182</v>
      </c>
    </row>
    <row r="76" spans="1:23">
      <c r="B76" s="4"/>
      <c r="E76" s="4"/>
      <c r="F76" s="5"/>
      <c r="G76" s="5"/>
      <c r="H76" s="5"/>
      <c r="I76" s="5"/>
      <c r="R76" s="10">
        <f>(A58-$M$19*D58-$M$18)^2</f>
        <v>0.0915574706570205</v>
      </c>
      <c r="S76" s="10">
        <f>R76/B58^2</f>
        <v>4.42889205393983</v>
      </c>
    </row>
    <row r="77" spans="1:23">
      <c r="B77" s="4"/>
      <c r="E77" s="4"/>
      <c r="F77" s="5"/>
      <c r="G77" s="5"/>
      <c r="H77" s="5"/>
      <c r="I77" s="5"/>
      <c r="R77" s="10">
        <f>(A59-$M$19*D59-$M$18)^2</f>
        <v>0.107121492015084</v>
      </c>
      <c r="S77" s="10">
        <f>R77/B59^2</f>
        <v>4.37616901963936</v>
      </c>
    </row>
    <row r="78" spans="1:23">
      <c r="R78" s="10">
        <f>(A60-$M$19*D60-$M$18)^2</f>
        <v>0.132643271526945</v>
      </c>
      <c r="S78" s="10">
        <f>R78/B60^2</f>
        <v>4.68936828754106</v>
      </c>
    </row>
    <row r="79" spans="1:23">
      <c r="R79" s="10"/>
      <c r="S79" s="10"/>
    </row>
    <row r="80" spans="1:23">
      <c r="R80" s="10"/>
      <c r="S80" s="10"/>
    </row>
    <row r="81" spans="1:23">
      <c r="R81" s="10"/>
      <c r="S81" s="10"/>
    </row>
    <row r="82" spans="1:23">
      <c r="R82" s="10"/>
      <c r="S82" s="10"/>
    </row>
    <row r="83" spans="1:23">
      <c r="R83" s="10"/>
      <c r="S83" s="10"/>
    </row>
    <row r="84" spans="1:23">
      <c r="R84" s="10"/>
      <c r="S84" s="10"/>
    </row>
    <row r="85" spans="1:23">
      <c r="R85" s="10"/>
      <c r="S85" s="10"/>
    </row>
    <row r="86" spans="1:23">
      <c r="R86" s="10"/>
      <c r="S86" s="10"/>
    </row>
    <row r="87" spans="1:23">
      <c r="R87" s="10"/>
      <c r="S87" s="10"/>
    </row>
    <row r="88" spans="1:23">
      <c r="R88" s="10"/>
      <c r="S88" s="10"/>
    </row>
    <row r="89" spans="1:23">
      <c r="R89" s="10"/>
      <c r="S89" s="10"/>
    </row>
    <row r="90" spans="1:23">
      <c r="R90" s="10"/>
      <c r="S90" s="10"/>
    </row>
    <row r="91" spans="1:23">
      <c r="R91" s="10"/>
      <c r="S91" s="10"/>
    </row>
    <row r="92" spans="1:23">
      <c r="R92" s="10"/>
      <c r="S92" s="10"/>
    </row>
    <row r="93" spans="1:23">
      <c r="R93" s="10"/>
      <c r="S93" s="10"/>
    </row>
    <row r="94" spans="1:23">
      <c r="R94" s="10"/>
      <c r="S94" s="10"/>
    </row>
    <row r="95" spans="1:23">
      <c r="R95" s="10"/>
      <c r="S95" s="10"/>
    </row>
    <row r="96" spans="1:23">
      <c r="R96" s="10"/>
    </row>
    <row r="97" spans="1:23">
      <c r="R97" s="10"/>
    </row>
    <row r="98" spans="1:23">
      <c r="R98" s="10"/>
    </row>
    <row r="99" spans="1:23">
      <c r="R99" s="10"/>
    </row>
    <row r="100" spans="1:23">
      <c r="R100" s="10"/>
    </row>
    <row r="101" spans="1:23">
      <c r="R101" s="10"/>
    </row>
    <row r="102" spans="1:23">
      <c r="R102" s="10"/>
    </row>
    <row r="103" spans="1:23">
      <c r="R103" s="10"/>
    </row>
    <row r="104" spans="1:23">
      <c r="R104" s="10"/>
    </row>
    <row r="105" spans="1:23">
      <c r="R105" s="10"/>
    </row>
    <row r="106" spans="1:23">
      <c r="R106" s="10"/>
    </row>
    <row r="107" spans="1:23">
      <c r="R107" s="10"/>
    </row>
    <row r="108" spans="1:23">
      <c r="R108" s="10"/>
    </row>
    <row r="109" spans="1:23">
      <c r="R109" s="10"/>
    </row>
    <row r="110" spans="1:23">
      <c r="R110" s="10"/>
    </row>
    <row r="111" spans="1:23">
      <c r="R111" s="10"/>
    </row>
    <row r="112" spans="1:23">
      <c r="R112" s="1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D6"/>
  <sheetViews>
    <sheetView workbookViewId="0">
      <selection activeCell="D5" sqref="D5:D6"/>
    </sheetView>
  </sheetViews>
  <sheetFormatPr defaultRowHeight="15"/>
  <cols>
    <col min="1" max="4" style="12" width="9.142308"/>
    <col min="5" max="16384" style="12"/>
  </cols>
  <sheetData>
    <row r="1" spans="1:4">
      <c r="A1">
        <v>49.1</v>
      </c>
      <c r="B1">
        <v>46.3</v>
      </c>
      <c r="C1">
        <f>1/A1+1/B1</f>
        <v>0.041964870916233</v>
      </c>
      <c r="D1">
        <f>1/C1</f>
        <v>23.8294549266247</v>
      </c>
    </row>
    <row r="2" spans="1:4">
      <c r="A2">
        <v>49.1</v>
      </c>
      <c r="B2">
        <v>47.4</v>
      </c>
      <c r="C2">
        <f>1/A2+1/B2</f>
        <v>0.0414636451915062</v>
      </c>
      <c r="D2">
        <f>1/C2</f>
        <v>24.1175129533679</v>
      </c>
    </row>
    <row r="3" spans="1:4">
      <c r="A3">
        <v>49.1</v>
      </c>
      <c r="B3">
        <v>47.4</v>
      </c>
    </row>
    <row r="5" spans="1:4">
      <c r="A5">
        <v>47.3</v>
      </c>
      <c r="B5">
        <v>48.8</v>
      </c>
      <c r="C5">
        <f>1/A5+1/B5</f>
        <v>0.0416334523273143</v>
      </c>
      <c r="D5">
        <f>1/C5</f>
        <v>24.0191467221644</v>
      </c>
    </row>
    <row r="6" spans="1:4">
      <c r="A6">
        <v>47.3</v>
      </c>
      <c r="B6">
        <v>49.7</v>
      </c>
      <c r="C6">
        <f>1/A6+1/B6</f>
        <v>0.0412623733947022</v>
      </c>
      <c r="D6">
        <f>1/C6</f>
        <v>24.2351546391753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1"/>
  <sheetViews>
    <sheetView workbookViewId="0">
      <selection activeCell="A1" sqref="A1"/>
    </sheetView>
  </sheetViews>
  <sheetFormatPr defaultRowHeight="15"/>
  <cols>
    <col min="1" max="16384" style="1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1.1206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2013-11-17T20:58:12Z</dcterms:modified>
  <dcterms:created xsi:type="dcterms:W3CDTF">2006-09-25T09:17:32Z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