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sualización de datos\"/>
    </mc:Choice>
  </mc:AlternateContent>
  <xr:revisionPtr revIDLastSave="0" documentId="8_{216DC91F-0245-419B-B461-E150EADA96F2}" xr6:coauthVersionLast="44" xr6:coauthVersionMax="44" xr10:uidLastSave="{00000000-0000-0000-0000-000000000000}"/>
  <bookViews>
    <workbookView xWindow="-120" yWindow="-120" windowWidth="29040" windowHeight="15840" xr2:uid="{E0E3B2E8-2237-4A01-B2B4-7A01A310D4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4" i="1" l="1"/>
  <c r="O73" i="1"/>
  <c r="O72" i="1"/>
  <c r="O71" i="1"/>
  <c r="O70" i="1"/>
  <c r="O69" i="1"/>
  <c r="O68" i="1"/>
  <c r="O65" i="1"/>
  <c r="O64" i="1"/>
  <c r="O62" i="1"/>
  <c r="O63" i="1"/>
  <c r="O61" i="1"/>
  <c r="O60" i="1"/>
  <c r="O59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G74" i="1"/>
  <c r="G73" i="1"/>
  <c r="G72" i="1"/>
  <c r="G71" i="1"/>
  <c r="G70" i="1"/>
  <c r="G69" i="1"/>
  <c r="G68" i="1"/>
  <c r="G65" i="1"/>
  <c r="G64" i="1"/>
  <c r="G63" i="1"/>
  <c r="G62" i="1"/>
  <c r="G61" i="1"/>
  <c r="G60" i="1"/>
  <c r="G59" i="1"/>
  <c r="C74" i="1"/>
  <c r="C73" i="1"/>
  <c r="C72" i="1"/>
  <c r="C71" i="1"/>
  <c r="C70" i="1"/>
  <c r="C68" i="1"/>
  <c r="C69" i="1"/>
  <c r="C65" i="1"/>
  <c r="C64" i="1"/>
  <c r="C63" i="1"/>
  <c r="C62" i="1"/>
  <c r="C61" i="1"/>
  <c r="C59" i="1"/>
  <c r="C60" i="1"/>
  <c r="N74" i="1"/>
  <c r="N73" i="1"/>
  <c r="N72" i="1"/>
  <c r="N71" i="1"/>
  <c r="N70" i="1"/>
  <c r="N69" i="1"/>
  <c r="N68" i="1"/>
  <c r="N65" i="1"/>
  <c r="N64" i="1"/>
  <c r="N63" i="1"/>
  <c r="N62" i="1"/>
  <c r="N61" i="1"/>
  <c r="N60" i="1"/>
  <c r="N59" i="1"/>
  <c r="J74" i="1"/>
  <c r="J73" i="1"/>
  <c r="J72" i="1"/>
  <c r="J71" i="1"/>
  <c r="J70" i="1"/>
  <c r="J69" i="1"/>
  <c r="J68" i="1"/>
  <c r="J65" i="1"/>
  <c r="J64" i="1"/>
  <c r="J63" i="1"/>
  <c r="J62" i="1"/>
  <c r="J61" i="1"/>
  <c r="J60" i="1"/>
  <c r="J59" i="1"/>
  <c r="F74" i="1"/>
  <c r="F73" i="1"/>
  <c r="F72" i="1"/>
  <c r="F71" i="1"/>
  <c r="F70" i="1"/>
  <c r="F69" i="1"/>
  <c r="F68" i="1"/>
  <c r="F65" i="1"/>
  <c r="F64" i="1"/>
  <c r="F63" i="1"/>
  <c r="F62" i="1"/>
  <c r="F61" i="1"/>
  <c r="F60" i="1"/>
  <c r="F59" i="1"/>
  <c r="B74" i="1"/>
  <c r="B73" i="1"/>
  <c r="B72" i="1"/>
  <c r="B71" i="1"/>
  <c r="B70" i="1"/>
  <c r="B69" i="1"/>
  <c r="B68" i="1"/>
  <c r="B65" i="1"/>
  <c r="B64" i="1"/>
  <c r="B63" i="1"/>
  <c r="B62" i="1"/>
  <c r="B61" i="1"/>
  <c r="B60" i="1"/>
  <c r="B59" i="1"/>
  <c r="B41" i="1"/>
  <c r="C41" i="1"/>
  <c r="B42" i="1"/>
  <c r="C42" i="1"/>
  <c r="B43" i="1"/>
  <c r="B44" i="1"/>
  <c r="C44" i="1"/>
  <c r="B45" i="1"/>
  <c r="C45" i="1"/>
  <c r="B46" i="1"/>
  <c r="C46" i="1"/>
  <c r="B47" i="1"/>
  <c r="C47" i="1"/>
  <c r="F41" i="1"/>
  <c r="G41" i="1"/>
  <c r="F42" i="1"/>
  <c r="G42" i="1"/>
  <c r="F43" i="1"/>
  <c r="F44" i="1"/>
  <c r="G44" i="1"/>
  <c r="F45" i="1"/>
  <c r="G45" i="1"/>
  <c r="F46" i="1"/>
  <c r="G46" i="1"/>
  <c r="F47" i="1"/>
  <c r="G47" i="1"/>
  <c r="J41" i="1"/>
  <c r="K41" i="1"/>
  <c r="J42" i="1"/>
  <c r="K42" i="1"/>
  <c r="J43" i="1"/>
  <c r="J44" i="1"/>
  <c r="K44" i="1"/>
  <c r="J45" i="1"/>
  <c r="K45" i="1"/>
  <c r="J46" i="1"/>
  <c r="K46" i="1"/>
  <c r="J47" i="1"/>
  <c r="K47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B50" i="1"/>
  <c r="C50" i="1"/>
  <c r="B51" i="1"/>
  <c r="C51" i="1"/>
  <c r="B52" i="1"/>
  <c r="B53" i="1"/>
  <c r="C53" i="1"/>
  <c r="B54" i="1"/>
  <c r="C54" i="1"/>
  <c r="B55" i="1"/>
  <c r="C55" i="1"/>
  <c r="B56" i="1"/>
  <c r="C56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</calcChain>
</file>

<file path=xl/sharedStrings.xml><?xml version="1.0" encoding="utf-8"?>
<sst xmlns="http://schemas.openxmlformats.org/spreadsheetml/2006/main" count="200" uniqueCount="26">
  <si>
    <t>Cuadro 7</t>
  </si>
  <si>
    <t>Costa Rica: Población total por condición y tipo de discapacidad, según sexo y grupos de edad</t>
  </si>
  <si>
    <t>Sexo y grupos de edad</t>
  </si>
  <si>
    <t>Población total</t>
  </si>
  <si>
    <t>Población con discapacidad1/</t>
  </si>
  <si>
    <t>No tiene ninguna discapacidad</t>
  </si>
  <si>
    <t>Para ver aún con los anteojos o lentes puestos</t>
  </si>
  <si>
    <t xml:space="preserve">Para oir </t>
  </si>
  <si>
    <t>Para hablar</t>
  </si>
  <si>
    <t>Para caminar o subir gradas</t>
  </si>
  <si>
    <t>Para utilizar brazos o manos</t>
  </si>
  <si>
    <t>Del tipo intelectual</t>
  </si>
  <si>
    <t>Del tipo mental</t>
  </si>
  <si>
    <t>Costa Rica</t>
  </si>
  <si>
    <t>De 0 a 14 años</t>
  </si>
  <si>
    <t>De 15 a 29 años</t>
  </si>
  <si>
    <t>De 30 a 59 años</t>
  </si>
  <si>
    <t>De 60 a 64 años</t>
  </si>
  <si>
    <t>De 65 a 74 años</t>
  </si>
  <si>
    <t>De 75 a 89 años</t>
  </si>
  <si>
    <t>De 90 años y más</t>
  </si>
  <si>
    <t>Hombres</t>
  </si>
  <si>
    <t>Mujeres</t>
  </si>
  <si>
    <t>% Grosor</t>
  </si>
  <si>
    <t>30.0</t>
  </si>
  <si>
    <t>Población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</si>
</sst>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#\ ###\ 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5" fillId="2" borderId="15" xfId="0" applyNumberFormat="1" applyFont="1" applyFill="1" applyBorder="1" applyAlignment="1" applyProtection="1">
      <alignment horizontal="center" vertical="center" wrapText="1" readingOrder="1"/>
      <protection locked="0"/>
    </xf>
    <xf numFmtId="9" fontId="0" fillId="2" borderId="16" xfId="1" applyFont="1" applyFill="1" applyBorder="1" applyAlignment="1">
      <alignment horizontal="center" vertical="center"/>
    </xf>
    <xf numFmtId="0" fontId="0" fillId="2" borderId="16" xfId="0" applyFill="1" applyBorder="1"/>
    <xf numFmtId="0" fontId="9" fillId="2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 readingOrder="1"/>
      <protection locked="0"/>
    </xf>
    <xf numFmtId="0" fontId="10" fillId="2" borderId="16" xfId="0" applyFont="1" applyFill="1" applyBorder="1" applyAlignment="1">
      <alignment horizontal="center" vertical="center"/>
    </xf>
    <xf numFmtId="0" fontId="0" fillId="2" borderId="0" xfId="0" applyFill="1"/>
    <xf numFmtId="9" fontId="0" fillId="2" borderId="16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2" borderId="17" xfId="0" applyFont="1" applyFill="1" applyBorder="1" applyAlignment="1" applyProtection="1">
      <alignment horizontal="center" vertical="center" wrapText="1" readingOrder="1"/>
      <protection locked="0"/>
    </xf>
    <xf numFmtId="0" fontId="5" fillId="2" borderId="17" xfId="0" applyFont="1" applyFill="1" applyBorder="1" applyAlignment="1" applyProtection="1">
      <alignment horizontal="center" vertical="center" wrapText="1" readingOrder="1"/>
      <protection locked="0"/>
    </xf>
    <xf numFmtId="0" fontId="2" fillId="2" borderId="4" xfId="0" applyFont="1" applyFill="1" applyBorder="1" applyAlignment="1" applyProtection="1">
      <alignment horizontal="center" vertical="center" wrapText="1" readingOrder="1"/>
      <protection locked="0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0" fillId="2" borderId="17" xfId="1" applyFont="1" applyFill="1" applyBorder="1" applyAlignment="1">
      <alignment horizontal="center" vertical="center"/>
    </xf>
    <xf numFmtId="164" fontId="5" fillId="2" borderId="17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 applyProtection="1">
      <alignment horizontal="center" vertical="center" wrapText="1" readingOrder="1"/>
      <protection locked="0"/>
    </xf>
    <xf numFmtId="0" fontId="5" fillId="2" borderId="10" xfId="0" applyFont="1" applyFill="1" applyBorder="1" applyAlignment="1" applyProtection="1">
      <alignment horizontal="center" vertical="center" wrapText="1" readingOrder="1"/>
      <protection locked="0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 readingOrder="1"/>
      <protection locked="0"/>
    </xf>
    <xf numFmtId="0" fontId="5" fillId="2" borderId="11" xfId="0" applyFont="1" applyFill="1" applyBorder="1" applyAlignment="1" applyProtection="1">
      <alignment horizontal="center" vertical="center" wrapText="1" readingOrder="1"/>
      <protection locked="0"/>
    </xf>
    <xf numFmtId="0" fontId="7" fillId="2" borderId="12" xfId="0" applyFont="1" applyFill="1" applyBorder="1" applyAlignment="1" applyProtection="1">
      <alignment horizontal="center" vertical="center" wrapText="1" readingOrder="1"/>
      <protection locked="0"/>
    </xf>
    <xf numFmtId="0" fontId="7" fillId="2" borderId="13" xfId="0" applyFont="1" applyFill="1" applyBorder="1" applyAlignment="1" applyProtection="1">
      <alignment horizontal="center" vertical="center" wrapText="1" readingOrder="1"/>
      <protection locked="0"/>
    </xf>
    <xf numFmtId="0" fontId="7" fillId="2" borderId="14" xfId="0" applyFont="1" applyFill="1" applyBorder="1" applyAlignment="1" applyProtection="1">
      <alignment horizontal="center" vertical="center" wrapText="1" readingOrder="1"/>
      <protection locked="0"/>
    </xf>
    <xf numFmtId="0" fontId="7" fillId="2" borderId="10" xfId="0" applyFont="1" applyFill="1" applyBorder="1" applyAlignment="1" applyProtection="1">
      <alignment horizontal="center" vertical="center" wrapText="1" readingOrder="1"/>
      <protection locked="0"/>
    </xf>
    <xf numFmtId="164" fontId="7" fillId="2" borderId="10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2" borderId="15" xfId="0" applyFont="1" applyFill="1" applyBorder="1" applyAlignment="1" applyProtection="1">
      <alignment horizontal="center" vertical="center" wrapText="1" readingOrder="1"/>
      <protection locked="0"/>
    </xf>
    <xf numFmtId="0" fontId="7" fillId="2" borderId="15" xfId="0" applyFont="1" applyFill="1" applyBorder="1" applyAlignment="1" applyProtection="1">
      <alignment horizontal="center" vertical="center" wrapText="1" readingOrder="1"/>
      <protection locked="0"/>
    </xf>
    <xf numFmtId="164" fontId="7" fillId="2" borderId="15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2" borderId="18" xfId="0" applyFill="1" applyBorder="1"/>
    <xf numFmtId="0" fontId="8" fillId="2" borderId="21" xfId="0" applyFont="1" applyFill="1" applyBorder="1"/>
    <xf numFmtId="0" fontId="6" fillId="2" borderId="21" xfId="0" applyFont="1" applyFill="1" applyBorder="1" applyAlignment="1" applyProtection="1">
      <alignment vertical="center" wrapText="1" readingOrder="1"/>
      <protection locked="0"/>
    </xf>
    <xf numFmtId="0" fontId="6" fillId="2" borderId="21" xfId="0" applyFont="1" applyFill="1" applyBorder="1" applyAlignment="1" applyProtection="1">
      <alignment vertical="center" wrapText="1"/>
      <protection locked="0"/>
    </xf>
    <xf numFmtId="0" fontId="6" fillId="2" borderId="17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 wrapText="1"/>
      <protection locked="0"/>
    </xf>
    <xf numFmtId="0" fontId="6" fillId="2" borderId="22" xfId="0" applyFont="1" applyFill="1" applyBorder="1" applyAlignment="1" applyProtection="1">
      <alignment vertical="center" wrapText="1"/>
      <protection locked="0"/>
    </xf>
    <xf numFmtId="0" fontId="6" fillId="2" borderId="20" xfId="0" applyFont="1" applyFill="1" applyBorder="1" applyAlignment="1" applyProtection="1">
      <alignment vertical="center" wrapText="1" readingOrder="1"/>
      <protection locked="0"/>
    </xf>
    <xf numFmtId="0" fontId="0" fillId="2" borderId="20" xfId="0" applyFill="1" applyBorder="1"/>
    <xf numFmtId="0" fontId="7" fillId="2" borderId="16" xfId="0" applyFont="1" applyFill="1" applyBorder="1" applyAlignment="1" applyProtection="1">
      <alignment horizontal="center" vertical="center" wrapText="1" readingOrder="1"/>
      <protection locked="0"/>
    </xf>
    <xf numFmtId="0" fontId="0" fillId="2" borderId="19" xfId="0" applyFill="1" applyBorder="1"/>
    <xf numFmtId="0" fontId="0" fillId="2" borderId="16" xfId="0" applyFill="1" applyBorder="1" applyAlignment="1">
      <alignment horizontal="center" vertical="center" wrapText="1"/>
    </xf>
    <xf numFmtId="0" fontId="9" fillId="2" borderId="16" xfId="1" applyNumberFormat="1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B213-7180-4260-8BC3-ABC1CF2BE375}">
  <dimension ref="A1:P77"/>
  <sheetViews>
    <sheetView tabSelected="1" workbookViewId="0">
      <pane ySplit="7" topLeftCell="A8" activePane="bottomLeft" state="frozen"/>
      <selection activeCell="E1" sqref="E1"/>
      <selection pane="bottomLeft" activeCell="F9" sqref="F9"/>
    </sheetView>
  </sheetViews>
  <sheetFormatPr baseColWidth="10" defaultRowHeight="15" x14ac:dyDescent="0.25"/>
  <cols>
    <col min="1" max="2" width="11.42578125" customWidth="1"/>
    <col min="3" max="3" width="12.28515625" customWidth="1"/>
    <col min="4" max="4" width="11.42578125" customWidth="1"/>
    <col min="7" max="7" width="13" bestFit="1" customWidth="1"/>
    <col min="9" max="9" width="12.42578125" customWidth="1"/>
    <col min="11" max="11" width="13" bestFit="1" customWidth="1"/>
    <col min="14" max="14" width="13.42578125" customWidth="1"/>
    <col min="15" max="15" width="13" bestFit="1" customWidth="1"/>
  </cols>
  <sheetData>
    <row r="1" spans="1:16" ht="36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1"/>
      <c r="K1" s="7"/>
      <c r="L1" s="7"/>
      <c r="M1" s="12"/>
      <c r="N1" s="13"/>
      <c r="O1" s="13"/>
      <c r="P1" s="7"/>
    </row>
    <row r="2" spans="1:16" ht="18" x14ac:dyDescent="0.25">
      <c r="A2" s="14"/>
      <c r="B2" s="15"/>
      <c r="C2" s="15"/>
      <c r="D2" s="15"/>
      <c r="E2" s="15"/>
      <c r="F2" s="15"/>
      <c r="G2" s="15"/>
      <c r="H2" s="15"/>
      <c r="I2" s="15"/>
      <c r="J2" s="16"/>
      <c r="K2" s="7"/>
      <c r="L2" s="7"/>
      <c r="M2" s="13"/>
      <c r="N2" s="17"/>
      <c r="O2" s="18"/>
      <c r="P2" s="7"/>
    </row>
    <row r="3" spans="1:16" x14ac:dyDescent="0.25">
      <c r="A3" s="19" t="s">
        <v>1</v>
      </c>
      <c r="B3" s="20"/>
      <c r="C3" s="20"/>
      <c r="D3" s="20"/>
      <c r="E3" s="20"/>
      <c r="F3" s="20"/>
      <c r="G3" s="20"/>
      <c r="H3" s="20"/>
      <c r="I3" s="20"/>
      <c r="J3" s="21"/>
      <c r="K3" s="7"/>
      <c r="L3" s="7"/>
      <c r="M3" s="13"/>
      <c r="N3" s="17"/>
      <c r="O3" s="18"/>
      <c r="P3" s="7"/>
    </row>
    <row r="4" spans="1:16" ht="15.75" x14ac:dyDescent="0.25">
      <c r="A4" s="22"/>
      <c r="B4" s="23"/>
      <c r="C4" s="23"/>
      <c r="D4" s="23"/>
      <c r="E4" s="23"/>
      <c r="F4" s="23"/>
      <c r="G4" s="23"/>
      <c r="H4" s="23"/>
      <c r="I4" s="23"/>
      <c r="J4" s="24"/>
      <c r="K4" s="7"/>
      <c r="L4" s="7"/>
      <c r="M4" s="13"/>
      <c r="N4" s="17"/>
      <c r="O4" s="18"/>
      <c r="P4" s="7"/>
    </row>
    <row r="5" spans="1:16" x14ac:dyDescent="0.25">
      <c r="A5" s="25" t="s">
        <v>2</v>
      </c>
      <c r="B5" s="26" t="s">
        <v>3</v>
      </c>
      <c r="C5" s="26" t="s">
        <v>4</v>
      </c>
      <c r="D5" s="27"/>
      <c r="E5" s="27"/>
      <c r="F5" s="27"/>
      <c r="G5" s="27"/>
      <c r="H5" s="27"/>
      <c r="I5" s="27"/>
      <c r="J5" s="26" t="s">
        <v>5</v>
      </c>
      <c r="K5" s="7"/>
      <c r="L5" s="7"/>
      <c r="M5" s="13"/>
      <c r="N5" s="17"/>
      <c r="O5" s="18"/>
      <c r="P5" s="7"/>
    </row>
    <row r="6" spans="1:16" ht="63.75" x14ac:dyDescent="0.25">
      <c r="A6" s="25"/>
      <c r="B6" s="28"/>
      <c r="C6" s="29" t="s">
        <v>6</v>
      </c>
      <c r="D6" s="29" t="s">
        <v>7</v>
      </c>
      <c r="E6" s="29" t="s">
        <v>8</v>
      </c>
      <c r="F6" s="29" t="s">
        <v>9</v>
      </c>
      <c r="G6" s="29" t="s">
        <v>10</v>
      </c>
      <c r="H6" s="29" t="s">
        <v>11</v>
      </c>
      <c r="I6" s="29" t="s">
        <v>12</v>
      </c>
      <c r="J6" s="30"/>
      <c r="K6" s="7"/>
      <c r="L6" s="7"/>
      <c r="M6" s="13"/>
      <c r="N6" s="17"/>
      <c r="O6" s="18"/>
      <c r="P6" s="7"/>
    </row>
    <row r="7" spans="1:16" x14ac:dyDescent="0.25">
      <c r="A7" s="31"/>
      <c r="B7" s="32"/>
      <c r="C7" s="32"/>
      <c r="D7" s="32"/>
      <c r="E7" s="32"/>
      <c r="F7" s="32"/>
      <c r="G7" s="32"/>
      <c r="H7" s="32"/>
      <c r="I7" s="32"/>
      <c r="J7" s="33"/>
      <c r="K7" s="7"/>
      <c r="L7" s="7"/>
      <c r="M7" s="13"/>
      <c r="N7" s="17"/>
      <c r="O7" s="18"/>
      <c r="P7" s="7"/>
    </row>
    <row r="8" spans="1:16" x14ac:dyDescent="0.25">
      <c r="A8" s="34" t="s">
        <v>13</v>
      </c>
      <c r="B8" s="35">
        <v>4301712</v>
      </c>
      <c r="C8" s="35">
        <v>251464</v>
      </c>
      <c r="D8" s="35">
        <v>70709</v>
      </c>
      <c r="E8" s="35">
        <v>29413</v>
      </c>
      <c r="F8" s="35">
        <v>140380</v>
      </c>
      <c r="G8" s="35">
        <v>48859</v>
      </c>
      <c r="H8" s="35">
        <v>35416</v>
      </c>
      <c r="I8" s="35">
        <v>26971</v>
      </c>
      <c r="J8" s="35">
        <v>3848863</v>
      </c>
      <c r="K8" s="7"/>
      <c r="L8" s="7"/>
      <c r="M8" s="13"/>
      <c r="N8" s="17"/>
      <c r="O8" s="18"/>
      <c r="P8" s="7"/>
    </row>
    <row r="9" spans="1:16" ht="25.5" x14ac:dyDescent="0.25">
      <c r="A9" s="36" t="s">
        <v>14</v>
      </c>
      <c r="B9" s="1">
        <v>1067830</v>
      </c>
      <c r="C9" s="1">
        <v>14471</v>
      </c>
      <c r="D9" s="1">
        <v>3339</v>
      </c>
      <c r="E9" s="1">
        <v>7331</v>
      </c>
      <c r="F9" s="1">
        <v>4749</v>
      </c>
      <c r="G9" s="1">
        <v>2202</v>
      </c>
      <c r="H9" s="1">
        <v>9571</v>
      </c>
      <c r="I9" s="1">
        <v>2624</v>
      </c>
      <c r="J9" s="1">
        <v>1031897</v>
      </c>
      <c r="K9" s="7"/>
      <c r="L9" s="7"/>
      <c r="M9" s="7"/>
      <c r="N9" s="7"/>
      <c r="O9" s="7"/>
      <c r="P9" s="7"/>
    </row>
    <row r="10" spans="1:16" ht="25.5" x14ac:dyDescent="0.25">
      <c r="A10" s="36" t="s">
        <v>15</v>
      </c>
      <c r="B10" s="1">
        <v>1194080</v>
      </c>
      <c r="C10" s="1">
        <v>30661</v>
      </c>
      <c r="D10" s="1">
        <v>4983</v>
      </c>
      <c r="E10" s="1">
        <v>4810</v>
      </c>
      <c r="F10" s="1">
        <v>8350</v>
      </c>
      <c r="G10" s="1">
        <v>3953</v>
      </c>
      <c r="H10" s="1">
        <v>11395</v>
      </c>
      <c r="I10" s="1">
        <v>4957</v>
      </c>
      <c r="J10" s="1">
        <v>1136145</v>
      </c>
      <c r="K10" s="7"/>
      <c r="L10" s="7"/>
      <c r="M10" s="7"/>
      <c r="N10" s="7"/>
      <c r="O10" s="7"/>
      <c r="P10" s="7"/>
    </row>
    <row r="11" spans="1:16" ht="25.5" x14ac:dyDescent="0.25">
      <c r="A11" s="36" t="s">
        <v>16</v>
      </c>
      <c r="B11" s="1">
        <v>1590466</v>
      </c>
      <c r="C11" s="1">
        <v>117509</v>
      </c>
      <c r="D11" s="1">
        <v>20643</v>
      </c>
      <c r="E11" s="1">
        <v>8359</v>
      </c>
      <c r="F11" s="1">
        <v>48919</v>
      </c>
      <c r="G11" s="1">
        <v>19530</v>
      </c>
      <c r="H11" s="1">
        <v>10867</v>
      </c>
      <c r="I11" s="1">
        <v>11258</v>
      </c>
      <c r="J11" s="1">
        <v>1396039</v>
      </c>
      <c r="K11" s="7"/>
      <c r="L11" s="7"/>
      <c r="M11" s="7"/>
      <c r="N11" s="7"/>
      <c r="O11" s="7"/>
      <c r="P11" s="7"/>
    </row>
    <row r="12" spans="1:16" ht="25.5" x14ac:dyDescent="0.25">
      <c r="A12" s="36" t="s">
        <v>17</v>
      </c>
      <c r="B12" s="1">
        <v>137624</v>
      </c>
      <c r="C12" s="1">
        <v>22374</v>
      </c>
      <c r="D12" s="1">
        <v>5409</v>
      </c>
      <c r="E12" s="1">
        <v>1210</v>
      </c>
      <c r="F12" s="1">
        <v>13790</v>
      </c>
      <c r="G12" s="1">
        <v>4766</v>
      </c>
      <c r="H12" s="1">
        <v>766</v>
      </c>
      <c r="I12" s="1">
        <v>1429</v>
      </c>
      <c r="J12" s="1">
        <v>100416</v>
      </c>
      <c r="K12" s="7"/>
      <c r="L12" s="7"/>
      <c r="M12" s="7"/>
      <c r="N12" s="7"/>
      <c r="O12" s="7"/>
      <c r="P12" s="7"/>
    </row>
    <row r="13" spans="1:16" ht="25.5" x14ac:dyDescent="0.25">
      <c r="A13" s="36" t="s">
        <v>18</v>
      </c>
      <c r="B13" s="1">
        <v>181582</v>
      </c>
      <c r="C13" s="1">
        <v>34089</v>
      </c>
      <c r="D13" s="1">
        <v>12858</v>
      </c>
      <c r="E13" s="1">
        <v>2469</v>
      </c>
      <c r="F13" s="1">
        <v>26710</v>
      </c>
      <c r="G13" s="1">
        <v>8216</v>
      </c>
      <c r="H13" s="1">
        <v>1204</v>
      </c>
      <c r="I13" s="1">
        <v>2476</v>
      </c>
      <c r="J13" s="1">
        <v>120482</v>
      </c>
      <c r="K13" s="7"/>
      <c r="L13" s="7"/>
      <c r="M13" s="7"/>
      <c r="N13" s="7"/>
      <c r="O13" s="7"/>
      <c r="P13" s="7"/>
    </row>
    <row r="14" spans="1:16" ht="25.5" x14ac:dyDescent="0.25">
      <c r="A14" s="36" t="s">
        <v>19</v>
      </c>
      <c r="B14" s="1">
        <v>117955</v>
      </c>
      <c r="C14" s="1">
        <v>28368</v>
      </c>
      <c r="D14" s="1">
        <v>19258</v>
      </c>
      <c r="E14" s="1">
        <v>4126</v>
      </c>
      <c r="F14" s="1">
        <v>32221</v>
      </c>
      <c r="G14" s="1">
        <v>8588</v>
      </c>
      <c r="H14" s="1">
        <v>1331</v>
      </c>
      <c r="I14" s="1">
        <v>3514</v>
      </c>
      <c r="J14" s="1">
        <v>60009</v>
      </c>
      <c r="K14" s="7"/>
      <c r="L14" s="7"/>
      <c r="M14" s="7"/>
      <c r="N14" s="7"/>
      <c r="O14" s="7"/>
      <c r="P14" s="7"/>
    </row>
    <row r="15" spans="1:16" ht="25.5" x14ac:dyDescent="0.25">
      <c r="A15" s="36" t="s">
        <v>20</v>
      </c>
      <c r="B15" s="1">
        <v>12175</v>
      </c>
      <c r="C15" s="1">
        <v>3992</v>
      </c>
      <c r="D15" s="1">
        <v>4219</v>
      </c>
      <c r="E15" s="1">
        <v>1108</v>
      </c>
      <c r="F15" s="1">
        <v>5641</v>
      </c>
      <c r="G15" s="1">
        <v>1604</v>
      </c>
      <c r="H15" s="1">
        <v>282</v>
      </c>
      <c r="I15" s="1">
        <v>713</v>
      </c>
      <c r="J15" s="1">
        <v>3875</v>
      </c>
      <c r="K15" s="7"/>
      <c r="L15" s="7"/>
      <c r="M15" s="7"/>
      <c r="N15" s="7"/>
      <c r="O15" s="7"/>
      <c r="P15" s="7"/>
    </row>
    <row r="16" spans="1:16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7"/>
      <c r="L16" s="7"/>
      <c r="M16" s="7"/>
      <c r="N16" s="7"/>
      <c r="O16" s="7"/>
      <c r="P16" s="7"/>
    </row>
    <row r="17" spans="1:16" x14ac:dyDescent="0.25">
      <c r="A17" s="37" t="s">
        <v>21</v>
      </c>
      <c r="B17" s="38">
        <v>2106063</v>
      </c>
      <c r="C17" s="38">
        <v>112613</v>
      </c>
      <c r="D17" s="38">
        <v>37240</v>
      </c>
      <c r="E17" s="38">
        <v>16595</v>
      </c>
      <c r="F17" s="38">
        <v>64271</v>
      </c>
      <c r="G17" s="38">
        <v>23001</v>
      </c>
      <c r="H17" s="38">
        <v>19968</v>
      </c>
      <c r="I17" s="38">
        <v>14126</v>
      </c>
      <c r="J17" s="38">
        <v>1887668</v>
      </c>
      <c r="K17" s="7"/>
      <c r="L17" s="7"/>
      <c r="M17" s="7"/>
      <c r="N17" s="7"/>
      <c r="O17" s="7"/>
      <c r="P17" s="7"/>
    </row>
    <row r="18" spans="1:16" ht="25.5" x14ac:dyDescent="0.25">
      <c r="A18" s="36" t="s">
        <v>14</v>
      </c>
      <c r="B18" s="1">
        <v>542618</v>
      </c>
      <c r="C18" s="1">
        <v>7241</v>
      </c>
      <c r="D18" s="1">
        <v>1844</v>
      </c>
      <c r="E18" s="1">
        <v>4748</v>
      </c>
      <c r="F18" s="1">
        <v>2523</v>
      </c>
      <c r="G18" s="1">
        <v>1228</v>
      </c>
      <c r="H18" s="1">
        <v>5686</v>
      </c>
      <c r="I18" s="1">
        <v>1713</v>
      </c>
      <c r="J18" s="1">
        <v>522484</v>
      </c>
      <c r="K18" s="7"/>
      <c r="L18" s="7"/>
      <c r="M18" s="7"/>
      <c r="N18" s="7"/>
      <c r="O18" s="7"/>
      <c r="P18" s="7"/>
    </row>
    <row r="19" spans="1:16" ht="25.5" x14ac:dyDescent="0.25">
      <c r="A19" s="36" t="s">
        <v>15</v>
      </c>
      <c r="B19" s="1">
        <v>589260</v>
      </c>
      <c r="C19" s="1">
        <v>13164</v>
      </c>
      <c r="D19" s="1">
        <v>2705</v>
      </c>
      <c r="E19" s="1">
        <v>2870</v>
      </c>
      <c r="F19" s="1">
        <v>4800</v>
      </c>
      <c r="G19" s="1">
        <v>2465</v>
      </c>
      <c r="H19" s="1">
        <v>6587</v>
      </c>
      <c r="I19" s="1">
        <v>2948</v>
      </c>
      <c r="J19" s="1">
        <v>559775</v>
      </c>
      <c r="K19" s="7"/>
      <c r="L19" s="7"/>
      <c r="M19" s="7"/>
      <c r="N19" s="7"/>
      <c r="O19" s="7"/>
      <c r="P19" s="7"/>
    </row>
    <row r="20" spans="1:16" ht="25.5" x14ac:dyDescent="0.25">
      <c r="A20" s="36" t="s">
        <v>16</v>
      </c>
      <c r="B20" s="1">
        <v>763923</v>
      </c>
      <c r="C20" s="1">
        <v>52349</v>
      </c>
      <c r="D20" s="1">
        <v>10727</v>
      </c>
      <c r="E20" s="1">
        <v>4633</v>
      </c>
      <c r="F20" s="1">
        <v>24450</v>
      </c>
      <c r="G20" s="1">
        <v>9601</v>
      </c>
      <c r="H20" s="1">
        <v>5975</v>
      </c>
      <c r="I20" s="1">
        <v>5888</v>
      </c>
      <c r="J20" s="1">
        <v>670212</v>
      </c>
      <c r="K20" s="7"/>
      <c r="L20" s="7"/>
      <c r="M20" s="7"/>
      <c r="N20" s="7"/>
      <c r="O20" s="7"/>
      <c r="P20" s="7"/>
    </row>
    <row r="21" spans="1:16" ht="25.5" x14ac:dyDescent="0.25">
      <c r="A21" s="36" t="s">
        <v>17</v>
      </c>
      <c r="B21" s="1">
        <v>65432</v>
      </c>
      <c r="C21" s="1">
        <v>10085</v>
      </c>
      <c r="D21" s="1">
        <v>2963</v>
      </c>
      <c r="E21" s="1">
        <v>680</v>
      </c>
      <c r="F21" s="1">
        <v>6209</v>
      </c>
      <c r="G21" s="1">
        <v>2179</v>
      </c>
      <c r="H21" s="1">
        <v>407</v>
      </c>
      <c r="I21" s="1">
        <v>723</v>
      </c>
      <c r="J21" s="1">
        <v>47898</v>
      </c>
      <c r="K21" s="7"/>
      <c r="L21" s="7"/>
      <c r="M21" s="7"/>
      <c r="N21" s="7"/>
      <c r="O21" s="7"/>
      <c r="P21" s="7"/>
    </row>
    <row r="22" spans="1:16" ht="25.5" x14ac:dyDescent="0.25">
      <c r="A22" s="36" t="s">
        <v>18</v>
      </c>
      <c r="B22" s="1">
        <v>86754</v>
      </c>
      <c r="C22" s="1">
        <v>15406</v>
      </c>
      <c r="D22" s="1">
        <v>7145</v>
      </c>
      <c r="E22" s="1">
        <v>1336</v>
      </c>
      <c r="F22" s="1">
        <v>11381</v>
      </c>
      <c r="G22" s="1">
        <v>3537</v>
      </c>
      <c r="H22" s="1">
        <v>638</v>
      </c>
      <c r="I22" s="1">
        <v>1208</v>
      </c>
      <c r="J22" s="1">
        <v>58280</v>
      </c>
      <c r="K22" s="7"/>
      <c r="L22" s="7"/>
      <c r="M22" s="7"/>
      <c r="N22" s="7"/>
      <c r="O22" s="7"/>
      <c r="P22" s="7"/>
    </row>
    <row r="23" spans="1:16" ht="25.5" x14ac:dyDescent="0.25">
      <c r="A23" s="36" t="s">
        <v>19</v>
      </c>
      <c r="B23" s="1">
        <v>53283</v>
      </c>
      <c r="C23" s="1">
        <v>12730</v>
      </c>
      <c r="D23" s="1">
        <v>9993</v>
      </c>
      <c r="E23" s="1">
        <v>1923</v>
      </c>
      <c r="F23" s="1">
        <v>12888</v>
      </c>
      <c r="G23" s="1">
        <v>3456</v>
      </c>
      <c r="H23" s="1">
        <v>574</v>
      </c>
      <c r="I23" s="1">
        <v>1428</v>
      </c>
      <c r="J23" s="1">
        <v>27492</v>
      </c>
      <c r="K23" s="7"/>
      <c r="L23" s="7"/>
      <c r="M23" s="7"/>
      <c r="N23" s="7"/>
      <c r="O23" s="7"/>
      <c r="P23" s="7"/>
    </row>
    <row r="24" spans="1:16" ht="25.5" x14ac:dyDescent="0.25">
      <c r="A24" s="36" t="s">
        <v>20</v>
      </c>
      <c r="B24" s="1">
        <v>4793</v>
      </c>
      <c r="C24" s="1">
        <v>1638</v>
      </c>
      <c r="D24" s="1">
        <v>1863</v>
      </c>
      <c r="E24" s="1">
        <v>405</v>
      </c>
      <c r="F24" s="1">
        <v>2020</v>
      </c>
      <c r="G24" s="1">
        <v>535</v>
      </c>
      <c r="H24" s="1">
        <v>101</v>
      </c>
      <c r="I24" s="1">
        <v>218</v>
      </c>
      <c r="J24" s="1">
        <v>1527</v>
      </c>
      <c r="K24" s="7"/>
      <c r="L24" s="7"/>
      <c r="M24" s="7"/>
      <c r="N24" s="7"/>
      <c r="O24" s="7"/>
      <c r="P24" s="7"/>
    </row>
    <row r="25" spans="1:16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7"/>
      <c r="L25" s="7"/>
      <c r="M25" s="7"/>
      <c r="N25" s="7"/>
      <c r="O25" s="7"/>
      <c r="P25" s="7"/>
    </row>
    <row r="26" spans="1:16" x14ac:dyDescent="0.25">
      <c r="A26" s="37" t="s">
        <v>22</v>
      </c>
      <c r="B26" s="38">
        <v>2195649</v>
      </c>
      <c r="C26" s="38">
        <v>138851</v>
      </c>
      <c r="D26" s="38">
        <v>33469</v>
      </c>
      <c r="E26" s="38">
        <v>12818</v>
      </c>
      <c r="F26" s="38">
        <v>76109</v>
      </c>
      <c r="G26" s="38">
        <v>25858</v>
      </c>
      <c r="H26" s="38">
        <v>15448</v>
      </c>
      <c r="I26" s="38">
        <v>12845</v>
      </c>
      <c r="J26" s="38">
        <v>1961195</v>
      </c>
      <c r="K26" s="7"/>
      <c r="L26" s="7"/>
      <c r="M26" s="7"/>
      <c r="N26" s="7"/>
      <c r="O26" s="7"/>
      <c r="P26" s="7"/>
    </row>
    <row r="27" spans="1:16" ht="25.5" x14ac:dyDescent="0.25">
      <c r="A27" s="36" t="s">
        <v>14</v>
      </c>
      <c r="B27" s="1">
        <v>525212</v>
      </c>
      <c r="C27" s="1">
        <v>7230</v>
      </c>
      <c r="D27" s="1">
        <v>1495</v>
      </c>
      <c r="E27" s="1">
        <v>2583</v>
      </c>
      <c r="F27" s="1">
        <v>2226</v>
      </c>
      <c r="G27" s="1">
        <v>974</v>
      </c>
      <c r="H27" s="1">
        <v>3885</v>
      </c>
      <c r="I27" s="1">
        <v>911</v>
      </c>
      <c r="J27" s="1">
        <v>509413</v>
      </c>
      <c r="K27" s="7"/>
      <c r="L27" s="7"/>
      <c r="M27" s="7"/>
      <c r="N27" s="7"/>
      <c r="O27" s="7"/>
      <c r="P27" s="7"/>
    </row>
    <row r="28" spans="1:16" ht="25.5" x14ac:dyDescent="0.25">
      <c r="A28" s="36" t="s">
        <v>15</v>
      </c>
      <c r="B28" s="1">
        <v>604820</v>
      </c>
      <c r="C28" s="1">
        <v>17497</v>
      </c>
      <c r="D28" s="1">
        <v>2278</v>
      </c>
      <c r="E28" s="1">
        <v>1940</v>
      </c>
      <c r="F28" s="1">
        <v>3550</v>
      </c>
      <c r="G28" s="1">
        <v>1488</v>
      </c>
      <c r="H28" s="1">
        <v>4808</v>
      </c>
      <c r="I28" s="1">
        <v>2009</v>
      </c>
      <c r="J28" s="1">
        <v>576370</v>
      </c>
      <c r="K28" s="7"/>
      <c r="L28" s="7"/>
      <c r="M28" s="7"/>
      <c r="N28" s="7"/>
      <c r="O28" s="7"/>
      <c r="P28" s="7"/>
    </row>
    <row r="29" spans="1:16" ht="25.5" x14ac:dyDescent="0.25">
      <c r="A29" s="36" t="s">
        <v>16</v>
      </c>
      <c r="B29" s="1">
        <v>826543</v>
      </c>
      <c r="C29" s="1">
        <v>65160</v>
      </c>
      <c r="D29" s="1">
        <v>9916</v>
      </c>
      <c r="E29" s="1">
        <v>3726</v>
      </c>
      <c r="F29" s="1">
        <v>24469</v>
      </c>
      <c r="G29" s="1">
        <v>9929</v>
      </c>
      <c r="H29" s="1">
        <v>4892</v>
      </c>
      <c r="I29" s="1">
        <v>5370</v>
      </c>
      <c r="J29" s="1">
        <v>725827</v>
      </c>
      <c r="K29" s="7"/>
      <c r="L29" s="7"/>
      <c r="M29" s="7"/>
      <c r="N29" s="7"/>
      <c r="O29" s="7"/>
      <c r="P29" s="7"/>
    </row>
    <row r="30" spans="1:16" ht="25.5" x14ac:dyDescent="0.25">
      <c r="A30" s="36" t="s">
        <v>17</v>
      </c>
      <c r="B30" s="1">
        <v>72192</v>
      </c>
      <c r="C30" s="1">
        <v>12289</v>
      </c>
      <c r="D30" s="1">
        <v>2446</v>
      </c>
      <c r="E30" s="1">
        <v>530</v>
      </c>
      <c r="F30" s="1">
        <v>7581</v>
      </c>
      <c r="G30" s="1">
        <v>2587</v>
      </c>
      <c r="H30" s="1">
        <v>359</v>
      </c>
      <c r="I30" s="1">
        <v>706</v>
      </c>
      <c r="J30" s="1">
        <v>52518</v>
      </c>
      <c r="K30" s="7"/>
      <c r="L30" s="7"/>
      <c r="M30" s="7"/>
      <c r="N30" s="7"/>
      <c r="O30" s="7"/>
      <c r="P30" s="7"/>
    </row>
    <row r="31" spans="1:16" ht="25.5" x14ac:dyDescent="0.25">
      <c r="A31" s="36" t="s">
        <v>18</v>
      </c>
      <c r="B31" s="1">
        <v>94828</v>
      </c>
      <c r="C31" s="1">
        <v>18683</v>
      </c>
      <c r="D31" s="1">
        <v>5713</v>
      </c>
      <c r="E31" s="1">
        <v>1133</v>
      </c>
      <c r="F31" s="1">
        <v>15329</v>
      </c>
      <c r="G31" s="1">
        <v>4679</v>
      </c>
      <c r="H31" s="1">
        <v>566</v>
      </c>
      <c r="I31" s="1">
        <v>1268</v>
      </c>
      <c r="J31" s="1">
        <v>62202</v>
      </c>
      <c r="K31" s="7"/>
      <c r="L31" s="7"/>
      <c r="M31" s="7"/>
      <c r="N31" s="7"/>
      <c r="O31" s="7"/>
      <c r="P31" s="7"/>
    </row>
    <row r="32" spans="1:16" ht="25.5" x14ac:dyDescent="0.25">
      <c r="A32" s="36" t="s">
        <v>19</v>
      </c>
      <c r="B32" s="1">
        <v>64672</v>
      </c>
      <c r="C32" s="1">
        <v>15638</v>
      </c>
      <c r="D32" s="1">
        <v>9265</v>
      </c>
      <c r="E32" s="1">
        <v>2203</v>
      </c>
      <c r="F32" s="1">
        <v>19333</v>
      </c>
      <c r="G32" s="1">
        <v>5132</v>
      </c>
      <c r="H32" s="1">
        <v>757</v>
      </c>
      <c r="I32" s="1">
        <v>2086</v>
      </c>
      <c r="J32" s="1">
        <v>32517</v>
      </c>
      <c r="K32" s="7"/>
      <c r="L32" s="7"/>
      <c r="M32" s="7"/>
      <c r="N32" s="7"/>
      <c r="O32" s="7"/>
      <c r="P32" s="7"/>
    </row>
    <row r="33" spans="1:16" ht="25.5" x14ac:dyDescent="0.25">
      <c r="A33" s="36" t="s">
        <v>20</v>
      </c>
      <c r="B33" s="1">
        <v>7382</v>
      </c>
      <c r="C33" s="1">
        <v>2354</v>
      </c>
      <c r="D33" s="1">
        <v>2356</v>
      </c>
      <c r="E33" s="1">
        <v>703</v>
      </c>
      <c r="F33" s="1">
        <v>3621</v>
      </c>
      <c r="G33" s="1">
        <v>1069</v>
      </c>
      <c r="H33" s="1">
        <v>181</v>
      </c>
      <c r="I33" s="1">
        <v>495</v>
      </c>
      <c r="J33" s="1">
        <v>2348</v>
      </c>
      <c r="K33" s="7"/>
      <c r="L33" s="7"/>
      <c r="M33" s="7"/>
      <c r="N33" s="7"/>
      <c r="O33" s="7"/>
      <c r="P33" s="7"/>
    </row>
    <row r="34" spans="1:16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7"/>
      <c r="B38" s="7"/>
      <c r="C38" s="7"/>
      <c r="D38" s="7"/>
      <c r="E38" s="7"/>
      <c r="F38" s="39"/>
      <c r="G38" s="39"/>
      <c r="H38" s="7"/>
      <c r="I38" s="7"/>
      <c r="J38" s="7"/>
      <c r="K38" s="7"/>
      <c r="L38" s="7"/>
      <c r="M38" s="7"/>
      <c r="N38" s="7"/>
      <c r="O38" s="7"/>
      <c r="P38" s="7"/>
    </row>
    <row r="39" spans="1:16" ht="15" customHeight="1" x14ac:dyDescent="0.25">
      <c r="A39" s="40"/>
      <c r="B39" s="41"/>
      <c r="C39" s="42"/>
      <c r="D39" s="43"/>
      <c r="E39" s="44"/>
      <c r="F39" s="45"/>
      <c r="G39" s="42"/>
      <c r="H39" s="44"/>
      <c r="I39" s="46"/>
      <c r="J39" s="47"/>
      <c r="K39" s="7"/>
      <c r="L39" s="7"/>
      <c r="M39" s="7"/>
      <c r="N39" s="7"/>
      <c r="O39" s="7"/>
      <c r="P39" s="7"/>
    </row>
    <row r="40" spans="1:16" ht="63.75" x14ac:dyDescent="0.25">
      <c r="A40" s="48" t="s">
        <v>22</v>
      </c>
      <c r="B40" s="5" t="s">
        <v>6</v>
      </c>
      <c r="C40" s="5" t="s">
        <v>23</v>
      </c>
      <c r="D40" s="7"/>
      <c r="E40" s="48" t="s">
        <v>22</v>
      </c>
      <c r="F40" s="5" t="s">
        <v>8</v>
      </c>
      <c r="G40" s="5" t="s">
        <v>23</v>
      </c>
      <c r="H40" s="49"/>
      <c r="I40" s="48" t="s">
        <v>22</v>
      </c>
      <c r="J40" s="5" t="s">
        <v>10</v>
      </c>
      <c r="K40" s="5" t="s">
        <v>23</v>
      </c>
      <c r="L40" s="7"/>
      <c r="M40" s="48" t="s">
        <v>22</v>
      </c>
      <c r="N40" s="5" t="s">
        <v>12</v>
      </c>
      <c r="O40" s="5" t="s">
        <v>23</v>
      </c>
      <c r="P40" s="7"/>
    </row>
    <row r="41" spans="1:16" ht="25.5" x14ac:dyDescent="0.25">
      <c r="A41" s="5" t="s">
        <v>14</v>
      </c>
      <c r="B41" s="2">
        <f>C27/C26</f>
        <v>5.2070204751856308E-2</v>
      </c>
      <c r="C41" s="50">
        <f>(5*30)/47</f>
        <v>3.1914893617021276</v>
      </c>
      <c r="D41" s="7"/>
      <c r="E41" s="5" t="s">
        <v>14</v>
      </c>
      <c r="F41" s="2">
        <f>E27/E26</f>
        <v>0.20151349664534249</v>
      </c>
      <c r="G41" s="3">
        <f>(20*30)/29</f>
        <v>20.689655172413794</v>
      </c>
      <c r="H41" s="7"/>
      <c r="I41" s="5" t="s">
        <v>14</v>
      </c>
      <c r="J41" s="2">
        <f>G27/G26</f>
        <v>3.7667259648851419E-2</v>
      </c>
      <c r="K41" s="51">
        <f>(4*30)/38</f>
        <v>3.1578947368421053</v>
      </c>
      <c r="L41" s="7"/>
      <c r="M41" s="5" t="s">
        <v>14</v>
      </c>
      <c r="N41" s="2">
        <f>I27/I26</f>
        <v>7.0922537952510703E-2</v>
      </c>
      <c r="O41" s="4">
        <f>(7*30)/42</f>
        <v>5</v>
      </c>
      <c r="P41" s="7"/>
    </row>
    <row r="42" spans="1:16" ht="25.5" x14ac:dyDescent="0.25">
      <c r="A42" s="5" t="s">
        <v>15</v>
      </c>
      <c r="B42" s="2">
        <f>C28/C26</f>
        <v>0.12601277628537064</v>
      </c>
      <c r="C42" s="51">
        <f>(13*30)/47</f>
        <v>8.2978723404255312</v>
      </c>
      <c r="D42" s="7"/>
      <c r="E42" s="5" t="s">
        <v>15</v>
      </c>
      <c r="F42" s="2">
        <f>E28/E26</f>
        <v>0.15134966453424872</v>
      </c>
      <c r="G42" s="4">
        <f>(15*30)/29</f>
        <v>15.517241379310345</v>
      </c>
      <c r="H42" s="7"/>
      <c r="I42" s="5" t="s">
        <v>15</v>
      </c>
      <c r="J42" s="2">
        <f>G28/G26</f>
        <v>5.7545053755124143E-2</v>
      </c>
      <c r="K42" s="4">
        <f>(6*30)/38</f>
        <v>4.7368421052631575</v>
      </c>
      <c r="L42" s="7"/>
      <c r="M42" s="5" t="s">
        <v>15</v>
      </c>
      <c r="N42" s="2">
        <f>I28/I26</f>
        <v>0.1564032697547684</v>
      </c>
      <c r="O42" s="6">
        <f>(16*30)/42</f>
        <v>11.428571428571429</v>
      </c>
      <c r="P42" s="7"/>
    </row>
    <row r="43" spans="1:16" ht="25.5" x14ac:dyDescent="0.25">
      <c r="A43" s="5" t="s">
        <v>16</v>
      </c>
      <c r="B43" s="2">
        <f>C29/C26</f>
        <v>0.46928001958934396</v>
      </c>
      <c r="C43" s="51" t="s">
        <v>24</v>
      </c>
      <c r="D43" s="7"/>
      <c r="E43" s="5" t="s">
        <v>16</v>
      </c>
      <c r="F43" s="2">
        <f>E29/E26</f>
        <v>0.29068497425495399</v>
      </c>
      <c r="G43" s="4" t="s">
        <v>24</v>
      </c>
      <c r="H43" s="7"/>
      <c r="I43" s="5" t="s">
        <v>16</v>
      </c>
      <c r="J43" s="2">
        <f>G29/G26</f>
        <v>0.38398174646144329</v>
      </c>
      <c r="K43" s="4">
        <v>30</v>
      </c>
      <c r="L43" s="7"/>
      <c r="M43" s="5" t="s">
        <v>16</v>
      </c>
      <c r="N43" s="2">
        <f>I29/I26</f>
        <v>0.41806150253016738</v>
      </c>
      <c r="O43" s="4">
        <f>(42*30)/42</f>
        <v>30</v>
      </c>
      <c r="P43" s="7"/>
    </row>
    <row r="44" spans="1:16" ht="25.5" x14ac:dyDescent="0.25">
      <c r="A44" s="5" t="s">
        <v>17</v>
      </c>
      <c r="B44" s="2">
        <f>C30/C26</f>
        <v>8.8504944148763781E-2</v>
      </c>
      <c r="C44" s="51">
        <f>(9*30)/47</f>
        <v>5.7446808510638299</v>
      </c>
      <c r="D44" s="7"/>
      <c r="E44" s="5" t="s">
        <v>17</v>
      </c>
      <c r="F44" s="2">
        <f>E30/E26</f>
        <v>4.1348104228428773E-2</v>
      </c>
      <c r="G44" s="4">
        <f>(4*30)/29</f>
        <v>4.1379310344827589</v>
      </c>
      <c r="H44" s="7"/>
      <c r="I44" s="5" t="s">
        <v>17</v>
      </c>
      <c r="J44" s="2">
        <f>G30/G26</f>
        <v>0.10004640730141542</v>
      </c>
      <c r="K44" s="4">
        <f>(10*30)/38</f>
        <v>7.8947368421052628</v>
      </c>
      <c r="L44" s="7"/>
      <c r="M44" s="5" t="s">
        <v>17</v>
      </c>
      <c r="N44" s="2">
        <f>I30/I26</f>
        <v>5.4963020630595563E-2</v>
      </c>
      <c r="O44" s="4">
        <f>(5*30)/42</f>
        <v>3.5714285714285716</v>
      </c>
      <c r="P44" s="7"/>
    </row>
    <row r="45" spans="1:16" ht="25.5" x14ac:dyDescent="0.25">
      <c r="A45" s="5" t="s">
        <v>18</v>
      </c>
      <c r="B45" s="2">
        <f>C31/C26</f>
        <v>0.13455430641478996</v>
      </c>
      <c r="C45" s="51">
        <f>(13*30)/47</f>
        <v>8.2978723404255312</v>
      </c>
      <c r="D45" s="7"/>
      <c r="E45" s="5" t="s">
        <v>18</v>
      </c>
      <c r="F45" s="2">
        <f>E31/E26</f>
        <v>8.839132469964113E-2</v>
      </c>
      <c r="G45" s="4">
        <f>(9*30)/29</f>
        <v>9.3103448275862064</v>
      </c>
      <c r="H45" s="7"/>
      <c r="I45" s="5" t="s">
        <v>18</v>
      </c>
      <c r="J45" s="2">
        <f>G31/G26</f>
        <v>0.18094980276896899</v>
      </c>
      <c r="K45" s="4">
        <f>(18*30)/38</f>
        <v>14.210526315789474</v>
      </c>
      <c r="L45" s="7"/>
      <c r="M45" s="5" t="s">
        <v>18</v>
      </c>
      <c r="N45" s="2">
        <f>I31/I26</f>
        <v>9.8715453483845861E-2</v>
      </c>
      <c r="O45" s="4">
        <f>(10*30)/42</f>
        <v>7.1428571428571432</v>
      </c>
      <c r="P45" s="7"/>
    </row>
    <row r="46" spans="1:16" ht="25.5" x14ac:dyDescent="0.25">
      <c r="A46" s="5" t="s">
        <v>19</v>
      </c>
      <c r="B46" s="2">
        <f>C32/C26</f>
        <v>0.11262432391556416</v>
      </c>
      <c r="C46" s="51">
        <f>(11*30)/47</f>
        <v>7.0212765957446805</v>
      </c>
      <c r="D46" s="7"/>
      <c r="E46" s="5" t="s">
        <v>19</v>
      </c>
      <c r="F46" s="2">
        <f>E32/E26</f>
        <v>0.17186768606646902</v>
      </c>
      <c r="G46" s="3">
        <f>(17*30)/29</f>
        <v>17.586206896551722</v>
      </c>
      <c r="H46" s="7"/>
      <c r="I46" s="5" t="s">
        <v>19</v>
      </c>
      <c r="J46" s="2">
        <f>G32/G26</f>
        <v>0.19846855905329105</v>
      </c>
      <c r="K46" s="3">
        <f>(20*30)/38</f>
        <v>15.789473684210526</v>
      </c>
      <c r="L46" s="7"/>
      <c r="M46" s="5" t="s">
        <v>19</v>
      </c>
      <c r="N46" s="2">
        <f>I32/I26</f>
        <v>0.16239782016348775</v>
      </c>
      <c r="O46" s="6">
        <f>(16*30)/42</f>
        <v>11.428571428571429</v>
      </c>
      <c r="P46" s="7"/>
    </row>
    <row r="47" spans="1:16" ht="25.5" x14ac:dyDescent="0.25">
      <c r="A47" s="5" t="s">
        <v>20</v>
      </c>
      <c r="B47" s="2">
        <f>C33/C26</f>
        <v>1.6953424894311168E-2</v>
      </c>
      <c r="C47" s="51">
        <f>(2*30)/47</f>
        <v>1.2765957446808511</v>
      </c>
      <c r="D47" s="7"/>
      <c r="E47" s="5" t="s">
        <v>20</v>
      </c>
      <c r="F47" s="2">
        <f>E33/E26</f>
        <v>5.4844749570915896E-2</v>
      </c>
      <c r="G47" s="4">
        <f>(5*30)/29</f>
        <v>5.1724137931034484</v>
      </c>
      <c r="H47" s="7"/>
      <c r="I47" s="5" t="s">
        <v>20</v>
      </c>
      <c r="J47" s="2">
        <f>G33/G26</f>
        <v>4.1341171010905717E-2</v>
      </c>
      <c r="K47" s="4">
        <f>(4*30)/38</f>
        <v>3.1578947368421053</v>
      </c>
      <c r="L47" s="7"/>
      <c r="M47" s="5" t="s">
        <v>20</v>
      </c>
      <c r="N47" s="2">
        <f>I33/I26</f>
        <v>3.8536395484624369E-2</v>
      </c>
      <c r="O47" s="4">
        <f>(4*30)/42</f>
        <v>2.8571428571428572</v>
      </c>
      <c r="P47" s="7"/>
    </row>
    <row r="48" spans="1:1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38.25" x14ac:dyDescent="0.25">
      <c r="A49" s="48" t="s">
        <v>22</v>
      </c>
      <c r="B49" s="5" t="s">
        <v>7</v>
      </c>
      <c r="C49" s="5" t="s">
        <v>23</v>
      </c>
      <c r="D49" s="7"/>
      <c r="E49" s="48" t="s">
        <v>22</v>
      </c>
      <c r="F49" s="5" t="s">
        <v>9</v>
      </c>
      <c r="G49" s="5" t="s">
        <v>23</v>
      </c>
      <c r="H49" s="7"/>
      <c r="I49" s="48" t="s">
        <v>22</v>
      </c>
      <c r="J49" s="5" t="s">
        <v>11</v>
      </c>
      <c r="K49" s="5" t="s">
        <v>23</v>
      </c>
      <c r="L49" s="7"/>
      <c r="M49" s="48" t="s">
        <v>22</v>
      </c>
      <c r="N49" s="5" t="s">
        <v>5</v>
      </c>
      <c r="O49" s="5" t="s">
        <v>23</v>
      </c>
      <c r="P49" s="7"/>
    </row>
    <row r="50" spans="1:16" ht="25.5" x14ac:dyDescent="0.25">
      <c r="A50" s="5" t="s">
        <v>14</v>
      </c>
      <c r="B50" s="2">
        <f>D27/D26</f>
        <v>4.4668200424273205E-2</v>
      </c>
      <c r="C50" s="4">
        <f>(4*30)/30</f>
        <v>4</v>
      </c>
      <c r="D50" s="7"/>
      <c r="E50" s="5" t="s">
        <v>14</v>
      </c>
      <c r="F50" s="2">
        <f>F27/F26</f>
        <v>2.9247526573729782E-2</v>
      </c>
      <c r="G50" s="4">
        <f>(3*30)/32</f>
        <v>2.8125</v>
      </c>
      <c r="H50" s="7"/>
      <c r="I50" s="5" t="s">
        <v>14</v>
      </c>
      <c r="J50" s="2">
        <f>H27/H26</f>
        <v>0.25148886587260488</v>
      </c>
      <c r="K50" s="6">
        <f>(25*30)/32</f>
        <v>23.4375</v>
      </c>
      <c r="L50" s="7"/>
      <c r="M50" s="5" t="s">
        <v>14</v>
      </c>
      <c r="N50" s="2">
        <f>J27/J26</f>
        <v>0.25974622615293225</v>
      </c>
      <c r="O50" s="4">
        <f>(26*30)/37</f>
        <v>21.081081081081081</v>
      </c>
      <c r="P50" s="7"/>
    </row>
    <row r="51" spans="1:16" ht="25.5" x14ac:dyDescent="0.25">
      <c r="A51" s="5" t="s">
        <v>15</v>
      </c>
      <c r="B51" s="2">
        <f>D28/D26</f>
        <v>6.8062983656517972E-2</v>
      </c>
      <c r="C51" s="4">
        <f>(7*30)/30</f>
        <v>7</v>
      </c>
      <c r="D51" s="7"/>
      <c r="E51" s="5" t="s">
        <v>15</v>
      </c>
      <c r="F51" s="2">
        <f>F28/F26</f>
        <v>4.6643629531330069E-2</v>
      </c>
      <c r="G51" s="4">
        <f>(5*30)/32</f>
        <v>4.6875</v>
      </c>
      <c r="H51" s="7"/>
      <c r="I51" s="5" t="s">
        <v>15</v>
      </c>
      <c r="J51" s="2">
        <f>H28/H26</f>
        <v>0.31123770067322631</v>
      </c>
      <c r="K51" s="6">
        <f>(31*30)/32</f>
        <v>29.0625</v>
      </c>
      <c r="L51" s="7"/>
      <c r="M51" s="5" t="s">
        <v>15</v>
      </c>
      <c r="N51" s="2">
        <f>J28/J26</f>
        <v>0.29388714533740906</v>
      </c>
      <c r="O51" s="52">
        <f>(29*30)/37</f>
        <v>23.513513513513512</v>
      </c>
      <c r="P51" s="7"/>
    </row>
    <row r="52" spans="1:16" ht="25.5" x14ac:dyDescent="0.25">
      <c r="A52" s="5" t="s">
        <v>16</v>
      </c>
      <c r="B52" s="2">
        <f>D29/D26</f>
        <v>0.29627416415190178</v>
      </c>
      <c r="C52" s="4" t="s">
        <v>24</v>
      </c>
      <c r="D52" s="7"/>
      <c r="E52" s="5" t="s">
        <v>16</v>
      </c>
      <c r="F52" s="2">
        <f>F29/F26</f>
        <v>0.32149942845130008</v>
      </c>
      <c r="G52" s="4">
        <f>(32*30)/32</f>
        <v>30</v>
      </c>
      <c r="H52" s="7"/>
      <c r="I52" s="5" t="s">
        <v>16</v>
      </c>
      <c r="J52" s="2">
        <f>H29/H26</f>
        <v>0.31667529777317455</v>
      </c>
      <c r="K52" s="4">
        <f>(32*30)/32</f>
        <v>30</v>
      </c>
      <c r="L52" s="7"/>
      <c r="M52" s="5" t="s">
        <v>16</v>
      </c>
      <c r="N52" s="2">
        <f>J29/J26</f>
        <v>0.37009425375855026</v>
      </c>
      <c r="O52" s="4">
        <f>(37*30)/37</f>
        <v>30</v>
      </c>
      <c r="P52" s="7"/>
    </row>
    <row r="53" spans="1:16" ht="25.5" x14ac:dyDescent="0.25">
      <c r="A53" s="5" t="s">
        <v>17</v>
      </c>
      <c r="B53" s="2">
        <f>D30/D26</f>
        <v>7.3082554005198835E-2</v>
      </c>
      <c r="C53" s="4">
        <f>(7*30)/30</f>
        <v>7</v>
      </c>
      <c r="D53" s="7"/>
      <c r="E53" s="5" t="s">
        <v>17</v>
      </c>
      <c r="F53" s="2">
        <f>F30/F26</f>
        <v>9.9607142387891048E-2</v>
      </c>
      <c r="G53" s="4">
        <f>(10*30)/32</f>
        <v>9.375</v>
      </c>
      <c r="H53" s="7"/>
      <c r="I53" s="5" t="s">
        <v>17</v>
      </c>
      <c r="J53" s="2">
        <f>H30/H26</f>
        <v>2.323925427239772E-2</v>
      </c>
      <c r="K53" s="4">
        <f>(2*30)/32</f>
        <v>1.875</v>
      </c>
      <c r="L53" s="7"/>
      <c r="M53" s="5" t="s">
        <v>17</v>
      </c>
      <c r="N53" s="2">
        <f>J30/J26</f>
        <v>2.6778571228256241E-2</v>
      </c>
      <c r="O53" s="4">
        <f>(3*30)/37</f>
        <v>2.4324324324324325</v>
      </c>
      <c r="P53" s="7"/>
    </row>
    <row r="54" spans="1:16" ht="25.5" x14ac:dyDescent="0.25">
      <c r="A54" s="5" t="s">
        <v>18</v>
      </c>
      <c r="B54" s="2">
        <f>D31/D26</f>
        <v>0.17069527025008216</v>
      </c>
      <c r="C54" s="4">
        <f>(17*30)/30</f>
        <v>17</v>
      </c>
      <c r="D54" s="7"/>
      <c r="E54" s="5" t="s">
        <v>18</v>
      </c>
      <c r="F54" s="2">
        <f>F31/F26</f>
        <v>0.20140850622134043</v>
      </c>
      <c r="G54" s="4">
        <f>(20*30)/32</f>
        <v>18.75</v>
      </c>
      <c r="H54" s="7"/>
      <c r="I54" s="5" t="s">
        <v>18</v>
      </c>
      <c r="J54" s="2">
        <f>H31/H26</f>
        <v>3.6639047125841533E-2</v>
      </c>
      <c r="K54" s="4">
        <f>(4*30)/32</f>
        <v>3.75</v>
      </c>
      <c r="L54" s="7"/>
      <c r="M54" s="5" t="s">
        <v>18</v>
      </c>
      <c r="N54" s="2">
        <f>J31/J26</f>
        <v>3.1716377004836337E-2</v>
      </c>
      <c r="O54" s="4">
        <f>(3*30)/37</f>
        <v>2.4324324324324325</v>
      </c>
      <c r="P54" s="7"/>
    </row>
    <row r="55" spans="1:16" ht="25.5" x14ac:dyDescent="0.25">
      <c r="A55" s="5" t="s">
        <v>19</v>
      </c>
      <c r="B55" s="2">
        <f>D32/D26</f>
        <v>0.2768233290507634</v>
      </c>
      <c r="C55" s="4">
        <f>(28*30)/30</f>
        <v>28</v>
      </c>
      <c r="D55" s="7"/>
      <c r="E55" s="5" t="s">
        <v>19</v>
      </c>
      <c r="F55" s="2">
        <f>F32/F26</f>
        <v>0.2540172647124519</v>
      </c>
      <c r="G55" s="6">
        <f>(25*30)/32</f>
        <v>23.4375</v>
      </c>
      <c r="H55" s="7"/>
      <c r="I55" s="5" t="s">
        <v>19</v>
      </c>
      <c r="J55" s="2">
        <f>H32/H26</f>
        <v>4.9003107198342825E-2</v>
      </c>
      <c r="K55" s="4">
        <f>(5*30)/32</f>
        <v>4.6875</v>
      </c>
      <c r="L55" s="7"/>
      <c r="M55" s="5" t="s">
        <v>19</v>
      </c>
      <c r="N55" s="2">
        <f>J32/J26</f>
        <v>1.6580197277680189E-2</v>
      </c>
      <c r="O55" s="4">
        <f>(2*30)/37</f>
        <v>1.6216216216216217</v>
      </c>
      <c r="P55" s="7"/>
    </row>
    <row r="56" spans="1:16" ht="25.5" x14ac:dyDescent="0.25">
      <c r="A56" s="5" t="s">
        <v>20</v>
      </c>
      <c r="B56" s="2">
        <f>D33/D26</f>
        <v>7.0393498461262666E-2</v>
      </c>
      <c r="C56" s="4">
        <f>(7*30)/30</f>
        <v>7</v>
      </c>
      <c r="D56" s="7"/>
      <c r="E56" s="5" t="s">
        <v>20</v>
      </c>
      <c r="F56" s="2">
        <f>F33/F26</f>
        <v>4.7576502121956667E-2</v>
      </c>
      <c r="G56" s="4">
        <f>(5*30)/32</f>
        <v>4.6875</v>
      </c>
      <c r="H56" s="7"/>
      <c r="I56" s="5" t="s">
        <v>20</v>
      </c>
      <c r="J56" s="2">
        <f>H33/H26</f>
        <v>1.1716727084412222E-2</v>
      </c>
      <c r="K56" s="4">
        <f>(1*30)/32</f>
        <v>0.9375</v>
      </c>
      <c r="L56" s="7"/>
      <c r="M56" s="5" t="s">
        <v>20</v>
      </c>
      <c r="N56" s="2">
        <f>J33/J26</f>
        <v>1.1972292403356116E-3</v>
      </c>
      <c r="O56" s="4">
        <f>(0*30)/37</f>
        <v>0</v>
      </c>
      <c r="P56" s="7"/>
    </row>
    <row r="57" spans="1:1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63.75" x14ac:dyDescent="0.25">
      <c r="A58" s="48" t="s">
        <v>25</v>
      </c>
      <c r="B58" s="5" t="s">
        <v>6</v>
      </c>
      <c r="C58" s="5" t="s">
        <v>23</v>
      </c>
      <c r="D58" s="7"/>
      <c r="E58" s="48" t="s">
        <v>25</v>
      </c>
      <c r="F58" s="5" t="s">
        <v>8</v>
      </c>
      <c r="G58" s="5" t="s">
        <v>23</v>
      </c>
      <c r="H58" s="49"/>
      <c r="I58" s="48" t="s">
        <v>25</v>
      </c>
      <c r="J58" s="5" t="s">
        <v>10</v>
      </c>
      <c r="K58" s="5" t="s">
        <v>23</v>
      </c>
      <c r="L58" s="7"/>
      <c r="M58" s="48" t="s">
        <v>25</v>
      </c>
      <c r="N58" s="5" t="s">
        <v>12</v>
      </c>
      <c r="O58" s="5" t="s">
        <v>23</v>
      </c>
      <c r="P58" s="7"/>
    </row>
    <row r="59" spans="1:16" ht="25.5" x14ac:dyDescent="0.25">
      <c r="A59" s="5" t="s">
        <v>14</v>
      </c>
      <c r="B59" s="8">
        <f>C9/C8</f>
        <v>5.7547004740241145E-2</v>
      </c>
      <c r="C59" s="50">
        <f>(6*30)/47</f>
        <v>3.8297872340425534</v>
      </c>
      <c r="D59" s="53"/>
      <c r="E59" s="5" t="s">
        <v>14</v>
      </c>
      <c r="F59" s="8">
        <f>E9/E8</f>
        <v>0.24924353177166558</v>
      </c>
      <c r="G59" s="50">
        <f>(25*30)/28</f>
        <v>26.785714285714285</v>
      </c>
      <c r="H59" s="53"/>
      <c r="I59" s="5" t="s">
        <v>14</v>
      </c>
      <c r="J59" s="8">
        <f>G9/G8</f>
        <v>4.5068462309912197E-2</v>
      </c>
      <c r="K59" s="51">
        <f>(5*30)/40</f>
        <v>3.75</v>
      </c>
      <c r="L59" s="53"/>
      <c r="M59" s="5" t="s">
        <v>14</v>
      </c>
      <c r="N59" s="8">
        <f>I9/I8</f>
        <v>9.7289681509769757E-2</v>
      </c>
      <c r="O59" s="4">
        <f>(10*30)/42</f>
        <v>7.1428571428571432</v>
      </c>
      <c r="P59" s="7"/>
    </row>
    <row r="60" spans="1:16" ht="25.5" x14ac:dyDescent="0.25">
      <c r="A60" s="5" t="s">
        <v>15</v>
      </c>
      <c r="B60" s="8">
        <f>C10/C8</f>
        <v>0.1219299780485477</v>
      </c>
      <c r="C60" s="51">
        <f>(12*30)/47</f>
        <v>7.6595744680851068</v>
      </c>
      <c r="D60" s="53"/>
      <c r="E60" s="5" t="s">
        <v>15</v>
      </c>
      <c r="F60" s="8">
        <f>E10/E8</f>
        <v>0.16353313160847244</v>
      </c>
      <c r="G60" s="4">
        <f>(16*30)/28</f>
        <v>17.142857142857142</v>
      </c>
      <c r="H60" s="53"/>
      <c r="I60" s="5" t="s">
        <v>15</v>
      </c>
      <c r="J60" s="8">
        <f>G10/G8</f>
        <v>8.0906281340182976E-2</v>
      </c>
      <c r="K60" s="4">
        <f>(8*30)/40</f>
        <v>6</v>
      </c>
      <c r="L60" s="53"/>
      <c r="M60" s="5" t="s">
        <v>15</v>
      </c>
      <c r="N60" s="8">
        <f>I10/I8</f>
        <v>0.18378999666308257</v>
      </c>
      <c r="O60" s="54">
        <f>(18*30)/42</f>
        <v>12.857142857142858</v>
      </c>
      <c r="P60" s="7"/>
    </row>
    <row r="61" spans="1:16" ht="25.5" x14ac:dyDescent="0.25">
      <c r="A61" s="5" t="s">
        <v>16</v>
      </c>
      <c r="B61" s="8">
        <f>C11/C8</f>
        <v>0.46729949416218625</v>
      </c>
      <c r="C61" s="51">
        <f>(47*30)/47</f>
        <v>30</v>
      </c>
      <c r="D61" s="53"/>
      <c r="E61" s="5" t="s">
        <v>16</v>
      </c>
      <c r="F61" s="8">
        <f>E11/E8</f>
        <v>0.28419406384931833</v>
      </c>
      <c r="G61" s="4">
        <f>(28*30)/28</f>
        <v>30</v>
      </c>
      <c r="H61" s="53"/>
      <c r="I61" s="5" t="s">
        <v>16</v>
      </c>
      <c r="J61" s="8">
        <f>G11/G8</f>
        <v>0.3997216480075319</v>
      </c>
      <c r="K61" s="4">
        <f>(40*30)/40</f>
        <v>30</v>
      </c>
      <c r="L61" s="53"/>
      <c r="M61" s="5" t="s">
        <v>16</v>
      </c>
      <c r="N61" s="8">
        <f>I11/I8</f>
        <v>0.41741129361165696</v>
      </c>
      <c r="O61" s="4">
        <f>(42*30)/42</f>
        <v>30</v>
      </c>
      <c r="P61" s="7"/>
    </row>
    <row r="62" spans="1:16" ht="25.5" x14ac:dyDescent="0.25">
      <c r="A62" s="5" t="s">
        <v>17</v>
      </c>
      <c r="B62" s="8">
        <f>C12/C8</f>
        <v>8.8974962618903697E-2</v>
      </c>
      <c r="C62" s="51">
        <f>(9*30)/47</f>
        <v>5.7446808510638299</v>
      </c>
      <c r="D62" s="53"/>
      <c r="E62" s="5" t="s">
        <v>17</v>
      </c>
      <c r="F62" s="8">
        <f>E12/E8</f>
        <v>4.113827219256791E-2</v>
      </c>
      <c r="G62" s="4">
        <f>(4*30)/28</f>
        <v>4.2857142857142856</v>
      </c>
      <c r="H62" s="53"/>
      <c r="I62" s="5" t="s">
        <v>17</v>
      </c>
      <c r="J62" s="8">
        <f>G12/G8</f>
        <v>9.7545999713461187E-2</v>
      </c>
      <c r="K62" s="4">
        <f>(10*30)/40</f>
        <v>7.5</v>
      </c>
      <c r="L62" s="53"/>
      <c r="M62" s="5" t="s">
        <v>17</v>
      </c>
      <c r="N62" s="8">
        <f>I12/I8</f>
        <v>5.2982833413666532E-2</v>
      </c>
      <c r="O62" s="4">
        <f>(5*30)/42</f>
        <v>3.5714285714285716</v>
      </c>
      <c r="P62" s="7"/>
    </row>
    <row r="63" spans="1:16" ht="25.5" x14ac:dyDescent="0.25">
      <c r="A63" s="5" t="s">
        <v>18</v>
      </c>
      <c r="B63" s="8">
        <f>C13/C8</f>
        <v>0.13556214806095504</v>
      </c>
      <c r="C63" s="51">
        <f>(14*30)/47</f>
        <v>8.9361702127659566</v>
      </c>
      <c r="D63" s="53"/>
      <c r="E63" s="5" t="s">
        <v>18</v>
      </c>
      <c r="F63" s="8">
        <f>E13/E8</f>
        <v>8.3942474416074525E-2</v>
      </c>
      <c r="G63" s="4">
        <f>(8*30)/28</f>
        <v>8.5714285714285712</v>
      </c>
      <c r="H63" s="53"/>
      <c r="I63" s="5" t="s">
        <v>18</v>
      </c>
      <c r="J63" s="8">
        <f>G13/G8</f>
        <v>0.16815735074397756</v>
      </c>
      <c r="K63" s="4">
        <f>(17*30)/40</f>
        <v>12.75</v>
      </c>
      <c r="L63" s="53"/>
      <c r="M63" s="5" t="s">
        <v>18</v>
      </c>
      <c r="N63" s="8">
        <f>I13/I8</f>
        <v>9.1802306180712612E-2</v>
      </c>
      <c r="O63" s="4">
        <f>(9*30)/42</f>
        <v>6.4285714285714288</v>
      </c>
      <c r="P63" s="7"/>
    </row>
    <row r="64" spans="1:16" ht="25.5" x14ac:dyDescent="0.25">
      <c r="A64" s="5" t="s">
        <v>19</v>
      </c>
      <c r="B64" s="8">
        <f>C14/C8</f>
        <v>0.11281137657875481</v>
      </c>
      <c r="C64" s="51">
        <f>(11*30)/47</f>
        <v>7.0212765957446805</v>
      </c>
      <c r="D64" s="53"/>
      <c r="E64" s="5" t="s">
        <v>19</v>
      </c>
      <c r="F64" s="8">
        <f>E14/E8</f>
        <v>0.14027810831945059</v>
      </c>
      <c r="G64" s="50">
        <f>(14*30)/28</f>
        <v>15</v>
      </c>
      <c r="H64" s="53"/>
      <c r="I64" s="5" t="s">
        <v>19</v>
      </c>
      <c r="J64" s="8">
        <f>G14/G8</f>
        <v>0.1757710964203115</v>
      </c>
      <c r="K64" s="50">
        <f>(18*30)/40</f>
        <v>13.5</v>
      </c>
      <c r="L64" s="53"/>
      <c r="M64" s="5" t="s">
        <v>19</v>
      </c>
      <c r="N64" s="8">
        <f>I14/I8</f>
        <v>0.1302880872047755</v>
      </c>
      <c r="O64" s="54">
        <f>(13*30)/42</f>
        <v>9.2857142857142865</v>
      </c>
      <c r="P64" s="7"/>
    </row>
    <row r="65" spans="1:16" ht="25.5" x14ac:dyDescent="0.25">
      <c r="A65" s="5" t="s">
        <v>20</v>
      </c>
      <c r="B65" s="8">
        <f>C15/C8</f>
        <v>1.587503579041135E-2</v>
      </c>
      <c r="C65" s="51">
        <f>(2*30)/47</f>
        <v>1.2765957446808511</v>
      </c>
      <c r="D65" s="53"/>
      <c r="E65" s="5" t="s">
        <v>20</v>
      </c>
      <c r="F65" s="8">
        <f>E15/E8</f>
        <v>3.7670417842450614E-2</v>
      </c>
      <c r="G65" s="4">
        <f>(4*30)/28</f>
        <v>4.2857142857142856</v>
      </c>
      <c r="H65" s="53"/>
      <c r="I65" s="5" t="s">
        <v>20</v>
      </c>
      <c r="J65" s="8">
        <f>G15/G8</f>
        <v>3.282916146462269E-2</v>
      </c>
      <c r="K65" s="4">
        <f>(3*30)/40</f>
        <v>2.25</v>
      </c>
      <c r="L65" s="53"/>
      <c r="M65" s="5" t="s">
        <v>20</v>
      </c>
      <c r="N65" s="8">
        <f>I15/I8</f>
        <v>2.6435801416336065E-2</v>
      </c>
      <c r="O65" s="4">
        <f>(3*30)/42</f>
        <v>2.1428571428571428</v>
      </c>
      <c r="P65" s="7"/>
    </row>
    <row r="66" spans="1:1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7"/>
    </row>
    <row r="67" spans="1:16" ht="38.25" x14ac:dyDescent="0.25">
      <c r="A67" s="48" t="s">
        <v>25</v>
      </c>
      <c r="B67" s="5" t="s">
        <v>7</v>
      </c>
      <c r="C67" s="5" t="s">
        <v>23</v>
      </c>
      <c r="D67" s="53"/>
      <c r="E67" s="48" t="s">
        <v>25</v>
      </c>
      <c r="F67" s="5" t="s">
        <v>9</v>
      </c>
      <c r="G67" s="5" t="s">
        <v>23</v>
      </c>
      <c r="H67" s="53"/>
      <c r="I67" s="48" t="s">
        <v>25</v>
      </c>
      <c r="J67" s="5" t="s">
        <v>11</v>
      </c>
      <c r="K67" s="5" t="s">
        <v>23</v>
      </c>
      <c r="L67" s="53"/>
      <c r="M67" s="48" t="s">
        <v>25</v>
      </c>
      <c r="N67" s="5" t="s">
        <v>5</v>
      </c>
      <c r="O67" s="5" t="s">
        <v>23</v>
      </c>
      <c r="P67" s="7"/>
    </row>
    <row r="68" spans="1:16" ht="25.5" x14ac:dyDescent="0.25">
      <c r="A68" s="5" t="s">
        <v>14</v>
      </c>
      <c r="B68" s="8">
        <f>D9/D8</f>
        <v>4.722171152187133E-2</v>
      </c>
      <c r="C68" s="4">
        <f>(5*30)/29</f>
        <v>5.1724137931034484</v>
      </c>
      <c r="D68" s="53"/>
      <c r="E68" s="5" t="s">
        <v>14</v>
      </c>
      <c r="F68" s="8">
        <f>F9/F8</f>
        <v>3.3829605356888448E-2</v>
      </c>
      <c r="G68" s="4">
        <f>(3*30)/35</f>
        <v>2.5714285714285716</v>
      </c>
      <c r="H68" s="53"/>
      <c r="I68" s="5" t="s">
        <v>14</v>
      </c>
      <c r="J68" s="8">
        <f>H9/H8</f>
        <v>0.27024508696634292</v>
      </c>
      <c r="K68" s="54">
        <f>(27*30)/32</f>
        <v>25.3125</v>
      </c>
      <c r="L68" s="53"/>
      <c r="M68" s="5" t="s">
        <v>14</v>
      </c>
      <c r="N68" s="8">
        <f>J9/J8</f>
        <v>0.26810437264199843</v>
      </c>
      <c r="O68" s="4">
        <f>(27*30)/36</f>
        <v>22.5</v>
      </c>
      <c r="P68" s="7"/>
    </row>
    <row r="69" spans="1:16" ht="25.5" x14ac:dyDescent="0.25">
      <c r="A69" s="5" t="s">
        <v>15</v>
      </c>
      <c r="B69" s="8">
        <f>D10/D8</f>
        <v>7.0471934265793609E-2</v>
      </c>
      <c r="C69" s="4">
        <f>(7*30)/29</f>
        <v>7.2413793103448274</v>
      </c>
      <c r="D69" s="53"/>
      <c r="E69" s="5" t="s">
        <v>15</v>
      </c>
      <c r="F69" s="8">
        <f>F10/F8</f>
        <v>5.9481407607921359E-2</v>
      </c>
      <c r="G69" s="4">
        <f>(6*30)/35</f>
        <v>5.1428571428571432</v>
      </c>
      <c r="H69" s="53"/>
      <c r="I69" s="5" t="s">
        <v>15</v>
      </c>
      <c r="J69" s="8">
        <f>H10/H8</f>
        <v>0.32174723288908968</v>
      </c>
      <c r="K69" s="54">
        <f>(32*30)/32</f>
        <v>30</v>
      </c>
      <c r="L69" s="53"/>
      <c r="M69" s="5" t="s">
        <v>15</v>
      </c>
      <c r="N69" s="8">
        <f>J10/J8</f>
        <v>0.29518977422683013</v>
      </c>
      <c r="O69" s="50">
        <f>(30*30)/36</f>
        <v>25</v>
      </c>
      <c r="P69" s="7"/>
    </row>
    <row r="70" spans="1:16" ht="25.5" x14ac:dyDescent="0.25">
      <c r="A70" s="5" t="s">
        <v>16</v>
      </c>
      <c r="B70" s="8">
        <f>D11/D8</f>
        <v>0.29194303412578315</v>
      </c>
      <c r="C70" s="4">
        <f>(29*30)/29</f>
        <v>30</v>
      </c>
      <c r="D70" s="53"/>
      <c r="E70" s="5" t="s">
        <v>16</v>
      </c>
      <c r="F70" s="8">
        <f>F11/F8</f>
        <v>0.34847556631998861</v>
      </c>
      <c r="G70" s="4">
        <f>(35*30)/35</f>
        <v>30</v>
      </c>
      <c r="H70" s="53"/>
      <c r="I70" s="5" t="s">
        <v>16</v>
      </c>
      <c r="J70" s="8">
        <f>H11/H8</f>
        <v>0.30683871696408405</v>
      </c>
      <c r="K70" s="4">
        <f>(31*30)/32</f>
        <v>29.0625</v>
      </c>
      <c r="L70" s="53"/>
      <c r="M70" s="5" t="s">
        <v>16</v>
      </c>
      <c r="N70" s="8">
        <f>J11/J8</f>
        <v>0.36271465105409051</v>
      </c>
      <c r="O70" s="4">
        <f>(36*30)/36</f>
        <v>30</v>
      </c>
      <c r="P70" s="7"/>
    </row>
    <row r="71" spans="1:16" ht="25.5" x14ac:dyDescent="0.25">
      <c r="A71" s="5" t="s">
        <v>17</v>
      </c>
      <c r="B71" s="8">
        <f>D12/D8</f>
        <v>7.6496627020605584E-2</v>
      </c>
      <c r="C71" s="4">
        <f>(8*30)/29</f>
        <v>8.2758620689655178</v>
      </c>
      <c r="D71" s="53"/>
      <c r="E71" s="5" t="s">
        <v>17</v>
      </c>
      <c r="F71" s="8">
        <f>F12/F8</f>
        <v>9.8233366576435388E-2</v>
      </c>
      <c r="G71" s="4">
        <f>(10*30)/35</f>
        <v>8.5714285714285712</v>
      </c>
      <c r="H71" s="53"/>
      <c r="I71" s="5" t="s">
        <v>17</v>
      </c>
      <c r="J71" s="8">
        <f>H12/H8</f>
        <v>2.1628642421504404E-2</v>
      </c>
      <c r="K71" s="4">
        <f>(2*30)/32</f>
        <v>1.875</v>
      </c>
      <c r="L71" s="53"/>
      <c r="M71" s="5" t="s">
        <v>17</v>
      </c>
      <c r="N71" s="8">
        <f>J12/J8</f>
        <v>2.6089782878735875E-2</v>
      </c>
      <c r="O71" s="4">
        <f>(3*30)/36</f>
        <v>2.5</v>
      </c>
      <c r="P71" s="7"/>
    </row>
    <row r="72" spans="1:16" ht="25.5" x14ac:dyDescent="0.25">
      <c r="A72" s="5" t="s">
        <v>18</v>
      </c>
      <c r="B72" s="8">
        <f>D13/D8</f>
        <v>0.1818438954022826</v>
      </c>
      <c r="C72" s="4">
        <f>(18*30)/29</f>
        <v>18.620689655172413</v>
      </c>
      <c r="D72" s="53"/>
      <c r="E72" s="5" t="s">
        <v>18</v>
      </c>
      <c r="F72" s="8">
        <f>F13/F8</f>
        <v>0.19026926912665623</v>
      </c>
      <c r="G72" s="4">
        <f>(19*30)/35</f>
        <v>16.285714285714285</v>
      </c>
      <c r="H72" s="53"/>
      <c r="I72" s="5" t="s">
        <v>18</v>
      </c>
      <c r="J72" s="8">
        <f>H13/H8</f>
        <v>3.3995934041111363E-2</v>
      </c>
      <c r="K72" s="4">
        <f>(3*30)/32</f>
        <v>2.8125</v>
      </c>
      <c r="L72" s="53"/>
      <c r="M72" s="5" t="s">
        <v>18</v>
      </c>
      <c r="N72" s="8">
        <f>J13/J8</f>
        <v>3.1303270602253186E-2</v>
      </c>
      <c r="O72" s="4">
        <f>(3*30)/36</f>
        <v>2.5</v>
      </c>
      <c r="P72" s="7"/>
    </row>
    <row r="73" spans="1:16" ht="25.5" x14ac:dyDescent="0.25">
      <c r="A73" s="5" t="s">
        <v>19</v>
      </c>
      <c r="B73" s="8">
        <f>D14/D8</f>
        <v>0.27235571143701648</v>
      </c>
      <c r="C73" s="4">
        <f>(27*30)/29</f>
        <v>27.931034482758619</v>
      </c>
      <c r="D73" s="53"/>
      <c r="E73" s="5" t="s">
        <v>19</v>
      </c>
      <c r="F73" s="8">
        <f>F14/F8</f>
        <v>0.22952699814788433</v>
      </c>
      <c r="G73" s="54">
        <f>(23*30)/35</f>
        <v>19.714285714285715</v>
      </c>
      <c r="H73" s="53"/>
      <c r="I73" s="5" t="s">
        <v>19</v>
      </c>
      <c r="J73" s="8">
        <f>H14/H8</f>
        <v>3.7581883894285066E-2</v>
      </c>
      <c r="K73" s="4">
        <f>(4*30)/32</f>
        <v>3.75</v>
      </c>
      <c r="L73" s="53"/>
      <c r="M73" s="5" t="s">
        <v>19</v>
      </c>
      <c r="N73" s="8">
        <f>J14/J8</f>
        <v>1.5591357759421418E-2</v>
      </c>
      <c r="O73" s="4">
        <f>(2*30)/36</f>
        <v>1.6666666666666667</v>
      </c>
      <c r="P73" s="7"/>
    </row>
    <row r="74" spans="1:16" ht="25.5" x14ac:dyDescent="0.25">
      <c r="A74" s="5" t="s">
        <v>20</v>
      </c>
      <c r="B74" s="8">
        <f>D15/D8</f>
        <v>5.9667086226647244E-2</v>
      </c>
      <c r="C74" s="4">
        <f>(6*30)/29</f>
        <v>6.2068965517241379</v>
      </c>
      <c r="D74" s="53"/>
      <c r="E74" s="5" t="s">
        <v>20</v>
      </c>
      <c r="F74" s="8">
        <f>F15/F8</f>
        <v>4.0183786864225676E-2</v>
      </c>
      <c r="G74" s="4">
        <f>(4*30)/35</f>
        <v>3.4285714285714284</v>
      </c>
      <c r="H74" s="53"/>
      <c r="I74" s="5" t="s">
        <v>20</v>
      </c>
      <c r="J74" s="8">
        <f>H15/H8</f>
        <v>7.9625028235825613E-3</v>
      </c>
      <c r="K74" s="4">
        <f>(1*30)/32</f>
        <v>0.9375</v>
      </c>
      <c r="L74" s="53"/>
      <c r="M74" s="5" t="s">
        <v>20</v>
      </c>
      <c r="N74" s="8">
        <f>J15/J8</f>
        <v>1.006790836670466E-3</v>
      </c>
      <c r="O74" s="4">
        <f>(0*30)/36</f>
        <v>0</v>
      </c>
      <c r="P74" s="7"/>
    </row>
    <row r="75" spans="1:1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6">
    <mergeCell ref="A7:J7"/>
    <mergeCell ref="A3:J3"/>
    <mergeCell ref="A5:A6"/>
    <mergeCell ref="B5:B6"/>
    <mergeCell ref="C5:I5"/>
    <mergeCell ref="J5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2020-03-26T19:03:57Z</dcterms:created>
  <dcterms:modified xsi:type="dcterms:W3CDTF">2020-03-28T20:20:32Z</dcterms:modified>
</cp:coreProperties>
</file>