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S:\Code Repository\"/>
    </mc:Choice>
  </mc:AlternateContent>
  <xr:revisionPtr revIDLastSave="0" documentId="8_{4E36F5F1-275A-48B9-A140-2D50E0411ACC}" xr6:coauthVersionLast="47" xr6:coauthVersionMax="47" xr10:uidLastSave="{00000000-0000-0000-0000-000000000000}"/>
  <bookViews>
    <workbookView xWindow="2950" yWindow="14290" windowWidth="19420" windowHeight="1030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7" i="3" l="1"/>
  <c r="A8" i="3"/>
  <c r="A6" i="3"/>
  <c r="E7" i="3"/>
  <c r="E8" i="3"/>
  <c r="E6" i="3"/>
  <c r="H10" i="3"/>
  <c r="H11" i="3"/>
  <c r="H12" i="3"/>
  <c r="H13" i="3"/>
  <c r="H9" i="3"/>
  <c r="E47" i="1"/>
  <c r="B47" i="1"/>
  <c r="M61" i="1"/>
  <c r="M62" i="1" s="1"/>
  <c r="M45" i="1"/>
  <c r="M46" i="1" s="1"/>
  <c r="M53" i="1"/>
  <c r="M54" i="1" s="1"/>
  <c r="B39" i="1" l="1"/>
  <c r="D39" i="1" s="1"/>
  <c r="D31" i="1" s="1"/>
  <c r="E31" i="1" l="1"/>
  <c r="F31" i="1" s="1"/>
  <c r="B31" i="1"/>
  <c r="I31" i="1" s="1"/>
  <c r="D23" i="1"/>
  <c r="E39" i="1"/>
  <c r="F39" i="1" s="1"/>
  <c r="B41" i="1"/>
  <c r="B40" i="1"/>
  <c r="E23" i="1" l="1"/>
  <c r="F23" i="1" s="1"/>
  <c r="B23" i="1"/>
  <c r="I23" i="1" s="1"/>
  <c r="D41" i="1"/>
  <c r="D40" i="1"/>
  <c r="D32" i="1" s="1"/>
  <c r="D8" i="1"/>
  <c r="E8" i="1" s="1"/>
  <c r="F8" i="1" s="1"/>
  <c r="D9" i="1"/>
  <c r="E9" i="1" s="1"/>
  <c r="F9" i="1" s="1"/>
  <c r="D3" i="1"/>
  <c r="E3" i="1" s="1"/>
  <c r="F3" i="1" s="1"/>
  <c r="D4" i="1"/>
  <c r="E4" i="1" s="1"/>
  <c r="F4" i="1" s="1"/>
  <c r="D17" i="1"/>
  <c r="D18" i="1"/>
  <c r="D16" i="1"/>
  <c r="D5" i="1"/>
  <c r="E5" i="1" s="1"/>
  <c r="F5" i="1" s="1"/>
  <c r="D6" i="1"/>
  <c r="E6" i="1" s="1"/>
  <c r="F6" i="1" s="1"/>
  <c r="D7" i="1"/>
  <c r="E7" i="1" s="1"/>
  <c r="F7" i="1" s="1"/>
  <c r="D10" i="1"/>
  <c r="E10" i="1" s="1"/>
  <c r="F10" i="1" s="1"/>
  <c r="F11" i="1" l="1"/>
  <c r="E32" i="1"/>
  <c r="F32" i="1" s="1"/>
  <c r="B32" i="1"/>
  <c r="I32" i="1" s="1"/>
  <c r="D24" i="1"/>
  <c r="E40" i="1"/>
  <c r="F40" i="1" s="1"/>
  <c r="M47" i="1"/>
  <c r="L48" i="1"/>
  <c r="M55" i="1"/>
  <c r="L56" i="1"/>
  <c r="E55" i="1" s="1"/>
  <c r="D25" i="1"/>
  <c r="E41" i="1"/>
  <c r="F41" i="1" s="1"/>
  <c r="E25" i="1" l="1"/>
  <c r="F25" i="1" s="1"/>
  <c r="B25" i="1"/>
  <c r="I25" i="1" s="1"/>
  <c r="F55" i="1"/>
  <c r="D55" i="1"/>
  <c r="B55" i="1" s="1"/>
  <c r="I55" i="1" s="1"/>
  <c r="L57" i="1"/>
  <c r="E56" i="1" s="1"/>
  <c r="D47" i="1"/>
  <c r="F47" i="1"/>
  <c r="L49" i="1"/>
  <c r="E48" i="1" s="1"/>
  <c r="F42" i="1"/>
  <c r="F34" i="1" s="1"/>
  <c r="F33" i="1" s="1"/>
  <c r="E33" i="1" s="1"/>
  <c r="D33" i="1" s="1"/>
  <c r="B24" i="1"/>
  <c r="I24" i="1" s="1"/>
  <c r="E24" i="1"/>
  <c r="F24" i="1" s="1"/>
  <c r="F26" i="1" l="1"/>
  <c r="B33" i="1"/>
  <c r="I33" i="1" s="1"/>
  <c r="D56" i="1"/>
  <c r="B56" i="1" s="1"/>
  <c r="I56" i="1" s="1"/>
  <c r="F56" i="1"/>
  <c r="D48" i="1"/>
  <c r="L64" i="1" s="1"/>
  <c r="E63" i="1" s="1"/>
  <c r="F48" i="1"/>
  <c r="I47" i="1"/>
  <c r="F50" i="1"/>
  <c r="F58" i="1"/>
  <c r="F66" i="1"/>
  <c r="F57" i="1" l="1"/>
  <c r="E57" i="1" s="1"/>
  <c r="D57" i="1" s="1"/>
  <c r="B57" i="1" s="1"/>
  <c r="I57" i="1" s="1"/>
  <c r="D63" i="1"/>
  <c r="B63" i="1" s="1"/>
  <c r="I63" i="1" s="1"/>
  <c r="J63" i="1" s="1"/>
  <c r="F63" i="1"/>
  <c r="F49" i="1"/>
  <c r="E49" i="1" s="1"/>
  <c r="D49" i="1" s="1"/>
  <c r="M63" i="1"/>
  <c r="L65" i="1" s="1"/>
  <c r="E64" i="1" s="1"/>
  <c r="B48" i="1"/>
  <c r="I48" i="1" s="1"/>
  <c r="D64" i="1" l="1"/>
  <c r="B64" i="1" s="1"/>
  <c r="I64" i="1" s="1"/>
  <c r="J64" i="1" s="1"/>
  <c r="F64" i="1"/>
  <c r="F65" i="1" s="1"/>
  <c r="E65" i="1" s="1"/>
  <c r="D65" i="1" s="1"/>
  <c r="B65" i="1" s="1"/>
  <c r="I65" i="1" s="1"/>
  <c r="J65" i="1" s="1"/>
  <c r="B49" i="1"/>
  <c r="I49" i="1" s="1"/>
</calcChain>
</file>

<file path=xl/sharedStrings.xml><?xml version="1.0" encoding="utf-8"?>
<sst xmlns="http://schemas.openxmlformats.org/spreadsheetml/2006/main" count="254" uniqueCount="93">
  <si>
    <t>model-ISF</t>
  </si>
  <si>
    <t>Ionic Component</t>
  </si>
  <si>
    <t>MW</t>
  </si>
  <si>
    <t>NaCl</t>
  </si>
  <si>
    <t>mM/L</t>
  </si>
  <si>
    <r>
      <t>NaHCO</t>
    </r>
    <r>
      <rPr>
        <vertAlign val="subscript"/>
        <sz val="14"/>
        <color theme="1"/>
        <rFont val="Calibri"/>
        <family val="2"/>
        <scheme val="minor"/>
      </rPr>
      <t>3</t>
    </r>
  </si>
  <si>
    <r>
      <t>KHCO</t>
    </r>
    <r>
      <rPr>
        <vertAlign val="subscript"/>
        <sz val="14"/>
        <color theme="1"/>
        <rFont val="Calibri"/>
        <family val="2"/>
        <scheme val="minor"/>
      </rPr>
      <t>3</t>
    </r>
  </si>
  <si>
    <r>
      <t>MgSO</t>
    </r>
    <r>
      <rPr>
        <vertAlign val="subscript"/>
        <sz val="14"/>
        <color theme="1"/>
        <rFont val="Calibri"/>
        <family val="2"/>
        <scheme val="minor"/>
      </rPr>
      <t>4</t>
    </r>
  </si>
  <si>
    <r>
      <t>MgCl</t>
    </r>
    <r>
      <rPr>
        <vertAlign val="subscript"/>
        <sz val="14"/>
        <color theme="1"/>
        <rFont val="Calibri"/>
        <family val="2"/>
        <scheme val="minor"/>
      </rPr>
      <t>2</t>
    </r>
  </si>
  <si>
    <r>
      <t>CaCl</t>
    </r>
    <r>
      <rPr>
        <vertAlign val="subscript"/>
        <sz val="14"/>
        <color theme="1"/>
        <rFont val="Calibri"/>
        <family val="2"/>
        <scheme val="minor"/>
      </rPr>
      <t>2</t>
    </r>
  </si>
  <si>
    <r>
      <t>Na</t>
    </r>
    <r>
      <rPr>
        <vertAlign val="subscript"/>
        <sz val="14"/>
        <color theme="1"/>
        <rFont val="Calibri"/>
        <family val="2"/>
        <scheme val="minor"/>
      </rPr>
      <t>2</t>
    </r>
    <r>
      <rPr>
        <sz val="14"/>
        <color theme="1"/>
        <rFont val="Calibri"/>
        <family val="2"/>
        <scheme val="minor"/>
      </rPr>
      <t>HPO</t>
    </r>
    <r>
      <rPr>
        <vertAlign val="subscript"/>
        <sz val="14"/>
        <color theme="1"/>
        <rFont val="Calibri"/>
        <family val="2"/>
        <scheme val="minor"/>
      </rPr>
      <t>4</t>
    </r>
    <r>
      <rPr>
        <sz val="14"/>
        <color theme="1"/>
        <rFont val="Calibri"/>
        <family val="2"/>
        <scheme val="minor"/>
      </rPr>
      <t xml:space="preserve">  </t>
    </r>
    <r>
      <rPr>
        <b/>
        <sz val="14"/>
        <color theme="1"/>
        <rFont val="Calibri"/>
        <family val="2"/>
        <scheme val="minor"/>
      </rPr>
      <t>·</t>
    </r>
    <r>
      <rPr>
        <sz val="14"/>
        <color theme="1"/>
        <rFont val="Calibri"/>
        <family val="2"/>
        <scheme val="minor"/>
      </rPr>
      <t xml:space="preserve">  7H</t>
    </r>
    <r>
      <rPr>
        <vertAlign val="subscript"/>
        <sz val="14"/>
        <color theme="1"/>
        <rFont val="Calibri"/>
        <family val="2"/>
        <scheme val="minor"/>
      </rPr>
      <t>2</t>
    </r>
    <r>
      <rPr>
        <sz val="14"/>
        <color theme="1"/>
        <rFont val="Calibri"/>
        <family val="2"/>
        <scheme val="minor"/>
      </rPr>
      <t>O</t>
    </r>
  </si>
  <si>
    <r>
      <t>NaH</t>
    </r>
    <r>
      <rPr>
        <vertAlign val="subscript"/>
        <sz val="14"/>
        <color theme="1"/>
        <rFont val="Calibri"/>
        <family val="2"/>
        <scheme val="minor"/>
      </rPr>
      <t>2</t>
    </r>
    <r>
      <rPr>
        <sz val="14"/>
        <color theme="1"/>
        <rFont val="Calibri"/>
        <family val="2"/>
        <scheme val="minor"/>
      </rPr>
      <t>PO</t>
    </r>
    <r>
      <rPr>
        <vertAlign val="subscript"/>
        <sz val="14"/>
        <color theme="1"/>
        <rFont val="Calibri"/>
        <family val="2"/>
        <scheme val="minor"/>
      </rPr>
      <t>4</t>
    </r>
    <r>
      <rPr>
        <sz val="14"/>
        <color theme="1"/>
        <rFont val="Calibri"/>
        <family val="2"/>
        <scheme val="minor"/>
      </rPr>
      <t xml:space="preserve">  </t>
    </r>
    <r>
      <rPr>
        <b/>
        <sz val="14"/>
        <color theme="1"/>
        <rFont val="Calibri"/>
        <family val="2"/>
        <scheme val="minor"/>
      </rPr>
      <t xml:space="preserve">· </t>
    </r>
    <r>
      <rPr>
        <sz val="14"/>
        <color theme="1"/>
        <rFont val="Calibri"/>
        <family val="2"/>
        <scheme val="minor"/>
      </rPr>
      <t xml:space="preserve"> H</t>
    </r>
    <r>
      <rPr>
        <vertAlign val="subscript"/>
        <sz val="14"/>
        <color theme="1"/>
        <rFont val="Calibri"/>
        <family val="2"/>
        <scheme val="minor"/>
      </rPr>
      <t>2</t>
    </r>
    <r>
      <rPr>
        <sz val="14"/>
        <color theme="1"/>
        <rFont val="Calibri"/>
        <family val="2"/>
        <scheme val="minor"/>
      </rPr>
      <t>O</t>
    </r>
  </si>
  <si>
    <r>
      <t>Na</t>
    </r>
    <r>
      <rPr>
        <vertAlign val="subscript"/>
        <sz val="14"/>
        <color theme="1"/>
        <rFont val="Calibri"/>
        <family val="2"/>
        <scheme val="minor"/>
      </rPr>
      <t>2</t>
    </r>
    <r>
      <rPr>
        <sz val="14"/>
        <color theme="1"/>
        <rFont val="Calibri"/>
        <family val="2"/>
        <scheme val="minor"/>
      </rPr>
      <t>HPO</t>
    </r>
    <r>
      <rPr>
        <vertAlign val="subscript"/>
        <sz val="14"/>
        <color theme="1"/>
        <rFont val="Calibri"/>
        <family val="2"/>
        <scheme val="minor"/>
      </rPr>
      <t xml:space="preserve">4 </t>
    </r>
    <r>
      <rPr>
        <sz val="14"/>
        <color theme="1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>·</t>
    </r>
    <r>
      <rPr>
        <sz val="14"/>
        <color theme="1"/>
        <rFont val="Calibri"/>
        <family val="2"/>
        <scheme val="minor"/>
      </rPr>
      <t xml:space="preserve">  7H</t>
    </r>
    <r>
      <rPr>
        <vertAlign val="subscript"/>
        <sz val="14"/>
        <color theme="1"/>
        <rFont val="Calibri"/>
        <family val="2"/>
        <scheme val="minor"/>
      </rPr>
      <t>2</t>
    </r>
    <r>
      <rPr>
        <sz val="14"/>
        <color theme="1"/>
        <rFont val="Calibri"/>
        <family val="2"/>
        <scheme val="minor"/>
      </rPr>
      <t>O</t>
    </r>
  </si>
  <si>
    <t>Stock Solutions A, B, and C</t>
  </si>
  <si>
    <t>Grams in 1L</t>
  </si>
  <si>
    <t>Table 1. Test Solution Components</t>
  </si>
  <si>
    <t>-</t>
  </si>
  <si>
    <r>
      <t>[A] NaH</t>
    </r>
    <r>
      <rPr>
        <vertAlign val="subscript"/>
        <sz val="14"/>
        <color theme="1"/>
        <rFont val="Calibri"/>
        <family val="2"/>
        <scheme val="minor"/>
      </rPr>
      <t>2</t>
    </r>
    <r>
      <rPr>
        <sz val="14"/>
        <color theme="1"/>
        <rFont val="Calibri"/>
        <family val="2"/>
        <scheme val="minor"/>
      </rPr>
      <t>PO</t>
    </r>
    <r>
      <rPr>
        <vertAlign val="subscript"/>
        <sz val="14"/>
        <color theme="1"/>
        <rFont val="Calibri"/>
        <family val="2"/>
        <scheme val="minor"/>
      </rPr>
      <t>4</t>
    </r>
    <r>
      <rPr>
        <sz val="14"/>
        <color theme="1"/>
        <rFont val="Calibri"/>
        <family val="2"/>
        <scheme val="minor"/>
      </rPr>
      <t xml:space="preserve">  </t>
    </r>
    <r>
      <rPr>
        <b/>
        <sz val="14"/>
        <color theme="1"/>
        <rFont val="Calibri"/>
        <family val="2"/>
        <scheme val="minor"/>
      </rPr>
      <t xml:space="preserve">· </t>
    </r>
    <r>
      <rPr>
        <sz val="14"/>
        <color theme="1"/>
        <rFont val="Calibri"/>
        <family val="2"/>
        <scheme val="minor"/>
      </rPr>
      <t xml:space="preserve"> H</t>
    </r>
    <r>
      <rPr>
        <vertAlign val="subscript"/>
        <sz val="14"/>
        <color theme="1"/>
        <rFont val="Calibri"/>
        <family val="2"/>
        <scheme val="minor"/>
      </rPr>
      <t>2</t>
    </r>
    <r>
      <rPr>
        <sz val="14"/>
        <color theme="1"/>
        <rFont val="Calibri"/>
        <family val="2"/>
        <scheme val="minor"/>
      </rPr>
      <t>O</t>
    </r>
  </si>
  <si>
    <r>
      <t>[B] Na</t>
    </r>
    <r>
      <rPr>
        <vertAlign val="subscript"/>
        <sz val="14"/>
        <color theme="1"/>
        <rFont val="Calibri"/>
        <family val="2"/>
        <scheme val="minor"/>
      </rPr>
      <t>2</t>
    </r>
    <r>
      <rPr>
        <sz val="14"/>
        <color theme="1"/>
        <rFont val="Calibri"/>
        <family val="2"/>
        <scheme val="minor"/>
      </rPr>
      <t>HPO</t>
    </r>
    <r>
      <rPr>
        <vertAlign val="subscript"/>
        <sz val="14"/>
        <color theme="1"/>
        <rFont val="Calibri"/>
        <family val="2"/>
        <scheme val="minor"/>
      </rPr>
      <t xml:space="preserve">4 </t>
    </r>
    <r>
      <rPr>
        <sz val="14"/>
        <color theme="1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>·</t>
    </r>
    <r>
      <rPr>
        <sz val="14"/>
        <color theme="1"/>
        <rFont val="Calibri"/>
        <family val="2"/>
        <scheme val="minor"/>
      </rPr>
      <t xml:space="preserve">  7H</t>
    </r>
    <r>
      <rPr>
        <vertAlign val="subscript"/>
        <sz val="14"/>
        <color theme="1"/>
        <rFont val="Calibri"/>
        <family val="2"/>
        <scheme val="minor"/>
      </rPr>
      <t>2</t>
    </r>
    <r>
      <rPr>
        <sz val="14"/>
        <color theme="1"/>
        <rFont val="Calibri"/>
        <family val="2"/>
        <scheme val="minor"/>
      </rPr>
      <t>O</t>
    </r>
  </si>
  <si>
    <t>[C] NaCl</t>
  </si>
  <si>
    <t>Stock Solution</t>
  </si>
  <si>
    <t>mL in 1L DI</t>
  </si>
  <si>
    <t>1x PBS [ 7.1 &lt; pH &lt; 7.3 ]</t>
  </si>
  <si>
    <t>* In ISF only:</t>
  </si>
  <si>
    <t>1x PBS [ 8.1 &lt; pH &lt; 8.3 ]</t>
  </si>
  <si>
    <t>1x PBS [ 6.1 &lt; pH &lt; 6.3 ]</t>
  </si>
  <si>
    <r>
      <t xml:space="preserve">* Add [A] to </t>
    </r>
    <r>
      <rPr>
        <sz val="8"/>
        <color theme="1"/>
        <rFont val="Calibri"/>
        <family val="2"/>
      </rPr>
      <t>↓</t>
    </r>
    <r>
      <rPr>
        <sz val="8"/>
        <color theme="1"/>
        <rFont val="Calibri"/>
        <family val="2"/>
        <scheme val="minor"/>
      </rPr>
      <t xml:space="preserve"> pH</t>
    </r>
  </si>
  <si>
    <r>
      <t xml:space="preserve">* Add [B] to </t>
    </r>
    <r>
      <rPr>
        <sz val="8"/>
        <color theme="1"/>
        <rFont val="Calibri"/>
        <family val="2"/>
      </rPr>
      <t xml:space="preserve">↑ </t>
    </r>
    <r>
      <rPr>
        <sz val="8"/>
        <color theme="1"/>
        <rFont val="Calibri"/>
        <family val="2"/>
        <scheme val="minor"/>
      </rPr>
      <t>pH</t>
    </r>
  </si>
  <si>
    <t>Sodium Phosphate, Monobasic, Anhydrous</t>
  </si>
  <si>
    <t>Sodium Phosphate, Dibasic, Heptahydrate</t>
  </si>
  <si>
    <t>Sodium Chloride</t>
  </si>
  <si>
    <t>Sodium Bicarbonate</t>
  </si>
  <si>
    <t>Potassium Bicarbonate</t>
  </si>
  <si>
    <t>Magnesium Chloride</t>
  </si>
  <si>
    <t>Magnesium Sulfate</t>
  </si>
  <si>
    <t>Calcium Chloride</t>
  </si>
  <si>
    <t>Chemical Name</t>
  </si>
  <si>
    <t>M/L</t>
  </si>
  <si>
    <t>1x PBS [ 5.1 &lt; pH &lt; 5.3 ]</t>
  </si>
  <si>
    <r>
      <t>[H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PO</t>
    </r>
    <r>
      <rPr>
        <b/>
        <vertAlign val="subscript"/>
        <sz val="11"/>
        <color theme="1"/>
        <rFont val="Calibri"/>
        <family val="2"/>
        <scheme val="minor"/>
      </rPr>
      <t>4</t>
    </r>
    <r>
      <rPr>
        <b/>
        <sz val="11"/>
        <color theme="1"/>
        <rFont val="Calibri"/>
        <family val="2"/>
        <scheme val="minor"/>
      </rPr>
      <t>] / [HPO</t>
    </r>
    <r>
      <rPr>
        <b/>
        <vertAlign val="subscript"/>
        <sz val="11"/>
        <color theme="1"/>
        <rFont val="Calibri"/>
        <family val="2"/>
        <scheme val="minor"/>
      </rPr>
      <t>4</t>
    </r>
    <r>
      <rPr>
        <b/>
        <sz val="11"/>
        <color theme="1"/>
        <rFont val="Calibri"/>
        <family val="2"/>
        <scheme val="minor"/>
      </rPr>
      <t>] =</t>
    </r>
  </si>
  <si>
    <r>
      <t>[HPO</t>
    </r>
    <r>
      <rPr>
        <b/>
        <vertAlign val="subscript"/>
        <sz val="11"/>
        <color theme="1"/>
        <rFont val="Calibri"/>
        <family val="2"/>
        <scheme val="minor"/>
      </rPr>
      <t>4</t>
    </r>
    <r>
      <rPr>
        <b/>
        <sz val="11"/>
        <color theme="1"/>
        <rFont val="Calibri"/>
        <family val="2"/>
        <scheme val="minor"/>
      </rPr>
      <t>] =</t>
    </r>
  </si>
  <si>
    <r>
      <t>[H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PO</t>
    </r>
    <r>
      <rPr>
        <b/>
        <vertAlign val="subscript"/>
        <sz val="11"/>
        <color theme="1"/>
        <rFont val="Calibri"/>
        <family val="2"/>
        <scheme val="minor"/>
      </rPr>
      <t>4</t>
    </r>
    <r>
      <rPr>
        <b/>
        <sz val="11"/>
        <color theme="1"/>
        <rFont val="Calibri"/>
        <family val="2"/>
        <scheme val="minor"/>
      </rPr>
      <t>] =</t>
    </r>
  </si>
  <si>
    <r>
      <t>[H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PO</t>
    </r>
    <r>
      <rPr>
        <b/>
        <vertAlign val="subscript"/>
        <sz val="11"/>
        <color theme="1"/>
        <rFont val="Calibri"/>
        <family val="2"/>
        <scheme val="minor"/>
      </rPr>
      <t>4</t>
    </r>
    <r>
      <rPr>
        <b/>
        <sz val="11"/>
        <color theme="1"/>
        <rFont val="Calibri"/>
        <family val="2"/>
        <scheme val="minor"/>
      </rPr>
      <t>] + [HPO</t>
    </r>
    <r>
      <rPr>
        <b/>
        <vertAlign val="subscript"/>
        <sz val="11"/>
        <color theme="1"/>
        <rFont val="Calibri"/>
        <family val="2"/>
        <scheme val="minor"/>
      </rPr>
      <t>4</t>
    </r>
    <r>
      <rPr>
        <b/>
        <sz val="11"/>
        <color theme="1"/>
        <rFont val="Calibri"/>
        <family val="2"/>
        <scheme val="minor"/>
      </rPr>
      <t>] =</t>
    </r>
  </si>
  <si>
    <r>
      <t>H</t>
    </r>
    <r>
      <rPr>
        <b/>
        <vertAlign val="subscript"/>
        <sz val="14"/>
        <color theme="1"/>
        <rFont val="Calibri"/>
        <family val="2"/>
        <scheme val="minor"/>
      </rPr>
      <t>2</t>
    </r>
    <r>
      <rPr>
        <b/>
        <sz val="14"/>
        <color theme="1"/>
        <rFont val="Calibri"/>
        <family val="2"/>
        <scheme val="minor"/>
      </rPr>
      <t>PO</t>
    </r>
    <r>
      <rPr>
        <b/>
        <vertAlign val="subscript"/>
        <sz val="14"/>
        <color theme="1"/>
        <rFont val="Calibri"/>
        <family val="2"/>
        <scheme val="minor"/>
      </rPr>
      <t>4</t>
    </r>
    <r>
      <rPr>
        <b/>
        <sz val="14"/>
        <color theme="1"/>
        <rFont val="Calibri"/>
        <family val="2"/>
        <scheme val="minor"/>
      </rPr>
      <t xml:space="preserve"> &gt;&gt; HPO</t>
    </r>
    <r>
      <rPr>
        <b/>
        <vertAlign val="subscript"/>
        <sz val="14"/>
        <color theme="1"/>
        <rFont val="Calibri"/>
        <family val="2"/>
        <scheme val="minor"/>
      </rPr>
      <t>4</t>
    </r>
  </si>
  <si>
    <t>pKa = 7.21</t>
  </si>
  <si>
    <t xml:space="preserve">(-pH + pKa) = </t>
  </si>
  <si>
    <t>Ic</t>
  </si>
  <si>
    <t>Conductivity:</t>
  </si>
  <si>
    <r>
      <t xml:space="preserve">(1/16) PBS [ 7.1 &lt; pH &lt; 7.3 ]
</t>
    </r>
    <r>
      <rPr>
        <b/>
        <sz val="11"/>
        <color theme="1"/>
        <rFont val="Calibri"/>
        <family val="2"/>
        <scheme val="minor"/>
      </rPr>
      <t>* Same [NaCl] and pH as 1x PBS; 1/16 buffer concentration; lower conductivity *</t>
    </r>
  </si>
  <si>
    <r>
      <t xml:space="preserve">(1/16) PBS [ 7.1 &lt; pH &lt; 7.3 ]
</t>
    </r>
    <r>
      <rPr>
        <b/>
        <sz val="11"/>
        <color theme="1"/>
        <rFont val="Calibri"/>
        <family val="2"/>
        <scheme val="minor"/>
      </rPr>
      <t>* Same conductivity and pH as 1x PBS; 1/16 buffer concentration; higher [NaCl] *</t>
    </r>
  </si>
  <si>
    <r>
      <t xml:space="preserve">1x PBS [ 7.1 &lt; pH &lt; 7.3 ]
</t>
    </r>
    <r>
      <rPr>
        <b/>
        <sz val="11"/>
        <color theme="1"/>
        <rFont val="Calibri"/>
        <family val="2"/>
        <scheme val="minor"/>
      </rPr>
      <t>* Standard PBS *</t>
    </r>
  </si>
  <si>
    <t>1/16x PBS [ 7.1 &lt; pH &lt; 7.3 ]</t>
  </si>
  <si>
    <t>G</t>
  </si>
  <si>
    <r>
      <t>λ</t>
    </r>
    <r>
      <rPr>
        <b/>
        <vertAlign val="superscript"/>
        <sz val="14"/>
        <color theme="1"/>
        <rFont val="Calibri"/>
        <family val="2"/>
        <scheme val="minor"/>
      </rPr>
      <t>0</t>
    </r>
  </si>
  <si>
    <r>
      <t>λ</t>
    </r>
    <r>
      <rPr>
        <b/>
        <vertAlign val="superscript"/>
        <sz val="14"/>
        <color theme="1"/>
        <rFont val="Calibri"/>
        <family val="2"/>
        <scheme val="minor"/>
      </rPr>
      <t>0</t>
    </r>
    <r>
      <rPr>
        <b/>
        <sz val="14"/>
        <color theme="1"/>
        <rFont val="Calibri"/>
        <family val="2"/>
        <scheme val="minor"/>
      </rPr>
      <t xml:space="preserve"> / [ 1 + G</t>
    </r>
    <r>
      <rPr>
        <b/>
        <vertAlign val="subscript"/>
        <sz val="14"/>
        <color theme="1"/>
        <rFont val="Calibri"/>
        <family val="2"/>
        <scheme val="minor"/>
      </rPr>
      <t>i</t>
    </r>
    <r>
      <rPr>
        <b/>
        <sz val="14"/>
        <color theme="1"/>
        <rFont val="Calibri"/>
        <family val="2"/>
        <scheme val="minor"/>
      </rPr>
      <t xml:space="preserve"> * Ic </t>
    </r>
    <r>
      <rPr>
        <b/>
        <vertAlign val="superscript"/>
        <sz val="14"/>
        <color theme="1"/>
        <rFont val="Calibri"/>
        <family val="2"/>
        <scheme val="minor"/>
      </rPr>
      <t>1/2</t>
    </r>
    <r>
      <rPr>
        <b/>
        <sz val="14"/>
        <color theme="1"/>
        <rFont val="Calibri"/>
        <family val="2"/>
        <scheme val="minor"/>
      </rPr>
      <t xml:space="preserve"> ]</t>
    </r>
  </si>
  <si>
    <r>
      <t>λ</t>
    </r>
    <r>
      <rPr>
        <b/>
        <vertAlign val="subscript"/>
        <sz val="14"/>
        <color theme="1"/>
        <rFont val="Calibri"/>
        <family val="2"/>
        <scheme val="minor"/>
      </rPr>
      <t>i</t>
    </r>
    <r>
      <rPr>
        <b/>
        <sz val="14"/>
        <color theme="1"/>
        <rFont val="Calibri"/>
        <family val="2"/>
        <scheme val="minor"/>
      </rPr>
      <t xml:space="preserve"> =</t>
    </r>
  </si>
  <si>
    <r>
      <rPr>
        <b/>
        <sz val="14"/>
        <color theme="1"/>
        <rFont val="Calibri"/>
        <family val="2"/>
      </rPr>
      <t>σ</t>
    </r>
    <r>
      <rPr>
        <b/>
        <vertAlign val="subscript"/>
        <sz val="14"/>
        <color theme="1"/>
        <rFont val="Calibri"/>
        <family val="2"/>
      </rPr>
      <t>calc</t>
    </r>
    <r>
      <rPr>
        <b/>
        <sz val="14"/>
        <color theme="1"/>
        <rFont val="Calibri"/>
        <family val="2"/>
        <scheme val="minor"/>
      </rPr>
      <t xml:space="preserve"> =</t>
    </r>
  </si>
  <si>
    <r>
      <rPr>
        <b/>
        <sz val="14"/>
        <color theme="1"/>
        <rFont val="Calibri"/>
        <family val="2"/>
      </rPr>
      <t>Σ</t>
    </r>
    <r>
      <rPr>
        <b/>
        <sz val="14"/>
        <color theme="1"/>
        <rFont val="Calibri"/>
        <family val="2"/>
        <scheme val="minor"/>
      </rPr>
      <t xml:space="preserve"> [ z</t>
    </r>
    <r>
      <rPr>
        <b/>
        <vertAlign val="subscript"/>
        <sz val="14"/>
        <color theme="1"/>
        <rFont val="Calibri"/>
        <family val="2"/>
        <scheme val="minor"/>
      </rPr>
      <t>i</t>
    </r>
    <r>
      <rPr>
        <b/>
        <sz val="14"/>
        <color theme="1"/>
        <rFont val="Calibri"/>
        <family val="2"/>
        <scheme val="minor"/>
      </rPr>
      <t xml:space="preserve"> * c</t>
    </r>
    <r>
      <rPr>
        <b/>
        <vertAlign val="subscript"/>
        <sz val="14"/>
        <color theme="1"/>
        <rFont val="Calibri"/>
        <family val="2"/>
        <scheme val="minor"/>
      </rPr>
      <t>i</t>
    </r>
    <r>
      <rPr>
        <b/>
        <sz val="14"/>
        <color theme="1"/>
        <rFont val="Calibri"/>
        <family val="2"/>
        <scheme val="minor"/>
      </rPr>
      <t xml:space="preserve"> * λ</t>
    </r>
    <r>
      <rPr>
        <b/>
        <vertAlign val="subscript"/>
        <sz val="14"/>
        <color theme="1"/>
        <rFont val="Calibri"/>
        <family val="2"/>
        <scheme val="minor"/>
      </rPr>
      <t>i</t>
    </r>
    <r>
      <rPr>
        <b/>
        <sz val="14"/>
        <color theme="1"/>
        <rFont val="Calibri"/>
        <family val="2"/>
        <scheme val="minor"/>
      </rPr>
      <t xml:space="preserve"> ]</t>
    </r>
  </si>
  <si>
    <t>Na</t>
  </si>
  <si>
    <t>H</t>
  </si>
  <si>
    <t>PO4</t>
  </si>
  <si>
    <t>Cl</t>
  </si>
  <si>
    <t>Solution Ic:</t>
  </si>
  <si>
    <t>* In ISF and PBS:</t>
  </si>
  <si>
    <t>m-ISF</t>
  </si>
  <si>
    <t>[mM/L]</t>
  </si>
  <si>
    <t>PBS</t>
  </si>
  <si>
    <t>g/L</t>
  </si>
  <si>
    <t>Chloride [Cl] (-1)</t>
  </si>
  <si>
    <t>Sodium [Na] (+1)</t>
  </si>
  <si>
    <r>
      <t>Phosphate [PO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] (-3)</t>
    </r>
  </si>
  <si>
    <t>Hydrogen [H] (+1)</t>
  </si>
  <si>
    <t>Hydroxide (Hydroxyl) [OH] (-1)</t>
  </si>
  <si>
    <t>Bicarbonate [HCO] (3-)</t>
  </si>
  <si>
    <t>Potassium [K] (+1)</t>
  </si>
  <si>
    <t>Magnesium [Mg] (2+)</t>
  </si>
  <si>
    <r>
      <t>Sulfate [SO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] (-4)</t>
    </r>
  </si>
  <si>
    <t>Calcium [Ca] (+2)</t>
  </si>
  <si>
    <t>EDOT</t>
  </si>
  <si>
    <t>NaPSS</t>
  </si>
  <si>
    <t>Table 2. Electrodeposition Solution Components</t>
  </si>
  <si>
    <t>PEDOT:PSS</t>
  </si>
  <si>
    <t>IrOx [EIROF]</t>
  </si>
  <si>
    <r>
      <t>C</t>
    </r>
    <r>
      <rPr>
        <vertAlign val="subscript"/>
        <sz val="14"/>
        <color theme="1"/>
        <rFont val="Calibri"/>
        <family val="2"/>
        <scheme val="minor"/>
      </rPr>
      <t>2</t>
    </r>
    <r>
      <rPr>
        <sz val="14"/>
        <color theme="1"/>
        <rFont val="Calibri"/>
        <family val="2"/>
        <scheme val="minor"/>
      </rPr>
      <t>H</t>
    </r>
    <r>
      <rPr>
        <vertAlign val="subscript"/>
        <sz val="14"/>
        <color theme="1"/>
        <rFont val="Calibri"/>
        <family val="2"/>
        <scheme val="minor"/>
      </rPr>
      <t>2</t>
    </r>
    <r>
      <rPr>
        <sz val="14"/>
        <color theme="1"/>
        <rFont val="Calibri"/>
        <family val="2"/>
        <scheme val="minor"/>
      </rPr>
      <t>O</t>
    </r>
    <r>
      <rPr>
        <vertAlign val="subscript"/>
        <sz val="14"/>
        <color theme="1"/>
        <rFont val="Calibri"/>
        <family val="2"/>
        <scheme val="minor"/>
      </rPr>
      <t>4</t>
    </r>
    <r>
      <rPr>
        <sz val="14"/>
        <color theme="1"/>
        <rFont val="Calibri"/>
        <family val="2"/>
        <scheme val="minor"/>
      </rPr>
      <t xml:space="preserve">  ·  2H</t>
    </r>
    <r>
      <rPr>
        <vertAlign val="subscript"/>
        <sz val="14"/>
        <color theme="1"/>
        <rFont val="Calibri"/>
        <family val="2"/>
        <scheme val="minor"/>
      </rPr>
      <t>2</t>
    </r>
    <r>
      <rPr>
        <sz val="14"/>
        <color theme="1"/>
        <rFont val="Calibri"/>
        <family val="2"/>
        <scheme val="minor"/>
      </rPr>
      <t>0</t>
    </r>
  </si>
  <si>
    <r>
      <t>IrCl</t>
    </r>
    <r>
      <rPr>
        <vertAlign val="subscript"/>
        <sz val="14"/>
        <color theme="1"/>
        <rFont val="Calibri"/>
        <family val="2"/>
        <scheme val="minor"/>
      </rPr>
      <t>4</t>
    </r>
    <r>
      <rPr>
        <sz val="14"/>
        <color theme="1"/>
        <rFont val="Calibri"/>
        <family val="2"/>
        <scheme val="minor"/>
      </rPr>
      <t xml:space="preserve">  ·  XH20</t>
    </r>
  </si>
  <si>
    <t>Potassium Carbonate
Alfa Aesar Item # 12609, ACS 99.0%</t>
  </si>
  <si>
    <r>
      <t xml:space="preserve">Iridium Tetrachloride </t>
    </r>
    <r>
      <rPr>
        <sz val="10"/>
        <color theme="1"/>
        <rFont val="Calibri"/>
        <family val="2"/>
        <scheme val="minor"/>
      </rPr>
      <t>[Iridium(IV) Chloride, Hydrate]</t>
    </r>
    <r>
      <rPr>
        <sz val="14"/>
        <color theme="1"/>
        <rFont val="Calibri"/>
        <family val="2"/>
        <scheme val="minor"/>
      </rPr>
      <t xml:space="preserve">
Strem Item # 93-7727, </t>
    </r>
  </si>
  <si>
    <r>
      <t xml:space="preserve">Oxalic Acid Dihydrate </t>
    </r>
    <r>
      <rPr>
        <sz val="12"/>
        <color theme="1"/>
        <rFont val="Calibri"/>
        <family val="2"/>
        <scheme val="minor"/>
      </rPr>
      <t>(90.034 g/mol anhydrous)</t>
    </r>
    <r>
      <rPr>
        <sz val="14"/>
        <color theme="1"/>
        <rFont val="Calibri"/>
        <family val="2"/>
        <scheme val="minor"/>
      </rPr>
      <t xml:space="preserve">
Alfa Aesar Item # 33262, ACS 99.5 - 102.5%</t>
    </r>
  </si>
  <si>
    <t>Molecular Weight
[g/mol]</t>
  </si>
  <si>
    <t>Concentration
[mM/L]</t>
  </si>
  <si>
    <t>Amount
[g/L]</t>
  </si>
  <si>
    <r>
      <t>K</t>
    </r>
    <r>
      <rPr>
        <vertAlign val="subscript"/>
        <sz val="14"/>
        <color theme="1"/>
        <rFont val="Calibri"/>
        <family val="2"/>
        <scheme val="minor"/>
      </rPr>
      <t>2</t>
    </r>
    <r>
      <rPr>
        <sz val="14"/>
        <color theme="1"/>
        <rFont val="Calibri"/>
        <family val="2"/>
        <scheme val="minor"/>
      </rPr>
      <t>CO</t>
    </r>
    <r>
      <rPr>
        <vertAlign val="subscript"/>
        <sz val="14"/>
        <color theme="1"/>
        <rFont val="Calibri"/>
        <family val="2"/>
        <scheme val="minor"/>
      </rPr>
      <t>3</t>
    </r>
    <r>
      <rPr>
        <sz val="14"/>
        <color theme="1"/>
        <rFont val="Calibri"/>
        <family val="2"/>
        <scheme val="minor"/>
      </rPr>
      <t xml:space="preserve"> </t>
    </r>
  </si>
  <si>
    <t>g in 
100 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</si>
</sst>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0000"/>
  </numFmts>
  <fonts count="18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vertAlign val="subscript"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vertAlign val="subscript"/>
      <sz val="14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b/>
      <vertAlign val="superscript"/>
      <sz val="14"/>
      <color theme="1"/>
      <name val="Calibri"/>
      <family val="2"/>
      <scheme val="minor"/>
    </font>
    <font>
      <b/>
      <sz val="14"/>
      <color theme="1"/>
      <name val="Calibri"/>
      <family val="2"/>
    </font>
    <font>
      <b/>
      <vertAlign val="subscript"/>
      <sz val="14"/>
      <color theme="1"/>
      <name val="Calibri"/>
      <family val="2"/>
    </font>
    <font>
      <b/>
      <u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164" fontId="2" fillId="0" borderId="1" xfId="0" applyNumberFormat="1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5" fillId="0" borderId="0" xfId="0" applyFont="1" applyAlignment="1">
      <alignment wrapText="1"/>
    </xf>
    <xf numFmtId="0" fontId="2" fillId="0" borderId="0" xfId="0" applyFont="1" applyAlignment="1">
      <alignment vertical="center"/>
    </xf>
    <xf numFmtId="1" fontId="2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2" fontId="0" fillId="0" borderId="0" xfId="0" applyNumberFormat="1"/>
    <xf numFmtId="164" fontId="2" fillId="0" borderId="0" xfId="0" applyNumberFormat="1" applyFont="1" applyAlignment="1">
      <alignment horizontal="center" vertical="center"/>
    </xf>
    <xf numFmtId="0" fontId="9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1" fillId="0" borderId="0" xfId="0" applyFont="1" applyAlignment="1">
      <alignment horizontal="center" vertical="center" wrapText="1"/>
    </xf>
    <xf numFmtId="165" fontId="0" fillId="6" borderId="0" xfId="0" applyNumberFormat="1" applyFill="1"/>
    <xf numFmtId="0" fontId="0" fillId="6" borderId="0" xfId="0" applyFill="1" applyAlignment="1">
      <alignment horizontal="right"/>
    </xf>
    <xf numFmtId="166" fontId="2" fillId="0" borderId="1" xfId="0" applyNumberFormat="1" applyFont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/>
    </xf>
    <xf numFmtId="0" fontId="0" fillId="7" borderId="0" xfId="0" applyFill="1" applyAlignment="1">
      <alignment horizontal="right"/>
    </xf>
    <xf numFmtId="165" fontId="0" fillId="7" borderId="0" xfId="0" applyNumberFormat="1" applyFill="1"/>
    <xf numFmtId="0" fontId="0" fillId="0" borderId="0" xfId="0" applyAlignment="1">
      <alignment horizontal="right"/>
    </xf>
    <xf numFmtId="165" fontId="0" fillId="0" borderId="0" xfId="0" applyNumberFormat="1"/>
    <xf numFmtId="0" fontId="2" fillId="0" borderId="0" xfId="0" applyFont="1" applyAlignment="1">
      <alignment horizontal="center" vertical="center"/>
    </xf>
    <xf numFmtId="0" fontId="15" fillId="0" borderId="0" xfId="0" applyFont="1"/>
    <xf numFmtId="0" fontId="2" fillId="0" borderId="5" xfId="0" applyFont="1" applyBorder="1" applyAlignment="1">
      <alignment vertical="center"/>
    </xf>
    <xf numFmtId="2" fontId="2" fillId="0" borderId="6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2" fontId="2" fillId="0" borderId="9" xfId="0" applyNumberFormat="1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164" fontId="2" fillId="0" borderId="6" xfId="0" applyNumberFormat="1" applyFont="1" applyBorder="1" applyAlignment="1">
      <alignment horizontal="center" vertical="center"/>
    </xf>
    <xf numFmtId="164" fontId="2" fillId="0" borderId="9" xfId="0" applyNumberFormat="1" applyFont="1" applyBorder="1" applyAlignment="1">
      <alignment horizontal="center" vertical="center"/>
    </xf>
    <xf numFmtId="0" fontId="2" fillId="0" borderId="14" xfId="0" applyFont="1" applyBorder="1" applyAlignment="1">
      <alignment vertical="center"/>
    </xf>
    <xf numFmtId="0" fontId="2" fillId="0" borderId="16" xfId="0" applyFont="1" applyBorder="1" applyAlignment="1">
      <alignment vertical="center"/>
    </xf>
    <xf numFmtId="0" fontId="2" fillId="0" borderId="17" xfId="0" applyFont="1" applyBorder="1" applyAlignment="1">
      <alignment vertical="center"/>
    </xf>
    <xf numFmtId="164" fontId="2" fillId="0" borderId="25" xfId="0" applyNumberFormat="1" applyFont="1" applyBorder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164" fontId="2" fillId="0" borderId="26" xfId="0" applyNumberFormat="1" applyFont="1" applyBorder="1" applyAlignment="1">
      <alignment horizontal="center" vertical="center"/>
    </xf>
    <xf numFmtId="0" fontId="2" fillId="0" borderId="14" xfId="0" applyFont="1" applyBorder="1" applyAlignment="1">
      <alignment vertical="center" wrapText="1"/>
    </xf>
    <xf numFmtId="0" fontId="2" fillId="0" borderId="16" xfId="0" applyFont="1" applyBorder="1" applyAlignment="1">
      <alignment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7" fillId="5" borderId="4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1" fillId="2" borderId="4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7"/>
  <sheetViews>
    <sheetView tabSelected="1" workbookViewId="0">
      <selection activeCell="H1" sqref="H1"/>
    </sheetView>
  </sheetViews>
  <sheetFormatPr defaultRowHeight="15" x14ac:dyDescent="0.25"/>
  <cols>
    <col min="1" max="1" width="24.7109375" customWidth="1"/>
    <col min="2" max="6" width="15.7109375" customWidth="1"/>
    <col min="7" max="7" width="6.7109375" customWidth="1"/>
    <col min="8" max="8" width="27.7109375" customWidth="1"/>
    <col min="9" max="9" width="20.7109375" customWidth="1"/>
    <col min="10" max="10" width="15.7109375" customWidth="1"/>
    <col min="11" max="11" width="9.140625" customWidth="1"/>
  </cols>
  <sheetData>
    <row r="1" spans="1:10" ht="18.75" x14ac:dyDescent="0.25">
      <c r="A1" s="53" t="s">
        <v>0</v>
      </c>
      <c r="B1" s="54"/>
      <c r="C1" s="54"/>
      <c r="D1" s="54"/>
      <c r="E1" s="54"/>
      <c r="F1" s="54"/>
    </row>
    <row r="2" spans="1:10" ht="18.75" x14ac:dyDescent="0.25">
      <c r="A2" s="1" t="s">
        <v>1</v>
      </c>
      <c r="B2" s="2" t="s">
        <v>14</v>
      </c>
      <c r="C2" s="2" t="s">
        <v>2</v>
      </c>
      <c r="D2" s="2" t="s">
        <v>4</v>
      </c>
      <c r="E2" s="2" t="s">
        <v>37</v>
      </c>
      <c r="F2" s="2" t="s">
        <v>46</v>
      </c>
      <c r="H2" s="29" t="s">
        <v>63</v>
      </c>
      <c r="I2" s="29" t="s">
        <v>23</v>
      </c>
    </row>
    <row r="3" spans="1:10" ht="20.25" x14ac:dyDescent="0.25">
      <c r="A3" s="3" t="s">
        <v>11</v>
      </c>
      <c r="B3" s="4">
        <v>6.9000000000000006E-2</v>
      </c>
      <c r="C3" s="5">
        <v>138</v>
      </c>
      <c r="D3" s="5">
        <f t="shared" ref="D3" si="0">1000*B3/C3</f>
        <v>0.5</v>
      </c>
      <c r="E3" s="22">
        <f>D3/1000</f>
        <v>5.0000000000000001E-4</v>
      </c>
      <c r="F3" s="23">
        <f>0.5*(E3+2*E3+E3*((-3)^2))</f>
        <v>3.0000000000000001E-3</v>
      </c>
      <c r="H3" s="10" t="s">
        <v>69</v>
      </c>
      <c r="I3" t="s">
        <v>73</v>
      </c>
    </row>
    <row r="4" spans="1:10" ht="20.25" x14ac:dyDescent="0.25">
      <c r="A4" s="3" t="s">
        <v>10</v>
      </c>
      <c r="B4" s="4">
        <v>0.53600000000000003</v>
      </c>
      <c r="C4" s="5">
        <v>268.07</v>
      </c>
      <c r="D4" s="5">
        <f>1000*B4/C4</f>
        <v>1.9994777483493118</v>
      </c>
      <c r="E4" s="22">
        <f t="shared" ref="E4:E10" si="1">D4/1000</f>
        <v>1.9994777483493117E-3</v>
      </c>
      <c r="F4" s="23">
        <f>0.5*((2*E4)+E4+(E4*((-3)^2)))</f>
        <v>1.199686649009587E-2</v>
      </c>
      <c r="H4" t="s">
        <v>68</v>
      </c>
      <c r="I4" t="s">
        <v>74</v>
      </c>
    </row>
    <row r="5" spans="1:10" ht="18.75" x14ac:dyDescent="0.35">
      <c r="A5" s="3" t="s">
        <v>3</v>
      </c>
      <c r="B5" s="4">
        <v>6.4279999999999999</v>
      </c>
      <c r="C5" s="5">
        <v>58.44</v>
      </c>
      <c r="D5" s="5">
        <f t="shared" ref="D5:D10" si="2">1000*B5/C5</f>
        <v>109.99315537303218</v>
      </c>
      <c r="E5" s="22">
        <f t="shared" si="1"/>
        <v>0.10999315537303218</v>
      </c>
      <c r="F5" s="23">
        <f>0.5*(E5+E5)</f>
        <v>0.10999315537303218</v>
      </c>
      <c r="H5" t="s">
        <v>70</v>
      </c>
      <c r="I5" t="s">
        <v>75</v>
      </c>
    </row>
    <row r="6" spans="1:10" ht="20.25" x14ac:dyDescent="0.35">
      <c r="A6" s="3" t="s">
        <v>5</v>
      </c>
      <c r="B6" s="4">
        <v>2.3519999999999999</v>
      </c>
      <c r="C6" s="5">
        <v>84.01</v>
      </c>
      <c r="D6" s="5">
        <f t="shared" si="2"/>
        <v>27.996667063444825</v>
      </c>
      <c r="E6" s="22">
        <f t="shared" si="1"/>
        <v>2.7996667063444825E-2</v>
      </c>
      <c r="F6" s="23">
        <f>0.5*(E6+E6+(E6*((-2)^2)))</f>
        <v>8.3990001190334479E-2</v>
      </c>
      <c r="H6" t="s">
        <v>71</v>
      </c>
      <c r="I6" t="s">
        <v>76</v>
      </c>
    </row>
    <row r="7" spans="1:10" ht="20.25" x14ac:dyDescent="0.25">
      <c r="A7" s="3" t="s">
        <v>6</v>
      </c>
      <c r="B7" s="4">
        <v>0.751</v>
      </c>
      <c r="C7" s="5">
        <v>100.12</v>
      </c>
      <c r="D7" s="5">
        <f t="shared" si="2"/>
        <v>7.500998801438274</v>
      </c>
      <c r="E7" s="22">
        <f t="shared" si="1"/>
        <v>7.5009988014382743E-3</v>
      </c>
      <c r="F7" s="23">
        <f>0.5*(E7+E7+(E7*((-2)^2)))</f>
        <v>2.2502996404314822E-2</v>
      </c>
      <c r="H7" t="s">
        <v>72</v>
      </c>
      <c r="I7" t="s">
        <v>77</v>
      </c>
    </row>
    <row r="8" spans="1:10" ht="20.25" x14ac:dyDescent="0.25">
      <c r="A8" s="3" t="s">
        <v>8</v>
      </c>
      <c r="B8" s="4">
        <v>4.8000000000000001E-2</v>
      </c>
      <c r="C8" s="5">
        <v>95.22</v>
      </c>
      <c r="D8" s="5">
        <f t="shared" si="2"/>
        <v>0.50409577819785756</v>
      </c>
      <c r="E8" s="22">
        <f t="shared" si="1"/>
        <v>5.0409577819785758E-4</v>
      </c>
      <c r="F8" s="23">
        <f>0.5*((E8*((2)^2))+(2*E8))</f>
        <v>1.5122873345935726E-3</v>
      </c>
    </row>
    <row r="9" spans="1:10" ht="20.25" x14ac:dyDescent="0.25">
      <c r="A9" s="3" t="s">
        <v>7</v>
      </c>
      <c r="B9" s="4">
        <v>0.06</v>
      </c>
      <c r="C9" s="5">
        <v>120.39</v>
      </c>
      <c r="D9" s="5">
        <f t="shared" ref="D9" si="3">1000*B9/C9</f>
        <v>0.49838026414154002</v>
      </c>
      <c r="E9" s="22">
        <f t="shared" si="1"/>
        <v>4.9838026414154E-4</v>
      </c>
      <c r="F9" s="23">
        <f>0.5*((E9*((2)^2))+(E9*((-2)^2)))</f>
        <v>1.99352105656616E-3</v>
      </c>
      <c r="H9" s="8" t="s">
        <v>56</v>
      </c>
      <c r="I9" s="51" t="s">
        <v>57</v>
      </c>
      <c r="J9" s="51"/>
    </row>
    <row r="10" spans="1:10" ht="21" x14ac:dyDescent="0.25">
      <c r="A10" s="3" t="s">
        <v>9</v>
      </c>
      <c r="B10" s="4">
        <v>5.6000000000000001E-2</v>
      </c>
      <c r="C10" s="5">
        <v>110.99</v>
      </c>
      <c r="D10" s="5">
        <f t="shared" si="2"/>
        <v>0.50454995945580683</v>
      </c>
      <c r="E10" s="22">
        <f t="shared" si="1"/>
        <v>5.0454995945580687E-4</v>
      </c>
      <c r="F10" s="23">
        <f>0.5*((E10*((2)^2))+(2*E10))</f>
        <v>1.5136498783674206E-3</v>
      </c>
      <c r="H10" s="8" t="s">
        <v>55</v>
      </c>
      <c r="I10" s="51" t="s">
        <v>54</v>
      </c>
      <c r="J10" s="51"/>
    </row>
    <row r="11" spans="1:10" x14ac:dyDescent="0.25">
      <c r="E11" s="24" t="s">
        <v>62</v>
      </c>
      <c r="F11" s="25">
        <f>SUM(F3:F10)</f>
        <v>0.23650247772730451</v>
      </c>
    </row>
    <row r="12" spans="1:10" x14ac:dyDescent="0.25">
      <c r="E12" s="24" t="s">
        <v>47</v>
      </c>
      <c r="F12" s="25"/>
    </row>
    <row r="14" spans="1:10" ht="21" x14ac:dyDescent="0.25">
      <c r="A14" s="60" t="s">
        <v>13</v>
      </c>
      <c r="B14" s="60"/>
      <c r="C14" s="60"/>
      <c r="D14" s="60"/>
      <c r="E14" s="8"/>
      <c r="F14" s="8"/>
      <c r="H14" s="19"/>
      <c r="I14" s="8" t="s">
        <v>53</v>
      </c>
      <c r="J14" s="8" t="s">
        <v>52</v>
      </c>
    </row>
    <row r="15" spans="1:10" ht="18.75" x14ac:dyDescent="0.25">
      <c r="A15" s="1" t="s">
        <v>1</v>
      </c>
      <c r="B15" s="2" t="s">
        <v>14</v>
      </c>
      <c r="C15" s="2" t="s">
        <v>2</v>
      </c>
      <c r="D15" s="2" t="s">
        <v>4</v>
      </c>
      <c r="E15" s="8"/>
      <c r="F15" s="8"/>
      <c r="H15" s="12" t="s">
        <v>58</v>
      </c>
      <c r="I15" s="16">
        <v>50.1</v>
      </c>
      <c r="J15" s="16">
        <v>0.73299999999999998</v>
      </c>
    </row>
    <row r="16" spans="1:10" ht="20.25" x14ac:dyDescent="0.25">
      <c r="A16" s="3" t="s">
        <v>17</v>
      </c>
      <c r="B16" s="4">
        <v>31.96</v>
      </c>
      <c r="C16" s="5">
        <v>138</v>
      </c>
      <c r="D16" s="5">
        <f>1000*B16/C16</f>
        <v>231.59420289855072</v>
      </c>
      <c r="E16" s="11" t="s">
        <v>26</v>
      </c>
      <c r="F16" s="9"/>
      <c r="H16" s="12" t="s">
        <v>59</v>
      </c>
      <c r="I16" s="16"/>
      <c r="J16" s="16"/>
    </row>
    <row r="17" spans="1:10" ht="20.25" x14ac:dyDescent="0.25">
      <c r="A17" s="3" t="s">
        <v>18</v>
      </c>
      <c r="B17" s="4">
        <v>53.65</v>
      </c>
      <c r="C17" s="5">
        <v>268.07</v>
      </c>
      <c r="D17" s="5">
        <f t="shared" ref="D17:D18" si="4">1000*B17/C17</f>
        <v>200.13429328160555</v>
      </c>
      <c r="E17" s="11" t="s">
        <v>27</v>
      </c>
      <c r="F17" s="9"/>
      <c r="H17" s="12" t="s">
        <v>60</v>
      </c>
      <c r="I17" s="16"/>
      <c r="J17" s="16"/>
    </row>
    <row r="18" spans="1:10" ht="18.75" x14ac:dyDescent="0.25">
      <c r="A18" s="3" t="s">
        <v>19</v>
      </c>
      <c r="B18" s="4">
        <v>73.599999999999994</v>
      </c>
      <c r="C18" s="5">
        <v>58.44</v>
      </c>
      <c r="D18" s="5">
        <f t="shared" si="4"/>
        <v>1259.4113620807666</v>
      </c>
      <c r="E18" s="9"/>
      <c r="F18" s="9"/>
      <c r="H18" s="12" t="s">
        <v>61</v>
      </c>
      <c r="I18" s="28">
        <v>76.400000000000006</v>
      </c>
      <c r="J18" s="28">
        <v>0.54800000000000004</v>
      </c>
    </row>
    <row r="19" spans="1:10" ht="18.75" x14ac:dyDescent="0.25">
      <c r="H19" s="12" t="s">
        <v>3</v>
      </c>
      <c r="I19" s="28">
        <v>103.69</v>
      </c>
      <c r="J19" s="28"/>
    </row>
    <row r="20" spans="1:10" ht="18.75" x14ac:dyDescent="0.25">
      <c r="H20" s="12"/>
    </row>
    <row r="21" spans="1:10" ht="38.1" customHeight="1" x14ac:dyDescent="0.25">
      <c r="A21" s="55" t="s">
        <v>48</v>
      </c>
      <c r="B21" s="57"/>
      <c r="C21" s="57"/>
      <c r="D21" s="57"/>
      <c r="E21" s="57"/>
      <c r="F21" s="57"/>
      <c r="H21" s="52" t="s">
        <v>51</v>
      </c>
      <c r="I21" s="52"/>
    </row>
    <row r="22" spans="1:10" ht="18.75" x14ac:dyDescent="0.25">
      <c r="A22" s="1" t="s">
        <v>1</v>
      </c>
      <c r="B22" s="2" t="s">
        <v>14</v>
      </c>
      <c r="C22" s="2" t="s">
        <v>2</v>
      </c>
      <c r="D22" s="2" t="s">
        <v>4</v>
      </c>
      <c r="E22" s="2" t="s">
        <v>37</v>
      </c>
      <c r="F22" s="2" t="s">
        <v>46</v>
      </c>
      <c r="H22" s="1" t="s">
        <v>20</v>
      </c>
      <c r="I22" s="2" t="s">
        <v>21</v>
      </c>
    </row>
    <row r="23" spans="1:10" ht="20.25" x14ac:dyDescent="0.25">
      <c r="A23" s="3" t="s">
        <v>11</v>
      </c>
      <c r="B23" s="4">
        <f>(C23*D23)/1000</f>
        <v>0.1897625</v>
      </c>
      <c r="C23" s="5">
        <v>138</v>
      </c>
      <c r="D23" s="5">
        <f>D39/16</f>
        <v>1.3750905797101449</v>
      </c>
      <c r="E23" s="22">
        <f>D23/1000</f>
        <v>1.3750905797101449E-3</v>
      </c>
      <c r="F23" s="23">
        <f>0.5*(E23+2*E23+E23*((-3)^2))</f>
        <v>8.2505434782608692E-3</v>
      </c>
      <c r="H23" s="3" t="s">
        <v>17</v>
      </c>
      <c r="I23" s="6">
        <f>1000*(B23/B16)</f>
        <v>5.9375</v>
      </c>
    </row>
    <row r="24" spans="1:10" ht="20.25" x14ac:dyDescent="0.25">
      <c r="A24" s="3" t="s">
        <v>12</v>
      </c>
      <c r="B24" s="4">
        <f>(C24*D24)/1000</f>
        <v>1.3580156249999999</v>
      </c>
      <c r="C24" s="5">
        <v>268.07</v>
      </c>
      <c r="D24" s="5">
        <f>D40/16</f>
        <v>5.065899298690641</v>
      </c>
      <c r="E24" s="22">
        <f t="shared" ref="E24:E25" si="5">D24/1000</f>
        <v>5.0658992986906412E-3</v>
      </c>
      <c r="F24" s="23">
        <f>0.5*((2*E24)+E24+(E24*((-3)^2)))</f>
        <v>3.0395395792143849E-2</v>
      </c>
      <c r="G24" s="15"/>
      <c r="H24" s="3" t="s">
        <v>18</v>
      </c>
      <c r="I24" s="6">
        <f>1000*(B24/B17)</f>
        <v>25.312499999999996</v>
      </c>
    </row>
    <row r="25" spans="1:10" ht="18.75" x14ac:dyDescent="0.25">
      <c r="A25" s="3" t="s">
        <v>3</v>
      </c>
      <c r="B25" s="4">
        <f>(C25*D25)/1000</f>
        <v>7.3599999999999994</v>
      </c>
      <c r="C25" s="5">
        <v>58.44</v>
      </c>
      <c r="D25" s="5">
        <f>D41</f>
        <v>125.94113620807664</v>
      </c>
      <c r="E25" s="22">
        <f t="shared" si="5"/>
        <v>0.12594113620807665</v>
      </c>
      <c r="F25" s="23">
        <f>0.5*(E25+E25)</f>
        <v>0.12594113620807665</v>
      </c>
      <c r="H25" s="3" t="s">
        <v>19</v>
      </c>
      <c r="I25" s="6">
        <f>1000*(B25/B18)</f>
        <v>100</v>
      </c>
    </row>
    <row r="26" spans="1:10" x14ac:dyDescent="0.25">
      <c r="E26" s="21" t="s">
        <v>62</v>
      </c>
      <c r="F26" s="20">
        <f>SUM(F23:F25)</f>
        <v>0.16458707547848136</v>
      </c>
    </row>
    <row r="27" spans="1:10" x14ac:dyDescent="0.25">
      <c r="E27" s="21" t="s">
        <v>47</v>
      </c>
      <c r="F27" s="20"/>
    </row>
    <row r="28" spans="1:10" x14ac:dyDescent="0.25">
      <c r="E28" s="26"/>
      <c r="F28" s="27"/>
    </row>
    <row r="29" spans="1:10" ht="38.1" customHeight="1" x14ac:dyDescent="0.25">
      <c r="A29" s="55" t="s">
        <v>49</v>
      </c>
      <c r="B29" s="56"/>
      <c r="C29" s="56"/>
      <c r="D29" s="56"/>
      <c r="E29" s="56"/>
      <c r="F29" s="56"/>
      <c r="H29" s="52" t="s">
        <v>51</v>
      </c>
      <c r="I29" s="52"/>
    </row>
    <row r="30" spans="1:10" ht="18.75" x14ac:dyDescent="0.25">
      <c r="A30" s="1" t="s">
        <v>1</v>
      </c>
      <c r="B30" s="2" t="s">
        <v>14</v>
      </c>
      <c r="C30" s="2" t="s">
        <v>2</v>
      </c>
      <c r="D30" s="2" t="s">
        <v>4</v>
      </c>
      <c r="E30" s="2" t="s">
        <v>37</v>
      </c>
      <c r="F30" s="2" t="s">
        <v>46</v>
      </c>
      <c r="H30" s="1" t="s">
        <v>20</v>
      </c>
      <c r="I30" s="2" t="s">
        <v>21</v>
      </c>
    </row>
    <row r="31" spans="1:10" ht="20.25" x14ac:dyDescent="0.25">
      <c r="A31" s="3" t="s">
        <v>11</v>
      </c>
      <c r="B31" s="4">
        <f>(C31*D31)/1000</f>
        <v>0.1897625</v>
      </c>
      <c r="C31" s="5">
        <v>138</v>
      </c>
      <c r="D31" s="5">
        <f>D39/16</f>
        <v>1.3750905797101449</v>
      </c>
      <c r="E31" s="22">
        <f>D31/1000</f>
        <v>1.3750905797101449E-3</v>
      </c>
      <c r="F31" s="23">
        <f>0.5*(E31+2*E31+E31*((-3)^2))</f>
        <v>8.2505434782608692E-3</v>
      </c>
      <c r="H31" s="3" t="s">
        <v>17</v>
      </c>
      <c r="I31" s="6">
        <f>1000*(B31/B16)</f>
        <v>5.9375</v>
      </c>
    </row>
    <row r="32" spans="1:10" ht="20.25" x14ac:dyDescent="0.25">
      <c r="A32" s="3" t="s">
        <v>12</v>
      </c>
      <c r="B32" s="4">
        <f>(C32*D32)/1000</f>
        <v>1.3580156249999999</v>
      </c>
      <c r="C32" s="5">
        <v>268.07</v>
      </c>
      <c r="D32" s="5">
        <f>D40/16</f>
        <v>5.065899298690641</v>
      </c>
      <c r="E32" s="22">
        <f t="shared" ref="E32" si="6">D32/1000</f>
        <v>5.0658992986906412E-3</v>
      </c>
      <c r="F32" s="23">
        <f>0.5*((2*E32)+E32+(E32*((-3)^2)))</f>
        <v>3.0395395792143849E-2</v>
      </c>
      <c r="G32" s="15"/>
      <c r="H32" s="3" t="s">
        <v>18</v>
      </c>
      <c r="I32" s="6">
        <f>1000*(B32/B17)</f>
        <v>25.312499999999996</v>
      </c>
    </row>
    <row r="33" spans="1:13" ht="18.75" x14ac:dyDescent="0.25">
      <c r="A33" s="3" t="s">
        <v>3</v>
      </c>
      <c r="B33" s="4">
        <f>(C33*D33)/1000</f>
        <v>41.237030364436777</v>
      </c>
      <c r="C33" s="5">
        <v>58.44</v>
      </c>
      <c r="D33" s="5">
        <f>E33*1000</f>
        <v>705.63022526414738</v>
      </c>
      <c r="E33" s="22">
        <f>(F33)</f>
        <v>0.70563022526414743</v>
      </c>
      <c r="F33" s="23">
        <f>F34-F32-F31</f>
        <v>0.70563022526414743</v>
      </c>
      <c r="H33" s="3" t="s">
        <v>19</v>
      </c>
      <c r="I33" s="6">
        <f>1000*(B33/B18)</f>
        <v>560.28573864723887</v>
      </c>
    </row>
    <row r="34" spans="1:13" x14ac:dyDescent="0.25">
      <c r="E34" s="26" t="s">
        <v>62</v>
      </c>
      <c r="F34" s="27">
        <f>F42</f>
        <v>0.74427616453455214</v>
      </c>
    </row>
    <row r="35" spans="1:13" x14ac:dyDescent="0.25">
      <c r="E35" s="26" t="s">
        <v>47</v>
      </c>
      <c r="F35" s="27"/>
    </row>
    <row r="36" spans="1:13" x14ac:dyDescent="0.25">
      <c r="E36" s="26"/>
      <c r="F36" s="27"/>
    </row>
    <row r="37" spans="1:13" ht="38.1" customHeight="1" x14ac:dyDescent="0.25">
      <c r="A37" s="55" t="s">
        <v>50</v>
      </c>
      <c r="B37" s="56"/>
      <c r="C37" s="56"/>
      <c r="D37" s="56"/>
      <c r="E37" s="56"/>
      <c r="F37" s="56"/>
      <c r="H37" s="58" t="s">
        <v>22</v>
      </c>
      <c r="I37" s="59"/>
      <c r="J37" s="7"/>
      <c r="K37" s="51" t="s">
        <v>43</v>
      </c>
      <c r="L37" s="51"/>
      <c r="M37" s="51"/>
    </row>
    <row r="38" spans="1:13" ht="18.75" x14ac:dyDescent="0.25">
      <c r="A38" s="1" t="s">
        <v>1</v>
      </c>
      <c r="B38" s="2" t="s">
        <v>14</v>
      </c>
      <c r="C38" s="2" t="s">
        <v>2</v>
      </c>
      <c r="D38" s="2" t="s">
        <v>4</v>
      </c>
      <c r="E38" s="2" t="s">
        <v>37</v>
      </c>
      <c r="F38" s="2" t="s">
        <v>46</v>
      </c>
      <c r="H38" s="1" t="s">
        <v>20</v>
      </c>
      <c r="I38" s="2" t="s">
        <v>21</v>
      </c>
      <c r="J38" s="14"/>
      <c r="K38" s="51" t="s">
        <v>44</v>
      </c>
      <c r="L38" s="51"/>
      <c r="M38" s="51"/>
    </row>
    <row r="39" spans="1:13" ht="20.25" x14ac:dyDescent="0.25">
      <c r="A39" s="3" t="s">
        <v>11</v>
      </c>
      <c r="B39" s="4">
        <f>B16*(I39/1000)</f>
        <v>3.0362</v>
      </c>
      <c r="C39" s="5">
        <v>138</v>
      </c>
      <c r="D39" s="5">
        <f>1000*B39/C39</f>
        <v>22.001449275362319</v>
      </c>
      <c r="E39" s="22">
        <f>D39/1000</f>
        <v>2.2001449275362319E-2</v>
      </c>
      <c r="F39" s="23">
        <f>0.5*(E39+2*E39+E39*((-3)^2))</f>
        <v>0.13200869565217391</v>
      </c>
      <c r="H39" s="3" t="s">
        <v>17</v>
      </c>
      <c r="I39" s="6">
        <v>95</v>
      </c>
      <c r="J39" s="9"/>
      <c r="K39" s="9"/>
    </row>
    <row r="40" spans="1:13" ht="20.25" x14ac:dyDescent="0.25">
      <c r="A40" s="3" t="s">
        <v>12</v>
      </c>
      <c r="B40" s="4">
        <f>B17*(I40/1000)</f>
        <v>21.728249999999999</v>
      </c>
      <c r="C40" s="5">
        <v>268.07</v>
      </c>
      <c r="D40" s="5">
        <f>1000*B40/C40</f>
        <v>81.054388779050257</v>
      </c>
      <c r="E40" s="22">
        <f t="shared" ref="E40:E41" si="7">D40/1000</f>
        <v>8.105438877905026E-2</v>
      </c>
      <c r="F40" s="23">
        <f>0.5*((2*E40)+E40+(E40*((-3)^2)))</f>
        <v>0.48632633267430159</v>
      </c>
      <c r="G40" s="15"/>
      <c r="H40" s="3" t="s">
        <v>18</v>
      </c>
      <c r="I40" s="6">
        <v>405</v>
      </c>
      <c r="J40" s="9"/>
      <c r="K40" s="9"/>
    </row>
    <row r="41" spans="1:13" ht="18.75" x14ac:dyDescent="0.25">
      <c r="A41" s="3" t="s">
        <v>3</v>
      </c>
      <c r="B41" s="4">
        <f>B18*(I41/1000)</f>
        <v>7.3599999999999994</v>
      </c>
      <c r="C41" s="5">
        <v>58.44</v>
      </c>
      <c r="D41" s="5">
        <f t="shared" ref="D41" si="8">1000*B41/C41</f>
        <v>125.94113620807664</v>
      </c>
      <c r="E41" s="22">
        <f t="shared" si="7"/>
        <v>0.12594113620807665</v>
      </c>
      <c r="F41" s="23">
        <f>0.5*(E41+E41)</f>
        <v>0.12594113620807665</v>
      </c>
      <c r="H41" s="3" t="s">
        <v>19</v>
      </c>
      <c r="I41" s="6">
        <v>100</v>
      </c>
      <c r="J41" s="9"/>
      <c r="K41" s="9"/>
    </row>
    <row r="42" spans="1:13" x14ac:dyDescent="0.25">
      <c r="E42" s="26" t="s">
        <v>62</v>
      </c>
      <c r="F42" s="27">
        <f>SUM(F39:F41)</f>
        <v>0.74427616453455214</v>
      </c>
    </row>
    <row r="43" spans="1:13" x14ac:dyDescent="0.25">
      <c r="E43" s="26" t="s">
        <v>47</v>
      </c>
      <c r="F43" s="27"/>
    </row>
    <row r="44" spans="1:13" x14ac:dyDescent="0.25">
      <c r="E44" s="26"/>
      <c r="F44" s="27"/>
    </row>
    <row r="45" spans="1:13" ht="18.75" x14ac:dyDescent="0.25">
      <c r="A45" s="61" t="s">
        <v>38</v>
      </c>
      <c r="B45" s="62"/>
      <c r="C45" s="62"/>
      <c r="D45" s="62"/>
      <c r="E45" s="62"/>
      <c r="F45" s="62"/>
      <c r="H45" s="63" t="s">
        <v>38</v>
      </c>
      <c r="I45" s="63"/>
      <c r="K45" s="18" t="s">
        <v>45</v>
      </c>
      <c r="L45" s="18"/>
      <c r="M45">
        <f>-(5.21-7.21)</f>
        <v>2</v>
      </c>
    </row>
    <row r="46" spans="1:13" ht="18.75" x14ac:dyDescent="0.25">
      <c r="A46" s="1" t="s">
        <v>1</v>
      </c>
      <c r="B46" s="2" t="s">
        <v>14</v>
      </c>
      <c r="C46" s="2" t="s">
        <v>2</v>
      </c>
      <c r="D46" s="2" t="s">
        <v>4</v>
      </c>
      <c r="E46" s="2" t="s">
        <v>37</v>
      </c>
      <c r="F46" s="2" t="s">
        <v>46</v>
      </c>
      <c r="H46" s="1" t="s">
        <v>20</v>
      </c>
      <c r="I46" s="2" t="s">
        <v>21</v>
      </c>
      <c r="J46" s="14"/>
      <c r="K46" s="18" t="s">
        <v>39</v>
      </c>
      <c r="M46">
        <f>10^M45</f>
        <v>100</v>
      </c>
    </row>
    <row r="47" spans="1:13" ht="20.25" x14ac:dyDescent="0.25">
      <c r="A47" s="3" t="s">
        <v>11</v>
      </c>
      <c r="B47" s="4">
        <f>(C47*D47)/1000</f>
        <v>14.080896684662312</v>
      </c>
      <c r="C47" s="5">
        <v>138</v>
      </c>
      <c r="D47" s="5">
        <f>E47*1000</f>
        <v>102.03548322219066</v>
      </c>
      <c r="E47" s="22">
        <f>L48</f>
        <v>0.10203548322219066</v>
      </c>
      <c r="F47" s="23">
        <f>0.5*(E47+2*E47+E47*((-3)^2))</f>
        <v>0.61221289933314393</v>
      </c>
      <c r="H47" s="3" t="s">
        <v>17</v>
      </c>
      <c r="I47" s="6">
        <f>1000*(B47/B16)</f>
        <v>440.57874482673066</v>
      </c>
      <c r="K47" s="18" t="s">
        <v>42</v>
      </c>
      <c r="M47">
        <f>(D39+D40)/1000</f>
        <v>0.10305583805441257</v>
      </c>
    </row>
    <row r="48" spans="1:13" ht="20.25" x14ac:dyDescent="0.25">
      <c r="A48" s="3" t="s">
        <v>12</v>
      </c>
      <c r="B48" s="4">
        <f t="shared" ref="B48" si="9">(C48*D48)/1000</f>
        <v>0.27352651987372573</v>
      </c>
      <c r="C48" s="5">
        <v>268.07</v>
      </c>
      <c r="D48" s="5">
        <f>E48*1000</f>
        <v>1.0203548322219036</v>
      </c>
      <c r="E48" s="22">
        <f>L49</f>
        <v>1.0203548322219036E-3</v>
      </c>
      <c r="F48" s="23">
        <f>0.5*((2*E48)+E48+(E48*((-3)^2)))</f>
        <v>6.1221289933314216E-3</v>
      </c>
      <c r="G48" s="15"/>
      <c r="H48" s="3" t="s">
        <v>18</v>
      </c>
      <c r="I48" s="6">
        <f>1000*(B48/B17)</f>
        <v>5.0983507898178146</v>
      </c>
      <c r="K48" s="18" t="s">
        <v>40</v>
      </c>
      <c r="L48">
        <f>(M46*((D39+D40)/1000))/(1+M46)</f>
        <v>0.10203548322219066</v>
      </c>
    </row>
    <row r="49" spans="1:13" ht="18.75" x14ac:dyDescent="0.25">
      <c r="A49" s="3" t="s">
        <v>3</v>
      </c>
      <c r="B49" s="4">
        <f>(C49*D49)/1000</f>
        <v>7.3600000000000074</v>
      </c>
      <c r="C49" s="5">
        <v>58.44</v>
      </c>
      <c r="D49" s="5">
        <f>E49*1000</f>
        <v>125.94113620807678</v>
      </c>
      <c r="E49" s="22">
        <f>(F49)</f>
        <v>0.12594113620807679</v>
      </c>
      <c r="F49" s="23">
        <f>F50-F48-F47</f>
        <v>0.12594113620807679</v>
      </c>
      <c r="H49" s="3" t="s">
        <v>19</v>
      </c>
      <c r="I49" s="6">
        <f>1000*(B49/B18)</f>
        <v>100.0000000000001</v>
      </c>
      <c r="K49" s="18" t="s">
        <v>41</v>
      </c>
      <c r="L49">
        <f>M47-L48</f>
        <v>1.0203548322219036E-3</v>
      </c>
    </row>
    <row r="50" spans="1:13" ht="15" customHeight="1" x14ac:dyDescent="0.25">
      <c r="A50" s="12"/>
      <c r="B50" s="16"/>
      <c r="C50" s="9"/>
      <c r="D50" s="9"/>
      <c r="E50" s="26" t="s">
        <v>62</v>
      </c>
      <c r="F50" s="27">
        <f>F42</f>
        <v>0.74427616453455214</v>
      </c>
      <c r="H50" s="12"/>
      <c r="I50" s="13"/>
    </row>
    <row r="51" spans="1:13" ht="15" customHeight="1" x14ac:dyDescent="0.25">
      <c r="A51" s="12"/>
      <c r="B51" s="16"/>
      <c r="C51" s="9"/>
      <c r="D51" s="9"/>
      <c r="E51" s="26" t="s">
        <v>47</v>
      </c>
      <c r="F51" s="27"/>
      <c r="H51" s="12"/>
      <c r="I51" s="13"/>
    </row>
    <row r="52" spans="1:13" ht="15" customHeight="1" x14ac:dyDescent="0.25">
      <c r="A52" s="12"/>
      <c r="B52" s="16"/>
      <c r="C52" s="9"/>
      <c r="D52" s="9"/>
      <c r="E52" s="26"/>
      <c r="F52" s="27"/>
      <c r="H52" s="12"/>
      <c r="I52" s="13"/>
    </row>
    <row r="53" spans="1:13" ht="18.75" x14ac:dyDescent="0.25">
      <c r="A53" s="61" t="s">
        <v>25</v>
      </c>
      <c r="B53" s="62"/>
      <c r="C53" s="62"/>
      <c r="D53" s="62"/>
      <c r="E53" s="62"/>
      <c r="F53" s="62"/>
      <c r="H53" s="63" t="s">
        <v>25</v>
      </c>
      <c r="I53" s="63"/>
      <c r="K53" s="18" t="s">
        <v>45</v>
      </c>
      <c r="L53" s="18"/>
      <c r="M53">
        <f>-(6.21-7.21)</f>
        <v>1</v>
      </c>
    </row>
    <row r="54" spans="1:13" ht="18.75" x14ac:dyDescent="0.25">
      <c r="A54" s="1" t="s">
        <v>1</v>
      </c>
      <c r="B54" s="2" t="s">
        <v>14</v>
      </c>
      <c r="C54" s="2" t="s">
        <v>2</v>
      </c>
      <c r="D54" s="2" t="s">
        <v>4</v>
      </c>
      <c r="E54" s="2" t="s">
        <v>37</v>
      </c>
      <c r="F54" s="2" t="s">
        <v>46</v>
      </c>
      <c r="H54" s="1" t="s">
        <v>20</v>
      </c>
      <c r="I54" s="2" t="s">
        <v>21</v>
      </c>
      <c r="K54" s="18" t="s">
        <v>39</v>
      </c>
      <c r="M54">
        <f>10^M53</f>
        <v>10</v>
      </c>
    </row>
    <row r="55" spans="1:13" ht="20.25" x14ac:dyDescent="0.25">
      <c r="A55" s="3" t="s">
        <v>11</v>
      </c>
      <c r="B55" s="4">
        <f>(C55*D55)/1000</f>
        <v>12.928823319553576</v>
      </c>
      <c r="C55" s="5">
        <v>138</v>
      </c>
      <c r="D55" s="5">
        <f>E55*1000</f>
        <v>93.687125504011419</v>
      </c>
      <c r="E55" s="22">
        <f>L56</f>
        <v>9.3687125504011426E-2</v>
      </c>
      <c r="F55" s="23">
        <f>0.5*(E55+2*E55+E55*((-3)^2))</f>
        <v>0.56212275302406856</v>
      </c>
      <c r="H55" s="3" t="s">
        <v>17</v>
      </c>
      <c r="I55" s="6">
        <f>1000*(B55/B16)</f>
        <v>404.5313929772708</v>
      </c>
      <c r="K55" s="18" t="s">
        <v>42</v>
      </c>
      <c r="M55">
        <f>(D39+D40)/1000</f>
        <v>0.10305583805441257</v>
      </c>
    </row>
    <row r="56" spans="1:13" ht="20.25" x14ac:dyDescent="0.25">
      <c r="A56" s="3" t="s">
        <v>12</v>
      </c>
      <c r="B56" s="4">
        <f t="shared" ref="B56:B57" si="10">(C56*D56)/1000</f>
        <v>2.511470773386034</v>
      </c>
      <c r="C56" s="5">
        <v>268.07</v>
      </c>
      <c r="D56" s="5">
        <f>E56*1000</f>
        <v>9.3687125504011419</v>
      </c>
      <c r="E56" s="22">
        <f>L57</f>
        <v>9.3687125504011426E-3</v>
      </c>
      <c r="F56" s="23">
        <f>0.5*((2*E56)+E56+(E56*((-3)^2)))</f>
        <v>5.6212275302406856E-2</v>
      </c>
      <c r="G56" s="15"/>
      <c r="H56" s="3" t="s">
        <v>18</v>
      </c>
      <c r="I56" s="6">
        <f>1000*(B56/B17)</f>
        <v>46.812129979236424</v>
      </c>
      <c r="K56" s="18" t="s">
        <v>40</v>
      </c>
      <c r="L56">
        <f>(M54*((D39+D40)/1000))/(1+M54)</f>
        <v>9.3687125504011426E-2</v>
      </c>
    </row>
    <row r="57" spans="1:13" ht="18.75" x14ac:dyDescent="0.25">
      <c r="A57" s="3" t="s">
        <v>3</v>
      </c>
      <c r="B57" s="4">
        <f t="shared" si="10"/>
        <v>7.3600000000000074</v>
      </c>
      <c r="C57" s="5">
        <v>58.44</v>
      </c>
      <c r="D57" s="5">
        <f>E57*1000</f>
        <v>125.94113620807678</v>
      </c>
      <c r="E57" s="22">
        <f>(F57)</f>
        <v>0.12594113620807679</v>
      </c>
      <c r="F57" s="23">
        <f>F66-F56-F55</f>
        <v>0.12594113620807679</v>
      </c>
      <c r="H57" s="3" t="s">
        <v>19</v>
      </c>
      <c r="I57" s="6">
        <f>1000*(B57/B18)</f>
        <v>100.0000000000001</v>
      </c>
      <c r="K57" s="18" t="s">
        <v>41</v>
      </c>
      <c r="L57">
        <f>M55-L56</f>
        <v>9.3687125504011426E-3</v>
      </c>
    </row>
    <row r="58" spans="1:13" x14ac:dyDescent="0.25">
      <c r="E58" s="26" t="s">
        <v>62</v>
      </c>
      <c r="F58" s="27">
        <f>F42</f>
        <v>0.74427616453455214</v>
      </c>
    </row>
    <row r="59" spans="1:13" x14ac:dyDescent="0.25">
      <c r="E59" s="26" t="s">
        <v>47</v>
      </c>
      <c r="F59" s="27"/>
    </row>
    <row r="60" spans="1:13" x14ac:dyDescent="0.25">
      <c r="E60" s="26"/>
      <c r="F60" s="27"/>
    </row>
    <row r="61" spans="1:13" ht="18.75" x14ac:dyDescent="0.25">
      <c r="A61" s="61" t="s">
        <v>24</v>
      </c>
      <c r="B61" s="62"/>
      <c r="C61" s="62"/>
      <c r="D61" s="62"/>
      <c r="E61" s="62"/>
      <c r="F61" s="62"/>
      <c r="H61" s="64" t="s">
        <v>24</v>
      </c>
      <c r="I61" s="65"/>
      <c r="K61" s="18" t="s">
        <v>45</v>
      </c>
      <c r="M61">
        <f>-(8.21-7.21)</f>
        <v>-1.0000000000000009</v>
      </c>
    </row>
    <row r="62" spans="1:13" ht="18.75" x14ac:dyDescent="0.25">
      <c r="A62" s="1" t="s">
        <v>1</v>
      </c>
      <c r="B62" s="2" t="s">
        <v>14</v>
      </c>
      <c r="C62" s="2" t="s">
        <v>2</v>
      </c>
      <c r="D62" s="2" t="s">
        <v>4</v>
      </c>
      <c r="E62" s="2" t="s">
        <v>37</v>
      </c>
      <c r="F62" s="2" t="s">
        <v>46</v>
      </c>
      <c r="H62" s="1" t="s">
        <v>20</v>
      </c>
      <c r="I62" s="2" t="s">
        <v>21</v>
      </c>
      <c r="J62" s="14"/>
      <c r="K62" s="18" t="s">
        <v>39</v>
      </c>
      <c r="M62">
        <f>10^M61</f>
        <v>9.9999999999999756E-2</v>
      </c>
    </row>
    <row r="63" spans="1:13" ht="20.25" x14ac:dyDescent="0.25">
      <c r="A63" s="3" t="s">
        <v>11</v>
      </c>
      <c r="B63" s="4">
        <f>(C63*D63)/1000</f>
        <v>1.2928823319553546</v>
      </c>
      <c r="C63" s="5">
        <v>138</v>
      </c>
      <c r="D63" s="5">
        <f>E63*1000</f>
        <v>9.3687125504011206</v>
      </c>
      <c r="E63" s="22">
        <f>L64</f>
        <v>9.36871255040112E-3</v>
      </c>
      <c r="F63" s="23">
        <f>0.5*(E63+2*E63+E63*((-3)^2))</f>
        <v>5.6212275302406717E-2</v>
      </c>
      <c r="H63" s="3" t="s">
        <v>17</v>
      </c>
      <c r="I63" s="6">
        <f>1000*(B63/B16)</f>
        <v>40.453139297726985</v>
      </c>
      <c r="J63">
        <f>I63/100</f>
        <v>0.40453139297726987</v>
      </c>
      <c r="K63" s="18" t="s">
        <v>42</v>
      </c>
      <c r="M63">
        <f>(D47+D48)/1000</f>
        <v>0.10305583805441255</v>
      </c>
    </row>
    <row r="64" spans="1:13" ht="20.25" x14ac:dyDescent="0.25">
      <c r="A64" s="3" t="s">
        <v>12</v>
      </c>
      <c r="B64" s="4">
        <f t="shared" ref="B64" si="11">(C64*D64)/1000</f>
        <v>25.114707733860346</v>
      </c>
      <c r="C64" s="5">
        <v>268.07</v>
      </c>
      <c r="D64" s="5">
        <f>E64*1000</f>
        <v>93.687125504011433</v>
      </c>
      <c r="E64" s="22">
        <f>L65</f>
        <v>9.368712550401144E-2</v>
      </c>
      <c r="F64" s="23">
        <f>0.5*((2*E64)+E64+(E64*((-3)^2)))</f>
        <v>0.56212275302406867</v>
      </c>
      <c r="G64" s="15"/>
      <c r="H64" s="3" t="s">
        <v>18</v>
      </c>
      <c r="I64" s="6">
        <f>1000*(B64/B17)</f>
        <v>468.12129979236431</v>
      </c>
      <c r="J64">
        <f t="shared" ref="J64:J65" si="12">I64/100</f>
        <v>4.6812129979236428</v>
      </c>
      <c r="K64" s="18" t="s">
        <v>40</v>
      </c>
      <c r="L64">
        <f>(M62*((D47+D48)/1000))/(1+M62)</f>
        <v>9.36871255040112E-3</v>
      </c>
    </row>
    <row r="65" spans="1:12" ht="18.75" x14ac:dyDescent="0.25">
      <c r="A65" s="3" t="s">
        <v>3</v>
      </c>
      <c r="B65" s="4">
        <f>(C65*D65)/1000</f>
        <v>7.3600000000000056</v>
      </c>
      <c r="C65" s="5">
        <v>58.44</v>
      </c>
      <c r="D65" s="5">
        <f>E65*1000</f>
        <v>125.94113620807676</v>
      </c>
      <c r="E65" s="22">
        <f>F65</f>
        <v>0.12594113620807676</v>
      </c>
      <c r="F65" s="23">
        <f>F66-F64-F63</f>
        <v>0.12594113620807676</v>
      </c>
      <c r="H65" s="3" t="s">
        <v>19</v>
      </c>
      <c r="I65" s="6">
        <f>1000*(B65/B18)</f>
        <v>100.00000000000009</v>
      </c>
      <c r="J65">
        <f t="shared" si="12"/>
        <v>1.0000000000000009</v>
      </c>
      <c r="K65" s="18" t="s">
        <v>41</v>
      </c>
      <c r="L65">
        <f>M63-L64</f>
        <v>9.368712550401144E-2</v>
      </c>
    </row>
    <row r="66" spans="1:12" x14ac:dyDescent="0.25">
      <c r="E66" s="26" t="s">
        <v>62</v>
      </c>
      <c r="F66" s="27">
        <f>F42</f>
        <v>0.74427616453455214</v>
      </c>
    </row>
    <row r="67" spans="1:12" ht="15" customHeight="1" x14ac:dyDescent="0.25">
      <c r="E67" s="26" t="s">
        <v>47</v>
      </c>
      <c r="H67" s="12"/>
      <c r="I67" s="13"/>
    </row>
    <row r="68" spans="1:12" ht="18.75" x14ac:dyDescent="0.25">
      <c r="A68" s="7"/>
      <c r="B68" s="7"/>
      <c r="C68" s="7"/>
      <c r="D68" s="7"/>
      <c r="E68" s="7"/>
      <c r="F68" s="7"/>
    </row>
    <row r="69" spans="1:12" ht="18.75" x14ac:dyDescent="0.25">
      <c r="A69" s="19"/>
      <c r="B69" s="8"/>
      <c r="C69" s="8"/>
      <c r="D69" s="7"/>
      <c r="E69" s="7"/>
      <c r="F69" s="7"/>
    </row>
    <row r="70" spans="1:12" ht="18.75" x14ac:dyDescent="0.25">
      <c r="A70" s="12"/>
      <c r="B70" s="9"/>
      <c r="C70" s="9"/>
      <c r="D70" s="17"/>
      <c r="E70" s="17"/>
      <c r="F70" s="17"/>
    </row>
    <row r="71" spans="1:12" ht="18.75" x14ac:dyDescent="0.25">
      <c r="A71" s="12"/>
      <c r="B71" s="9"/>
      <c r="C71" s="9"/>
      <c r="D71" s="17"/>
      <c r="E71" s="17"/>
      <c r="F71" s="17"/>
    </row>
    <row r="72" spans="1:12" ht="18.75" x14ac:dyDescent="0.25">
      <c r="A72" s="12"/>
      <c r="B72" s="9"/>
      <c r="C72" s="9"/>
      <c r="D72" s="17"/>
      <c r="E72" s="17"/>
      <c r="F72" s="17"/>
    </row>
    <row r="73" spans="1:12" ht="18.75" x14ac:dyDescent="0.25">
      <c r="A73" s="12"/>
      <c r="B73" s="9"/>
      <c r="C73" s="9"/>
      <c r="D73" s="17"/>
      <c r="E73" s="17"/>
      <c r="F73" s="17"/>
    </row>
    <row r="74" spans="1:12" ht="18.75" x14ac:dyDescent="0.25">
      <c r="A74" s="12"/>
      <c r="B74" s="9"/>
      <c r="C74" s="9"/>
      <c r="D74" s="17"/>
      <c r="E74" s="17"/>
      <c r="F74" s="17"/>
    </row>
    <row r="75" spans="1:12" ht="18.75" x14ac:dyDescent="0.25">
      <c r="A75" s="12"/>
      <c r="B75" s="9"/>
      <c r="C75" s="9"/>
      <c r="D75" s="17"/>
      <c r="E75" s="17"/>
      <c r="F75" s="17"/>
    </row>
    <row r="76" spans="1:12" ht="18.75" x14ac:dyDescent="0.25">
      <c r="A76" s="12"/>
      <c r="B76" s="9"/>
      <c r="C76" s="9"/>
      <c r="D76" s="17"/>
      <c r="E76" s="17"/>
      <c r="F76" s="17"/>
    </row>
    <row r="77" spans="1:12" ht="18.75" x14ac:dyDescent="0.25">
      <c r="A77" s="12"/>
      <c r="B77" s="9"/>
      <c r="C77" s="9"/>
      <c r="D77" s="17"/>
      <c r="E77" s="17"/>
      <c r="F77" s="17"/>
    </row>
  </sheetData>
  <mergeCells count="18">
    <mergeCell ref="A61:F61"/>
    <mergeCell ref="A53:F53"/>
    <mergeCell ref="A45:F45"/>
    <mergeCell ref="H45:I45"/>
    <mergeCell ref="H61:I61"/>
    <mergeCell ref="H53:I53"/>
    <mergeCell ref="K37:M37"/>
    <mergeCell ref="K38:M38"/>
    <mergeCell ref="H21:I21"/>
    <mergeCell ref="H29:I29"/>
    <mergeCell ref="A1:F1"/>
    <mergeCell ref="A37:F37"/>
    <mergeCell ref="A29:F29"/>
    <mergeCell ref="A21:F21"/>
    <mergeCell ref="I10:J10"/>
    <mergeCell ref="I9:J9"/>
    <mergeCell ref="H37:I37"/>
    <mergeCell ref="A14:D1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1"/>
  <sheetViews>
    <sheetView workbookViewId="0">
      <selection activeCell="A4" sqref="A4"/>
    </sheetView>
  </sheetViews>
  <sheetFormatPr defaultRowHeight="15" x14ac:dyDescent="0.25"/>
  <cols>
    <col min="1" max="1" width="24.7109375" customWidth="1"/>
    <col min="2" max="5" width="10.7109375" customWidth="1"/>
    <col min="6" max="6" width="48.7109375" customWidth="1"/>
    <col min="7" max="8" width="15.7109375" customWidth="1"/>
  </cols>
  <sheetData>
    <row r="1" spans="1:6" ht="19.5" thickBot="1" x14ac:dyDescent="0.3">
      <c r="A1" s="71" t="s">
        <v>15</v>
      </c>
      <c r="B1" s="72"/>
      <c r="C1" s="72"/>
      <c r="D1" s="72"/>
      <c r="E1" s="72"/>
      <c r="F1" s="73"/>
    </row>
    <row r="2" spans="1:6" ht="18.75" x14ac:dyDescent="0.25">
      <c r="A2" s="66" t="s">
        <v>1</v>
      </c>
      <c r="B2" s="68" t="s">
        <v>66</v>
      </c>
      <c r="C2" s="68"/>
      <c r="D2" s="68" t="s">
        <v>64</v>
      </c>
      <c r="E2" s="68"/>
      <c r="F2" s="69" t="s">
        <v>36</v>
      </c>
    </row>
    <row r="3" spans="1:6" ht="19.5" thickBot="1" x14ac:dyDescent="0.3">
      <c r="A3" s="67"/>
      <c r="B3" s="36" t="s">
        <v>65</v>
      </c>
      <c r="C3" s="35" t="s">
        <v>67</v>
      </c>
      <c r="D3" s="36" t="s">
        <v>65</v>
      </c>
      <c r="E3" s="35" t="s">
        <v>67</v>
      </c>
      <c r="F3" s="70"/>
    </row>
    <row r="4" spans="1:6" ht="20.25" x14ac:dyDescent="0.25">
      <c r="A4" s="30" t="s">
        <v>11</v>
      </c>
      <c r="B4" s="31">
        <v>22.001449275362319</v>
      </c>
      <c r="C4" s="31">
        <v>3.0362</v>
      </c>
      <c r="D4" s="31">
        <v>0.5</v>
      </c>
      <c r="E4" s="37">
        <v>6.9000000000000006E-2</v>
      </c>
      <c r="F4" s="39" t="s">
        <v>28</v>
      </c>
    </row>
    <row r="5" spans="1:6" ht="20.25" x14ac:dyDescent="0.25">
      <c r="A5" s="32" t="s">
        <v>10</v>
      </c>
      <c r="B5" s="5">
        <v>81.054388779050257</v>
      </c>
      <c r="C5" s="5">
        <v>21.728249999999999</v>
      </c>
      <c r="D5" s="5">
        <v>1.9994777483493118</v>
      </c>
      <c r="E5" s="4">
        <v>0.53600000000000003</v>
      </c>
      <c r="F5" s="40" t="s">
        <v>29</v>
      </c>
    </row>
    <row r="6" spans="1:6" ht="18.75" x14ac:dyDescent="0.25">
      <c r="A6" s="32" t="s">
        <v>3</v>
      </c>
      <c r="B6" s="5">
        <v>125.94113620807664</v>
      </c>
      <c r="C6" s="5">
        <v>7.3599999999999994</v>
      </c>
      <c r="D6" s="5">
        <v>109.99315537303218</v>
      </c>
      <c r="E6" s="4">
        <v>6.4279999999999999</v>
      </c>
      <c r="F6" s="40" t="s">
        <v>30</v>
      </c>
    </row>
    <row r="7" spans="1:6" ht="20.25" x14ac:dyDescent="0.25">
      <c r="A7" s="32" t="s">
        <v>5</v>
      </c>
      <c r="B7" s="5" t="s">
        <v>16</v>
      </c>
      <c r="C7" s="5" t="s">
        <v>16</v>
      </c>
      <c r="D7" s="5">
        <v>27.996667063444825</v>
      </c>
      <c r="E7" s="4">
        <v>2.3519999999999999</v>
      </c>
      <c r="F7" s="40" t="s">
        <v>31</v>
      </c>
    </row>
    <row r="8" spans="1:6" ht="20.25" x14ac:dyDescent="0.25">
      <c r="A8" s="32" t="s">
        <v>6</v>
      </c>
      <c r="B8" s="5" t="s">
        <v>16</v>
      </c>
      <c r="C8" s="5" t="s">
        <v>16</v>
      </c>
      <c r="D8" s="5">
        <v>7.500998801438274</v>
      </c>
      <c r="E8" s="4">
        <v>0.751</v>
      </c>
      <c r="F8" s="40" t="s">
        <v>32</v>
      </c>
    </row>
    <row r="9" spans="1:6" ht="20.25" x14ac:dyDescent="0.25">
      <c r="A9" s="32" t="s">
        <v>8</v>
      </c>
      <c r="B9" s="5" t="s">
        <v>16</v>
      </c>
      <c r="C9" s="5" t="s">
        <v>16</v>
      </c>
      <c r="D9" s="5">
        <v>0.50409577819785756</v>
      </c>
      <c r="E9" s="4">
        <v>4.8000000000000001E-2</v>
      </c>
      <c r="F9" s="40" t="s">
        <v>33</v>
      </c>
    </row>
    <row r="10" spans="1:6" ht="20.25" x14ac:dyDescent="0.25">
      <c r="A10" s="32" t="s">
        <v>7</v>
      </c>
      <c r="B10" s="5" t="s">
        <v>16</v>
      </c>
      <c r="C10" s="5" t="s">
        <v>16</v>
      </c>
      <c r="D10" s="5">
        <v>0.49838026414154002</v>
      </c>
      <c r="E10" s="4">
        <v>0.06</v>
      </c>
      <c r="F10" s="40" t="s">
        <v>34</v>
      </c>
    </row>
    <row r="11" spans="1:6" ht="21" thickBot="1" x14ac:dyDescent="0.3">
      <c r="A11" s="33" t="s">
        <v>9</v>
      </c>
      <c r="B11" s="34" t="s">
        <v>16</v>
      </c>
      <c r="C11" s="34" t="s">
        <v>16</v>
      </c>
      <c r="D11" s="34">
        <v>0.50454995945580683</v>
      </c>
      <c r="E11" s="38">
        <v>5.6000000000000001E-2</v>
      </c>
      <c r="F11" s="41" t="s">
        <v>35</v>
      </c>
    </row>
  </sheetData>
  <mergeCells count="5">
    <mergeCell ref="A2:A3"/>
    <mergeCell ref="B2:C2"/>
    <mergeCell ref="D2:E2"/>
    <mergeCell ref="F2:F3"/>
    <mergeCell ref="A1:F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B528A-22A9-4C2D-8CE7-C9959DBD10E6}">
  <dimension ref="A2:I13"/>
  <sheetViews>
    <sheetView workbookViewId="0"/>
  </sheetViews>
  <sheetFormatPr defaultRowHeight="15" x14ac:dyDescent="0.25"/>
  <cols>
    <col min="1" max="1" width="9.140625" style="49"/>
    <col min="2" max="2" width="24.7109375" customWidth="1"/>
    <col min="3" max="3" width="17.7109375" bestFit="1" customWidth="1"/>
    <col min="4" max="4" width="22.140625" bestFit="1" customWidth="1"/>
    <col min="5" max="5" width="15.7109375" customWidth="1"/>
    <col min="6" max="6" width="17.7109375" bestFit="1" customWidth="1"/>
    <col min="7" max="7" width="22.140625" bestFit="1" customWidth="1"/>
    <col min="8" max="8" width="15.7109375" customWidth="1"/>
    <col min="9" max="9" width="50.7109375" customWidth="1"/>
  </cols>
  <sheetData>
    <row r="2" spans="1:9" ht="15.75" thickBot="1" x14ac:dyDescent="0.3"/>
    <row r="3" spans="1:9" ht="19.5" thickBot="1" x14ac:dyDescent="0.3">
      <c r="B3" s="71" t="s">
        <v>80</v>
      </c>
      <c r="C3" s="72"/>
      <c r="D3" s="72"/>
      <c r="E3" s="72"/>
      <c r="F3" s="72"/>
      <c r="G3" s="72"/>
      <c r="H3" s="72"/>
      <c r="I3" s="73"/>
    </row>
    <row r="4" spans="1:9" ht="18.75" x14ac:dyDescent="0.25">
      <c r="B4" s="66" t="s">
        <v>1</v>
      </c>
      <c r="C4" s="74" t="s">
        <v>82</v>
      </c>
      <c r="D4" s="75"/>
      <c r="E4" s="76"/>
      <c r="F4" s="74" t="s">
        <v>81</v>
      </c>
      <c r="G4" s="75"/>
      <c r="H4" s="76"/>
      <c r="I4" s="69" t="s">
        <v>36</v>
      </c>
    </row>
    <row r="5" spans="1:9" ht="38.25" thickBot="1" x14ac:dyDescent="0.3">
      <c r="A5" s="50" t="s">
        <v>92</v>
      </c>
      <c r="B5" s="67"/>
      <c r="C5" s="48" t="s">
        <v>89</v>
      </c>
      <c r="D5" s="47" t="s">
        <v>88</v>
      </c>
      <c r="E5" s="47" t="s">
        <v>90</v>
      </c>
      <c r="F5" s="48" t="s">
        <v>89</v>
      </c>
      <c r="G5" s="47" t="s">
        <v>88</v>
      </c>
      <c r="H5" s="47" t="s">
        <v>90</v>
      </c>
      <c r="I5" s="70"/>
    </row>
    <row r="6" spans="1:9" ht="37.5" x14ac:dyDescent="0.25">
      <c r="A6" s="49">
        <f>E6/1000*100</f>
        <v>0.50428000000000006</v>
      </c>
      <c r="B6" s="30" t="s">
        <v>83</v>
      </c>
      <c r="C6" s="31">
        <v>40</v>
      </c>
      <c r="D6" s="31">
        <v>126.07</v>
      </c>
      <c r="E6" s="37">
        <f>D6*(C6*10^-3)</f>
        <v>5.0427999999999997</v>
      </c>
      <c r="F6" s="31" t="s">
        <v>16</v>
      </c>
      <c r="G6" s="37" t="s">
        <v>16</v>
      </c>
      <c r="H6" s="42" t="s">
        <v>16</v>
      </c>
      <c r="I6" s="45" t="s">
        <v>87</v>
      </c>
    </row>
    <row r="7" spans="1:9" ht="37.5" x14ac:dyDescent="0.25">
      <c r="A7" s="49">
        <f t="shared" ref="A7:A8" si="0">E7/1000*100</f>
        <v>0.13361199999999998</v>
      </c>
      <c r="B7" s="32" t="s">
        <v>84</v>
      </c>
      <c r="C7" s="5">
        <v>4</v>
      </c>
      <c r="D7" s="5">
        <v>334.03</v>
      </c>
      <c r="E7" s="4">
        <f t="shared" ref="E7:E8" si="1">D7*(C7*10^-3)</f>
        <v>1.33612</v>
      </c>
      <c r="F7" s="5" t="s">
        <v>16</v>
      </c>
      <c r="G7" s="4" t="s">
        <v>16</v>
      </c>
      <c r="H7" s="43" t="s">
        <v>16</v>
      </c>
      <c r="I7" s="46" t="s">
        <v>86</v>
      </c>
    </row>
    <row r="8" spans="1:9" ht="37.5" x14ac:dyDescent="0.25">
      <c r="A8" s="49">
        <f t="shared" si="0"/>
        <v>4.6991399999999999</v>
      </c>
      <c r="B8" s="32" t="s">
        <v>91</v>
      </c>
      <c r="C8" s="5">
        <v>340</v>
      </c>
      <c r="D8" s="5">
        <v>138.21</v>
      </c>
      <c r="E8" s="4">
        <f t="shared" si="1"/>
        <v>46.991400000000006</v>
      </c>
      <c r="F8" s="5" t="s">
        <v>16</v>
      </c>
      <c r="G8" s="4" t="s">
        <v>16</v>
      </c>
      <c r="H8" s="43" t="s">
        <v>16</v>
      </c>
      <c r="I8" s="46" t="s">
        <v>85</v>
      </c>
    </row>
    <row r="9" spans="1:9" ht="18.75" x14ac:dyDescent="0.25">
      <c r="B9" s="32" t="s">
        <v>78</v>
      </c>
      <c r="C9" s="5" t="s">
        <v>16</v>
      </c>
      <c r="D9" s="5" t="s">
        <v>16</v>
      </c>
      <c r="E9" s="5" t="s">
        <v>16</v>
      </c>
      <c r="F9" s="5">
        <v>100</v>
      </c>
      <c r="G9" s="4">
        <v>142.18</v>
      </c>
      <c r="H9" s="43">
        <f>G9*F9/1000</f>
        <v>14.218</v>
      </c>
      <c r="I9" s="40"/>
    </row>
    <row r="10" spans="1:9" ht="18.75" x14ac:dyDescent="0.25">
      <c r="B10" s="32" t="s">
        <v>79</v>
      </c>
      <c r="C10" s="5" t="s">
        <v>16</v>
      </c>
      <c r="D10" s="5" t="s">
        <v>16</v>
      </c>
      <c r="E10" s="5" t="s">
        <v>16</v>
      </c>
      <c r="F10" s="5"/>
      <c r="G10" s="4"/>
      <c r="H10" s="43">
        <f t="shared" ref="H10:H13" si="2">G10*F10/1000</f>
        <v>0</v>
      </c>
      <c r="I10" s="40"/>
    </row>
    <row r="11" spans="1:9" ht="18.75" x14ac:dyDescent="0.25">
      <c r="B11" s="32"/>
      <c r="C11" s="5" t="s">
        <v>16</v>
      </c>
      <c r="D11" s="5" t="s">
        <v>16</v>
      </c>
      <c r="E11" s="5" t="s">
        <v>16</v>
      </c>
      <c r="F11" s="5"/>
      <c r="G11" s="4"/>
      <c r="H11" s="43">
        <f t="shared" si="2"/>
        <v>0</v>
      </c>
      <c r="I11" s="40"/>
    </row>
    <row r="12" spans="1:9" ht="18.75" x14ac:dyDescent="0.25">
      <c r="B12" s="32"/>
      <c r="C12" s="5" t="s">
        <v>16</v>
      </c>
      <c r="D12" s="5" t="s">
        <v>16</v>
      </c>
      <c r="E12" s="5" t="s">
        <v>16</v>
      </c>
      <c r="F12" s="5"/>
      <c r="G12" s="4"/>
      <c r="H12" s="43">
        <f t="shared" si="2"/>
        <v>0</v>
      </c>
      <c r="I12" s="40"/>
    </row>
    <row r="13" spans="1:9" ht="19.5" thickBot="1" x14ac:dyDescent="0.3">
      <c r="B13" s="33"/>
      <c r="C13" s="34" t="s">
        <v>16</v>
      </c>
      <c r="D13" s="34" t="s">
        <v>16</v>
      </c>
      <c r="E13" s="34" t="s">
        <v>16</v>
      </c>
      <c r="F13" s="34"/>
      <c r="G13" s="38"/>
      <c r="H13" s="44">
        <f t="shared" si="2"/>
        <v>0</v>
      </c>
      <c r="I13" s="41"/>
    </row>
  </sheetData>
  <mergeCells count="5">
    <mergeCell ref="B3:I3"/>
    <mergeCell ref="B4:B5"/>
    <mergeCell ref="I4:I5"/>
    <mergeCell ref="C4:E4"/>
    <mergeCell ref="F4:H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 Frederick</dc:creator>
  <cp:lastModifiedBy>Rebecca Frederick</cp:lastModifiedBy>
  <dcterms:created xsi:type="dcterms:W3CDTF">2018-06-21T15:43:47Z</dcterms:created>
  <dcterms:modified xsi:type="dcterms:W3CDTF">2025-05-29T19:59:40Z</dcterms:modified>
</cp:coreProperties>
</file>