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Default Extension="emf" ContentType="image/x-emf"/>
  <Override PartName="/xl/charts/chart3.xml" ContentType="application/vnd.openxmlformats-officedocument.drawingml.chart+xml"/>
  <Override PartName="/xl/embeddings/oleObject3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1430" yWindow="0" windowWidth="11715" windowHeight="11760" activeTab="1"/>
  </bookViews>
  <sheets>
    <sheet name="1A" sheetId="1" r:id="rId1"/>
    <sheet name="1B new" sheetId="3" r:id="rId2"/>
    <sheet name="1B" sheetId="2" r:id="rId3"/>
  </sheets>
  <externalReferences>
    <externalReference r:id="rId4"/>
  </externalReferenc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6" i="3"/>
  <c r="A351" l="1"/>
  <c r="A352" s="1"/>
  <c r="A344"/>
  <c r="E339"/>
  <c r="E323"/>
  <c r="C283"/>
  <c r="E283" s="1"/>
  <c r="F281"/>
  <c r="F288" s="1"/>
  <c r="E281"/>
  <c r="C280"/>
  <c r="C281" s="1"/>
  <c r="E282" s="1"/>
  <c r="H237"/>
  <c r="H235"/>
  <c r="H226"/>
  <c r="H214"/>
  <c r="H213"/>
  <c r="G172"/>
  <c r="F172"/>
  <c r="E172"/>
  <c r="F171"/>
  <c r="I170"/>
  <c r="F170"/>
  <c r="I169"/>
  <c r="H169"/>
  <c r="G169"/>
  <c r="I168"/>
  <c r="B84"/>
  <c r="C72"/>
  <c r="C85" s="1"/>
  <c r="C58"/>
  <c r="C71" s="1"/>
  <c r="C84" s="1"/>
  <c r="B58"/>
  <c r="C57"/>
  <c r="C70" s="1"/>
  <c r="C83" s="1"/>
  <c r="C56"/>
  <c r="C69" s="1"/>
  <c r="C82" s="1"/>
  <c r="H29"/>
  <c r="B57" s="1"/>
  <c r="C28"/>
  <c r="B82" s="1"/>
  <c r="G25"/>
  <c r="C19"/>
  <c r="B71" s="1"/>
  <c r="C18"/>
  <c r="H15"/>
  <c r="H16" s="1"/>
  <c r="C15"/>
  <c r="H219" i="1"/>
  <c r="H230"/>
  <c r="C285" i="3" l="1"/>
  <c r="A355"/>
  <c r="B83"/>
  <c r="B85" s="1"/>
  <c r="B70"/>
  <c r="C287"/>
  <c r="C289" s="1"/>
  <c r="F23"/>
  <c r="C144"/>
  <c r="C142"/>
  <c r="J213" s="1"/>
  <c r="E218" s="1"/>
  <c r="F24"/>
  <c r="C16"/>
  <c r="B56"/>
  <c r="B69"/>
  <c r="B72" s="1"/>
  <c r="E284"/>
  <c r="J4" i="2"/>
  <c r="C16" s="1"/>
  <c r="C22" s="1"/>
  <c r="A339"/>
  <c r="A338"/>
  <c r="A333"/>
  <c r="A331"/>
  <c r="E326"/>
  <c r="E310"/>
  <c r="C270"/>
  <c r="C272" s="1"/>
  <c r="F268"/>
  <c r="F275" s="1"/>
  <c r="C267"/>
  <c r="C268" s="1"/>
  <c r="E269" s="1"/>
  <c r="H16"/>
  <c r="H15"/>
  <c r="H224"/>
  <c r="H225"/>
  <c r="H222"/>
  <c r="C126"/>
  <c r="E163" s="1"/>
  <c r="H213"/>
  <c r="H211"/>
  <c r="H202"/>
  <c r="H200"/>
  <c r="E124"/>
  <c r="G161" s="1"/>
  <c r="B84"/>
  <c r="C72"/>
  <c r="C85" s="1"/>
  <c r="C56"/>
  <c r="C69" s="1"/>
  <c r="C82" s="1"/>
  <c r="B58"/>
  <c r="C58"/>
  <c r="C71" s="1"/>
  <c r="C84" s="1"/>
  <c r="C57"/>
  <c r="C70" s="1"/>
  <c r="C83" s="1"/>
  <c r="C18"/>
  <c r="C19"/>
  <c r="B71" s="1"/>
  <c r="H29"/>
  <c r="B70" s="1"/>
  <c r="C28"/>
  <c r="B69" s="1"/>
  <c r="G25"/>
  <c r="H17" i="1"/>
  <c r="A363" i="3" l="1"/>
  <c r="A364" s="1"/>
  <c r="A356"/>
  <c r="E285"/>
  <c r="C22"/>
  <c r="C21"/>
  <c r="F323"/>
  <c r="C145"/>
  <c r="C143"/>
  <c r="J214" s="1"/>
  <c r="E219" s="1"/>
  <c r="D91"/>
  <c r="D90"/>
  <c r="F237" s="1"/>
  <c r="D89"/>
  <c r="D88"/>
  <c r="F235" s="1"/>
  <c r="D78"/>
  <c r="D77"/>
  <c r="F226" s="1"/>
  <c r="D76"/>
  <c r="D75"/>
  <c r="D65"/>
  <c r="D64"/>
  <c r="D63"/>
  <c r="F214" s="1"/>
  <c r="D62"/>
  <c r="F213" s="1"/>
  <c r="B59"/>
  <c r="C91"/>
  <c r="E238" s="1"/>
  <c r="C89"/>
  <c r="E236" s="1"/>
  <c r="C77"/>
  <c r="E226" s="1"/>
  <c r="C75"/>
  <c r="E224" s="1"/>
  <c r="C65"/>
  <c r="A91"/>
  <c r="C238" s="1"/>
  <c r="A90"/>
  <c r="C237" s="1"/>
  <c r="A89"/>
  <c r="C236" s="1"/>
  <c r="A88"/>
  <c r="C235" s="1"/>
  <c r="A78"/>
  <c r="A77"/>
  <c r="C226" s="1"/>
  <c r="A76"/>
  <c r="C225" s="1"/>
  <c r="A75"/>
  <c r="A65"/>
  <c r="C216" s="1"/>
  <c r="A64"/>
  <c r="C215" s="1"/>
  <c r="A63"/>
  <c r="C214" s="1"/>
  <c r="A62"/>
  <c r="C213" s="1"/>
  <c r="C63"/>
  <c r="E214" s="1"/>
  <c r="B91"/>
  <c r="B90"/>
  <c r="D237" s="1"/>
  <c r="B89"/>
  <c r="B88"/>
  <c r="D235" s="1"/>
  <c r="B78"/>
  <c r="B77"/>
  <c r="D226" s="1"/>
  <c r="B76"/>
  <c r="B75"/>
  <c r="B65"/>
  <c r="D216" s="1"/>
  <c r="B64"/>
  <c r="D215" s="1"/>
  <c r="B63"/>
  <c r="D214" s="1"/>
  <c r="B62"/>
  <c r="D213" s="1"/>
  <c r="C90"/>
  <c r="E237" s="1"/>
  <c r="C88"/>
  <c r="E235" s="1"/>
  <c r="C78"/>
  <c r="E227" s="1"/>
  <c r="C76"/>
  <c r="E225" s="1"/>
  <c r="C64"/>
  <c r="C62"/>
  <c r="E213" s="1"/>
  <c r="J215"/>
  <c r="E220" s="1"/>
  <c r="C291"/>
  <c r="E286"/>
  <c r="C151"/>
  <c r="C148"/>
  <c r="J224" s="1"/>
  <c r="E229" s="1"/>
  <c r="C149"/>
  <c r="F25"/>
  <c r="C247" s="1"/>
  <c r="C150"/>
  <c r="J226" s="1"/>
  <c r="E231" s="1"/>
  <c r="C274" i="2"/>
  <c r="C276" s="1"/>
  <c r="C278" s="1"/>
  <c r="C280" s="1"/>
  <c r="E270"/>
  <c r="E268"/>
  <c r="A334"/>
  <c r="A335" s="1"/>
  <c r="A336" s="1"/>
  <c r="E271"/>
  <c r="B83"/>
  <c r="B57"/>
  <c r="B72"/>
  <c r="B56"/>
  <c r="B82"/>
  <c r="B85" s="1"/>
  <c r="C15"/>
  <c r="C21"/>
  <c r="A351" i="1"/>
  <c r="A352" s="1"/>
  <c r="A344"/>
  <c r="E340"/>
  <c r="E323"/>
  <c r="E310"/>
  <c r="F270"/>
  <c r="F277" s="1"/>
  <c r="C274"/>
  <c r="E273" s="1"/>
  <c r="C272"/>
  <c r="E272" s="1"/>
  <c r="C269"/>
  <c r="E270" s="1"/>
  <c r="J227" i="3" l="1"/>
  <c r="E232" s="1"/>
  <c r="D225"/>
  <c r="D112"/>
  <c r="E129" s="1"/>
  <c r="G170" s="1"/>
  <c r="D236"/>
  <c r="E121"/>
  <c r="C111"/>
  <c r="C224"/>
  <c r="E216"/>
  <c r="C105"/>
  <c r="C128" s="1"/>
  <c r="E169" s="1"/>
  <c r="D104"/>
  <c r="D127" s="1"/>
  <c r="F168" s="1"/>
  <c r="F215"/>
  <c r="J216"/>
  <c r="E221" s="1"/>
  <c r="C161"/>
  <c r="C169" s="1"/>
  <c r="I177" s="1"/>
  <c r="D224"/>
  <c r="D111"/>
  <c r="E127" s="1"/>
  <c r="G168" s="1"/>
  <c r="C227"/>
  <c r="C112"/>
  <c r="C113"/>
  <c r="F225"/>
  <c r="E112"/>
  <c r="F129" s="1"/>
  <c r="H170" s="1"/>
  <c r="F236"/>
  <c r="F121"/>
  <c r="G130" s="1"/>
  <c r="I171" s="1"/>
  <c r="J225"/>
  <c r="E230" s="1"/>
  <c r="C162"/>
  <c r="C170" s="1"/>
  <c r="I178" s="1"/>
  <c r="E287"/>
  <c r="C293"/>
  <c r="E288" s="1"/>
  <c r="C104"/>
  <c r="E215"/>
  <c r="D113"/>
  <c r="E130" s="1"/>
  <c r="G171" s="1"/>
  <c r="D227"/>
  <c r="E122"/>
  <c r="F131" s="1"/>
  <c r="H172" s="1"/>
  <c r="D238"/>
  <c r="E111"/>
  <c r="F127" s="1"/>
  <c r="H168" s="1"/>
  <c r="F224"/>
  <c r="C157"/>
  <c r="C156"/>
  <c r="J237" s="1"/>
  <c r="E242" s="1"/>
  <c r="C154"/>
  <c r="J235" s="1"/>
  <c r="E240" s="1"/>
  <c r="F339"/>
  <c r="C155"/>
  <c r="J236" s="1"/>
  <c r="E241" s="1"/>
  <c r="D105"/>
  <c r="D128" s="1"/>
  <c r="F169" s="1"/>
  <c r="F216"/>
  <c r="F227"/>
  <c r="E113"/>
  <c r="F238"/>
  <c r="F122"/>
  <c r="G131" s="1"/>
  <c r="I172" s="1"/>
  <c r="C160"/>
  <c r="C168" s="1"/>
  <c r="I176" s="1"/>
  <c r="E272" i="2"/>
  <c r="E273"/>
  <c r="F24"/>
  <c r="C139"/>
  <c r="J202" s="1"/>
  <c r="E207" s="1"/>
  <c r="C137"/>
  <c r="J200" s="1"/>
  <c r="E205" s="1"/>
  <c r="F23"/>
  <c r="F310" s="1"/>
  <c r="D77"/>
  <c r="F213" s="1"/>
  <c r="C76"/>
  <c r="E212" s="1"/>
  <c r="B76"/>
  <c r="A76"/>
  <c r="C212" s="1"/>
  <c r="B59"/>
  <c r="A91"/>
  <c r="C225" s="1"/>
  <c r="A90"/>
  <c r="C224" s="1"/>
  <c r="A89"/>
  <c r="C223" s="1"/>
  <c r="D65"/>
  <c r="C104" s="1"/>
  <c r="C65"/>
  <c r="E203" s="1"/>
  <c r="B65"/>
  <c r="A65"/>
  <c r="C203" s="1"/>
  <c r="C89"/>
  <c r="E223" s="1"/>
  <c r="D63"/>
  <c r="A63"/>
  <c r="C201" s="1"/>
  <c r="D76"/>
  <c r="B75"/>
  <c r="D211" s="1"/>
  <c r="D88"/>
  <c r="F222" s="1"/>
  <c r="B64"/>
  <c r="D202" s="1"/>
  <c r="D78"/>
  <c r="C78"/>
  <c r="E214" s="1"/>
  <c r="B77"/>
  <c r="D213" s="1"/>
  <c r="A77"/>
  <c r="C213" s="1"/>
  <c r="B91"/>
  <c r="B90"/>
  <c r="D224" s="1"/>
  <c r="B89"/>
  <c r="B88"/>
  <c r="D222" s="1"/>
  <c r="D62"/>
  <c r="F200" s="1"/>
  <c r="C62"/>
  <c r="E200" s="1"/>
  <c r="B62"/>
  <c r="D200" s="1"/>
  <c r="A62"/>
  <c r="C200" s="1"/>
  <c r="A88"/>
  <c r="C222" s="1"/>
  <c r="D75"/>
  <c r="F211" s="1"/>
  <c r="B78"/>
  <c r="A78"/>
  <c r="C214" s="1"/>
  <c r="A75"/>
  <c r="C211" s="1"/>
  <c r="C91"/>
  <c r="E225" s="1"/>
  <c r="C90"/>
  <c r="E224" s="1"/>
  <c r="C88"/>
  <c r="E222" s="1"/>
  <c r="C63"/>
  <c r="E201" s="1"/>
  <c r="B63"/>
  <c r="C75"/>
  <c r="E211" s="1"/>
  <c r="C77"/>
  <c r="E213" s="1"/>
  <c r="D91"/>
  <c r="D90"/>
  <c r="F224" s="1"/>
  <c r="D89"/>
  <c r="D64"/>
  <c r="F202" s="1"/>
  <c r="C64"/>
  <c r="E202" s="1"/>
  <c r="A64"/>
  <c r="C202" s="1"/>
  <c r="C270" i="1"/>
  <c r="E271" s="1"/>
  <c r="F126"/>
  <c r="C127"/>
  <c r="C128"/>
  <c r="D128"/>
  <c r="E125"/>
  <c r="F125"/>
  <c r="H32"/>
  <c r="C22"/>
  <c r="A165" s="1"/>
  <c r="C163" i="3" l="1"/>
  <c r="C171" s="1"/>
  <c r="I179" s="1"/>
  <c r="C129"/>
  <c r="E170" s="1"/>
  <c r="C130"/>
  <c r="E171" s="1"/>
  <c r="C164"/>
  <c r="C172" s="1"/>
  <c r="I180" s="1"/>
  <c r="J238"/>
  <c r="E243" s="1"/>
  <c r="F130"/>
  <c r="H171" s="1"/>
  <c r="C127"/>
  <c r="E168" s="1"/>
  <c r="D214" i="2"/>
  <c r="C111"/>
  <c r="C125" s="1"/>
  <c r="D111"/>
  <c r="F214"/>
  <c r="F212"/>
  <c r="D110"/>
  <c r="D124" s="1"/>
  <c r="F161" s="1"/>
  <c r="D212"/>
  <c r="C110"/>
  <c r="C124"/>
  <c r="E161" s="1"/>
  <c r="E274"/>
  <c r="E275"/>
  <c r="D223"/>
  <c r="D118"/>
  <c r="D125" s="1"/>
  <c r="F162" s="1"/>
  <c r="F223"/>
  <c r="E118"/>
  <c r="E125" s="1"/>
  <c r="G162" s="1"/>
  <c r="E119"/>
  <c r="E126" s="1"/>
  <c r="G163" s="1"/>
  <c r="F225"/>
  <c r="D119"/>
  <c r="D126" s="1"/>
  <c r="F163" s="1"/>
  <c r="D225"/>
  <c r="F203"/>
  <c r="E162"/>
  <c r="D203"/>
  <c r="D201"/>
  <c r="F201"/>
  <c r="C146"/>
  <c r="J214" s="1"/>
  <c r="E219" s="1"/>
  <c r="C143"/>
  <c r="J211" s="1"/>
  <c r="E216" s="1"/>
  <c r="F25"/>
  <c r="C144"/>
  <c r="J212" s="1"/>
  <c r="E217" s="1"/>
  <c r="C145"/>
  <c r="J213" s="1"/>
  <c r="E218" s="1"/>
  <c r="C140"/>
  <c r="J203" s="1"/>
  <c r="E208" s="1"/>
  <c r="C138"/>
  <c r="C155" s="1"/>
  <c r="C161" s="1"/>
  <c r="B57" i="1"/>
  <c r="H232"/>
  <c r="H221"/>
  <c r="H210"/>
  <c r="H208"/>
  <c r="A170"/>
  <c r="A175" s="1"/>
  <c r="A171"/>
  <c r="A176" s="1"/>
  <c r="A169"/>
  <c r="A174" s="1"/>
  <c r="A168"/>
  <c r="A173" s="1"/>
  <c r="H163"/>
  <c r="H162"/>
  <c r="G162"/>
  <c r="F165"/>
  <c r="E164"/>
  <c r="E165"/>
  <c r="C20"/>
  <c r="H18" s="1"/>
  <c r="D119"/>
  <c r="C119"/>
  <c r="D118" s="1"/>
  <c r="C118"/>
  <c r="C112"/>
  <c r="D111" s="1"/>
  <c r="C111"/>
  <c r="B84"/>
  <c r="B58"/>
  <c r="C58"/>
  <c r="C57"/>
  <c r="C56"/>
  <c r="B70"/>
  <c r="C17"/>
  <c r="F27" s="1"/>
  <c r="C18"/>
  <c r="C25" s="1"/>
  <c r="C31"/>
  <c r="B69" s="1"/>
  <c r="G28"/>
  <c r="C176" i="3" l="1" a="1"/>
  <c r="C145" i="1"/>
  <c r="J221" s="1"/>
  <c r="E226" s="1"/>
  <c r="C143"/>
  <c r="J219" s="1"/>
  <c r="E224" s="1"/>
  <c r="C146"/>
  <c r="C144"/>
  <c r="C234" i="2"/>
  <c r="F326"/>
  <c r="C151"/>
  <c r="J224" s="1"/>
  <c r="E229" s="1"/>
  <c r="C150"/>
  <c r="J223" s="1"/>
  <c r="E228" s="1"/>
  <c r="C152"/>
  <c r="J225" s="1"/>
  <c r="E230" s="1"/>
  <c r="C149"/>
  <c r="J222" s="1"/>
  <c r="E227" s="1"/>
  <c r="C167" a="1"/>
  <c r="E167" s="1"/>
  <c r="G167"/>
  <c r="J201"/>
  <c r="E206" s="1"/>
  <c r="C156"/>
  <c r="C162" s="1"/>
  <c r="G168" s="1"/>
  <c r="F323" i="1"/>
  <c r="J220"/>
  <c r="E225" s="1"/>
  <c r="B71"/>
  <c r="C75" s="1"/>
  <c r="E219" s="1"/>
  <c r="C276"/>
  <c r="A360"/>
  <c r="A361" s="1"/>
  <c r="B56"/>
  <c r="C63" s="1"/>
  <c r="E209" s="1"/>
  <c r="B82"/>
  <c r="B83"/>
  <c r="F26"/>
  <c r="F310" s="1"/>
  <c r="C24"/>
  <c r="C23"/>
  <c r="F180" i="3" l="1"/>
  <c r="G179"/>
  <c r="C179"/>
  <c r="D178"/>
  <c r="E177"/>
  <c r="F176"/>
  <c r="E180"/>
  <c r="F179"/>
  <c r="C178"/>
  <c r="E176"/>
  <c r="G180"/>
  <c r="C180"/>
  <c r="D179"/>
  <c r="E178"/>
  <c r="F177"/>
  <c r="G176"/>
  <c r="C176"/>
  <c r="D180"/>
  <c r="E179"/>
  <c r="F178"/>
  <c r="G177"/>
  <c r="C177"/>
  <c r="D176"/>
  <c r="G178"/>
  <c r="D177"/>
  <c r="C157" i="2"/>
  <c r="C163" s="1"/>
  <c r="G169" s="1"/>
  <c r="C169"/>
  <c r="D167"/>
  <c r="E169"/>
  <c r="D169"/>
  <c r="C167"/>
  <c r="C168"/>
  <c r="D168"/>
  <c r="E168"/>
  <c r="B75" i="1"/>
  <c r="D219" s="1"/>
  <c r="A78"/>
  <c r="C222" s="1"/>
  <c r="A75"/>
  <c r="C219" s="1"/>
  <c r="A64"/>
  <c r="C210" s="1"/>
  <c r="A77"/>
  <c r="C221" s="1"/>
  <c r="C77"/>
  <c r="E221" s="1"/>
  <c r="A76"/>
  <c r="C220" s="1"/>
  <c r="B77"/>
  <c r="D221" s="1"/>
  <c r="B89"/>
  <c r="A62"/>
  <c r="C208" s="1"/>
  <c r="E274"/>
  <c r="C278"/>
  <c r="A369"/>
  <c r="A370" s="1"/>
  <c r="B78"/>
  <c r="C137"/>
  <c r="D76"/>
  <c r="C78"/>
  <c r="E222" s="1"/>
  <c r="D75"/>
  <c r="F219" s="1"/>
  <c r="D77"/>
  <c r="F221" s="1"/>
  <c r="J222"/>
  <c r="E227" s="1"/>
  <c r="D78"/>
  <c r="B76"/>
  <c r="C76"/>
  <c r="E220" s="1"/>
  <c r="C65"/>
  <c r="E211" s="1"/>
  <c r="B72"/>
  <c r="A65"/>
  <c r="C211" s="1"/>
  <c r="A90"/>
  <c r="C232" s="1"/>
  <c r="D64"/>
  <c r="F210" s="1"/>
  <c r="D62"/>
  <c r="F208" s="1"/>
  <c r="B63"/>
  <c r="C104" s="1"/>
  <c r="B85"/>
  <c r="C62"/>
  <c r="E208" s="1"/>
  <c r="C88"/>
  <c r="E230" s="1"/>
  <c r="B65"/>
  <c r="D65"/>
  <c r="D105" s="1"/>
  <c r="A63"/>
  <c r="C209" s="1"/>
  <c r="B91"/>
  <c r="B59"/>
  <c r="B64"/>
  <c r="D210" s="1"/>
  <c r="D63"/>
  <c r="F28"/>
  <c r="C139"/>
  <c r="J210" s="1"/>
  <c r="E215" s="1"/>
  <c r="C138"/>
  <c r="C155" s="1"/>
  <c r="C140"/>
  <c r="C156" s="1"/>
  <c r="C64"/>
  <c r="E210" s="1"/>
  <c r="A88"/>
  <c r="C230" s="1"/>
  <c r="A89"/>
  <c r="C231" s="1"/>
  <c r="C91"/>
  <c r="E233" s="1"/>
  <c r="D88"/>
  <c r="F230" s="1"/>
  <c r="B90"/>
  <c r="D232" s="1"/>
  <c r="D91"/>
  <c r="F233" s="1"/>
  <c r="C89"/>
  <c r="E231" s="1"/>
  <c r="A91"/>
  <c r="C233" s="1"/>
  <c r="B62"/>
  <c r="D208" s="1"/>
  <c r="C90"/>
  <c r="E232" s="1"/>
  <c r="B88"/>
  <c r="D230" s="1"/>
  <c r="D89"/>
  <c r="D90"/>
  <c r="F232" s="1"/>
  <c r="C182" i="3" l="1" a="1"/>
  <c r="F220" i="1"/>
  <c r="E112"/>
  <c r="E126" s="1"/>
  <c r="F209"/>
  <c r="D104"/>
  <c r="F222"/>
  <c r="E113"/>
  <c r="D231"/>
  <c r="E120"/>
  <c r="F231"/>
  <c r="F120"/>
  <c r="F127" s="1"/>
  <c r="H164" s="1"/>
  <c r="D233"/>
  <c r="E121"/>
  <c r="E128" s="1"/>
  <c r="G165" s="1"/>
  <c r="D211"/>
  <c r="C105"/>
  <c r="D220"/>
  <c r="D112"/>
  <c r="D222"/>
  <c r="D113"/>
  <c r="J208"/>
  <c r="E213" s="1"/>
  <c r="C171" i="2" a="1"/>
  <c r="C171" s="1"/>
  <c r="C178" s="1"/>
  <c r="H201" s="1"/>
  <c r="C242" i="1"/>
  <c r="F340"/>
  <c r="C280"/>
  <c r="E275"/>
  <c r="C162"/>
  <c r="H168" s="1"/>
  <c r="J209"/>
  <c r="E214" s="1"/>
  <c r="C163"/>
  <c r="H169" s="1"/>
  <c r="J211"/>
  <c r="E216" s="1"/>
  <c r="F211"/>
  <c r="C125"/>
  <c r="E162" s="1"/>
  <c r="D209"/>
  <c r="D127"/>
  <c r="F164" s="1"/>
  <c r="C126"/>
  <c r="G163"/>
  <c r="F121"/>
  <c r="F128" s="1"/>
  <c r="H165" s="1"/>
  <c r="C151"/>
  <c r="J232" s="1"/>
  <c r="E237" s="1"/>
  <c r="C149"/>
  <c r="C150"/>
  <c r="C157" s="1"/>
  <c r="C152"/>
  <c r="C158" s="1"/>
  <c r="C186" i="3" l="1"/>
  <c r="C203" s="1"/>
  <c r="H238" s="1"/>
  <c r="C182"/>
  <c r="C183"/>
  <c r="C193" s="1"/>
  <c r="H216" s="1"/>
  <c r="C185"/>
  <c r="C184"/>
  <c r="C196" s="1"/>
  <c r="H225" s="1"/>
  <c r="J230" i="1"/>
  <c r="E235" s="1"/>
  <c r="C173" i="2"/>
  <c r="C188" s="1"/>
  <c r="H223" s="1"/>
  <c r="C227" s="1" a="1"/>
  <c r="C172"/>
  <c r="C180" s="1"/>
  <c r="H203" s="1"/>
  <c r="C205" s="1" a="1"/>
  <c r="E127" i="1"/>
  <c r="G164" s="1"/>
  <c r="D125"/>
  <c r="F162" s="1"/>
  <c r="C282"/>
  <c r="E277" s="1"/>
  <c r="E276"/>
  <c r="J231"/>
  <c r="E236" s="1"/>
  <c r="C164"/>
  <c r="H170" s="1"/>
  <c r="C165"/>
  <c r="H171" s="1"/>
  <c r="J233"/>
  <c r="E238" s="1"/>
  <c r="E163"/>
  <c r="D126"/>
  <c r="F163" s="1"/>
  <c r="C195" i="3" l="1"/>
  <c r="H224" s="1"/>
  <c r="C192"/>
  <c r="H215" s="1"/>
  <c r="C218" s="1" a="1"/>
  <c r="C198"/>
  <c r="H227" s="1"/>
  <c r="C201"/>
  <c r="H236" s="1"/>
  <c r="C240" s="1" a="1"/>
  <c r="C227" i="2"/>
  <c r="G227" s="1"/>
  <c r="H246" s="1"/>
  <c r="B256" s="1"/>
  <c r="C228"/>
  <c r="G228" s="1"/>
  <c r="H239" s="1"/>
  <c r="E256" s="1"/>
  <c r="C229"/>
  <c r="G229" s="1"/>
  <c r="J246" s="1"/>
  <c r="B257" s="1"/>
  <c r="C230"/>
  <c r="G230" s="1"/>
  <c r="J239" s="1"/>
  <c r="E257" s="1"/>
  <c r="C185"/>
  <c r="H214" s="1"/>
  <c r="C183"/>
  <c r="H212" s="1"/>
  <c r="C205"/>
  <c r="G205" s="1"/>
  <c r="B246" s="1"/>
  <c r="B252" s="1"/>
  <c r="B310" s="1"/>
  <c r="C207"/>
  <c r="G207" s="1"/>
  <c r="D246" s="1"/>
  <c r="C206"/>
  <c r="G206" s="1"/>
  <c r="C208"/>
  <c r="G208" s="1"/>
  <c r="D239" s="1"/>
  <c r="E253" s="1"/>
  <c r="C168" i="1" a="1"/>
  <c r="D168" s="1"/>
  <c r="C229" i="3" l="1" a="1"/>
  <c r="C231" s="1"/>
  <c r="G231" s="1"/>
  <c r="G259" s="1"/>
  <c r="C220"/>
  <c r="C219"/>
  <c r="G219" s="1"/>
  <c r="C221"/>
  <c r="G221" s="1"/>
  <c r="C218"/>
  <c r="G218" s="1"/>
  <c r="C240"/>
  <c r="G240" s="1"/>
  <c r="H259" s="1"/>
  <c r="B269" s="1"/>
  <c r="C243"/>
  <c r="G243" s="1"/>
  <c r="J252" s="1"/>
  <c r="H270" s="1"/>
  <c r="I339" s="1"/>
  <c r="C241"/>
  <c r="G241" s="1"/>
  <c r="H252" s="1"/>
  <c r="H269" s="1"/>
  <c r="C242"/>
  <c r="G242" s="1"/>
  <c r="J259" s="1"/>
  <c r="B270" s="1"/>
  <c r="B320" i="2"/>
  <c r="I326" s="1"/>
  <c r="B338"/>
  <c r="B324"/>
  <c r="B326"/>
  <c r="B304"/>
  <c r="B333"/>
  <c r="B318"/>
  <c r="B336"/>
  <c r="B269"/>
  <c r="B271" s="1"/>
  <c r="B308"/>
  <c r="B239"/>
  <c r="E252"/>
  <c r="B302" s="1"/>
  <c r="B253"/>
  <c r="C216" a="1"/>
  <c r="C216" s="1"/>
  <c r="G216" s="1"/>
  <c r="E246" s="1"/>
  <c r="B254" s="1"/>
  <c r="F168" i="1"/>
  <c r="D169"/>
  <c r="C168"/>
  <c r="D171"/>
  <c r="F171"/>
  <c r="E169"/>
  <c r="C171"/>
  <c r="E168"/>
  <c r="C170"/>
  <c r="F170"/>
  <c r="F169"/>
  <c r="C169"/>
  <c r="E171"/>
  <c r="E170"/>
  <c r="D170"/>
  <c r="D270" i="3" l="1"/>
  <c r="B337"/>
  <c r="A360" s="1"/>
  <c r="B339"/>
  <c r="D269"/>
  <c r="G220"/>
  <c r="D259" s="1"/>
  <c r="B266" s="1"/>
  <c r="D266" s="1"/>
  <c r="K269"/>
  <c r="C230"/>
  <c r="G230" s="1"/>
  <c r="E252" s="1"/>
  <c r="H267" s="1"/>
  <c r="C232"/>
  <c r="G232" s="1"/>
  <c r="G252" s="1"/>
  <c r="H268" s="1"/>
  <c r="B355" s="1"/>
  <c r="D252"/>
  <c r="H266" s="1"/>
  <c r="C229"/>
  <c r="G229" s="1"/>
  <c r="E259" s="1"/>
  <c r="B267" s="1"/>
  <c r="B363"/>
  <c r="B333"/>
  <c r="B252"/>
  <c r="H265"/>
  <c r="B331"/>
  <c r="B268"/>
  <c r="D268" s="1"/>
  <c r="G261"/>
  <c r="B259"/>
  <c r="B265" s="1"/>
  <c r="C326" i="2"/>
  <c r="G326" s="1"/>
  <c r="A337"/>
  <c r="F269"/>
  <c r="I310"/>
  <c r="B331"/>
  <c r="C310"/>
  <c r="A332"/>
  <c r="B273"/>
  <c r="F270"/>
  <c r="D248"/>
  <c r="C217"/>
  <c r="G217" s="1"/>
  <c r="E239" s="1"/>
  <c r="E254" s="1"/>
  <c r="B334" s="1"/>
  <c r="C219"/>
  <c r="G219" s="1"/>
  <c r="G239" s="1"/>
  <c r="E255" s="1"/>
  <c r="B335" s="1"/>
  <c r="C218"/>
  <c r="G218" s="1"/>
  <c r="C173" i="1" a="1"/>
  <c r="C176" s="1"/>
  <c r="C194" s="1"/>
  <c r="H233" s="1"/>
  <c r="B359" i="3" l="1"/>
  <c r="B358"/>
  <c r="B357"/>
  <c r="B361"/>
  <c r="B362"/>
  <c r="B321"/>
  <c r="D265"/>
  <c r="B352"/>
  <c r="K268"/>
  <c r="B353"/>
  <c r="D267"/>
  <c r="B354"/>
  <c r="B315"/>
  <c r="B344" s="1"/>
  <c r="K265"/>
  <c r="D261"/>
  <c r="A247"/>
  <c r="E247" s="1"/>
  <c r="F247" s="1"/>
  <c r="B351"/>
  <c r="B317"/>
  <c r="C339"/>
  <c r="G339" s="1"/>
  <c r="B323"/>
  <c r="B282"/>
  <c r="B327" i="2"/>
  <c r="B337" s="1"/>
  <c r="G310"/>
  <c r="B311" s="1"/>
  <c r="B332" s="1"/>
  <c r="B275"/>
  <c r="F271"/>
  <c r="A234"/>
  <c r="E234" s="1"/>
  <c r="F234" s="1"/>
  <c r="G246"/>
  <c r="C175" i="1"/>
  <c r="C192" s="1"/>
  <c r="H231" s="1"/>
  <c r="C235" s="1" a="1"/>
  <c r="C174"/>
  <c r="C187" s="1"/>
  <c r="H220" s="1"/>
  <c r="C173"/>
  <c r="I323" i="3" l="1"/>
  <c r="B349" s="1"/>
  <c r="B284"/>
  <c r="F282"/>
  <c r="A348"/>
  <c r="C323"/>
  <c r="G323" s="1"/>
  <c r="B340"/>
  <c r="B360" s="1"/>
  <c r="C182" i="1"/>
  <c r="H209" s="1"/>
  <c r="F272" i="2"/>
  <c r="G248"/>
  <c r="B255"/>
  <c r="B277" s="1"/>
  <c r="C184" i="1"/>
  <c r="H211" s="1"/>
  <c r="C189"/>
  <c r="H222" s="1"/>
  <c r="C224" s="1" a="1"/>
  <c r="C238"/>
  <c r="G238" s="1"/>
  <c r="J247" s="1"/>
  <c r="G265" s="1"/>
  <c r="C237"/>
  <c r="G237" s="1"/>
  <c r="J254" s="1"/>
  <c r="B265" s="1"/>
  <c r="D265" s="1"/>
  <c r="C236"/>
  <c r="C235"/>
  <c r="G235" s="1"/>
  <c r="H254" s="1"/>
  <c r="B264" s="1"/>
  <c r="D264" s="1"/>
  <c r="B350" i="3" l="1"/>
  <c r="B345"/>
  <c r="B324"/>
  <c r="B347"/>
  <c r="B346"/>
  <c r="B348"/>
  <c r="B286"/>
  <c r="F283"/>
  <c r="B334" i="1"/>
  <c r="B369" s="1"/>
  <c r="J265"/>
  <c r="G236"/>
  <c r="H247" s="1"/>
  <c r="G264" s="1"/>
  <c r="C213" a="1"/>
  <c r="C213" s="1"/>
  <c r="G213" s="1"/>
  <c r="B254" s="1"/>
  <c r="B279" i="2"/>
  <c r="F273"/>
  <c r="B340" i="1"/>
  <c r="B338"/>
  <c r="C225"/>
  <c r="G225" s="1"/>
  <c r="E247" s="1"/>
  <c r="G262" s="1"/>
  <c r="J262" s="1"/>
  <c r="C224"/>
  <c r="G224" s="1"/>
  <c r="E254" s="1"/>
  <c r="B262" s="1"/>
  <c r="D262" s="1"/>
  <c r="C226"/>
  <c r="G226" s="1"/>
  <c r="G254" s="1"/>
  <c r="C227"/>
  <c r="G227" s="1"/>
  <c r="G247" s="1"/>
  <c r="G263" s="1"/>
  <c r="B288" i="3" l="1"/>
  <c r="F284"/>
  <c r="B317" i="1"/>
  <c r="B360" s="1"/>
  <c r="J263"/>
  <c r="B332"/>
  <c r="B361" s="1"/>
  <c r="J264"/>
  <c r="C215"/>
  <c r="G215" s="1"/>
  <c r="D254" s="1"/>
  <c r="B261" s="1"/>
  <c r="D261" s="1"/>
  <c r="C216"/>
  <c r="G216" s="1"/>
  <c r="D247" s="1"/>
  <c r="G261" s="1"/>
  <c r="I340"/>
  <c r="B368" s="1"/>
  <c r="C214"/>
  <c r="G214" s="1"/>
  <c r="G260" s="1"/>
  <c r="B281" i="2"/>
  <c r="B282" s="1"/>
  <c r="F274"/>
  <c r="B260" i="1"/>
  <c r="D260" s="1"/>
  <c r="A242"/>
  <c r="B315"/>
  <c r="B352" s="1"/>
  <c r="I323"/>
  <c r="B358" s="1"/>
  <c r="B321"/>
  <c r="B323"/>
  <c r="C340"/>
  <c r="G340" s="1"/>
  <c r="A366"/>
  <c r="B263"/>
  <c r="D263" s="1"/>
  <c r="G256"/>
  <c r="B290" i="3" l="1"/>
  <c r="F285"/>
  <c r="B304" i="1"/>
  <c r="B351" s="1"/>
  <c r="J261"/>
  <c r="B302"/>
  <c r="B344" s="1"/>
  <c r="B370" s="1"/>
  <c r="J260"/>
  <c r="B364"/>
  <c r="B363"/>
  <c r="B365"/>
  <c r="B362"/>
  <c r="B367"/>
  <c r="D256"/>
  <c r="I310"/>
  <c r="B353"/>
  <c r="B355"/>
  <c r="B356"/>
  <c r="B359"/>
  <c r="B354"/>
  <c r="B349"/>
  <c r="B350"/>
  <c r="B271"/>
  <c r="B273" s="1"/>
  <c r="B275" s="1"/>
  <c r="F273" s="1"/>
  <c r="B348"/>
  <c r="B345"/>
  <c r="B347"/>
  <c r="B308"/>
  <c r="A346" s="1"/>
  <c r="B310"/>
  <c r="E242"/>
  <c r="F242"/>
  <c r="F271"/>
  <c r="C323"/>
  <c r="G323" s="1"/>
  <c r="A357"/>
  <c r="B341"/>
  <c r="F286" i="3" l="1"/>
  <c r="B292"/>
  <c r="B366" i="1"/>
  <c r="G341"/>
  <c r="F272"/>
  <c r="C310"/>
  <c r="G310" s="1"/>
  <c r="B324"/>
  <c r="B277"/>
  <c r="B279" s="1"/>
  <c r="B294" i="3" l="1"/>
  <c r="B295" s="1"/>
  <c r="F287"/>
  <c r="B357" i="1"/>
  <c r="G324"/>
  <c r="B311"/>
  <c r="F274"/>
  <c r="B346" l="1"/>
  <c r="G311"/>
  <c r="B281"/>
  <c r="F275"/>
  <c r="B283" l="1"/>
  <c r="B284" s="1"/>
  <c r="F276"/>
</calcChain>
</file>

<file path=xl/sharedStrings.xml><?xml version="1.0" encoding="utf-8"?>
<sst xmlns="http://schemas.openxmlformats.org/spreadsheetml/2006/main" count="1448" uniqueCount="215">
  <si>
    <t>DATA</t>
  </si>
  <si>
    <t>q</t>
  </si>
  <si>
    <t>P</t>
  </si>
  <si>
    <t>L</t>
  </si>
  <si>
    <t>=</t>
  </si>
  <si>
    <t>kN/m</t>
  </si>
  <si>
    <t>m</t>
  </si>
  <si>
    <t>kNm</t>
  </si>
  <si>
    <t>P1</t>
  </si>
  <si>
    <t>P2</t>
  </si>
  <si>
    <t>P3</t>
  </si>
  <si>
    <t>q1</t>
  </si>
  <si>
    <t>q2</t>
  </si>
  <si>
    <t>kN</t>
  </si>
  <si>
    <t>q3</t>
  </si>
  <si>
    <t>BEBAN</t>
  </si>
  <si>
    <t>PROFIL</t>
  </si>
  <si>
    <t>E</t>
  </si>
  <si>
    <t>IWF</t>
  </si>
  <si>
    <t>Mpa</t>
  </si>
  <si>
    <t>kN/m^2</t>
  </si>
  <si>
    <t>I</t>
  </si>
  <si>
    <t>m^4</t>
  </si>
  <si>
    <t>cm^4</t>
  </si>
  <si>
    <t>LANGKAH 1</t>
  </si>
  <si>
    <t>DISKRETISASI DAN REDUKSI DOF</t>
  </si>
  <si>
    <t>A</t>
  </si>
  <si>
    <t>B</t>
  </si>
  <si>
    <t>C</t>
  </si>
  <si>
    <t>D</t>
  </si>
  <si>
    <t>Raz</t>
  </si>
  <si>
    <t>Rbz</t>
  </si>
  <si>
    <t>Rcz</t>
  </si>
  <si>
    <t>Rdz</t>
  </si>
  <si>
    <t>Dcy</t>
  </si>
  <si>
    <t>Ddy</t>
  </si>
  <si>
    <t>Dby</t>
  </si>
  <si>
    <t>Day</t>
  </si>
  <si>
    <t>LANGKAH 2</t>
  </si>
  <si>
    <t>MATRIKS KEKAKUAN ELEMEN</t>
  </si>
  <si>
    <t>ELEMEN 1</t>
  </si>
  <si>
    <t>EI</t>
  </si>
  <si>
    <t>12EI/L^3</t>
  </si>
  <si>
    <t>6EI/L^2</t>
  </si>
  <si>
    <t>-12EI/L^3</t>
  </si>
  <si>
    <t>4EI/L</t>
  </si>
  <si>
    <t>-6EI/L^2</t>
  </si>
  <si>
    <t>2EI/L</t>
  </si>
  <si>
    <t>ELEMEN 2</t>
  </si>
  <si>
    <t>ELEMEN 3</t>
  </si>
  <si>
    <t>LANGKAH 3</t>
  </si>
  <si>
    <t>PERAKITAN ELEMEN</t>
  </si>
  <si>
    <t>Elemen 1</t>
  </si>
  <si>
    <t>Elemen 2</t>
  </si>
  <si>
    <t>Elemen 3</t>
  </si>
  <si>
    <t>MATRIKS KEKAKUAN</t>
  </si>
  <si>
    <t>LANGKAH 4</t>
  </si>
  <si>
    <t>EQUIVALENT SPAN LOAD</t>
  </si>
  <si>
    <t>{f0}1</t>
  </si>
  <si>
    <t>{f0}2</t>
  </si>
  <si>
    <t>{f0}3</t>
  </si>
  <si>
    <t>{f0}</t>
  </si>
  <si>
    <t>LANGKAH 5</t>
  </si>
  <si>
    <t>JOINT LOAD</t>
  </si>
  <si>
    <t>1,2L</t>
  </si>
  <si>
    <t>+</t>
  </si>
  <si>
    <t>x</t>
  </si>
  <si>
    <r>
      <t>Dengan metode invers matriks, diperoleh "</t>
    </r>
    <r>
      <rPr>
        <i/>
        <sz val="11"/>
        <color theme="1"/>
        <rFont val="Times New Roman"/>
        <family val="1"/>
      </rPr>
      <t xml:space="preserve">primary unknown" </t>
    </r>
    <r>
      <rPr>
        <sz val="11"/>
        <color theme="1"/>
        <rFont val="Times New Roman"/>
        <family val="1"/>
      </rPr>
      <t xml:space="preserve">yang berupa </t>
    </r>
    <r>
      <rPr>
        <i/>
        <sz val="11"/>
        <color theme="1"/>
        <rFont val="Times New Roman"/>
        <family val="1"/>
      </rPr>
      <t>joint displacement</t>
    </r>
  </si>
  <si>
    <t>radian</t>
  </si>
  <si>
    <t>LANGKAH 6</t>
  </si>
  <si>
    <t>MENYUSUN VEKTOR PERPINDAHAN MASING-MASING ELEMEN</t>
  </si>
  <si>
    <t>{d}ab</t>
  </si>
  <si>
    <t>{d}bc</t>
  </si>
  <si>
    <t>{d}cd</t>
  </si>
  <si>
    <t>LANGKAH 7</t>
  </si>
  <si>
    <t>MENGHITUNG GAYA DALAM MASING-MASING ELEMEN</t>
  </si>
  <si>
    <t>Rumus Umum</t>
  </si>
  <si>
    <t>:</t>
  </si>
  <si>
    <t>Ma</t>
  </si>
  <si>
    <t>-</t>
  </si>
  <si>
    <t>kN.m</t>
  </si>
  <si>
    <t>Md</t>
  </si>
  <si>
    <t>n=</t>
  </si>
  <si>
    <t>Matriks 4x4</t>
  </si>
  <si>
    <t>mm x mm</t>
  </si>
  <si>
    <t>Beban merata</t>
  </si>
  <si>
    <t>Beban merata dan terpusat di tengah</t>
  </si>
  <si>
    <t>Kontrol</t>
  </si>
  <si>
    <t>MENYUSUN DIAGRAM</t>
  </si>
  <si>
    <t>LANGKAH 8</t>
  </si>
  <si>
    <t>LANGKAH 9</t>
  </si>
  <si>
    <t>REKAPITULASI</t>
  </si>
  <si>
    <t>RAV</t>
  </si>
  <si>
    <t>RBV</t>
  </si>
  <si>
    <t>RCV</t>
  </si>
  <si>
    <t>RDV</t>
  </si>
  <si>
    <t>Vay</t>
  </si>
  <si>
    <t>Vby1</t>
  </si>
  <si>
    <t>Vby2</t>
  </si>
  <si>
    <t>Vcy1</t>
  </si>
  <si>
    <t>Vcy2</t>
  </si>
  <si>
    <t>Vdy</t>
  </si>
  <si>
    <t>Momen</t>
  </si>
  <si>
    <t>Vby</t>
  </si>
  <si>
    <t>Vcy</t>
  </si>
  <si>
    <t>Mb1</t>
  </si>
  <si>
    <t>Mb2</t>
  </si>
  <si>
    <t>Mc1</t>
  </si>
  <si>
    <t>Mc2</t>
  </si>
  <si>
    <t>SFD</t>
  </si>
  <si>
    <t>Da1=</t>
  </si>
  <si>
    <t>Da2=</t>
  </si>
  <si>
    <t>Da1+Rav</t>
  </si>
  <si>
    <t>Db1=</t>
  </si>
  <si>
    <t>Da2-1.2qL</t>
  </si>
  <si>
    <t>Db2=</t>
  </si>
  <si>
    <t>Db1+Rbv</t>
  </si>
  <si>
    <t>Dc1=</t>
  </si>
  <si>
    <t>Db2-q1.2L-P</t>
  </si>
  <si>
    <t>Dc2=</t>
  </si>
  <si>
    <t>Dd1=</t>
  </si>
  <si>
    <t>Dc1+Rcv</t>
  </si>
  <si>
    <t>Dc2-1.2qL</t>
  </si>
  <si>
    <t>Dd2=</t>
  </si>
  <si>
    <t>Dd1+Rdv</t>
  </si>
  <si>
    <t>Gaya</t>
  </si>
  <si>
    <t>Jarak (m)</t>
  </si>
  <si>
    <t>===&gt;</t>
  </si>
  <si>
    <t>LANGKAH 10</t>
  </si>
  <si>
    <t>BMD</t>
  </si>
  <si>
    <t>Ma=</t>
  </si>
  <si>
    <t>-Ma</t>
  </si>
  <si>
    <t>Mb kanan=</t>
  </si>
  <si>
    <t>Letak Mmax</t>
  </si>
  <si>
    <t>x=</t>
  </si>
  <si>
    <t>Mmax=</t>
  </si>
  <si>
    <t>1.2q</t>
  </si>
  <si>
    <t>x^2</t>
  </si>
  <si>
    <t>Rav</t>
  </si>
  <si>
    <t>(+)</t>
  </si>
  <si>
    <t>Elemen2</t>
  </si>
  <si>
    <t>Mb kiri=</t>
  </si>
  <si>
    <t>-Mb2</t>
  </si>
  <si>
    <t>Mc kiri=</t>
  </si>
  <si>
    <t>Rbv2</t>
  </si>
  <si>
    <t>Rbv2/q</t>
  </si>
  <si>
    <t>Rav/1.2q</t>
  </si>
  <si>
    <t>Elemen3</t>
  </si>
  <si>
    <t>Mc kanan=</t>
  </si>
  <si>
    <t>-Mc2</t>
  </si>
  <si>
    <t>Md kiri=</t>
  </si>
  <si>
    <t>Rcv2/1.2q</t>
  </si>
  <si>
    <t>Rcv2</t>
  </si>
  <si>
    <t>[1]</t>
  </si>
  <si>
    <t>[2]</t>
  </si>
  <si>
    <t>[3]</t>
  </si>
  <si>
    <t>Sebelum direduksi</t>
  </si>
  <si>
    <t>Sesudah direduksi</t>
  </si>
  <si>
    <t>[k]1</t>
  </si>
  <si>
    <t>[k]2</t>
  </si>
  <si>
    <t>[k']3</t>
  </si>
  <si>
    <t>[K]s</t>
  </si>
  <si>
    <t>Maz</t>
  </si>
  <si>
    <t>Mbz</t>
  </si>
  <si>
    <t>Mcz</t>
  </si>
  <si>
    <t>Mdz</t>
  </si>
  <si>
    <t>Sigma F</t>
  </si>
  <si>
    <t>NIM</t>
  </si>
  <si>
    <t>I0121060</t>
  </si>
  <si>
    <t>450 x 200</t>
  </si>
  <si>
    <t>Brosur</t>
  </si>
  <si>
    <t>TOTAL</t>
  </si>
  <si>
    <t>a</t>
  </si>
  <si>
    <t>b</t>
  </si>
  <si>
    <t>0.3L</t>
  </si>
  <si>
    <t>0.5L</t>
  </si>
  <si>
    <t>S</t>
  </si>
  <si>
    <t>kNm^2</t>
  </si>
  <si>
    <t>rad</t>
  </si>
  <si>
    <t>Dsy</t>
  </si>
  <si>
    <t>Rsz</t>
  </si>
  <si>
    <t>Vsy</t>
  </si>
  <si>
    <t>Msz</t>
  </si>
  <si>
    <t>RSV</t>
  </si>
  <si>
    <t>Vsy1</t>
  </si>
  <si>
    <t>Vsy2</t>
  </si>
  <si>
    <t>Ms1</t>
  </si>
  <si>
    <t>Ms2</t>
  </si>
  <si>
    <t>Mc</t>
  </si>
  <si>
    <t>Ds1=</t>
  </si>
  <si>
    <t>Ds2=</t>
  </si>
  <si>
    <t>Da2-qL</t>
  </si>
  <si>
    <t>Db1+Rsv</t>
  </si>
  <si>
    <t>Ds2-1.4q0.3L</t>
  </si>
  <si>
    <t>Dc2-1.4qL</t>
  </si>
  <si>
    <t>Ms kiri=</t>
  </si>
  <si>
    <t>Rav/q</t>
  </si>
  <si>
    <t>SFD tidak memotong sumbu X maka tidak terjadi mmax</t>
  </si>
  <si>
    <t>Rbv2/1.4q</t>
  </si>
  <si>
    <t>1.4q</t>
  </si>
  <si>
    <t>Beban merata dan terpusat</t>
  </si>
  <si>
    <t>SAP</t>
  </si>
  <si>
    <t>Error</t>
  </si>
  <si>
    <t>SAP=</t>
  </si>
  <si>
    <t>Error=</t>
  </si>
  <si>
    <t>Rsz1</t>
  </si>
  <si>
    <t>Rsz2</t>
  </si>
  <si>
    <t>I0121063</t>
  </si>
  <si>
    <t>Rsz Kiri</t>
  </si>
  <si>
    <t>Rsz Kanan</t>
  </si>
  <si>
    <t>Rsz Ki</t>
  </si>
  <si>
    <t>Rsz Ka</t>
  </si>
  <si>
    <t>Rsz ki</t>
  </si>
  <si>
    <t>ERROR</t>
  </si>
  <si>
    <t>Rcv/1.4q</t>
  </si>
</sst>
</file>

<file path=xl/styles.xml><?xml version="1.0" encoding="utf-8"?>
<styleSheet xmlns="http://schemas.openxmlformats.org/spreadsheetml/2006/main">
  <numFmts count="7">
    <numFmt numFmtId="164" formatCode="0.0000"/>
    <numFmt numFmtId="165" formatCode="#.0000\ &quot;kN&quot;"/>
    <numFmt numFmtId="166" formatCode="0.0000\ &quot;kNm&quot;"/>
    <numFmt numFmtId="167" formatCode="#.0000\ &quot;kNm&quot;"/>
    <numFmt numFmtId="168" formatCode="0.0000\ &quot;kN&quot;"/>
    <numFmt numFmtId="169" formatCode="0.0000%"/>
    <numFmt numFmtId="170" formatCode="0.000000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4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1" fontId="1" fillId="0" borderId="24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8" fontId="1" fillId="0" borderId="0" xfId="0" applyNumberFormat="1" applyFont="1" applyFill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167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67" fontId="1" fillId="0" borderId="26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1" fillId="2" borderId="15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2" borderId="1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2" fontId="1" fillId="7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167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1" fontId="0" fillId="0" borderId="8" xfId="0" applyNumberFormat="1" applyBorder="1"/>
    <xf numFmtId="11" fontId="0" fillId="0" borderId="9" xfId="0" applyNumberFormat="1" applyBorder="1"/>
    <xf numFmtId="11" fontId="0" fillId="0" borderId="10" xfId="0" applyNumberFormat="1" applyBorder="1"/>
    <xf numFmtId="11" fontId="0" fillId="0" borderId="7" xfId="0" applyNumberFormat="1" applyBorder="1"/>
    <xf numFmtId="11" fontId="0" fillId="0" borderId="0" xfId="0" applyNumberFormat="1" applyBorder="1"/>
    <xf numFmtId="11" fontId="0" fillId="0" borderId="11" xfId="0" applyNumberFormat="1" applyBorder="1"/>
    <xf numFmtId="11" fontId="0" fillId="0" borderId="12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1" fillId="0" borderId="4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167" fontId="1" fillId="6" borderId="26" xfId="0" applyNumberFormat="1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169" fontId="1" fillId="9" borderId="17" xfId="1" applyNumberFormat="1" applyFont="1" applyFill="1" applyBorder="1" applyAlignment="1">
      <alignment horizontal="center" vertical="center"/>
    </xf>
    <xf numFmtId="169" fontId="1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9" fontId="1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70" fontId="0" fillId="0" borderId="8" xfId="0" applyNumberFormat="1" applyBorder="1" applyAlignment="1">
      <alignment horizontal="center"/>
    </xf>
    <xf numFmtId="170" fontId="0" fillId="0" borderId="9" xfId="0" applyNumberFormat="1" applyBorder="1" applyAlignment="1">
      <alignment horizontal="center"/>
    </xf>
    <xf numFmtId="170" fontId="0" fillId="0" borderId="10" xfId="0" applyNumberFormat="1" applyBorder="1"/>
    <xf numFmtId="170" fontId="0" fillId="0" borderId="7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0" fillId="0" borderId="11" xfId="0" applyNumberFormat="1" applyBorder="1"/>
    <xf numFmtId="170" fontId="0" fillId="0" borderId="12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170" fontId="0" fillId="0" borderId="14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2" fontId="0" fillId="0" borderId="0" xfId="0" applyNumberFormat="1"/>
    <xf numFmtId="170" fontId="0" fillId="0" borderId="0" xfId="0" applyNumberFormat="1"/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7" fontId="1" fillId="0" borderId="0" xfId="0" applyNumberFormat="1" applyFont="1" applyBorder="1" applyAlignment="1">
      <alignment horizontal="center" vertical="center"/>
    </xf>
    <xf numFmtId="167" fontId="1" fillId="0" borderId="22" xfId="0" applyNumberFormat="1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166" fontId="1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7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" fillId="0" borderId="3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9" fontId="1" fillId="0" borderId="1" xfId="1" applyNumberFormat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6" fontId="1" fillId="0" borderId="5" xfId="0" applyNumberFormat="1" applyFont="1" applyFill="1" applyBorder="1" applyAlignment="1">
      <alignment horizontal="center" vertical="center"/>
    </xf>
    <xf numFmtId="166" fontId="1" fillId="0" borderId="34" xfId="0" applyNumberFormat="1" applyFont="1" applyFill="1" applyBorder="1" applyAlignment="1">
      <alignment horizontal="center" vertical="center"/>
    </xf>
    <xf numFmtId="167" fontId="1" fillId="0" borderId="5" xfId="0" applyNumberFormat="1" applyFont="1" applyFill="1" applyBorder="1" applyAlignment="1">
      <alignment horizontal="center" vertical="center"/>
    </xf>
    <xf numFmtId="167" fontId="1" fillId="0" borderId="34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CC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Grafik</a:t>
            </a:r>
            <a:r>
              <a:rPr lang="en-US" baseline="0"/>
              <a:t> SFD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'1A'!$E$270:$E$277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5.4</c:v>
                </c:pt>
                <c:pt idx="3">
                  <c:v>5.4</c:v>
                </c:pt>
                <c:pt idx="4">
                  <c:v>11.88</c:v>
                </c:pt>
                <c:pt idx="5">
                  <c:v>11.88</c:v>
                </c:pt>
                <c:pt idx="6">
                  <c:v>17.28</c:v>
                </c:pt>
                <c:pt idx="7">
                  <c:v>17.28</c:v>
                </c:pt>
              </c:numCache>
            </c:numRef>
          </c:xVal>
          <c:yVal>
            <c:numRef>
              <c:f>'1A'!$F$270:$F$277</c:f>
              <c:numCache>
                <c:formatCode>#.0000\ "kN"</c:formatCode>
                <c:ptCount val="8"/>
                <c:pt idx="0" formatCode="0.0000\ &quot;kN&quot;">
                  <c:v>0</c:v>
                </c:pt>
                <c:pt idx="1">
                  <c:v>61.568249503968254</c:v>
                </c:pt>
                <c:pt idx="2">
                  <c:v>-103.67175049603176</c:v>
                </c:pt>
                <c:pt idx="3">
                  <c:v>100.64377507716048</c:v>
                </c:pt>
                <c:pt idx="4">
                  <c:v>-95.596224922839525</c:v>
                </c:pt>
                <c:pt idx="5">
                  <c:v>105.78025744047616</c:v>
                </c:pt>
                <c:pt idx="6">
                  <c:v>-59.459742559523846</c:v>
                </c:pt>
                <c:pt idx="7" formatCode="0.0000\ &quot;kN&quot;">
                  <c:v>0</c:v>
                </c:pt>
              </c:numCache>
            </c:numRef>
          </c:yVal>
        </c:ser>
        <c:axId val="67832064"/>
        <c:axId val="70365568"/>
      </c:scatterChart>
      <c:valAx>
        <c:axId val="67832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Jarak (m)</a:t>
                </a:r>
              </a:p>
            </c:rich>
          </c:tx>
          <c:layout/>
        </c:title>
        <c:numFmt formatCode="General" sourceLinked="1"/>
        <c:tickLblPos val="nextTo"/>
        <c:crossAx val="70365568"/>
        <c:crosses val="autoZero"/>
        <c:crossBetween val="midCat"/>
      </c:valAx>
      <c:valAx>
        <c:axId val="70365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Gaya</a:t>
                </a:r>
              </a:p>
            </c:rich>
          </c:tx>
          <c:layout/>
        </c:title>
        <c:numFmt formatCode="0.0000\ &quot;kN&quot;" sourceLinked="1"/>
        <c:tickLblPos val="nextTo"/>
        <c:crossAx val="67832064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Grafik BMD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97395559117702"/>
          <c:y val="0.13931571110051488"/>
          <c:w val="0.76934395815925571"/>
          <c:h val="0.76899415818453676"/>
        </c:manualLayout>
      </c:layout>
      <c:scatterChart>
        <c:scatterStyle val="smoothMarker"/>
        <c:ser>
          <c:idx val="0"/>
          <c:order val="0"/>
          <c:xVal>
            <c:numRef>
              <c:f>'1A'!$A$344:$A$370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 formatCode="0.0000">
                  <c:v>2.0120342975153025</c:v>
                </c:pt>
                <c:pt idx="3" formatCode="0.0000">
                  <c:v>2</c:v>
                </c:pt>
                <c:pt idx="4" formatCode="0.0000">
                  <c:v>3</c:v>
                </c:pt>
                <c:pt idx="5" formatCode="0.0000">
                  <c:v>4</c:v>
                </c:pt>
                <c:pt idx="6" formatCode="0.0000">
                  <c:v>5</c:v>
                </c:pt>
                <c:pt idx="7">
                  <c:v>5.4</c:v>
                </c:pt>
                <c:pt idx="8">
                  <c:v>5.4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 formatCode="0.0000">
                  <c:v>9.3468147089082549</c:v>
                </c:pt>
                <c:pt idx="14" formatCode="0.0000">
                  <c:v>10</c:v>
                </c:pt>
                <c:pt idx="15" formatCode="0.0000">
                  <c:v>11</c:v>
                </c:pt>
                <c:pt idx="16">
                  <c:v>11.88</c:v>
                </c:pt>
                <c:pt idx="17">
                  <c:v>11.88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 formatCode="0.0000">
                  <c:v>15.336871158185497</c:v>
                </c:pt>
                <c:pt idx="23" formatCode="0.0000">
                  <c:v>16</c:v>
                </c:pt>
                <c:pt idx="24" formatCode="0.0000">
                  <c:v>17</c:v>
                </c:pt>
                <c:pt idx="25">
                  <c:v>17.28</c:v>
                </c:pt>
                <c:pt idx="26">
                  <c:v>17.28</c:v>
                </c:pt>
              </c:numCache>
            </c:numRef>
          </c:xVal>
          <c:yVal>
            <c:numRef>
              <c:f>'1A'!$B$344:$B$370</c:f>
              <c:numCache>
                <c:formatCode>0.0000\ "kNm"</c:formatCode>
                <c:ptCount val="27"/>
                <c:pt idx="0">
                  <c:v>0</c:v>
                </c:pt>
                <c:pt idx="1">
                  <c:v>46.268249503968256</c:v>
                </c:pt>
                <c:pt idx="2" formatCode="#.0000\ &quot;kNm&quot;">
                  <c:v>61.938714819981826</c:v>
                </c:pt>
                <c:pt idx="3">
                  <c:v>61.936499007936511</c:v>
                </c:pt>
                <c:pt idx="4">
                  <c:v>47.004748511904779</c:v>
                </c:pt>
                <c:pt idx="5">
                  <c:v>1.4729980158730314</c:v>
                </c:pt>
                <c:pt idx="6">
                  <c:v>-74.658752480158739</c:v>
                </c:pt>
                <c:pt idx="7" formatCode="#.0000\ &quot;kNm&quot;">
                  <c:v>-113.67945267857145</c:v>
                </c:pt>
                <c:pt idx="8" formatCode="#.0000\ &quot;kNm&quot;">
                  <c:v>-113.67945267857145</c:v>
                </c:pt>
                <c:pt idx="9">
                  <c:v>-57.883187632275181</c:v>
                </c:pt>
                <c:pt idx="10">
                  <c:v>14.71058744488532</c:v>
                </c:pt>
                <c:pt idx="11">
                  <c:v>61.804362522045821</c:v>
                </c:pt>
                <c:pt idx="12">
                  <c:v>83.398137599206351</c:v>
                </c:pt>
                <c:pt idx="13" formatCode="#.0000\ &quot;kNm&quot;">
                  <c:v>84.931713238724072</c:v>
                </c:pt>
                <c:pt idx="14">
                  <c:v>79.491912676366852</c:v>
                </c:pt>
                <c:pt idx="15">
                  <c:v>50.085687753527353</c:v>
                </c:pt>
                <c:pt idx="16" formatCode="#.0000\ &quot;kNm&quot;">
                  <c:v>-114.06539017857145</c:v>
                </c:pt>
                <c:pt idx="17" formatCode="#.0000\ &quot;kNm&quot;">
                  <c:v>-114.06539017857145</c:v>
                </c:pt>
                <c:pt idx="18">
                  <c:v>-101.59207928571439</c:v>
                </c:pt>
                <c:pt idx="19">
                  <c:v>-14.783821845238165</c:v>
                </c:pt>
                <c:pt idx="20">
                  <c:v>41.424435595238066</c:v>
                </c:pt>
                <c:pt idx="21">
                  <c:v>67.032693035714288</c:v>
                </c:pt>
                <c:pt idx="22" formatCode="#.0000\ &quot;kNm&quot;">
                  <c:v>68.76897034713798</c:v>
                </c:pt>
                <c:pt idx="23">
                  <c:v>62.040950476190545</c:v>
                </c:pt>
                <c:pt idx="24">
                  <c:v>26.449207916666722</c:v>
                </c:pt>
                <c:pt idx="25" formatCode="#.0000\ &quot;kNm&quot;">
                  <c:v>10.999999999999986</c:v>
                </c:pt>
                <c:pt idx="26">
                  <c:v>0</c:v>
                </c:pt>
              </c:numCache>
            </c:numRef>
          </c:yVal>
          <c:smooth val="1"/>
        </c:ser>
        <c:axId val="110099840"/>
        <c:axId val="115395200"/>
      </c:scatterChart>
      <c:valAx>
        <c:axId val="110099840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Jarak (m)</a:t>
                </a:r>
              </a:p>
            </c:rich>
          </c:tx>
          <c:layout>
            <c:manualLayout>
              <c:xMode val="edge"/>
              <c:yMode val="edge"/>
              <c:x val="0.55581844062321761"/>
              <c:y val="0.92349779033929402"/>
            </c:manualLayout>
          </c:layout>
        </c:title>
        <c:numFmt formatCode="General" sourceLinked="1"/>
        <c:tickLblPos val="nextTo"/>
        <c:crossAx val="115395200"/>
        <c:crosses val="autoZero"/>
        <c:crossBetween val="midCat"/>
      </c:valAx>
      <c:valAx>
        <c:axId val="115395200"/>
        <c:scaling>
          <c:orientation val="maxMin"/>
          <c:max val="150"/>
          <c:min val="-2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Momen</a:t>
                </a:r>
              </a:p>
            </c:rich>
          </c:tx>
          <c:layout/>
        </c:title>
        <c:numFmt formatCode="0.0000\ &quot;kNm&quot;" sourceLinked="1"/>
        <c:tickLblPos val="nextTo"/>
        <c:crossAx val="110099840"/>
        <c:crosses val="autoZero"/>
        <c:crossBetween val="midCat"/>
        <c:minorUnit val="10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Grafik SFD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'[1]1B'!$E$281:$E$288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5.4</c:v>
                </c:pt>
                <c:pt idx="3">
                  <c:v>5.4</c:v>
                </c:pt>
                <c:pt idx="4">
                  <c:v>7.0200000000000005</c:v>
                </c:pt>
                <c:pt idx="5">
                  <c:v>7.0200000000000005</c:v>
                </c:pt>
                <c:pt idx="6">
                  <c:v>12.420000000000002</c:v>
                </c:pt>
                <c:pt idx="7">
                  <c:v>12.420000000000002</c:v>
                </c:pt>
              </c:numCache>
            </c:numRef>
          </c:xVal>
          <c:yVal>
            <c:numRef>
              <c:f>'[1]1B'!$F$281:$F$288</c:f>
              <c:numCache>
                <c:formatCode>General</c:formatCode>
                <c:ptCount val="8"/>
                <c:pt idx="0">
                  <c:v>0</c:v>
                </c:pt>
                <c:pt idx="1">
                  <c:v>94.870397940913151</c:v>
                </c:pt>
                <c:pt idx="2">
                  <c:v>-50.929602059086861</c:v>
                </c:pt>
                <c:pt idx="3">
                  <c:v>-84.929602059086776</c:v>
                </c:pt>
                <c:pt idx="4">
                  <c:v>-146.16560205908678</c:v>
                </c:pt>
                <c:pt idx="5">
                  <c:v>153.72428061772604</c:v>
                </c:pt>
                <c:pt idx="6">
                  <c:v>-84.395719382273967</c:v>
                </c:pt>
                <c:pt idx="7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A0B6-4802-B30B-D896F8BFE123}"/>
            </c:ext>
          </c:extLst>
        </c:ser>
        <c:axId val="68593536"/>
        <c:axId val="68857856"/>
      </c:scatterChart>
      <c:valAx>
        <c:axId val="68593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Jarak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8857856"/>
        <c:crosses val="autoZero"/>
        <c:crossBetween val="midCat"/>
      </c:valAx>
      <c:valAx>
        <c:axId val="68857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Gaya</a:t>
                </a:r>
              </a:p>
            </c:rich>
          </c:tx>
          <c:layout/>
        </c:title>
        <c:numFmt formatCode="General" sourceLinked="1"/>
        <c:tickLblPos val="nextTo"/>
        <c:crossAx val="68593536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1555774278215226"/>
          <c:y val="2.8196459125466634E-2"/>
          <c:w val="0.54451859142607162"/>
          <c:h val="0.89740246368844567"/>
        </c:manualLayout>
      </c:layout>
      <c:scatterChart>
        <c:scatterStyle val="smoothMarker"/>
        <c:ser>
          <c:idx val="0"/>
          <c:order val="0"/>
          <c:xVal>
            <c:numRef>
              <c:f>'1B new'!$A$344:$A$364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 formatCode="0.0000">
                  <c:v>3.5113486492179682</c:v>
                </c:pt>
                <c:pt idx="5" formatCode="0.0000">
                  <c:v>4</c:v>
                </c:pt>
                <c:pt idx="6" formatCode="0.0000">
                  <c:v>5</c:v>
                </c:pt>
                <c:pt idx="7">
                  <c:v>5.4</c:v>
                </c:pt>
                <c:pt idx="8">
                  <c:v>5.4</c:v>
                </c:pt>
                <c:pt idx="9">
                  <c:v>6</c:v>
                </c:pt>
                <c:pt idx="10">
                  <c:v>7</c:v>
                </c:pt>
                <c:pt idx="11" formatCode="0.0000">
                  <c:v>7.0200000000000005</c:v>
                </c:pt>
                <c:pt idx="12" formatCode="0.0000">
                  <c:v>7.0200000000000005</c:v>
                </c:pt>
                <c:pt idx="13" formatCode="0.0000">
                  <c:v>8</c:v>
                </c:pt>
                <c:pt idx="14" formatCode="0.0000">
                  <c:v>9</c:v>
                </c:pt>
                <c:pt idx="15" formatCode="0.0000">
                  <c:v>10</c:v>
                </c:pt>
                <c:pt idx="16" formatCode="0.0000">
                  <c:v>10.194041535951893</c:v>
                </c:pt>
                <c:pt idx="17" formatCode="0.0000">
                  <c:v>11</c:v>
                </c:pt>
                <c:pt idx="18" formatCode="0.0000">
                  <c:v>12</c:v>
                </c:pt>
                <c:pt idx="19" formatCode="0.0000">
                  <c:v>12.420000000000002</c:v>
                </c:pt>
                <c:pt idx="20" formatCode="0.0000">
                  <c:v>12.420000000000002</c:v>
                </c:pt>
              </c:numCache>
            </c:numRef>
          </c:xVal>
          <c:yVal>
            <c:numRef>
              <c:f>'1B new'!$B$344:$B$364</c:f>
              <c:numCache>
                <c:formatCode>0.0000\ "kNm"</c:formatCode>
                <c:ptCount val="21"/>
                <c:pt idx="0">
                  <c:v>-111.72270899731421</c:v>
                </c:pt>
                <c:pt idx="1">
                  <c:v>-34.933318442256024</c:v>
                </c:pt>
                <c:pt idx="2">
                  <c:v>16.356072112802167</c:v>
                </c:pt>
                <c:pt idx="3">
                  <c:v>42.145462667860386</c:v>
                </c:pt>
                <c:pt idx="4" formatCode="#.0000\ &quot;kNm&quot;">
                  <c:v>45.479300041337666</c:v>
                </c:pt>
                <c:pt idx="5">
                  <c:v>42.434853222918548</c:v>
                </c:pt>
                <c:pt idx="6">
                  <c:v>17.22424377797671</c:v>
                </c:pt>
                <c:pt idx="7" formatCode="#.0000\ &quot;kNm&quot;">
                  <c:v>7.1054273576010019E-15</c:v>
                </c:pt>
                <c:pt idx="8" formatCode="#.0000\ &quot;kNm&quot;">
                  <c:v>-3.5260683262094972E-13</c:v>
                </c:pt>
                <c:pt idx="9" formatCode="#.0000\ &quot;kNm&quot;">
                  <c:v>-53.922365666964986</c:v>
                </c:pt>
                <c:pt idx="10" formatCode="#.0000\ &quot;kNm&quot;">
                  <c:v>-172.35297511190726</c:v>
                </c:pt>
                <c:pt idx="11" formatCode="#.0000\ &quot;kNm&quot;">
                  <c:v>-175.08572730080601</c:v>
                </c:pt>
                <c:pt idx="12" formatCode="#.0000\ &quot;kNm&quot;">
                  <c:v>-175.08572730080556</c:v>
                </c:pt>
                <c:pt idx="13" formatCode="#.0000\ &quot;kNm&quot;">
                  <c:v>2.5181498760072145</c:v>
                </c:pt>
                <c:pt idx="14" formatCode="#.0000\ &quot;kNm&quot;">
                  <c:v>62.995432709489734</c:v>
                </c:pt>
                <c:pt idx="15" formatCode="#.0000\ &quot;kNm&quot;">
                  <c:v>87.772715542972321</c:v>
                </c:pt>
                <c:pt idx="16" formatCode="#.0000\ &quot;kNm&quot;">
                  <c:v>88.444805843463385</c:v>
                </c:pt>
                <c:pt idx="17" formatCode="#.0000\ &quot;kNm&quot;">
                  <c:v>76.849998376454877</c:v>
                </c:pt>
                <c:pt idx="18" formatCode="#.0000\ &quot;kNm&quot;">
                  <c:v>30.227281209937452</c:v>
                </c:pt>
                <c:pt idx="19" formatCode="#.0000\ &quot;kNm&quot;">
                  <c:v>0</c:v>
                </c:pt>
                <c:pt idx="20" formatCode="#.0000\ &quot;kNm&quot;">
                  <c:v>0</c:v>
                </c:pt>
              </c:numCache>
            </c:numRef>
          </c:yVal>
          <c:smooth val="1"/>
        </c:ser>
        <c:axId val="70057984"/>
        <c:axId val="70059520"/>
      </c:scatterChart>
      <c:valAx>
        <c:axId val="70057984"/>
        <c:scaling>
          <c:orientation val="minMax"/>
        </c:scaling>
        <c:axPos val="t"/>
        <c:numFmt formatCode="General" sourceLinked="1"/>
        <c:tickLblPos val="nextTo"/>
        <c:crossAx val="70059520"/>
        <c:crosses val="autoZero"/>
        <c:crossBetween val="midCat"/>
      </c:valAx>
      <c:valAx>
        <c:axId val="70059520"/>
        <c:scaling>
          <c:orientation val="maxMin"/>
        </c:scaling>
        <c:axPos val="l"/>
        <c:majorGridlines/>
        <c:numFmt formatCode="0.0000\ &quot;kNm&quot;" sourceLinked="1"/>
        <c:tickLblPos val="nextTo"/>
        <c:crossAx val="7005798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Grafik SFD</a:t>
            </a:r>
          </a:p>
        </c:rich>
      </c:tx>
    </c:title>
    <c:plotArea>
      <c:layout/>
      <c:scatterChart>
        <c:scatterStyle val="lineMarker"/>
        <c:ser>
          <c:idx val="0"/>
          <c:order val="0"/>
          <c:xVal>
            <c:numRef>
              <c:f>'1B'!$E$268:$E$275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5.4</c:v>
                </c:pt>
                <c:pt idx="3">
                  <c:v>5.4</c:v>
                </c:pt>
                <c:pt idx="4">
                  <c:v>7.0200000000000005</c:v>
                </c:pt>
                <c:pt idx="5">
                  <c:v>7.0200000000000005</c:v>
                </c:pt>
                <c:pt idx="6">
                  <c:v>12.420000000000002</c:v>
                </c:pt>
                <c:pt idx="7">
                  <c:v>12.420000000000002</c:v>
                </c:pt>
              </c:numCache>
            </c:numRef>
          </c:xVal>
          <c:yVal>
            <c:numRef>
              <c:f>'1B'!$F$268:$F$275</c:f>
              <c:numCache>
                <c:formatCode>#.0000\ "kN"</c:formatCode>
                <c:ptCount val="8"/>
                <c:pt idx="0" formatCode="0.0000\ &quot;kN&quot;">
                  <c:v>0</c:v>
                </c:pt>
                <c:pt idx="1">
                  <c:v>71.23042625698325</c:v>
                </c:pt>
                <c:pt idx="2">
                  <c:v>-66.469573743016767</c:v>
                </c:pt>
                <c:pt idx="3">
                  <c:v>-221.96949906890126</c:v>
                </c:pt>
                <c:pt idx="4">
                  <c:v>-279.80349906890126</c:v>
                </c:pt>
                <c:pt idx="5">
                  <c:v>78.987334916201064</c:v>
                </c:pt>
                <c:pt idx="6">
                  <c:v>-144.79266508379894</c:v>
                </c:pt>
                <c:pt idx="7" formatCode="0.0000\ &quot;kN&quot;">
                  <c:v>0</c:v>
                </c:pt>
              </c:numCache>
            </c:numRef>
          </c:yVal>
        </c:ser>
        <c:axId val="54435840"/>
        <c:axId val="71037312"/>
      </c:scatterChart>
      <c:valAx>
        <c:axId val="54435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Jarak</a:t>
                </a:r>
                <a:r>
                  <a:rPr lang="en-US" baseline="0"/>
                  <a:t> (m)</a:t>
                </a:r>
                <a:endParaRPr lang="en-US"/>
              </a:p>
            </c:rich>
          </c:tx>
        </c:title>
        <c:numFmt formatCode="General" sourceLinked="1"/>
        <c:tickLblPos val="nextTo"/>
        <c:crossAx val="71037312"/>
        <c:crosses val="autoZero"/>
        <c:crossBetween val="midCat"/>
      </c:valAx>
      <c:valAx>
        <c:axId val="71037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Gaya</a:t>
                </a:r>
              </a:p>
            </c:rich>
          </c:tx>
        </c:title>
        <c:numFmt formatCode="0.0000\ &quot;kN&quot;" sourceLinked="1"/>
        <c:tickLblPos val="nextTo"/>
        <c:crossAx val="54435840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Grafik BMD</a:t>
            </a:r>
          </a:p>
        </c:rich>
      </c:tx>
    </c:title>
    <c:plotArea>
      <c:layout/>
      <c:scatterChart>
        <c:scatterStyle val="lineMarker"/>
        <c:ser>
          <c:idx val="0"/>
          <c:order val="0"/>
          <c:xVal>
            <c:numRef>
              <c:f>'1B'!$A$331:$A$339</c:f>
              <c:numCache>
                <c:formatCode>0.0000</c:formatCode>
                <c:ptCount val="9"/>
                <c:pt idx="0" formatCode="General">
                  <c:v>0</c:v>
                </c:pt>
                <c:pt idx="1">
                  <c:v>2.7933500492934606</c:v>
                </c:pt>
                <c:pt idx="2" formatCode="General">
                  <c:v>5.4</c:v>
                </c:pt>
                <c:pt idx="3" formatCode="General">
                  <c:v>5.4</c:v>
                </c:pt>
                <c:pt idx="4">
                  <c:v>7.0200000000000005</c:v>
                </c:pt>
                <c:pt idx="5">
                  <c:v>7.0200000000000005</c:v>
                </c:pt>
                <c:pt idx="6">
                  <c:v>9.2325303898095559</c:v>
                </c:pt>
                <c:pt idx="7">
                  <c:v>12.420000000000002</c:v>
                </c:pt>
                <c:pt idx="8">
                  <c:v>12.420000000000002</c:v>
                </c:pt>
              </c:numCache>
            </c:numRef>
          </c:xVal>
          <c:yVal>
            <c:numRef>
              <c:f>'1B'!$B$331:$B$339</c:f>
              <c:numCache>
                <c:formatCode>#.0000\ "kNm"</c:formatCode>
                <c:ptCount val="9"/>
                <c:pt idx="0" formatCode="0.0000\ &quot;kNm&quot;">
                  <c:v>-51.953350223463694</c:v>
                </c:pt>
                <c:pt idx="1">
                  <c:v>151.43910757153287</c:v>
                </c:pt>
                <c:pt idx="2">
                  <c:v>-39.099048435754199</c:v>
                </c:pt>
                <c:pt idx="3">
                  <c:v>-65.733838491620091</c:v>
                </c:pt>
                <c:pt idx="4">
                  <c:v>-340.70229</c:v>
                </c:pt>
                <c:pt idx="5">
                  <c:v>-10.773594301675971</c:v>
                </c:pt>
                <c:pt idx="6">
                  <c:v>254.28173660691817</c:v>
                </c:pt>
                <c:pt idx="7">
                  <c:v>-166.900797150838</c:v>
                </c:pt>
                <c:pt idx="8">
                  <c:v>0</c:v>
                </c:pt>
              </c:numCache>
            </c:numRef>
          </c:yVal>
        </c:ser>
        <c:axId val="110776320"/>
        <c:axId val="110778240"/>
      </c:scatterChart>
      <c:valAx>
        <c:axId val="110776320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Jarak (m)</a:t>
                </a:r>
              </a:p>
            </c:rich>
          </c:tx>
        </c:title>
        <c:numFmt formatCode="General" sourceLinked="1"/>
        <c:tickLblPos val="nextTo"/>
        <c:crossAx val="110778240"/>
        <c:crosses val="autoZero"/>
        <c:crossBetween val="midCat"/>
      </c:valAx>
      <c:valAx>
        <c:axId val="110778240"/>
        <c:scaling>
          <c:orientation val="maxMin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MOmen</a:t>
                </a:r>
              </a:p>
            </c:rich>
          </c:tx>
        </c:title>
        <c:numFmt formatCode="0.0000\ &quot;kNm&quot;" sourceLinked="1"/>
        <c:tickLblPos val="nextTo"/>
        <c:crossAx val="110776320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7.png"/><Relationship Id="rId6" Type="http://schemas.openxmlformats.org/officeDocument/2006/relationships/image" Target="../media/image8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7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0</xdr:rowOff>
    </xdr:from>
    <xdr:to>
      <xdr:col>6</xdr:col>
      <xdr:colOff>676355</xdr:colOff>
      <xdr:row>13</xdr:row>
      <xdr:rowOff>2223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C10CB7C9-50F4-47D3-8E4B-877689C8C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90500"/>
          <a:ext cx="5876925" cy="2315437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40</xdr:row>
      <xdr:rowOff>95250</xdr:rowOff>
    </xdr:from>
    <xdr:to>
      <xdr:col>8</xdr:col>
      <xdr:colOff>133350</xdr:colOff>
      <xdr:row>40</xdr:row>
      <xdr:rowOff>161925</xdr:rowOff>
    </xdr:to>
    <xdr:sp macro="" textlink="">
      <xdr:nvSpPr>
        <xdr:cNvPr id="17" name="Rectangle 16">
          <a:extLst>
            <a:ext uri="{FF2B5EF4-FFF2-40B4-BE49-F238E27FC236}">
              <a16:creationId xmlns="" xmlns:a16="http://schemas.microsoft.com/office/drawing/2014/main" id="{AE5A9913-E109-332B-4B0C-BC6BCCF09754}"/>
            </a:ext>
          </a:extLst>
        </xdr:cNvPr>
        <xdr:cNvSpPr/>
      </xdr:nvSpPr>
      <xdr:spPr>
        <a:xfrm>
          <a:off x="1457325" y="7905750"/>
          <a:ext cx="4829175" cy="666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42581</xdr:colOff>
      <xdr:row>38</xdr:row>
      <xdr:rowOff>27455</xdr:rowOff>
    </xdr:from>
    <xdr:to>
      <xdr:col>5</xdr:col>
      <xdr:colOff>638734</xdr:colOff>
      <xdr:row>40</xdr:row>
      <xdr:rowOff>46505</xdr:rowOff>
    </xdr:to>
    <xdr:sp macro="" textlink="">
      <xdr:nvSpPr>
        <xdr:cNvPr id="18" name="Arrow: Curved Down 17">
          <a:extLst>
            <a:ext uri="{FF2B5EF4-FFF2-40B4-BE49-F238E27FC236}">
              <a16:creationId xmlns="" xmlns:a16="http://schemas.microsoft.com/office/drawing/2014/main" id="{35C3BB4B-B41A-C205-21EB-9E0C1E0F3A95}"/>
            </a:ext>
          </a:extLst>
        </xdr:cNvPr>
        <xdr:cNvSpPr/>
      </xdr:nvSpPr>
      <xdr:spPr>
        <a:xfrm flipH="1">
          <a:off x="4457699" y="7703484"/>
          <a:ext cx="596153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142875</xdr:colOff>
      <xdr:row>40</xdr:row>
      <xdr:rowOff>38100</xdr:rowOff>
    </xdr:from>
    <xdr:to>
      <xdr:col>0</xdr:col>
      <xdr:colOff>352425</xdr:colOff>
      <xdr:row>41</xdr:row>
      <xdr:rowOff>38100</xdr:rowOff>
    </xdr:to>
    <xdr:sp macro="" textlink="">
      <xdr:nvSpPr>
        <xdr:cNvPr id="19" name="Oval 18">
          <a:extLst>
            <a:ext uri="{FF2B5EF4-FFF2-40B4-BE49-F238E27FC236}">
              <a16:creationId xmlns="" xmlns:a16="http://schemas.microsoft.com/office/drawing/2014/main" id="{B0761E1E-9EAC-F3B8-A67A-B77BE0AE83B0}"/>
            </a:ext>
          </a:extLst>
        </xdr:cNvPr>
        <xdr:cNvSpPr/>
      </xdr:nvSpPr>
      <xdr:spPr>
        <a:xfrm>
          <a:off x="1362075" y="784860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76200</xdr:colOff>
      <xdr:row>40</xdr:row>
      <xdr:rowOff>19050</xdr:rowOff>
    </xdr:from>
    <xdr:to>
      <xdr:col>3</xdr:col>
      <xdr:colOff>285750</xdr:colOff>
      <xdr:row>41</xdr:row>
      <xdr:rowOff>19050</xdr:rowOff>
    </xdr:to>
    <xdr:sp macro="" textlink="">
      <xdr:nvSpPr>
        <xdr:cNvPr id="20" name="Oval 19">
          <a:extLst>
            <a:ext uri="{FF2B5EF4-FFF2-40B4-BE49-F238E27FC236}">
              <a16:creationId xmlns="" xmlns:a16="http://schemas.microsoft.com/office/drawing/2014/main" id="{1DF654BC-26BA-4F02-884A-2D3C928F7EBE}"/>
            </a:ext>
          </a:extLst>
        </xdr:cNvPr>
        <xdr:cNvSpPr/>
      </xdr:nvSpPr>
      <xdr:spPr>
        <a:xfrm>
          <a:off x="3181350" y="782955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257175</xdr:colOff>
      <xdr:row>40</xdr:row>
      <xdr:rowOff>38100</xdr:rowOff>
    </xdr:from>
    <xdr:to>
      <xdr:col>5</xdr:col>
      <xdr:colOff>466725</xdr:colOff>
      <xdr:row>41</xdr:row>
      <xdr:rowOff>38100</xdr:rowOff>
    </xdr:to>
    <xdr:sp macro="" textlink="">
      <xdr:nvSpPr>
        <xdr:cNvPr id="21" name="Oval 20">
          <a:extLst>
            <a:ext uri="{FF2B5EF4-FFF2-40B4-BE49-F238E27FC236}">
              <a16:creationId xmlns="" xmlns:a16="http://schemas.microsoft.com/office/drawing/2014/main" id="{35E4A281-55C7-4209-8D34-6E4AA65A1B1E}"/>
            </a:ext>
          </a:extLst>
        </xdr:cNvPr>
        <xdr:cNvSpPr/>
      </xdr:nvSpPr>
      <xdr:spPr>
        <a:xfrm>
          <a:off x="4581525" y="784860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</xdr:colOff>
      <xdr:row>40</xdr:row>
      <xdr:rowOff>57150</xdr:rowOff>
    </xdr:from>
    <xdr:to>
      <xdr:col>8</xdr:col>
      <xdr:colOff>228600</xdr:colOff>
      <xdr:row>41</xdr:row>
      <xdr:rowOff>57150</xdr:rowOff>
    </xdr:to>
    <xdr:sp macro="" textlink="">
      <xdr:nvSpPr>
        <xdr:cNvPr id="22" name="Oval 21">
          <a:extLst>
            <a:ext uri="{FF2B5EF4-FFF2-40B4-BE49-F238E27FC236}">
              <a16:creationId xmlns="" xmlns:a16="http://schemas.microsoft.com/office/drawing/2014/main" id="{689BA901-638C-42F8-8793-E903E55D81C1}"/>
            </a:ext>
          </a:extLst>
        </xdr:cNvPr>
        <xdr:cNvSpPr/>
      </xdr:nvSpPr>
      <xdr:spPr>
        <a:xfrm>
          <a:off x="6172200" y="786765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152400</xdr:colOff>
      <xdr:row>36</xdr:row>
      <xdr:rowOff>125506</xdr:rowOff>
    </xdr:from>
    <xdr:to>
      <xdr:col>0</xdr:col>
      <xdr:colOff>371475</xdr:colOff>
      <xdr:row>39</xdr:row>
      <xdr:rowOff>144556</xdr:rowOff>
    </xdr:to>
    <xdr:sp macro="" textlink="">
      <xdr:nvSpPr>
        <xdr:cNvPr id="26" name="Arrow: Down 25">
          <a:extLst>
            <a:ext uri="{FF2B5EF4-FFF2-40B4-BE49-F238E27FC236}">
              <a16:creationId xmlns="" xmlns:a16="http://schemas.microsoft.com/office/drawing/2014/main" id="{31B13765-7A78-80C0-7CF4-BAF56C2683D7}"/>
            </a:ext>
          </a:extLst>
        </xdr:cNvPr>
        <xdr:cNvSpPr/>
      </xdr:nvSpPr>
      <xdr:spPr>
        <a:xfrm rot="10800000">
          <a:off x="152400" y="7039535"/>
          <a:ext cx="219075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36</xdr:row>
      <xdr:rowOff>104775</xdr:rowOff>
    </xdr:from>
    <xdr:to>
      <xdr:col>3</xdr:col>
      <xdr:colOff>304800</xdr:colOff>
      <xdr:row>39</xdr:row>
      <xdr:rowOff>123825</xdr:rowOff>
    </xdr:to>
    <xdr:sp macro="" textlink="">
      <xdr:nvSpPr>
        <xdr:cNvPr id="27" name="Arrow: Down 26">
          <a:extLst>
            <a:ext uri="{FF2B5EF4-FFF2-40B4-BE49-F238E27FC236}">
              <a16:creationId xmlns="" xmlns:a16="http://schemas.microsoft.com/office/drawing/2014/main" id="{9A955ECA-EE6A-4060-B1EF-FBB265B1402C}"/>
            </a:ext>
          </a:extLst>
        </xdr:cNvPr>
        <xdr:cNvSpPr/>
      </xdr:nvSpPr>
      <xdr:spPr>
        <a:xfrm rot="10800000">
          <a:off x="3190875" y="7153275"/>
          <a:ext cx="219075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266700</xdr:colOff>
      <xdr:row>36</xdr:row>
      <xdr:rowOff>168649</xdr:rowOff>
    </xdr:from>
    <xdr:to>
      <xdr:col>5</xdr:col>
      <xdr:colOff>485775</xdr:colOff>
      <xdr:row>39</xdr:row>
      <xdr:rowOff>187699</xdr:rowOff>
    </xdr:to>
    <xdr:sp macro="" textlink="">
      <xdr:nvSpPr>
        <xdr:cNvPr id="28" name="Arrow: Down 27">
          <a:extLst>
            <a:ext uri="{FF2B5EF4-FFF2-40B4-BE49-F238E27FC236}">
              <a16:creationId xmlns="" xmlns:a16="http://schemas.microsoft.com/office/drawing/2014/main" id="{92394017-7C5F-44C2-91CC-8E69B649E4A2}"/>
            </a:ext>
          </a:extLst>
        </xdr:cNvPr>
        <xdr:cNvSpPr/>
      </xdr:nvSpPr>
      <xdr:spPr>
        <a:xfrm rot="10800000">
          <a:off x="4681818" y="7463678"/>
          <a:ext cx="219075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</xdr:colOff>
      <xdr:row>36</xdr:row>
      <xdr:rowOff>123825</xdr:rowOff>
    </xdr:from>
    <xdr:to>
      <xdr:col>8</xdr:col>
      <xdr:colOff>238125</xdr:colOff>
      <xdr:row>39</xdr:row>
      <xdr:rowOff>142875</xdr:rowOff>
    </xdr:to>
    <xdr:sp macro="" textlink="">
      <xdr:nvSpPr>
        <xdr:cNvPr id="29" name="Arrow: Down 28">
          <a:extLst>
            <a:ext uri="{FF2B5EF4-FFF2-40B4-BE49-F238E27FC236}">
              <a16:creationId xmlns="" xmlns:a16="http://schemas.microsoft.com/office/drawing/2014/main" id="{FED76B43-91D0-4833-9D44-3283745745CD}"/>
            </a:ext>
          </a:extLst>
        </xdr:cNvPr>
        <xdr:cNvSpPr/>
      </xdr:nvSpPr>
      <xdr:spPr>
        <a:xfrm rot="10800000">
          <a:off x="6172200" y="7172325"/>
          <a:ext cx="219075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238125</xdr:colOff>
      <xdr:row>48</xdr:row>
      <xdr:rowOff>95250</xdr:rowOff>
    </xdr:from>
    <xdr:to>
      <xdr:col>8</xdr:col>
      <xdr:colOff>133350</xdr:colOff>
      <xdr:row>48</xdr:row>
      <xdr:rowOff>161925</xdr:rowOff>
    </xdr:to>
    <xdr:sp macro="" textlink="">
      <xdr:nvSpPr>
        <xdr:cNvPr id="30" name="Rectangle 29">
          <a:extLst>
            <a:ext uri="{FF2B5EF4-FFF2-40B4-BE49-F238E27FC236}">
              <a16:creationId xmlns="" xmlns:a16="http://schemas.microsoft.com/office/drawing/2014/main" id="{3BF51237-D41F-4D4A-B6DA-6CFDB8833181}"/>
            </a:ext>
          </a:extLst>
        </xdr:cNvPr>
        <xdr:cNvSpPr/>
      </xdr:nvSpPr>
      <xdr:spPr>
        <a:xfrm>
          <a:off x="1457325" y="7905750"/>
          <a:ext cx="4829175" cy="666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142875</xdr:colOff>
      <xdr:row>48</xdr:row>
      <xdr:rowOff>38100</xdr:rowOff>
    </xdr:from>
    <xdr:to>
      <xdr:col>0</xdr:col>
      <xdr:colOff>352425</xdr:colOff>
      <xdr:row>49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85C4F722-4674-4ADD-9110-4C4AC59C3226}"/>
            </a:ext>
          </a:extLst>
        </xdr:cNvPr>
        <xdr:cNvSpPr/>
      </xdr:nvSpPr>
      <xdr:spPr>
        <a:xfrm>
          <a:off x="1362075" y="784860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76200</xdr:colOff>
      <xdr:row>48</xdr:row>
      <xdr:rowOff>19050</xdr:rowOff>
    </xdr:from>
    <xdr:to>
      <xdr:col>3</xdr:col>
      <xdr:colOff>285750</xdr:colOff>
      <xdr:row>49</xdr:row>
      <xdr:rowOff>19050</xdr:rowOff>
    </xdr:to>
    <xdr:sp macro="" textlink="">
      <xdr:nvSpPr>
        <xdr:cNvPr id="33" name="Oval 32">
          <a:extLst>
            <a:ext uri="{FF2B5EF4-FFF2-40B4-BE49-F238E27FC236}">
              <a16:creationId xmlns="" xmlns:a16="http://schemas.microsoft.com/office/drawing/2014/main" id="{F4A46169-D6C0-4B9B-B3A6-58F1AD55A499}"/>
            </a:ext>
          </a:extLst>
        </xdr:cNvPr>
        <xdr:cNvSpPr/>
      </xdr:nvSpPr>
      <xdr:spPr>
        <a:xfrm>
          <a:off x="3181350" y="782955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257175</xdr:colOff>
      <xdr:row>48</xdr:row>
      <xdr:rowOff>38100</xdr:rowOff>
    </xdr:from>
    <xdr:to>
      <xdr:col>5</xdr:col>
      <xdr:colOff>466725</xdr:colOff>
      <xdr:row>49</xdr:row>
      <xdr:rowOff>38100</xdr:rowOff>
    </xdr:to>
    <xdr:sp macro="" textlink="">
      <xdr:nvSpPr>
        <xdr:cNvPr id="34" name="Oval 33">
          <a:extLst>
            <a:ext uri="{FF2B5EF4-FFF2-40B4-BE49-F238E27FC236}">
              <a16:creationId xmlns="" xmlns:a16="http://schemas.microsoft.com/office/drawing/2014/main" id="{FB99CAE4-E7E0-4385-91D0-D194C23C8ADF}"/>
            </a:ext>
          </a:extLst>
        </xdr:cNvPr>
        <xdr:cNvSpPr/>
      </xdr:nvSpPr>
      <xdr:spPr>
        <a:xfrm>
          <a:off x="4581525" y="784860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</xdr:colOff>
      <xdr:row>48</xdr:row>
      <xdr:rowOff>57150</xdr:rowOff>
    </xdr:from>
    <xdr:to>
      <xdr:col>8</xdr:col>
      <xdr:colOff>228600</xdr:colOff>
      <xdr:row>49</xdr:row>
      <xdr:rowOff>57150</xdr:rowOff>
    </xdr:to>
    <xdr:sp macro="" textlink="">
      <xdr:nvSpPr>
        <xdr:cNvPr id="35" name="Oval 34">
          <a:extLst>
            <a:ext uri="{FF2B5EF4-FFF2-40B4-BE49-F238E27FC236}">
              <a16:creationId xmlns="" xmlns:a16="http://schemas.microsoft.com/office/drawing/2014/main" id="{FB7C87F3-1EE1-4BFB-91EB-6063E1315BAA}"/>
            </a:ext>
          </a:extLst>
        </xdr:cNvPr>
        <xdr:cNvSpPr/>
      </xdr:nvSpPr>
      <xdr:spPr>
        <a:xfrm>
          <a:off x="6172200" y="786765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11206</xdr:colOff>
      <xdr:row>134</xdr:row>
      <xdr:rowOff>116614</xdr:rowOff>
    </xdr:from>
    <xdr:to>
      <xdr:col>6</xdr:col>
      <xdr:colOff>830037</xdr:colOff>
      <xdr:row>141</xdr:row>
      <xdr:rowOff>69322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xmlns="" id="{B4872E46-D949-492D-AF08-3BB8C8487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4349" y="21806400"/>
          <a:ext cx="1730509" cy="1286208"/>
        </a:xfrm>
        <a:prstGeom prst="rect">
          <a:avLst/>
        </a:prstGeom>
      </xdr:spPr>
    </xdr:pic>
    <xdr:clientData/>
  </xdr:twoCellAnchor>
  <xdr:twoCellAnchor>
    <xdr:from>
      <xdr:col>1</xdr:col>
      <xdr:colOff>238125</xdr:colOff>
      <xdr:row>248</xdr:row>
      <xdr:rowOff>95250</xdr:rowOff>
    </xdr:from>
    <xdr:to>
      <xdr:col>9</xdr:col>
      <xdr:colOff>133350</xdr:colOff>
      <xdr:row>248</xdr:row>
      <xdr:rowOff>161925</xdr:rowOff>
    </xdr:to>
    <xdr:sp macro="" textlink="">
      <xdr:nvSpPr>
        <xdr:cNvPr id="40" name="Rectangle 39">
          <a:extLst>
            <a:ext uri="{FF2B5EF4-FFF2-40B4-BE49-F238E27FC236}">
              <a16:creationId xmlns="" xmlns:a16="http://schemas.microsoft.com/office/drawing/2014/main" id="{AE5A9913-E109-332B-4B0C-BC6BCCF09754}"/>
            </a:ext>
          </a:extLst>
        </xdr:cNvPr>
        <xdr:cNvSpPr/>
      </xdr:nvSpPr>
      <xdr:spPr>
        <a:xfrm>
          <a:off x="832037" y="41613044"/>
          <a:ext cx="5744695" cy="666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142875</xdr:colOff>
      <xdr:row>248</xdr:row>
      <xdr:rowOff>38100</xdr:rowOff>
    </xdr:from>
    <xdr:to>
      <xdr:col>1</xdr:col>
      <xdr:colOff>352425</xdr:colOff>
      <xdr:row>249</xdr:row>
      <xdr:rowOff>38100</xdr:rowOff>
    </xdr:to>
    <xdr:sp macro="" textlink="">
      <xdr:nvSpPr>
        <xdr:cNvPr id="42" name="Oval 41">
          <a:extLst>
            <a:ext uri="{FF2B5EF4-FFF2-40B4-BE49-F238E27FC236}">
              <a16:creationId xmlns="" xmlns:a16="http://schemas.microsoft.com/office/drawing/2014/main" id="{B0761E1E-9EAC-F3B8-A67A-B77BE0AE83B0}"/>
            </a:ext>
          </a:extLst>
        </xdr:cNvPr>
        <xdr:cNvSpPr/>
      </xdr:nvSpPr>
      <xdr:spPr>
        <a:xfrm>
          <a:off x="1330699" y="8095129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838198</xdr:colOff>
      <xdr:row>248</xdr:row>
      <xdr:rowOff>19050</xdr:rowOff>
    </xdr:from>
    <xdr:to>
      <xdr:col>4</xdr:col>
      <xdr:colOff>84042</xdr:colOff>
      <xdr:row>249</xdr:row>
      <xdr:rowOff>19050</xdr:rowOff>
    </xdr:to>
    <xdr:sp macro="" textlink="">
      <xdr:nvSpPr>
        <xdr:cNvPr id="43" name="Oval 42">
          <a:extLst>
            <a:ext uri="{FF2B5EF4-FFF2-40B4-BE49-F238E27FC236}">
              <a16:creationId xmlns="" xmlns:a16="http://schemas.microsoft.com/office/drawing/2014/main" id="{1DF654BC-26BA-4F02-884A-2D3C928F7EBE}"/>
            </a:ext>
          </a:extLst>
        </xdr:cNvPr>
        <xdr:cNvSpPr/>
      </xdr:nvSpPr>
      <xdr:spPr>
        <a:xfrm>
          <a:off x="3079374" y="41536844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</xdr:colOff>
      <xdr:row>248</xdr:row>
      <xdr:rowOff>57150</xdr:rowOff>
    </xdr:from>
    <xdr:to>
      <xdr:col>9</xdr:col>
      <xdr:colOff>228600</xdr:colOff>
      <xdr:row>249</xdr:row>
      <xdr:rowOff>57150</xdr:rowOff>
    </xdr:to>
    <xdr:sp macro="" textlink="">
      <xdr:nvSpPr>
        <xdr:cNvPr id="45" name="Oval 44">
          <a:extLst>
            <a:ext uri="{FF2B5EF4-FFF2-40B4-BE49-F238E27FC236}">
              <a16:creationId xmlns="" xmlns:a16="http://schemas.microsoft.com/office/drawing/2014/main" id="{689BA901-638C-42F8-8793-E903E55D81C1}"/>
            </a:ext>
          </a:extLst>
        </xdr:cNvPr>
        <xdr:cNvSpPr/>
      </xdr:nvSpPr>
      <xdr:spPr>
        <a:xfrm>
          <a:off x="6473638" y="8114179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152400</xdr:colOff>
      <xdr:row>249</xdr:row>
      <xdr:rowOff>69476</xdr:rowOff>
    </xdr:from>
    <xdr:to>
      <xdr:col>1</xdr:col>
      <xdr:colOff>313764</xdr:colOff>
      <xdr:row>252</xdr:row>
      <xdr:rowOff>88526</xdr:rowOff>
    </xdr:to>
    <xdr:sp macro="" textlink="">
      <xdr:nvSpPr>
        <xdr:cNvPr id="49" name="Arrow: Down 25">
          <a:extLst>
            <a:ext uri="{FF2B5EF4-FFF2-40B4-BE49-F238E27FC236}">
              <a16:creationId xmlns="" xmlns:a16="http://schemas.microsoft.com/office/drawing/2014/main" id="{31B13765-7A78-80C0-7CF4-BAF56C2683D7}"/>
            </a:ext>
          </a:extLst>
        </xdr:cNvPr>
        <xdr:cNvSpPr/>
      </xdr:nvSpPr>
      <xdr:spPr>
        <a:xfrm rot="10800000">
          <a:off x="746312" y="41777770"/>
          <a:ext cx="161364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797857</xdr:colOff>
      <xdr:row>249</xdr:row>
      <xdr:rowOff>98611</xdr:rowOff>
    </xdr:from>
    <xdr:to>
      <xdr:col>3</xdr:col>
      <xdr:colOff>959221</xdr:colOff>
      <xdr:row>252</xdr:row>
      <xdr:rowOff>117661</xdr:rowOff>
    </xdr:to>
    <xdr:sp macro="" textlink="">
      <xdr:nvSpPr>
        <xdr:cNvPr id="54" name="Arrow: Down 25">
          <a:extLst>
            <a:ext uri="{FF2B5EF4-FFF2-40B4-BE49-F238E27FC236}">
              <a16:creationId xmlns="" xmlns:a16="http://schemas.microsoft.com/office/drawing/2014/main" id="{31B13765-7A78-80C0-7CF4-BAF56C2683D7}"/>
            </a:ext>
          </a:extLst>
        </xdr:cNvPr>
        <xdr:cNvSpPr/>
      </xdr:nvSpPr>
      <xdr:spPr>
        <a:xfrm rot="10800000">
          <a:off x="3039033" y="41806905"/>
          <a:ext cx="161364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722220</xdr:colOff>
      <xdr:row>249</xdr:row>
      <xdr:rowOff>28575</xdr:rowOff>
    </xdr:from>
    <xdr:to>
      <xdr:col>6</xdr:col>
      <xdr:colOff>883584</xdr:colOff>
      <xdr:row>252</xdr:row>
      <xdr:rowOff>47625</xdr:rowOff>
    </xdr:to>
    <xdr:sp macro="" textlink="">
      <xdr:nvSpPr>
        <xdr:cNvPr id="57" name="Arrow: Down 25">
          <a:extLst>
            <a:ext uri="{FF2B5EF4-FFF2-40B4-BE49-F238E27FC236}">
              <a16:creationId xmlns="" xmlns:a16="http://schemas.microsoft.com/office/drawing/2014/main" id="{31B13765-7A78-80C0-7CF4-BAF56C2683D7}"/>
            </a:ext>
          </a:extLst>
        </xdr:cNvPr>
        <xdr:cNvSpPr/>
      </xdr:nvSpPr>
      <xdr:spPr>
        <a:xfrm rot="10800000">
          <a:off x="5408520" y="41709975"/>
          <a:ext cx="161364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49305</xdr:colOff>
      <xdr:row>249</xdr:row>
      <xdr:rowOff>56030</xdr:rowOff>
    </xdr:from>
    <xdr:to>
      <xdr:col>9</xdr:col>
      <xdr:colOff>210669</xdr:colOff>
      <xdr:row>252</xdr:row>
      <xdr:rowOff>75080</xdr:rowOff>
    </xdr:to>
    <xdr:sp macro="" textlink="">
      <xdr:nvSpPr>
        <xdr:cNvPr id="58" name="Arrow: Down 25">
          <a:extLst>
            <a:ext uri="{FF2B5EF4-FFF2-40B4-BE49-F238E27FC236}">
              <a16:creationId xmlns="" xmlns:a16="http://schemas.microsoft.com/office/drawing/2014/main" id="{31B13765-7A78-80C0-7CF4-BAF56C2683D7}"/>
            </a:ext>
          </a:extLst>
        </xdr:cNvPr>
        <xdr:cNvSpPr/>
      </xdr:nvSpPr>
      <xdr:spPr>
        <a:xfrm rot="10800000">
          <a:off x="7221070" y="41764324"/>
          <a:ext cx="161364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486051</xdr:colOff>
      <xdr:row>246</xdr:row>
      <xdr:rowOff>141474</xdr:rowOff>
    </xdr:from>
    <xdr:to>
      <xdr:col>3</xdr:col>
      <xdr:colOff>886101</xdr:colOff>
      <xdr:row>249</xdr:row>
      <xdr:rowOff>175652</xdr:rowOff>
    </xdr:to>
    <xdr:sp macro="" textlink="">
      <xdr:nvSpPr>
        <xdr:cNvPr id="59" name="Arrow: Curved Down 22">
          <a:extLst>
            <a:ext uri="{FF2B5EF4-FFF2-40B4-BE49-F238E27FC236}">
              <a16:creationId xmlns="" xmlns:a16="http://schemas.microsoft.com/office/drawing/2014/main" id="{6A4F67AB-A903-40D5-929B-C15DCBAE6655}"/>
            </a:ext>
          </a:extLst>
        </xdr:cNvPr>
        <xdr:cNvSpPr/>
      </xdr:nvSpPr>
      <xdr:spPr>
        <a:xfrm rot="17529970">
          <a:off x="2624413" y="41381082"/>
          <a:ext cx="605678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961463</xdr:colOff>
      <xdr:row>249</xdr:row>
      <xdr:rowOff>94129</xdr:rowOff>
    </xdr:from>
    <xdr:to>
      <xdr:col>4</xdr:col>
      <xdr:colOff>159121</xdr:colOff>
      <xdr:row>252</xdr:row>
      <xdr:rowOff>113179</xdr:rowOff>
    </xdr:to>
    <xdr:sp macro="" textlink="">
      <xdr:nvSpPr>
        <xdr:cNvPr id="60" name="Arrow: Down 25">
          <a:extLst>
            <a:ext uri="{FF2B5EF4-FFF2-40B4-BE49-F238E27FC236}">
              <a16:creationId xmlns="" xmlns:a16="http://schemas.microsoft.com/office/drawing/2014/main" id="{31B13765-7A78-80C0-7CF4-BAF56C2683D7}"/>
            </a:ext>
          </a:extLst>
        </xdr:cNvPr>
        <xdr:cNvSpPr/>
      </xdr:nvSpPr>
      <xdr:spPr>
        <a:xfrm rot="10800000">
          <a:off x="3202639" y="41802423"/>
          <a:ext cx="161364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111775</xdr:colOff>
      <xdr:row>246</xdr:row>
      <xdr:rowOff>136992</xdr:rowOff>
    </xdr:from>
    <xdr:to>
      <xdr:col>4</xdr:col>
      <xdr:colOff>511825</xdr:colOff>
      <xdr:row>249</xdr:row>
      <xdr:rowOff>171170</xdr:rowOff>
    </xdr:to>
    <xdr:sp macro="" textlink="">
      <xdr:nvSpPr>
        <xdr:cNvPr id="62" name="Arrow: Curved Down 22">
          <a:extLst>
            <a:ext uri="{FF2B5EF4-FFF2-40B4-BE49-F238E27FC236}">
              <a16:creationId xmlns="" xmlns:a16="http://schemas.microsoft.com/office/drawing/2014/main" id="{6A4F67AB-A903-40D5-929B-C15DCBAE6655}"/>
            </a:ext>
          </a:extLst>
        </xdr:cNvPr>
        <xdr:cNvSpPr/>
      </xdr:nvSpPr>
      <xdr:spPr>
        <a:xfrm rot="4070030" flipH="1">
          <a:off x="3213843" y="41376600"/>
          <a:ext cx="605678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412091</xdr:colOff>
      <xdr:row>246</xdr:row>
      <xdr:rowOff>161085</xdr:rowOff>
    </xdr:from>
    <xdr:to>
      <xdr:col>6</xdr:col>
      <xdr:colOff>812141</xdr:colOff>
      <xdr:row>250</xdr:row>
      <xdr:rowOff>4763</xdr:rowOff>
    </xdr:to>
    <xdr:sp macro="" textlink="">
      <xdr:nvSpPr>
        <xdr:cNvPr id="63" name="Arrow: Curved Down 22">
          <a:extLst>
            <a:ext uri="{FF2B5EF4-FFF2-40B4-BE49-F238E27FC236}">
              <a16:creationId xmlns="" xmlns:a16="http://schemas.microsoft.com/office/drawing/2014/main" id="{6A4F67AB-A903-40D5-929B-C15DCBAE6655}"/>
            </a:ext>
          </a:extLst>
        </xdr:cNvPr>
        <xdr:cNvSpPr/>
      </xdr:nvSpPr>
      <xdr:spPr>
        <a:xfrm rot="17529970">
          <a:off x="4995577" y="41373799"/>
          <a:ext cx="605678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107293</xdr:colOff>
      <xdr:row>246</xdr:row>
      <xdr:rowOff>166128</xdr:rowOff>
    </xdr:from>
    <xdr:to>
      <xdr:col>7</xdr:col>
      <xdr:colOff>507343</xdr:colOff>
      <xdr:row>250</xdr:row>
      <xdr:rowOff>9806</xdr:rowOff>
    </xdr:to>
    <xdr:sp macro="" textlink="">
      <xdr:nvSpPr>
        <xdr:cNvPr id="64" name="Arrow: Curved Down 22">
          <a:extLst>
            <a:ext uri="{FF2B5EF4-FFF2-40B4-BE49-F238E27FC236}">
              <a16:creationId xmlns="" xmlns:a16="http://schemas.microsoft.com/office/drawing/2014/main" id="{6A4F67AB-A903-40D5-929B-C15DCBAE6655}"/>
            </a:ext>
          </a:extLst>
        </xdr:cNvPr>
        <xdr:cNvSpPr/>
      </xdr:nvSpPr>
      <xdr:spPr>
        <a:xfrm rot="4070030" flipH="1">
          <a:off x="5327273" y="41405736"/>
          <a:ext cx="605678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4484</xdr:colOff>
      <xdr:row>249</xdr:row>
      <xdr:rowOff>22410</xdr:rowOff>
    </xdr:from>
    <xdr:to>
      <xdr:col>7</xdr:col>
      <xdr:colOff>165848</xdr:colOff>
      <xdr:row>252</xdr:row>
      <xdr:rowOff>41460</xdr:rowOff>
    </xdr:to>
    <xdr:sp macro="" textlink="">
      <xdr:nvSpPr>
        <xdr:cNvPr id="65" name="Arrow: Down 25">
          <a:extLst>
            <a:ext uri="{FF2B5EF4-FFF2-40B4-BE49-F238E27FC236}">
              <a16:creationId xmlns="" xmlns:a16="http://schemas.microsoft.com/office/drawing/2014/main" id="{31B13765-7A78-80C0-7CF4-BAF56C2683D7}"/>
            </a:ext>
          </a:extLst>
        </xdr:cNvPr>
        <xdr:cNvSpPr/>
      </xdr:nvSpPr>
      <xdr:spPr>
        <a:xfrm rot="10800000">
          <a:off x="5327278" y="41730704"/>
          <a:ext cx="161364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819150</xdr:colOff>
      <xdr:row>248</xdr:row>
      <xdr:rowOff>38100</xdr:rowOff>
    </xdr:from>
    <xdr:to>
      <xdr:col>7</xdr:col>
      <xdr:colOff>114300</xdr:colOff>
      <xdr:row>249</xdr:row>
      <xdr:rowOff>38100</xdr:rowOff>
    </xdr:to>
    <xdr:sp macro="" textlink="">
      <xdr:nvSpPr>
        <xdr:cNvPr id="66" name="Oval 65">
          <a:extLst>
            <a:ext uri="{FF2B5EF4-FFF2-40B4-BE49-F238E27FC236}">
              <a16:creationId xmlns="" xmlns:a16="http://schemas.microsoft.com/office/drawing/2014/main" id="{689BA901-638C-42F8-8793-E903E55D81C1}"/>
            </a:ext>
          </a:extLst>
        </xdr:cNvPr>
        <xdr:cNvSpPr/>
      </xdr:nvSpPr>
      <xdr:spPr>
        <a:xfrm>
          <a:off x="5505450" y="4152900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226076</xdr:colOff>
      <xdr:row>247</xdr:row>
      <xdr:rowOff>38381</xdr:rowOff>
    </xdr:from>
    <xdr:to>
      <xdr:col>9</xdr:col>
      <xdr:colOff>626126</xdr:colOff>
      <xdr:row>250</xdr:row>
      <xdr:rowOff>72559</xdr:rowOff>
    </xdr:to>
    <xdr:sp macro="" textlink="">
      <xdr:nvSpPr>
        <xdr:cNvPr id="67" name="Arrow: Curved Down 22">
          <a:extLst>
            <a:ext uri="{FF2B5EF4-FFF2-40B4-BE49-F238E27FC236}">
              <a16:creationId xmlns="" xmlns:a16="http://schemas.microsoft.com/office/drawing/2014/main" id="{6A4F67AB-A903-40D5-929B-C15DCBAE6655}"/>
            </a:ext>
          </a:extLst>
        </xdr:cNvPr>
        <xdr:cNvSpPr/>
      </xdr:nvSpPr>
      <xdr:spPr>
        <a:xfrm rot="4070030" flipH="1">
          <a:off x="7295027" y="41535724"/>
          <a:ext cx="605678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22413</xdr:colOff>
      <xdr:row>277</xdr:row>
      <xdr:rowOff>190499</xdr:rowOff>
    </xdr:from>
    <xdr:to>
      <xdr:col>10</xdr:col>
      <xdr:colOff>408215</xdr:colOff>
      <xdr:row>296</xdr:row>
      <xdr:rowOff>95251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358588</xdr:colOff>
      <xdr:row>341</xdr:row>
      <xdr:rowOff>168089</xdr:rowOff>
    </xdr:from>
    <xdr:to>
      <xdr:col>10</xdr:col>
      <xdr:colOff>225138</xdr:colOff>
      <xdr:row>369</xdr:row>
      <xdr:rowOff>103909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46</xdr:row>
      <xdr:rowOff>11767</xdr:rowOff>
    </xdr:from>
    <xdr:to>
      <xdr:col>0</xdr:col>
      <xdr:colOff>596153</xdr:colOff>
      <xdr:row>48</xdr:row>
      <xdr:rowOff>30817</xdr:rowOff>
    </xdr:to>
    <xdr:sp macro="" textlink="">
      <xdr:nvSpPr>
        <xdr:cNvPr id="72" name="Arrow: Curved Down 17">
          <a:extLst>
            <a:ext uri="{FF2B5EF4-FFF2-40B4-BE49-F238E27FC236}">
              <a16:creationId xmlns="" xmlns:a16="http://schemas.microsoft.com/office/drawing/2014/main" id="{35C3BB4B-B41A-C205-21EB-9E0C1E0F3A95}"/>
            </a:ext>
          </a:extLst>
        </xdr:cNvPr>
        <xdr:cNvSpPr/>
      </xdr:nvSpPr>
      <xdr:spPr>
        <a:xfrm flipH="1">
          <a:off x="0" y="9592796"/>
          <a:ext cx="596153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38</xdr:row>
      <xdr:rowOff>22972</xdr:rowOff>
    </xdr:from>
    <xdr:to>
      <xdr:col>0</xdr:col>
      <xdr:colOff>596153</xdr:colOff>
      <xdr:row>40</xdr:row>
      <xdr:rowOff>42022</xdr:rowOff>
    </xdr:to>
    <xdr:sp macro="" textlink="">
      <xdr:nvSpPr>
        <xdr:cNvPr id="73" name="Arrow: Curved Down 17">
          <a:extLst>
            <a:ext uri="{FF2B5EF4-FFF2-40B4-BE49-F238E27FC236}">
              <a16:creationId xmlns="" xmlns:a16="http://schemas.microsoft.com/office/drawing/2014/main" id="{35C3BB4B-B41A-C205-21EB-9E0C1E0F3A95}"/>
            </a:ext>
          </a:extLst>
        </xdr:cNvPr>
        <xdr:cNvSpPr/>
      </xdr:nvSpPr>
      <xdr:spPr>
        <a:xfrm flipH="1">
          <a:off x="0" y="7699001"/>
          <a:ext cx="596153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777687</xdr:colOff>
      <xdr:row>38</xdr:row>
      <xdr:rowOff>22972</xdr:rowOff>
    </xdr:from>
    <xdr:to>
      <xdr:col>3</xdr:col>
      <xdr:colOff>454958</xdr:colOff>
      <xdr:row>40</xdr:row>
      <xdr:rowOff>42022</xdr:rowOff>
    </xdr:to>
    <xdr:sp macro="" textlink="">
      <xdr:nvSpPr>
        <xdr:cNvPr id="74" name="Arrow: Curved Down 17">
          <a:extLst>
            <a:ext uri="{FF2B5EF4-FFF2-40B4-BE49-F238E27FC236}">
              <a16:creationId xmlns="" xmlns:a16="http://schemas.microsoft.com/office/drawing/2014/main" id="{35C3BB4B-B41A-C205-21EB-9E0C1E0F3A95}"/>
            </a:ext>
          </a:extLst>
        </xdr:cNvPr>
        <xdr:cNvSpPr/>
      </xdr:nvSpPr>
      <xdr:spPr>
        <a:xfrm flipH="1">
          <a:off x="2525805" y="7699001"/>
          <a:ext cx="596153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441511</xdr:colOff>
      <xdr:row>38</xdr:row>
      <xdr:rowOff>34178</xdr:rowOff>
    </xdr:from>
    <xdr:to>
      <xdr:col>8</xdr:col>
      <xdr:colOff>365311</xdr:colOff>
      <xdr:row>40</xdr:row>
      <xdr:rowOff>53228</xdr:rowOff>
    </xdr:to>
    <xdr:sp macro="" textlink="">
      <xdr:nvSpPr>
        <xdr:cNvPr id="75" name="Arrow: Curved Down 17">
          <a:extLst>
            <a:ext uri="{FF2B5EF4-FFF2-40B4-BE49-F238E27FC236}">
              <a16:creationId xmlns="" xmlns:a16="http://schemas.microsoft.com/office/drawing/2014/main" id="{35C3BB4B-B41A-C205-21EB-9E0C1E0F3A95}"/>
            </a:ext>
          </a:extLst>
        </xdr:cNvPr>
        <xdr:cNvSpPr/>
      </xdr:nvSpPr>
      <xdr:spPr>
        <a:xfrm flipH="1">
          <a:off x="6515099" y="7710207"/>
          <a:ext cx="596153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779929</xdr:colOff>
      <xdr:row>46</xdr:row>
      <xdr:rowOff>18491</xdr:rowOff>
    </xdr:from>
    <xdr:to>
      <xdr:col>3</xdr:col>
      <xdr:colOff>457200</xdr:colOff>
      <xdr:row>48</xdr:row>
      <xdr:rowOff>37541</xdr:rowOff>
    </xdr:to>
    <xdr:sp macro="" textlink="">
      <xdr:nvSpPr>
        <xdr:cNvPr id="76" name="Arrow: Curved Down 17">
          <a:extLst>
            <a:ext uri="{FF2B5EF4-FFF2-40B4-BE49-F238E27FC236}">
              <a16:creationId xmlns="" xmlns:a16="http://schemas.microsoft.com/office/drawing/2014/main" id="{35C3BB4B-B41A-C205-21EB-9E0C1E0F3A95}"/>
            </a:ext>
          </a:extLst>
        </xdr:cNvPr>
        <xdr:cNvSpPr/>
      </xdr:nvSpPr>
      <xdr:spPr>
        <a:xfrm flipH="1">
          <a:off x="2528047" y="9599520"/>
          <a:ext cx="596153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69476</xdr:colOff>
      <xdr:row>46</xdr:row>
      <xdr:rowOff>36421</xdr:rowOff>
    </xdr:from>
    <xdr:to>
      <xdr:col>5</xdr:col>
      <xdr:colOff>665629</xdr:colOff>
      <xdr:row>48</xdr:row>
      <xdr:rowOff>55471</xdr:rowOff>
    </xdr:to>
    <xdr:sp macro="" textlink="">
      <xdr:nvSpPr>
        <xdr:cNvPr id="77" name="Arrow: Curved Down 17">
          <a:extLst>
            <a:ext uri="{FF2B5EF4-FFF2-40B4-BE49-F238E27FC236}">
              <a16:creationId xmlns="" xmlns:a16="http://schemas.microsoft.com/office/drawing/2014/main" id="{35C3BB4B-B41A-C205-21EB-9E0C1E0F3A95}"/>
            </a:ext>
          </a:extLst>
        </xdr:cNvPr>
        <xdr:cNvSpPr/>
      </xdr:nvSpPr>
      <xdr:spPr>
        <a:xfrm flipH="1">
          <a:off x="4484594" y="9617450"/>
          <a:ext cx="596153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490818</xdr:colOff>
      <xdr:row>46</xdr:row>
      <xdr:rowOff>9527</xdr:rowOff>
    </xdr:from>
    <xdr:to>
      <xdr:col>8</xdr:col>
      <xdr:colOff>414618</xdr:colOff>
      <xdr:row>48</xdr:row>
      <xdr:rowOff>28577</xdr:rowOff>
    </xdr:to>
    <xdr:sp macro="" textlink="">
      <xdr:nvSpPr>
        <xdr:cNvPr id="78" name="Arrow: Curved Down 17">
          <a:extLst>
            <a:ext uri="{FF2B5EF4-FFF2-40B4-BE49-F238E27FC236}">
              <a16:creationId xmlns="" xmlns:a16="http://schemas.microsoft.com/office/drawing/2014/main" id="{35C3BB4B-B41A-C205-21EB-9E0C1E0F3A95}"/>
            </a:ext>
          </a:extLst>
        </xdr:cNvPr>
        <xdr:cNvSpPr/>
      </xdr:nvSpPr>
      <xdr:spPr>
        <a:xfrm flipH="1">
          <a:off x="6564406" y="9590556"/>
          <a:ext cx="596153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694480</xdr:colOff>
      <xdr:row>246</xdr:row>
      <xdr:rowOff>136992</xdr:rowOff>
    </xdr:from>
    <xdr:to>
      <xdr:col>1</xdr:col>
      <xdr:colOff>242883</xdr:colOff>
      <xdr:row>249</xdr:row>
      <xdr:rowOff>171170</xdr:rowOff>
    </xdr:to>
    <xdr:sp macro="" textlink="">
      <xdr:nvSpPr>
        <xdr:cNvPr id="84" name="Arrow: Curved Down 22">
          <a:extLst>
            <a:ext uri="{FF2B5EF4-FFF2-40B4-BE49-F238E27FC236}">
              <a16:creationId xmlns="" xmlns:a16="http://schemas.microsoft.com/office/drawing/2014/main" id="{6A4F67AB-A903-40D5-929B-C15DCBAE6655}"/>
            </a:ext>
          </a:extLst>
        </xdr:cNvPr>
        <xdr:cNvSpPr/>
      </xdr:nvSpPr>
      <xdr:spPr>
        <a:xfrm rot="17529970">
          <a:off x="591666" y="47438982"/>
          <a:ext cx="605678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38959</xdr:colOff>
      <xdr:row>142</xdr:row>
      <xdr:rowOff>41412</xdr:rowOff>
    </xdr:from>
    <xdr:to>
      <xdr:col>10</xdr:col>
      <xdr:colOff>453335</xdr:colOff>
      <xdr:row>156</xdr:row>
      <xdr:rowOff>134471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55702" t="30862" r="3897" b="33674"/>
        <a:stretch>
          <a:fillRect/>
        </a:stretch>
      </xdr:blipFill>
      <xdr:spPr bwMode="auto">
        <a:xfrm>
          <a:off x="4364430" y="27159647"/>
          <a:ext cx="4224376" cy="27600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756558</xdr:colOff>
      <xdr:row>252</xdr:row>
      <xdr:rowOff>170170</xdr:rowOff>
    </xdr:from>
    <xdr:to>
      <xdr:col>3</xdr:col>
      <xdr:colOff>6243</xdr:colOff>
      <xdr:row>255</xdr:row>
      <xdr:rowOff>189220</xdr:rowOff>
    </xdr:to>
    <xdr:sp macro="" textlink="">
      <xdr:nvSpPr>
        <xdr:cNvPr id="47" name="Arrow: Down 25">
          <a:extLst>
            <a:ext uri="{FF2B5EF4-FFF2-40B4-BE49-F238E27FC236}">
              <a16:creationId xmlns="" xmlns:a16="http://schemas.microsoft.com/office/drawing/2014/main" id="{31B13765-7A78-80C0-7CF4-BAF56C2683D7}"/>
            </a:ext>
          </a:extLst>
        </xdr:cNvPr>
        <xdr:cNvSpPr/>
      </xdr:nvSpPr>
      <xdr:spPr>
        <a:xfrm rot="10800000">
          <a:off x="2375808" y="48366670"/>
          <a:ext cx="161364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800101</xdr:colOff>
      <xdr:row>252</xdr:row>
      <xdr:rowOff>145678</xdr:rowOff>
    </xdr:from>
    <xdr:to>
      <xdr:col>6</xdr:col>
      <xdr:colOff>49786</xdr:colOff>
      <xdr:row>255</xdr:row>
      <xdr:rowOff>164728</xdr:rowOff>
    </xdr:to>
    <xdr:sp macro="" textlink="">
      <xdr:nvSpPr>
        <xdr:cNvPr id="48" name="Arrow: Down 25">
          <a:extLst>
            <a:ext uri="{FF2B5EF4-FFF2-40B4-BE49-F238E27FC236}">
              <a16:creationId xmlns="" xmlns:a16="http://schemas.microsoft.com/office/drawing/2014/main" id="{31B13765-7A78-80C0-7CF4-BAF56C2683D7}"/>
            </a:ext>
          </a:extLst>
        </xdr:cNvPr>
        <xdr:cNvSpPr/>
      </xdr:nvSpPr>
      <xdr:spPr>
        <a:xfrm rot="10800000">
          <a:off x="5113565" y="48342178"/>
          <a:ext cx="161364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258536</xdr:colOff>
      <xdr:row>0</xdr:row>
      <xdr:rowOff>27213</xdr:rowOff>
    </xdr:from>
    <xdr:to>
      <xdr:col>15</xdr:col>
      <xdr:colOff>550448</xdr:colOff>
      <xdr:row>14</xdr:row>
      <xdr:rowOff>79451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55702" t="30862" r="3897" b="33674"/>
        <a:stretch>
          <a:fillRect/>
        </a:stretch>
      </xdr:blipFill>
      <xdr:spPr bwMode="auto">
        <a:xfrm>
          <a:off x="7905750" y="27213"/>
          <a:ext cx="4210769" cy="27600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2402</xdr:colOff>
      <xdr:row>342</xdr:row>
      <xdr:rowOff>16808</xdr:rowOff>
    </xdr:from>
    <xdr:to>
      <xdr:col>26</xdr:col>
      <xdr:colOff>347401</xdr:colOff>
      <xdr:row>356</xdr:row>
      <xdr:rowOff>54429</xdr:rowOff>
    </xdr:to>
    <xdr:pic>
      <xdr:nvPicPr>
        <xdr:cNvPr id="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17081" t="42932" r="16841" b="32471"/>
        <a:stretch>
          <a:fillRect/>
        </a:stretch>
      </xdr:blipFill>
      <xdr:spPr bwMode="auto">
        <a:xfrm>
          <a:off x="8697366" y="65562415"/>
          <a:ext cx="9652285" cy="27046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571499</xdr:colOff>
      <xdr:row>278</xdr:row>
      <xdr:rowOff>27215</xdr:rowOff>
    </xdr:from>
    <xdr:to>
      <xdr:col>21</xdr:col>
      <xdr:colOff>533017</xdr:colOff>
      <xdr:row>288</xdr:row>
      <xdr:rowOff>1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 l="17312" t="44936" r="15329" b="30942"/>
        <a:stretch>
          <a:fillRect/>
        </a:stretch>
      </xdr:blipFill>
      <xdr:spPr bwMode="auto">
        <a:xfrm>
          <a:off x="8681356" y="53176715"/>
          <a:ext cx="6928375" cy="18777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204107</xdr:colOff>
      <xdr:row>12</xdr:row>
      <xdr:rowOff>66674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890407" cy="2409824"/>
        </a:xfrm>
        <a:prstGeom prst="rect">
          <a:avLst/>
        </a:prstGeom>
        <a:noFill/>
      </xdr:spPr>
    </xdr:pic>
    <xdr:clientData/>
  </xdr:twoCellAnchor>
  <xdr:twoCellAnchor>
    <xdr:from>
      <xdr:col>0</xdr:col>
      <xdr:colOff>238125</xdr:colOff>
      <xdr:row>40</xdr:row>
      <xdr:rowOff>95250</xdr:rowOff>
    </xdr:from>
    <xdr:to>
      <xdr:col>8</xdr:col>
      <xdr:colOff>133350</xdr:colOff>
      <xdr:row>40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238125" y="7772400"/>
          <a:ext cx="6934200" cy="666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42581</xdr:colOff>
      <xdr:row>38</xdr:row>
      <xdr:rowOff>27455</xdr:rowOff>
    </xdr:from>
    <xdr:to>
      <xdr:col>5</xdr:col>
      <xdr:colOff>638734</xdr:colOff>
      <xdr:row>40</xdr:row>
      <xdr:rowOff>46505</xdr:rowOff>
    </xdr:to>
    <xdr:sp macro="" textlink="">
      <xdr:nvSpPr>
        <xdr:cNvPr id="4" name="Arrow: Curved Down 17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 flipH="1">
          <a:off x="4347881" y="7323605"/>
          <a:ext cx="596153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142875</xdr:colOff>
      <xdr:row>40</xdr:row>
      <xdr:rowOff>38100</xdr:rowOff>
    </xdr:from>
    <xdr:to>
      <xdr:col>0</xdr:col>
      <xdr:colOff>352425</xdr:colOff>
      <xdr:row>41</xdr:row>
      <xdr:rowOff>38100</xdr:rowOff>
    </xdr:to>
    <xdr:sp macro="" textlink="">
      <xdr:nvSpPr>
        <xdr:cNvPr id="5" name="Oval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142875" y="771525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76200</xdr:colOff>
      <xdr:row>40</xdr:row>
      <xdr:rowOff>19050</xdr:rowOff>
    </xdr:from>
    <xdr:to>
      <xdr:col>3</xdr:col>
      <xdr:colOff>285750</xdr:colOff>
      <xdr:row>41</xdr:row>
      <xdr:rowOff>19050</xdr:rowOff>
    </xdr:to>
    <xdr:sp macro="" textlink="">
      <xdr:nvSpPr>
        <xdr:cNvPr id="6" name="Oval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>
        <a:xfrm>
          <a:off x="2647950" y="769620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257175</xdr:colOff>
      <xdr:row>40</xdr:row>
      <xdr:rowOff>38100</xdr:rowOff>
    </xdr:from>
    <xdr:to>
      <xdr:col>5</xdr:col>
      <xdr:colOff>466725</xdr:colOff>
      <xdr:row>41</xdr:row>
      <xdr:rowOff>38100</xdr:rowOff>
    </xdr:to>
    <xdr:sp macro="" textlink="">
      <xdr:nvSpPr>
        <xdr:cNvPr id="7" name="Oval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/>
      </xdr:nvSpPr>
      <xdr:spPr>
        <a:xfrm>
          <a:off x="4562475" y="771525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</xdr:colOff>
      <xdr:row>40</xdr:row>
      <xdr:rowOff>57150</xdr:rowOff>
    </xdr:from>
    <xdr:to>
      <xdr:col>8</xdr:col>
      <xdr:colOff>228600</xdr:colOff>
      <xdr:row>41</xdr:row>
      <xdr:rowOff>57150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/>
      </xdr:nvSpPr>
      <xdr:spPr>
        <a:xfrm>
          <a:off x="7058025" y="773430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152400</xdr:colOff>
      <xdr:row>36</xdr:row>
      <xdr:rowOff>125506</xdr:rowOff>
    </xdr:from>
    <xdr:to>
      <xdr:col>0</xdr:col>
      <xdr:colOff>371475</xdr:colOff>
      <xdr:row>39</xdr:row>
      <xdr:rowOff>144556</xdr:rowOff>
    </xdr:to>
    <xdr:sp macro="" textlink="">
      <xdr:nvSpPr>
        <xdr:cNvPr id="9" name="Arrow: Down 25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/>
      </xdr:nvSpPr>
      <xdr:spPr>
        <a:xfrm rot="10800000">
          <a:off x="152400" y="7040656"/>
          <a:ext cx="219075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36</xdr:row>
      <xdr:rowOff>104775</xdr:rowOff>
    </xdr:from>
    <xdr:to>
      <xdr:col>3</xdr:col>
      <xdr:colOff>304800</xdr:colOff>
      <xdr:row>39</xdr:row>
      <xdr:rowOff>123825</xdr:rowOff>
    </xdr:to>
    <xdr:sp macro="" textlink="">
      <xdr:nvSpPr>
        <xdr:cNvPr id="10" name="Arrow: Down 26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/>
      </xdr:nvSpPr>
      <xdr:spPr>
        <a:xfrm rot="10800000">
          <a:off x="2657475" y="7019925"/>
          <a:ext cx="219075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266700</xdr:colOff>
      <xdr:row>36</xdr:row>
      <xdr:rowOff>168649</xdr:rowOff>
    </xdr:from>
    <xdr:to>
      <xdr:col>5</xdr:col>
      <xdr:colOff>485775</xdr:colOff>
      <xdr:row>39</xdr:row>
      <xdr:rowOff>187699</xdr:rowOff>
    </xdr:to>
    <xdr:sp macro="" textlink="">
      <xdr:nvSpPr>
        <xdr:cNvPr id="11" name="Arrow: Down 27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/>
      </xdr:nvSpPr>
      <xdr:spPr>
        <a:xfrm rot="10800000">
          <a:off x="4572000" y="7083799"/>
          <a:ext cx="219075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</xdr:colOff>
      <xdr:row>36</xdr:row>
      <xdr:rowOff>123825</xdr:rowOff>
    </xdr:from>
    <xdr:to>
      <xdr:col>8</xdr:col>
      <xdr:colOff>238125</xdr:colOff>
      <xdr:row>39</xdr:row>
      <xdr:rowOff>142875</xdr:rowOff>
    </xdr:to>
    <xdr:sp macro="" textlink="">
      <xdr:nvSpPr>
        <xdr:cNvPr id="12" name="Arrow: Down 28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/>
      </xdr:nvSpPr>
      <xdr:spPr>
        <a:xfrm rot="10800000">
          <a:off x="7058025" y="7038975"/>
          <a:ext cx="219075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238125</xdr:colOff>
      <xdr:row>48</xdr:row>
      <xdr:rowOff>95250</xdr:rowOff>
    </xdr:from>
    <xdr:to>
      <xdr:col>8</xdr:col>
      <xdr:colOff>133350</xdr:colOff>
      <xdr:row>48</xdr:row>
      <xdr:rowOff>161925</xdr:rowOff>
    </xdr:to>
    <xdr:sp macro="" textlink="">
      <xdr:nvSpPr>
        <xdr:cNvPr id="13" name="Rectangle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/>
      </xdr:nvSpPr>
      <xdr:spPr>
        <a:xfrm>
          <a:off x="238125" y="9296400"/>
          <a:ext cx="6934200" cy="666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142875</xdr:colOff>
      <xdr:row>48</xdr:row>
      <xdr:rowOff>38100</xdr:rowOff>
    </xdr:from>
    <xdr:to>
      <xdr:col>0</xdr:col>
      <xdr:colOff>352425</xdr:colOff>
      <xdr:row>49</xdr:row>
      <xdr:rowOff>38100</xdr:rowOff>
    </xdr:to>
    <xdr:sp macro="" textlink="">
      <xdr:nvSpPr>
        <xdr:cNvPr id="14" name="Oval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/>
      </xdr:nvSpPr>
      <xdr:spPr>
        <a:xfrm>
          <a:off x="142875" y="923925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76200</xdr:colOff>
      <xdr:row>48</xdr:row>
      <xdr:rowOff>19050</xdr:rowOff>
    </xdr:from>
    <xdr:to>
      <xdr:col>3</xdr:col>
      <xdr:colOff>285750</xdr:colOff>
      <xdr:row>49</xdr:row>
      <xdr:rowOff>19050</xdr:rowOff>
    </xdr:to>
    <xdr:sp macro="" textlink="">
      <xdr:nvSpPr>
        <xdr:cNvPr id="15" name="Oval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/>
      </xdr:nvSpPr>
      <xdr:spPr>
        <a:xfrm>
          <a:off x="2647950" y="922020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257175</xdr:colOff>
      <xdr:row>48</xdr:row>
      <xdr:rowOff>38100</xdr:rowOff>
    </xdr:from>
    <xdr:to>
      <xdr:col>5</xdr:col>
      <xdr:colOff>466725</xdr:colOff>
      <xdr:row>49</xdr:row>
      <xdr:rowOff>38100</xdr:rowOff>
    </xdr:to>
    <xdr:sp macro="" textlink="">
      <xdr:nvSpPr>
        <xdr:cNvPr id="16" name="Oval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/>
      </xdr:nvSpPr>
      <xdr:spPr>
        <a:xfrm>
          <a:off x="4562475" y="923925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</xdr:colOff>
      <xdr:row>48</xdr:row>
      <xdr:rowOff>57150</xdr:rowOff>
    </xdr:from>
    <xdr:to>
      <xdr:col>8</xdr:col>
      <xdr:colOff>228600</xdr:colOff>
      <xdr:row>49</xdr:row>
      <xdr:rowOff>57150</xdr:rowOff>
    </xdr:to>
    <xdr:sp macro="" textlink="">
      <xdr:nvSpPr>
        <xdr:cNvPr id="17" name="Oval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SpPr/>
      </xdr:nvSpPr>
      <xdr:spPr>
        <a:xfrm>
          <a:off x="7058025" y="925830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38</xdr:row>
      <xdr:rowOff>22972</xdr:rowOff>
    </xdr:from>
    <xdr:to>
      <xdr:col>0</xdr:col>
      <xdr:colOff>596153</xdr:colOff>
      <xdr:row>40</xdr:row>
      <xdr:rowOff>42022</xdr:rowOff>
    </xdr:to>
    <xdr:sp macro="" textlink="">
      <xdr:nvSpPr>
        <xdr:cNvPr id="18" name="Arrow: Curved Down 17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SpPr/>
      </xdr:nvSpPr>
      <xdr:spPr>
        <a:xfrm flipH="1">
          <a:off x="0" y="7319122"/>
          <a:ext cx="596153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720537</xdr:colOff>
      <xdr:row>38</xdr:row>
      <xdr:rowOff>22972</xdr:rowOff>
    </xdr:from>
    <xdr:to>
      <xdr:col>3</xdr:col>
      <xdr:colOff>454958</xdr:colOff>
      <xdr:row>40</xdr:row>
      <xdr:rowOff>42022</xdr:rowOff>
    </xdr:to>
    <xdr:sp macro="" textlink="">
      <xdr:nvSpPr>
        <xdr:cNvPr id="19" name="Arrow: Curved Down 17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SpPr/>
      </xdr:nvSpPr>
      <xdr:spPr>
        <a:xfrm flipH="1">
          <a:off x="2463612" y="7319122"/>
          <a:ext cx="563096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441511</xdr:colOff>
      <xdr:row>38</xdr:row>
      <xdr:rowOff>34178</xdr:rowOff>
    </xdr:from>
    <xdr:to>
      <xdr:col>8</xdr:col>
      <xdr:colOff>365311</xdr:colOff>
      <xdr:row>40</xdr:row>
      <xdr:rowOff>53228</xdr:rowOff>
    </xdr:to>
    <xdr:sp macro="" textlink="">
      <xdr:nvSpPr>
        <xdr:cNvPr id="20" name="Arrow: Curved Down 17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SpPr/>
      </xdr:nvSpPr>
      <xdr:spPr>
        <a:xfrm flipH="1">
          <a:off x="6632761" y="7330328"/>
          <a:ext cx="771525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136067</xdr:colOff>
      <xdr:row>46</xdr:row>
      <xdr:rowOff>18491</xdr:rowOff>
    </xdr:from>
    <xdr:to>
      <xdr:col>3</xdr:col>
      <xdr:colOff>770160</xdr:colOff>
      <xdr:row>48</xdr:row>
      <xdr:rowOff>37541</xdr:rowOff>
    </xdr:to>
    <xdr:sp macro="" textlink="">
      <xdr:nvSpPr>
        <xdr:cNvPr id="21" name="Arrow: Curved Down 17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 flipH="1">
          <a:off x="2707817" y="8838641"/>
          <a:ext cx="634093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69476</xdr:colOff>
      <xdr:row>46</xdr:row>
      <xdr:rowOff>36421</xdr:rowOff>
    </xdr:from>
    <xdr:to>
      <xdr:col>5</xdr:col>
      <xdr:colOff>665629</xdr:colOff>
      <xdr:row>48</xdr:row>
      <xdr:rowOff>55471</xdr:rowOff>
    </xdr:to>
    <xdr:sp macro="" textlink="">
      <xdr:nvSpPr>
        <xdr:cNvPr id="22" name="Arrow: Curved Down 17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/>
      </xdr:nvSpPr>
      <xdr:spPr>
        <a:xfrm flipH="1">
          <a:off x="4374776" y="8856571"/>
          <a:ext cx="596153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409176</xdr:colOff>
      <xdr:row>46</xdr:row>
      <xdr:rowOff>9527</xdr:rowOff>
    </xdr:from>
    <xdr:to>
      <xdr:col>8</xdr:col>
      <xdr:colOff>332976</xdr:colOff>
      <xdr:row>48</xdr:row>
      <xdr:rowOff>28577</xdr:rowOff>
    </xdr:to>
    <xdr:sp macro="" textlink="">
      <xdr:nvSpPr>
        <xdr:cNvPr id="23" name="Arrow: Curved Down 17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 flipH="1">
          <a:off x="6600426" y="8829677"/>
          <a:ext cx="771525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52028</xdr:colOff>
      <xdr:row>138</xdr:row>
      <xdr:rowOff>48577</xdr:rowOff>
    </xdr:from>
    <xdr:to>
      <xdr:col>6</xdr:col>
      <xdr:colOff>273503</xdr:colOff>
      <xdr:row>145</xdr:row>
      <xdr:rowOff>59294</xdr:rowOff>
    </xdr:to>
    <xdr:pic>
      <xdr:nvPicPr>
        <xdr:cNvPr id="24" name="Picture 23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57328" y="26394727"/>
          <a:ext cx="1612125" cy="1344217"/>
        </a:xfrm>
        <a:prstGeom prst="rect">
          <a:avLst/>
        </a:prstGeom>
      </xdr:spPr>
    </xdr:pic>
    <xdr:clientData/>
  </xdr:twoCellAnchor>
  <xdr:twoCellAnchor editAs="oneCell">
    <xdr:from>
      <xdr:col>4</xdr:col>
      <xdr:colOff>543048</xdr:colOff>
      <xdr:row>146</xdr:row>
      <xdr:rowOff>74222</xdr:rowOff>
    </xdr:from>
    <xdr:to>
      <xdr:col>7</xdr:col>
      <xdr:colOff>819125</xdr:colOff>
      <xdr:row>160</xdr:row>
      <xdr:rowOff>167280</xdr:rowOff>
    </xdr:to>
    <xdr:pic>
      <xdr:nvPicPr>
        <xdr:cNvPr id="25" name="Picture 24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55702" t="30862" r="3897" b="33674"/>
        <a:stretch>
          <a:fillRect/>
        </a:stretch>
      </xdr:blipFill>
      <xdr:spPr bwMode="auto">
        <a:xfrm>
          <a:off x="3972048" y="27944372"/>
          <a:ext cx="4200377" cy="27600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238125</xdr:colOff>
      <xdr:row>253</xdr:row>
      <xdr:rowOff>95250</xdr:rowOff>
    </xdr:from>
    <xdr:to>
      <xdr:col>9</xdr:col>
      <xdr:colOff>133350</xdr:colOff>
      <xdr:row>253</xdr:row>
      <xdr:rowOff>161925</xdr:rowOff>
    </xdr:to>
    <xdr:sp macro="" textlink="">
      <xdr:nvSpPr>
        <xdr:cNvPr id="26" name="Rectangle 25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SpPr/>
      </xdr:nvSpPr>
      <xdr:spPr>
        <a:xfrm>
          <a:off x="876300" y="48425100"/>
          <a:ext cx="6896100" cy="666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142875</xdr:colOff>
      <xdr:row>253</xdr:row>
      <xdr:rowOff>38100</xdr:rowOff>
    </xdr:from>
    <xdr:to>
      <xdr:col>1</xdr:col>
      <xdr:colOff>352425</xdr:colOff>
      <xdr:row>254</xdr:row>
      <xdr:rowOff>38100</xdr:rowOff>
    </xdr:to>
    <xdr:sp macro="" textlink="">
      <xdr:nvSpPr>
        <xdr:cNvPr id="27" name="Oval 26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SpPr/>
      </xdr:nvSpPr>
      <xdr:spPr>
        <a:xfrm>
          <a:off x="781050" y="4836795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704850</xdr:colOff>
      <xdr:row>253</xdr:row>
      <xdr:rowOff>19049</xdr:rowOff>
    </xdr:from>
    <xdr:to>
      <xdr:col>4</xdr:col>
      <xdr:colOff>84042</xdr:colOff>
      <xdr:row>254</xdr:row>
      <xdr:rowOff>28574</xdr:rowOff>
    </xdr:to>
    <xdr:sp macro="" textlink="">
      <xdr:nvSpPr>
        <xdr:cNvPr id="28" name="Oval 27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SpPr/>
      </xdr:nvSpPr>
      <xdr:spPr>
        <a:xfrm>
          <a:off x="3276600" y="48348899"/>
          <a:ext cx="236442" cy="200025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</xdr:colOff>
      <xdr:row>253</xdr:row>
      <xdr:rowOff>57150</xdr:rowOff>
    </xdr:from>
    <xdr:to>
      <xdr:col>9</xdr:col>
      <xdr:colOff>228600</xdr:colOff>
      <xdr:row>254</xdr:row>
      <xdr:rowOff>57150</xdr:rowOff>
    </xdr:to>
    <xdr:sp macro="" textlink="">
      <xdr:nvSpPr>
        <xdr:cNvPr id="29" name="Oval 28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SpPr/>
      </xdr:nvSpPr>
      <xdr:spPr>
        <a:xfrm>
          <a:off x="7658100" y="4838700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152400</xdr:colOff>
      <xdr:row>254</xdr:row>
      <xdr:rowOff>69476</xdr:rowOff>
    </xdr:from>
    <xdr:to>
      <xdr:col>1</xdr:col>
      <xdr:colOff>313764</xdr:colOff>
      <xdr:row>257</xdr:row>
      <xdr:rowOff>88526</xdr:rowOff>
    </xdr:to>
    <xdr:sp macro="" textlink="">
      <xdr:nvSpPr>
        <xdr:cNvPr id="30" name="Arrow: Down 25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SpPr/>
      </xdr:nvSpPr>
      <xdr:spPr>
        <a:xfrm rot="10800000">
          <a:off x="790575" y="48589826"/>
          <a:ext cx="161364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676275</xdr:colOff>
      <xdr:row>254</xdr:row>
      <xdr:rowOff>98611</xdr:rowOff>
    </xdr:from>
    <xdr:to>
      <xdr:col>3</xdr:col>
      <xdr:colOff>778807</xdr:colOff>
      <xdr:row>257</xdr:row>
      <xdr:rowOff>117661</xdr:rowOff>
    </xdr:to>
    <xdr:sp macro="" textlink="">
      <xdr:nvSpPr>
        <xdr:cNvPr id="31" name="Arrow: Down 25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SpPr/>
      </xdr:nvSpPr>
      <xdr:spPr>
        <a:xfrm rot="10800000" flipH="1">
          <a:off x="3248025" y="48618961"/>
          <a:ext cx="102532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49305</xdr:colOff>
      <xdr:row>254</xdr:row>
      <xdr:rowOff>56030</xdr:rowOff>
    </xdr:from>
    <xdr:to>
      <xdr:col>9</xdr:col>
      <xdr:colOff>210669</xdr:colOff>
      <xdr:row>257</xdr:row>
      <xdr:rowOff>75080</xdr:rowOff>
    </xdr:to>
    <xdr:sp macro="" textlink="">
      <xdr:nvSpPr>
        <xdr:cNvPr id="32" name="Arrow: Down 25"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SpPr/>
      </xdr:nvSpPr>
      <xdr:spPr>
        <a:xfrm rot="10800000">
          <a:off x="7688355" y="48576380"/>
          <a:ext cx="161364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319416</xdr:colOff>
      <xdr:row>251</xdr:row>
      <xdr:rowOff>140985</xdr:rowOff>
    </xdr:from>
    <xdr:to>
      <xdr:col>3</xdr:col>
      <xdr:colOff>716334</xdr:colOff>
      <xdr:row>254</xdr:row>
      <xdr:rowOff>175163</xdr:rowOff>
    </xdr:to>
    <xdr:sp macro="" textlink="">
      <xdr:nvSpPr>
        <xdr:cNvPr id="33" name="Arrow: Curved Down 22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SpPr/>
      </xdr:nvSpPr>
      <xdr:spPr>
        <a:xfrm rot="17529970">
          <a:off x="2786786" y="48194215"/>
          <a:ext cx="605678" cy="396918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128572</xdr:colOff>
      <xdr:row>251</xdr:row>
      <xdr:rowOff>153174</xdr:rowOff>
    </xdr:from>
    <xdr:to>
      <xdr:col>4</xdr:col>
      <xdr:colOff>516044</xdr:colOff>
      <xdr:row>254</xdr:row>
      <xdr:rowOff>187352</xdr:rowOff>
    </xdr:to>
    <xdr:sp macro="" textlink="">
      <xdr:nvSpPr>
        <xdr:cNvPr id="34" name="Arrow: Curved Down 22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SpPr/>
      </xdr:nvSpPr>
      <xdr:spPr>
        <a:xfrm rot="17529970">
          <a:off x="3448469" y="48211127"/>
          <a:ext cx="605678" cy="387472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285169</xdr:colOff>
      <xdr:row>251</xdr:row>
      <xdr:rowOff>145552</xdr:rowOff>
    </xdr:from>
    <xdr:to>
      <xdr:col>6</xdr:col>
      <xdr:colOff>719935</xdr:colOff>
      <xdr:row>254</xdr:row>
      <xdr:rowOff>179730</xdr:rowOff>
    </xdr:to>
    <xdr:sp macro="" textlink="">
      <xdr:nvSpPr>
        <xdr:cNvPr id="35" name="Arrow: Curved Down 22">
          <a:extLst>
            <a:ext uri="{FF2B5EF4-FFF2-40B4-BE49-F238E27FC236}">
              <a16:creationId xmlns="" xmlns:a16="http://schemas.microsoft.com/office/drawing/2014/main" id="{00000000-0008-0000-0100-000027000000}"/>
            </a:ext>
          </a:extLst>
        </xdr:cNvPr>
        <xdr:cNvSpPr/>
      </xdr:nvSpPr>
      <xdr:spPr>
        <a:xfrm rot="17529970">
          <a:off x="5447988" y="48179858"/>
          <a:ext cx="605678" cy="434766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126343</xdr:colOff>
      <xdr:row>251</xdr:row>
      <xdr:rowOff>137553</xdr:rowOff>
    </xdr:from>
    <xdr:to>
      <xdr:col>7</xdr:col>
      <xdr:colOff>526393</xdr:colOff>
      <xdr:row>254</xdr:row>
      <xdr:rowOff>171731</xdr:rowOff>
    </xdr:to>
    <xdr:sp macro="" textlink="">
      <xdr:nvSpPr>
        <xdr:cNvPr id="36" name="Arrow: Curved Down 22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SpPr/>
      </xdr:nvSpPr>
      <xdr:spPr>
        <a:xfrm rot="17529970">
          <a:off x="6214779" y="48189217"/>
          <a:ext cx="605678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704850</xdr:colOff>
      <xdr:row>253</xdr:row>
      <xdr:rowOff>38100</xdr:rowOff>
    </xdr:from>
    <xdr:to>
      <xdr:col>7</xdr:col>
      <xdr:colOff>114300</xdr:colOff>
      <xdr:row>254</xdr:row>
      <xdr:rowOff>19050</xdr:rowOff>
    </xdr:to>
    <xdr:sp macro="" textlink="">
      <xdr:nvSpPr>
        <xdr:cNvPr id="37" name="Oval 36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SpPr/>
      </xdr:nvSpPr>
      <xdr:spPr>
        <a:xfrm>
          <a:off x="5953125" y="48367950"/>
          <a:ext cx="352425" cy="17145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416576</xdr:colOff>
      <xdr:row>251</xdr:row>
      <xdr:rowOff>150440</xdr:rowOff>
    </xdr:from>
    <xdr:to>
      <xdr:col>9</xdr:col>
      <xdr:colOff>125223</xdr:colOff>
      <xdr:row>254</xdr:row>
      <xdr:rowOff>184618</xdr:rowOff>
    </xdr:to>
    <xdr:sp macro="" textlink="">
      <xdr:nvSpPr>
        <xdr:cNvPr id="38" name="Arrow: Curved Down 22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SpPr/>
      </xdr:nvSpPr>
      <xdr:spPr>
        <a:xfrm rot="17529970">
          <a:off x="7307073" y="48247768"/>
          <a:ext cx="605678" cy="308722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694480</xdr:colOff>
      <xdr:row>251</xdr:row>
      <xdr:rowOff>136992</xdr:rowOff>
    </xdr:from>
    <xdr:to>
      <xdr:col>1</xdr:col>
      <xdr:colOff>242883</xdr:colOff>
      <xdr:row>254</xdr:row>
      <xdr:rowOff>171170</xdr:rowOff>
    </xdr:to>
    <xdr:sp macro="" textlink="">
      <xdr:nvSpPr>
        <xdr:cNvPr id="39" name="Arrow: Curved Down 22"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SpPr/>
      </xdr:nvSpPr>
      <xdr:spPr>
        <a:xfrm rot="17529970">
          <a:off x="456355" y="48266817"/>
          <a:ext cx="605678" cy="243728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38100</xdr:colOff>
      <xdr:row>254</xdr:row>
      <xdr:rowOff>89086</xdr:rowOff>
    </xdr:from>
    <xdr:to>
      <xdr:col>4</xdr:col>
      <xdr:colOff>140632</xdr:colOff>
      <xdr:row>257</xdr:row>
      <xdr:rowOff>108136</xdr:rowOff>
    </xdr:to>
    <xdr:sp macro="" textlink="">
      <xdr:nvSpPr>
        <xdr:cNvPr id="40" name="Arrow: Down 25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SpPr/>
      </xdr:nvSpPr>
      <xdr:spPr>
        <a:xfrm rot="10800000" flipH="1" flipV="1">
          <a:off x="3467100" y="48609436"/>
          <a:ext cx="102532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657225</xdr:colOff>
      <xdr:row>254</xdr:row>
      <xdr:rowOff>70036</xdr:rowOff>
    </xdr:from>
    <xdr:to>
      <xdr:col>6</xdr:col>
      <xdr:colOff>759757</xdr:colOff>
      <xdr:row>257</xdr:row>
      <xdr:rowOff>89086</xdr:rowOff>
    </xdr:to>
    <xdr:sp macro="" textlink="">
      <xdr:nvSpPr>
        <xdr:cNvPr id="41" name="Arrow: Down 25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SpPr/>
      </xdr:nvSpPr>
      <xdr:spPr>
        <a:xfrm rot="10800000" flipH="1">
          <a:off x="5905500" y="48590386"/>
          <a:ext cx="102532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57150</xdr:colOff>
      <xdr:row>254</xdr:row>
      <xdr:rowOff>60511</xdr:rowOff>
    </xdr:from>
    <xdr:to>
      <xdr:col>7</xdr:col>
      <xdr:colOff>159682</xdr:colOff>
      <xdr:row>257</xdr:row>
      <xdr:rowOff>79561</xdr:rowOff>
    </xdr:to>
    <xdr:sp macro="" textlink="">
      <xdr:nvSpPr>
        <xdr:cNvPr id="42" name="Arrow: Down 25">
          <a:extLst>
            <a:ext uri="{FF2B5EF4-FFF2-40B4-BE49-F238E27FC236}">
              <a16:creationId xmlns="" xmlns:a16="http://schemas.microsoft.com/office/drawing/2014/main" id="{00000000-0008-0000-0100-00002F000000}"/>
            </a:ext>
          </a:extLst>
        </xdr:cNvPr>
        <xdr:cNvSpPr/>
      </xdr:nvSpPr>
      <xdr:spPr>
        <a:xfrm rot="10800000" flipH="1">
          <a:off x="6248400" y="48580861"/>
          <a:ext cx="102532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761999</xdr:colOff>
      <xdr:row>258</xdr:row>
      <xdr:rowOff>6162</xdr:rowOff>
    </xdr:from>
    <xdr:to>
      <xdr:col>3</xdr:col>
      <xdr:colOff>68914</xdr:colOff>
      <xdr:row>261</xdr:row>
      <xdr:rowOff>25212</xdr:rowOff>
    </xdr:to>
    <xdr:sp macro="" textlink="">
      <xdr:nvSpPr>
        <xdr:cNvPr id="43" name="Arrow: Down 25">
          <a:extLst>
            <a:ext uri="{FF2B5EF4-FFF2-40B4-BE49-F238E27FC236}">
              <a16:creationId xmlns="" xmlns:a16="http://schemas.microsoft.com/office/drawing/2014/main" id="{00000000-0008-0000-0100-000030000000}"/>
            </a:ext>
          </a:extLst>
        </xdr:cNvPr>
        <xdr:cNvSpPr/>
      </xdr:nvSpPr>
      <xdr:spPr>
        <a:xfrm rot="10800000" flipH="1" flipV="1">
          <a:off x="2505074" y="49288512"/>
          <a:ext cx="135590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876860</xdr:colOff>
      <xdr:row>257</xdr:row>
      <xdr:rowOff>155200</xdr:rowOff>
    </xdr:from>
    <xdr:to>
      <xdr:col>6</xdr:col>
      <xdr:colOff>38098</xdr:colOff>
      <xdr:row>260</xdr:row>
      <xdr:rowOff>174250</xdr:rowOff>
    </xdr:to>
    <xdr:sp macro="" textlink="">
      <xdr:nvSpPr>
        <xdr:cNvPr id="44" name="Arrow: Down 25">
          <a:extLst>
            <a:ext uri="{FF2B5EF4-FFF2-40B4-BE49-F238E27FC236}">
              <a16:creationId xmlns="" xmlns:a16="http://schemas.microsoft.com/office/drawing/2014/main" id="{00000000-0008-0000-0100-000031000000}"/>
            </a:ext>
          </a:extLst>
        </xdr:cNvPr>
        <xdr:cNvSpPr/>
      </xdr:nvSpPr>
      <xdr:spPr>
        <a:xfrm rot="10800000" flipH="1">
          <a:off x="5182160" y="49247050"/>
          <a:ext cx="104213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40821</xdr:colOff>
      <xdr:row>289</xdr:row>
      <xdr:rowOff>68035</xdr:rowOff>
    </xdr:from>
    <xdr:to>
      <xdr:col>10</xdr:col>
      <xdr:colOff>138544</xdr:colOff>
      <xdr:row>308</xdr:row>
      <xdr:rowOff>51954</xdr:rowOff>
    </xdr:to>
    <xdr:graphicFrame macro="">
      <xdr:nvGraphicFramePr>
        <xdr:cNvPr id="45" name="Chart 44">
          <a:extLst>
            <a:ext uri="{FF2B5EF4-FFF2-40B4-BE49-F238E27FC236}">
              <a16:creationId xmlns="" xmlns:a16="http://schemas.microsoft.com/office/drawing/2014/main" id="{00000000-0008-0000-01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383717</xdr:colOff>
      <xdr:row>46</xdr:row>
      <xdr:rowOff>7605</xdr:rowOff>
    </xdr:from>
    <xdr:to>
      <xdr:col>3</xdr:col>
      <xdr:colOff>187774</xdr:colOff>
      <xdr:row>48</xdr:row>
      <xdr:rowOff>26655</xdr:rowOff>
    </xdr:to>
    <xdr:sp macro="" textlink="">
      <xdr:nvSpPr>
        <xdr:cNvPr id="47" name="Arrow: Curved Down 17">
          <a:extLst>
            <a:ext uri="{FF2B5EF4-FFF2-40B4-BE49-F238E27FC236}">
              <a16:creationId xmlns="" xmlns:a16="http://schemas.microsoft.com/office/drawing/2014/main" id="{00000000-0008-0000-0100-000032000000}"/>
            </a:ext>
          </a:extLst>
        </xdr:cNvPr>
        <xdr:cNvSpPr/>
      </xdr:nvSpPr>
      <xdr:spPr>
        <a:xfrm>
          <a:off x="2126792" y="8827755"/>
          <a:ext cx="632732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43815</xdr:colOff>
      <xdr:row>44</xdr:row>
      <xdr:rowOff>24765</xdr:rowOff>
    </xdr:from>
    <xdr:to>
      <xdr:col>3</xdr:col>
      <xdr:colOff>262890</xdr:colOff>
      <xdr:row>47</xdr:row>
      <xdr:rowOff>43815</xdr:rowOff>
    </xdr:to>
    <xdr:sp macro="" textlink="">
      <xdr:nvSpPr>
        <xdr:cNvPr id="48" name="Arrow: Down 26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/>
      </xdr:nvSpPr>
      <xdr:spPr>
        <a:xfrm rot="10800000">
          <a:off x="2615565" y="8463915"/>
          <a:ext cx="219075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217714</xdr:colOff>
      <xdr:row>344</xdr:row>
      <xdr:rowOff>108856</xdr:rowOff>
    </xdr:from>
    <xdr:to>
      <xdr:col>9</xdr:col>
      <xdr:colOff>163286</xdr:colOff>
      <xdr:row>361</xdr:row>
      <xdr:rowOff>40821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122465</xdr:colOff>
      <xdr:row>279</xdr:row>
      <xdr:rowOff>0</xdr:rowOff>
    </xdr:from>
    <xdr:to>
      <xdr:col>17</xdr:col>
      <xdr:colOff>83556</xdr:colOff>
      <xdr:row>288</xdr:row>
      <xdr:rowOff>68035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11708" t="39627" r="10537" b="34936"/>
        <a:stretch>
          <a:fillRect/>
        </a:stretch>
      </xdr:blipFill>
      <xdr:spPr bwMode="auto">
        <a:xfrm>
          <a:off x="5361215" y="53394429"/>
          <a:ext cx="7213698" cy="17825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27213</xdr:colOff>
      <xdr:row>362</xdr:row>
      <xdr:rowOff>27214</xdr:rowOff>
    </xdr:from>
    <xdr:to>
      <xdr:col>11</xdr:col>
      <xdr:colOff>201173</xdr:colOff>
      <xdr:row>370</xdr:row>
      <xdr:rowOff>54429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 l="12762" t="38531" r="10947" b="36896"/>
        <a:stretch>
          <a:fillRect/>
        </a:stretch>
      </xdr:blipFill>
      <xdr:spPr bwMode="auto">
        <a:xfrm>
          <a:off x="2598963" y="69396428"/>
          <a:ext cx="6419639" cy="15512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585107</xdr:colOff>
      <xdr:row>12</xdr:row>
      <xdr:rowOff>95249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sdtdh="http://schemas.microsoft.com/office/word/2020/wordml/sdtdatahash" xmlns:w16="http://schemas.microsoft.com/office/word/2018/wordml" xmlns:w16cid="http://schemas.microsoft.com/office/word/2016/wordml/cid" xmlns:w16cex="http://schemas.microsoft.com/office/word/2018/wordml/c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el="http://schemas.microsoft.com/office/2019/extlst" xmlns:o="urn:schemas-microsoft-com:office:office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884964" cy="2422070"/>
        </a:xfrm>
        <a:prstGeom prst="rect">
          <a:avLst/>
        </a:prstGeom>
        <a:noFill/>
      </xdr:spPr>
    </xdr:pic>
    <xdr:clientData/>
  </xdr:twoCellAnchor>
  <xdr:twoCellAnchor>
    <xdr:from>
      <xdr:col>0</xdr:col>
      <xdr:colOff>238125</xdr:colOff>
      <xdr:row>40</xdr:row>
      <xdr:rowOff>95250</xdr:rowOff>
    </xdr:from>
    <xdr:to>
      <xdr:col>8</xdr:col>
      <xdr:colOff>133350</xdr:colOff>
      <xdr:row>40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AE5A9913-E109-332B-4B0C-BC6BCCF09754}"/>
            </a:ext>
          </a:extLst>
        </xdr:cNvPr>
        <xdr:cNvSpPr/>
      </xdr:nvSpPr>
      <xdr:spPr>
        <a:xfrm>
          <a:off x="238125" y="7772400"/>
          <a:ext cx="6905625" cy="666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42581</xdr:colOff>
      <xdr:row>38</xdr:row>
      <xdr:rowOff>27455</xdr:rowOff>
    </xdr:from>
    <xdr:to>
      <xdr:col>5</xdr:col>
      <xdr:colOff>638734</xdr:colOff>
      <xdr:row>40</xdr:row>
      <xdr:rowOff>46505</xdr:rowOff>
    </xdr:to>
    <xdr:sp macro="" textlink="">
      <xdr:nvSpPr>
        <xdr:cNvPr id="4" name="Arrow: Curved Down 17">
          <a:extLst>
            <a:ext uri="{FF2B5EF4-FFF2-40B4-BE49-F238E27FC236}">
              <a16:creationId xmlns="" xmlns:a16="http://schemas.microsoft.com/office/drawing/2014/main" id="{35C3BB4B-B41A-C205-21EB-9E0C1E0F3A95}"/>
            </a:ext>
          </a:extLst>
        </xdr:cNvPr>
        <xdr:cNvSpPr/>
      </xdr:nvSpPr>
      <xdr:spPr>
        <a:xfrm flipH="1">
          <a:off x="4357406" y="7323605"/>
          <a:ext cx="596153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142875</xdr:colOff>
      <xdr:row>40</xdr:row>
      <xdr:rowOff>38100</xdr:rowOff>
    </xdr:from>
    <xdr:to>
      <xdr:col>0</xdr:col>
      <xdr:colOff>352425</xdr:colOff>
      <xdr:row>41</xdr:row>
      <xdr:rowOff>38100</xdr:rowOff>
    </xdr:to>
    <xdr:sp macro="" textlink="">
      <xdr:nvSpPr>
        <xdr:cNvPr id="5" name="Oval 4">
          <a:extLst>
            <a:ext uri="{FF2B5EF4-FFF2-40B4-BE49-F238E27FC236}">
              <a16:creationId xmlns="" xmlns:a16="http://schemas.microsoft.com/office/drawing/2014/main" id="{B0761E1E-9EAC-F3B8-A67A-B77BE0AE83B0}"/>
            </a:ext>
          </a:extLst>
        </xdr:cNvPr>
        <xdr:cNvSpPr/>
      </xdr:nvSpPr>
      <xdr:spPr>
        <a:xfrm>
          <a:off x="142875" y="771525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76200</xdr:colOff>
      <xdr:row>40</xdr:row>
      <xdr:rowOff>19050</xdr:rowOff>
    </xdr:from>
    <xdr:to>
      <xdr:col>3</xdr:col>
      <xdr:colOff>285750</xdr:colOff>
      <xdr:row>41</xdr:row>
      <xdr:rowOff>19050</xdr:rowOff>
    </xdr:to>
    <xdr:sp macro="" textlink="">
      <xdr:nvSpPr>
        <xdr:cNvPr id="6" name="Oval 5">
          <a:extLst>
            <a:ext uri="{FF2B5EF4-FFF2-40B4-BE49-F238E27FC236}">
              <a16:creationId xmlns="" xmlns:a16="http://schemas.microsoft.com/office/drawing/2014/main" id="{1DF654BC-26BA-4F02-884A-2D3C928F7EBE}"/>
            </a:ext>
          </a:extLst>
        </xdr:cNvPr>
        <xdr:cNvSpPr/>
      </xdr:nvSpPr>
      <xdr:spPr>
        <a:xfrm>
          <a:off x="2609850" y="769620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257175</xdr:colOff>
      <xdr:row>40</xdr:row>
      <xdr:rowOff>38100</xdr:rowOff>
    </xdr:from>
    <xdr:to>
      <xdr:col>5</xdr:col>
      <xdr:colOff>466725</xdr:colOff>
      <xdr:row>41</xdr:row>
      <xdr:rowOff>38100</xdr:rowOff>
    </xdr:to>
    <xdr:sp macro="" textlink="">
      <xdr:nvSpPr>
        <xdr:cNvPr id="7" name="Oval 6">
          <a:extLst>
            <a:ext uri="{FF2B5EF4-FFF2-40B4-BE49-F238E27FC236}">
              <a16:creationId xmlns="" xmlns:a16="http://schemas.microsoft.com/office/drawing/2014/main" id="{35E4A281-55C7-4209-8D34-6E4AA65A1B1E}"/>
            </a:ext>
          </a:extLst>
        </xdr:cNvPr>
        <xdr:cNvSpPr/>
      </xdr:nvSpPr>
      <xdr:spPr>
        <a:xfrm>
          <a:off x="4572000" y="771525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</xdr:colOff>
      <xdr:row>40</xdr:row>
      <xdr:rowOff>57150</xdr:rowOff>
    </xdr:from>
    <xdr:to>
      <xdr:col>8</xdr:col>
      <xdr:colOff>228600</xdr:colOff>
      <xdr:row>41</xdr:row>
      <xdr:rowOff>57150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89BA901-638C-42F8-8793-E903E55D81C1}"/>
            </a:ext>
          </a:extLst>
        </xdr:cNvPr>
        <xdr:cNvSpPr/>
      </xdr:nvSpPr>
      <xdr:spPr>
        <a:xfrm>
          <a:off x="7029450" y="773430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152400</xdr:colOff>
      <xdr:row>36</xdr:row>
      <xdr:rowOff>125506</xdr:rowOff>
    </xdr:from>
    <xdr:to>
      <xdr:col>0</xdr:col>
      <xdr:colOff>371475</xdr:colOff>
      <xdr:row>39</xdr:row>
      <xdr:rowOff>144556</xdr:rowOff>
    </xdr:to>
    <xdr:sp macro="" textlink="">
      <xdr:nvSpPr>
        <xdr:cNvPr id="9" name="Arrow: Down 25">
          <a:extLst>
            <a:ext uri="{FF2B5EF4-FFF2-40B4-BE49-F238E27FC236}">
              <a16:creationId xmlns="" xmlns:a16="http://schemas.microsoft.com/office/drawing/2014/main" id="{31B13765-7A78-80C0-7CF4-BAF56C2683D7}"/>
            </a:ext>
          </a:extLst>
        </xdr:cNvPr>
        <xdr:cNvSpPr/>
      </xdr:nvSpPr>
      <xdr:spPr>
        <a:xfrm rot="10800000">
          <a:off x="152400" y="7040656"/>
          <a:ext cx="219075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36</xdr:row>
      <xdr:rowOff>104775</xdr:rowOff>
    </xdr:from>
    <xdr:to>
      <xdr:col>3</xdr:col>
      <xdr:colOff>304800</xdr:colOff>
      <xdr:row>39</xdr:row>
      <xdr:rowOff>123825</xdr:rowOff>
    </xdr:to>
    <xdr:sp macro="" textlink="">
      <xdr:nvSpPr>
        <xdr:cNvPr id="10" name="Arrow: Down 26">
          <a:extLst>
            <a:ext uri="{FF2B5EF4-FFF2-40B4-BE49-F238E27FC236}">
              <a16:creationId xmlns="" xmlns:a16="http://schemas.microsoft.com/office/drawing/2014/main" id="{9A955ECA-EE6A-4060-B1EF-FBB265B1402C}"/>
            </a:ext>
          </a:extLst>
        </xdr:cNvPr>
        <xdr:cNvSpPr/>
      </xdr:nvSpPr>
      <xdr:spPr>
        <a:xfrm rot="10800000">
          <a:off x="2619375" y="7019925"/>
          <a:ext cx="219075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266700</xdr:colOff>
      <xdr:row>36</xdr:row>
      <xdr:rowOff>168649</xdr:rowOff>
    </xdr:from>
    <xdr:to>
      <xdr:col>5</xdr:col>
      <xdr:colOff>485775</xdr:colOff>
      <xdr:row>39</xdr:row>
      <xdr:rowOff>187699</xdr:rowOff>
    </xdr:to>
    <xdr:sp macro="" textlink="">
      <xdr:nvSpPr>
        <xdr:cNvPr id="11" name="Arrow: Down 27">
          <a:extLst>
            <a:ext uri="{FF2B5EF4-FFF2-40B4-BE49-F238E27FC236}">
              <a16:creationId xmlns="" xmlns:a16="http://schemas.microsoft.com/office/drawing/2014/main" id="{92394017-7C5F-44C2-91CC-8E69B649E4A2}"/>
            </a:ext>
          </a:extLst>
        </xdr:cNvPr>
        <xdr:cNvSpPr/>
      </xdr:nvSpPr>
      <xdr:spPr>
        <a:xfrm rot="10800000">
          <a:off x="4581525" y="7083799"/>
          <a:ext cx="219075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</xdr:colOff>
      <xdr:row>36</xdr:row>
      <xdr:rowOff>123825</xdr:rowOff>
    </xdr:from>
    <xdr:to>
      <xdr:col>8</xdr:col>
      <xdr:colOff>238125</xdr:colOff>
      <xdr:row>39</xdr:row>
      <xdr:rowOff>142875</xdr:rowOff>
    </xdr:to>
    <xdr:sp macro="" textlink="">
      <xdr:nvSpPr>
        <xdr:cNvPr id="12" name="Arrow: Down 28">
          <a:extLst>
            <a:ext uri="{FF2B5EF4-FFF2-40B4-BE49-F238E27FC236}">
              <a16:creationId xmlns="" xmlns:a16="http://schemas.microsoft.com/office/drawing/2014/main" id="{FED76B43-91D0-4833-9D44-3283745745CD}"/>
            </a:ext>
          </a:extLst>
        </xdr:cNvPr>
        <xdr:cNvSpPr/>
      </xdr:nvSpPr>
      <xdr:spPr>
        <a:xfrm rot="10800000">
          <a:off x="7029450" y="7038975"/>
          <a:ext cx="219075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238125</xdr:colOff>
      <xdr:row>48</xdr:row>
      <xdr:rowOff>95250</xdr:rowOff>
    </xdr:from>
    <xdr:to>
      <xdr:col>8</xdr:col>
      <xdr:colOff>133350</xdr:colOff>
      <xdr:row>48</xdr:row>
      <xdr:rowOff>161925</xdr:rowOff>
    </xdr:to>
    <xdr:sp macro="" textlink="">
      <xdr:nvSpPr>
        <xdr:cNvPr id="13" name="Rectangle 12">
          <a:extLst>
            <a:ext uri="{FF2B5EF4-FFF2-40B4-BE49-F238E27FC236}">
              <a16:creationId xmlns="" xmlns:a16="http://schemas.microsoft.com/office/drawing/2014/main" id="{3BF51237-D41F-4D4A-B6DA-6CFDB8833181}"/>
            </a:ext>
          </a:extLst>
        </xdr:cNvPr>
        <xdr:cNvSpPr/>
      </xdr:nvSpPr>
      <xdr:spPr>
        <a:xfrm>
          <a:off x="238125" y="9296400"/>
          <a:ext cx="6905625" cy="666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142875</xdr:colOff>
      <xdr:row>48</xdr:row>
      <xdr:rowOff>38100</xdr:rowOff>
    </xdr:from>
    <xdr:to>
      <xdr:col>0</xdr:col>
      <xdr:colOff>352425</xdr:colOff>
      <xdr:row>49</xdr:row>
      <xdr:rowOff>38100</xdr:rowOff>
    </xdr:to>
    <xdr:sp macro="" textlink="">
      <xdr:nvSpPr>
        <xdr:cNvPr id="14" name="Oval 13">
          <a:extLst>
            <a:ext uri="{FF2B5EF4-FFF2-40B4-BE49-F238E27FC236}">
              <a16:creationId xmlns="" xmlns:a16="http://schemas.microsoft.com/office/drawing/2014/main" id="{85C4F722-4674-4ADD-9110-4C4AC59C3226}"/>
            </a:ext>
          </a:extLst>
        </xdr:cNvPr>
        <xdr:cNvSpPr/>
      </xdr:nvSpPr>
      <xdr:spPr>
        <a:xfrm>
          <a:off x="142875" y="923925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76200</xdr:colOff>
      <xdr:row>48</xdr:row>
      <xdr:rowOff>19050</xdr:rowOff>
    </xdr:from>
    <xdr:to>
      <xdr:col>3</xdr:col>
      <xdr:colOff>285750</xdr:colOff>
      <xdr:row>49</xdr:row>
      <xdr:rowOff>19050</xdr:rowOff>
    </xdr:to>
    <xdr:sp macro="" textlink="">
      <xdr:nvSpPr>
        <xdr:cNvPr id="15" name="Oval 14">
          <a:extLst>
            <a:ext uri="{FF2B5EF4-FFF2-40B4-BE49-F238E27FC236}">
              <a16:creationId xmlns="" xmlns:a16="http://schemas.microsoft.com/office/drawing/2014/main" id="{F4A46169-D6C0-4B9B-B3A6-58F1AD55A499}"/>
            </a:ext>
          </a:extLst>
        </xdr:cNvPr>
        <xdr:cNvSpPr/>
      </xdr:nvSpPr>
      <xdr:spPr>
        <a:xfrm>
          <a:off x="2609850" y="922020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257175</xdr:colOff>
      <xdr:row>48</xdr:row>
      <xdr:rowOff>38100</xdr:rowOff>
    </xdr:from>
    <xdr:to>
      <xdr:col>5</xdr:col>
      <xdr:colOff>466725</xdr:colOff>
      <xdr:row>49</xdr:row>
      <xdr:rowOff>38100</xdr:rowOff>
    </xdr:to>
    <xdr:sp macro="" textlink="">
      <xdr:nvSpPr>
        <xdr:cNvPr id="16" name="Oval 15">
          <a:extLst>
            <a:ext uri="{FF2B5EF4-FFF2-40B4-BE49-F238E27FC236}">
              <a16:creationId xmlns="" xmlns:a16="http://schemas.microsoft.com/office/drawing/2014/main" id="{FB99CAE4-E7E0-4385-91D0-D194C23C8ADF}"/>
            </a:ext>
          </a:extLst>
        </xdr:cNvPr>
        <xdr:cNvSpPr/>
      </xdr:nvSpPr>
      <xdr:spPr>
        <a:xfrm>
          <a:off x="4572000" y="923925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</xdr:colOff>
      <xdr:row>48</xdr:row>
      <xdr:rowOff>57150</xdr:rowOff>
    </xdr:from>
    <xdr:to>
      <xdr:col>8</xdr:col>
      <xdr:colOff>228600</xdr:colOff>
      <xdr:row>49</xdr:row>
      <xdr:rowOff>57150</xdr:rowOff>
    </xdr:to>
    <xdr:sp macro="" textlink="">
      <xdr:nvSpPr>
        <xdr:cNvPr id="17" name="Oval 16">
          <a:extLst>
            <a:ext uri="{FF2B5EF4-FFF2-40B4-BE49-F238E27FC236}">
              <a16:creationId xmlns="" xmlns:a16="http://schemas.microsoft.com/office/drawing/2014/main" id="{FB7C87F3-1EE1-4BFB-91EB-6063E1315BAA}"/>
            </a:ext>
          </a:extLst>
        </xdr:cNvPr>
        <xdr:cNvSpPr/>
      </xdr:nvSpPr>
      <xdr:spPr>
        <a:xfrm>
          <a:off x="7029450" y="925830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38</xdr:row>
      <xdr:rowOff>22972</xdr:rowOff>
    </xdr:from>
    <xdr:to>
      <xdr:col>0</xdr:col>
      <xdr:colOff>596153</xdr:colOff>
      <xdr:row>40</xdr:row>
      <xdr:rowOff>42022</xdr:rowOff>
    </xdr:to>
    <xdr:sp macro="" textlink="">
      <xdr:nvSpPr>
        <xdr:cNvPr id="19" name="Arrow: Curved Down 17">
          <a:extLst>
            <a:ext uri="{FF2B5EF4-FFF2-40B4-BE49-F238E27FC236}">
              <a16:creationId xmlns="" xmlns:a16="http://schemas.microsoft.com/office/drawing/2014/main" id="{35C3BB4B-B41A-C205-21EB-9E0C1E0F3A95}"/>
            </a:ext>
          </a:extLst>
        </xdr:cNvPr>
        <xdr:cNvSpPr/>
      </xdr:nvSpPr>
      <xdr:spPr>
        <a:xfrm flipH="1">
          <a:off x="0" y="7319122"/>
          <a:ext cx="596153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177612</xdr:colOff>
      <xdr:row>37</xdr:row>
      <xdr:rowOff>184897</xdr:rowOff>
    </xdr:from>
    <xdr:to>
      <xdr:col>4</xdr:col>
      <xdr:colOff>171450</xdr:colOff>
      <xdr:row>40</xdr:row>
      <xdr:rowOff>13447</xdr:rowOff>
    </xdr:to>
    <xdr:sp macro="" textlink="">
      <xdr:nvSpPr>
        <xdr:cNvPr id="20" name="Arrow: Curved Down 17">
          <a:extLst>
            <a:ext uri="{FF2B5EF4-FFF2-40B4-BE49-F238E27FC236}">
              <a16:creationId xmlns="" xmlns:a16="http://schemas.microsoft.com/office/drawing/2014/main" id="{35C3BB4B-B41A-C205-21EB-9E0C1E0F3A95}"/>
            </a:ext>
          </a:extLst>
        </xdr:cNvPr>
        <xdr:cNvSpPr/>
      </xdr:nvSpPr>
      <xdr:spPr>
        <a:xfrm flipH="1">
          <a:off x="2749362" y="7290547"/>
          <a:ext cx="851088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441511</xdr:colOff>
      <xdr:row>38</xdr:row>
      <xdr:rowOff>34178</xdr:rowOff>
    </xdr:from>
    <xdr:to>
      <xdr:col>8</xdr:col>
      <xdr:colOff>365311</xdr:colOff>
      <xdr:row>40</xdr:row>
      <xdr:rowOff>53228</xdr:rowOff>
    </xdr:to>
    <xdr:sp macro="" textlink="">
      <xdr:nvSpPr>
        <xdr:cNvPr id="21" name="Arrow: Curved Down 17">
          <a:extLst>
            <a:ext uri="{FF2B5EF4-FFF2-40B4-BE49-F238E27FC236}">
              <a16:creationId xmlns="" xmlns:a16="http://schemas.microsoft.com/office/drawing/2014/main" id="{35C3BB4B-B41A-C205-21EB-9E0C1E0F3A95}"/>
            </a:ext>
          </a:extLst>
        </xdr:cNvPr>
        <xdr:cNvSpPr/>
      </xdr:nvSpPr>
      <xdr:spPr>
        <a:xfrm flipH="1">
          <a:off x="6575611" y="7330328"/>
          <a:ext cx="800100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136067</xdr:colOff>
      <xdr:row>46</xdr:row>
      <xdr:rowOff>18491</xdr:rowOff>
    </xdr:from>
    <xdr:to>
      <xdr:col>3</xdr:col>
      <xdr:colOff>770160</xdr:colOff>
      <xdr:row>48</xdr:row>
      <xdr:rowOff>37541</xdr:rowOff>
    </xdr:to>
    <xdr:sp macro="" textlink="">
      <xdr:nvSpPr>
        <xdr:cNvPr id="22" name="Arrow: Curved Down 17">
          <a:extLst>
            <a:ext uri="{FF2B5EF4-FFF2-40B4-BE49-F238E27FC236}">
              <a16:creationId xmlns="" xmlns:a16="http://schemas.microsoft.com/office/drawing/2014/main" id="{35C3BB4B-B41A-C205-21EB-9E0C1E0F3A95}"/>
            </a:ext>
          </a:extLst>
        </xdr:cNvPr>
        <xdr:cNvSpPr/>
      </xdr:nvSpPr>
      <xdr:spPr>
        <a:xfrm flipH="1">
          <a:off x="2707817" y="8863134"/>
          <a:ext cx="634093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69476</xdr:colOff>
      <xdr:row>46</xdr:row>
      <xdr:rowOff>36421</xdr:rowOff>
    </xdr:from>
    <xdr:to>
      <xdr:col>5</xdr:col>
      <xdr:colOff>665629</xdr:colOff>
      <xdr:row>48</xdr:row>
      <xdr:rowOff>55471</xdr:rowOff>
    </xdr:to>
    <xdr:sp macro="" textlink="">
      <xdr:nvSpPr>
        <xdr:cNvPr id="23" name="Arrow: Curved Down 17">
          <a:extLst>
            <a:ext uri="{FF2B5EF4-FFF2-40B4-BE49-F238E27FC236}">
              <a16:creationId xmlns="" xmlns:a16="http://schemas.microsoft.com/office/drawing/2014/main" id="{35C3BB4B-B41A-C205-21EB-9E0C1E0F3A95}"/>
            </a:ext>
          </a:extLst>
        </xdr:cNvPr>
        <xdr:cNvSpPr/>
      </xdr:nvSpPr>
      <xdr:spPr>
        <a:xfrm flipH="1">
          <a:off x="4384301" y="8856571"/>
          <a:ext cx="596153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409176</xdr:colOff>
      <xdr:row>46</xdr:row>
      <xdr:rowOff>9527</xdr:rowOff>
    </xdr:from>
    <xdr:to>
      <xdr:col>8</xdr:col>
      <xdr:colOff>332976</xdr:colOff>
      <xdr:row>48</xdr:row>
      <xdr:rowOff>28577</xdr:rowOff>
    </xdr:to>
    <xdr:sp macro="" textlink="">
      <xdr:nvSpPr>
        <xdr:cNvPr id="24" name="Arrow: Curved Down 17">
          <a:extLst>
            <a:ext uri="{FF2B5EF4-FFF2-40B4-BE49-F238E27FC236}">
              <a16:creationId xmlns="" xmlns:a16="http://schemas.microsoft.com/office/drawing/2014/main" id="{35C3BB4B-B41A-C205-21EB-9E0C1E0F3A95}"/>
            </a:ext>
          </a:extLst>
        </xdr:cNvPr>
        <xdr:cNvSpPr/>
      </xdr:nvSpPr>
      <xdr:spPr>
        <a:xfrm flipH="1">
          <a:off x="5294140" y="8282670"/>
          <a:ext cx="631372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52028</xdr:colOff>
      <xdr:row>133</xdr:row>
      <xdr:rowOff>48577</xdr:rowOff>
    </xdr:from>
    <xdr:to>
      <xdr:col>6</xdr:col>
      <xdr:colOff>721178</xdr:colOff>
      <xdr:row>140</xdr:row>
      <xdr:rowOff>59294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B4872E46-D949-492D-AF08-3BB8C8487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48421" y="22609220"/>
          <a:ext cx="1608043" cy="1344217"/>
        </a:xfrm>
        <a:prstGeom prst="rect">
          <a:avLst/>
        </a:prstGeom>
      </xdr:spPr>
    </xdr:pic>
    <xdr:clientData/>
  </xdr:twoCellAnchor>
  <xdr:twoCellAnchor editAs="oneCell">
    <xdr:from>
      <xdr:col>4</xdr:col>
      <xdr:colOff>543048</xdr:colOff>
      <xdr:row>141</xdr:row>
      <xdr:rowOff>74222</xdr:rowOff>
    </xdr:from>
    <xdr:to>
      <xdr:col>9</xdr:col>
      <xdr:colOff>533375</xdr:colOff>
      <xdr:row>155</xdr:row>
      <xdr:rowOff>167281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55702" t="30862" r="3897" b="33674"/>
        <a:stretch>
          <a:fillRect/>
        </a:stretch>
      </xdr:blipFill>
      <xdr:spPr bwMode="auto">
        <a:xfrm>
          <a:off x="3954730" y="24181131"/>
          <a:ext cx="4198645" cy="27600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238125</xdr:colOff>
      <xdr:row>240</xdr:row>
      <xdr:rowOff>95250</xdr:rowOff>
    </xdr:from>
    <xdr:to>
      <xdr:col>9</xdr:col>
      <xdr:colOff>133350</xdr:colOff>
      <xdr:row>240</xdr:row>
      <xdr:rowOff>161925</xdr:rowOff>
    </xdr:to>
    <xdr:sp macro="" textlink="">
      <xdr:nvSpPr>
        <xdr:cNvPr id="28" name="Rectangle 27">
          <a:extLst>
            <a:ext uri="{FF2B5EF4-FFF2-40B4-BE49-F238E27FC236}">
              <a16:creationId xmlns="" xmlns:a16="http://schemas.microsoft.com/office/drawing/2014/main" id="{AE5A9913-E109-332B-4B0C-BC6BCCF09754}"/>
            </a:ext>
          </a:extLst>
        </xdr:cNvPr>
        <xdr:cNvSpPr/>
      </xdr:nvSpPr>
      <xdr:spPr>
        <a:xfrm>
          <a:off x="904875" y="47472600"/>
          <a:ext cx="6877050" cy="666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142875</xdr:colOff>
      <xdr:row>240</xdr:row>
      <xdr:rowOff>38100</xdr:rowOff>
    </xdr:from>
    <xdr:to>
      <xdr:col>1</xdr:col>
      <xdr:colOff>352425</xdr:colOff>
      <xdr:row>241</xdr:row>
      <xdr:rowOff>38100</xdr:rowOff>
    </xdr:to>
    <xdr:sp macro="" textlink="">
      <xdr:nvSpPr>
        <xdr:cNvPr id="29" name="Oval 28">
          <a:extLst>
            <a:ext uri="{FF2B5EF4-FFF2-40B4-BE49-F238E27FC236}">
              <a16:creationId xmlns="" xmlns:a16="http://schemas.microsoft.com/office/drawing/2014/main" id="{B0761E1E-9EAC-F3B8-A67A-B77BE0AE83B0}"/>
            </a:ext>
          </a:extLst>
        </xdr:cNvPr>
        <xdr:cNvSpPr/>
      </xdr:nvSpPr>
      <xdr:spPr>
        <a:xfrm>
          <a:off x="809625" y="4741545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704850</xdr:colOff>
      <xdr:row>240</xdr:row>
      <xdr:rowOff>19049</xdr:rowOff>
    </xdr:from>
    <xdr:to>
      <xdr:col>4</xdr:col>
      <xdr:colOff>84042</xdr:colOff>
      <xdr:row>241</xdr:row>
      <xdr:rowOff>28574</xdr:rowOff>
    </xdr:to>
    <xdr:sp macro="" textlink="">
      <xdr:nvSpPr>
        <xdr:cNvPr id="30" name="Oval 29">
          <a:extLst>
            <a:ext uri="{FF2B5EF4-FFF2-40B4-BE49-F238E27FC236}">
              <a16:creationId xmlns="" xmlns:a16="http://schemas.microsoft.com/office/drawing/2014/main" id="{1DF654BC-26BA-4F02-884A-2D3C928F7EBE}"/>
            </a:ext>
          </a:extLst>
        </xdr:cNvPr>
        <xdr:cNvSpPr/>
      </xdr:nvSpPr>
      <xdr:spPr>
        <a:xfrm>
          <a:off x="3048000" y="43014899"/>
          <a:ext cx="150717" cy="200025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</xdr:colOff>
      <xdr:row>240</xdr:row>
      <xdr:rowOff>57150</xdr:rowOff>
    </xdr:from>
    <xdr:to>
      <xdr:col>9</xdr:col>
      <xdr:colOff>228600</xdr:colOff>
      <xdr:row>241</xdr:row>
      <xdr:rowOff>57150</xdr:rowOff>
    </xdr:to>
    <xdr:sp macro="" textlink="">
      <xdr:nvSpPr>
        <xdr:cNvPr id="31" name="Oval 30">
          <a:extLst>
            <a:ext uri="{FF2B5EF4-FFF2-40B4-BE49-F238E27FC236}">
              <a16:creationId xmlns="" xmlns:a16="http://schemas.microsoft.com/office/drawing/2014/main" id="{689BA901-638C-42F8-8793-E903E55D81C1}"/>
            </a:ext>
          </a:extLst>
        </xdr:cNvPr>
        <xdr:cNvSpPr/>
      </xdr:nvSpPr>
      <xdr:spPr>
        <a:xfrm>
          <a:off x="7667625" y="47434500"/>
          <a:ext cx="209550" cy="19050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152400</xdr:colOff>
      <xdr:row>241</xdr:row>
      <xdr:rowOff>69476</xdr:rowOff>
    </xdr:from>
    <xdr:to>
      <xdr:col>1</xdr:col>
      <xdr:colOff>313764</xdr:colOff>
      <xdr:row>244</xdr:row>
      <xdr:rowOff>88526</xdr:rowOff>
    </xdr:to>
    <xdr:sp macro="" textlink="">
      <xdr:nvSpPr>
        <xdr:cNvPr id="32" name="Arrow: Down 25">
          <a:extLst>
            <a:ext uri="{FF2B5EF4-FFF2-40B4-BE49-F238E27FC236}">
              <a16:creationId xmlns="" xmlns:a16="http://schemas.microsoft.com/office/drawing/2014/main" id="{31B13765-7A78-80C0-7CF4-BAF56C2683D7}"/>
            </a:ext>
          </a:extLst>
        </xdr:cNvPr>
        <xdr:cNvSpPr/>
      </xdr:nvSpPr>
      <xdr:spPr>
        <a:xfrm rot="10800000">
          <a:off x="819150" y="47637326"/>
          <a:ext cx="161364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676275</xdr:colOff>
      <xdr:row>241</xdr:row>
      <xdr:rowOff>98611</xdr:rowOff>
    </xdr:from>
    <xdr:to>
      <xdr:col>3</xdr:col>
      <xdr:colOff>778807</xdr:colOff>
      <xdr:row>244</xdr:row>
      <xdr:rowOff>117661</xdr:rowOff>
    </xdr:to>
    <xdr:sp macro="" textlink="">
      <xdr:nvSpPr>
        <xdr:cNvPr id="33" name="Arrow: Down 25">
          <a:extLst>
            <a:ext uri="{FF2B5EF4-FFF2-40B4-BE49-F238E27FC236}">
              <a16:creationId xmlns="" xmlns:a16="http://schemas.microsoft.com/office/drawing/2014/main" id="{31B13765-7A78-80C0-7CF4-BAF56C2683D7}"/>
            </a:ext>
          </a:extLst>
        </xdr:cNvPr>
        <xdr:cNvSpPr/>
      </xdr:nvSpPr>
      <xdr:spPr>
        <a:xfrm rot="10800000" flipH="1">
          <a:off x="3019425" y="43284961"/>
          <a:ext cx="102532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49305</xdr:colOff>
      <xdr:row>241</xdr:row>
      <xdr:rowOff>56030</xdr:rowOff>
    </xdr:from>
    <xdr:to>
      <xdr:col>9</xdr:col>
      <xdr:colOff>210669</xdr:colOff>
      <xdr:row>244</xdr:row>
      <xdr:rowOff>75080</xdr:rowOff>
    </xdr:to>
    <xdr:sp macro="" textlink="">
      <xdr:nvSpPr>
        <xdr:cNvPr id="35" name="Arrow: Down 25">
          <a:extLst>
            <a:ext uri="{FF2B5EF4-FFF2-40B4-BE49-F238E27FC236}">
              <a16:creationId xmlns="" xmlns:a16="http://schemas.microsoft.com/office/drawing/2014/main" id="{31B13765-7A78-80C0-7CF4-BAF56C2683D7}"/>
            </a:ext>
          </a:extLst>
        </xdr:cNvPr>
        <xdr:cNvSpPr/>
      </xdr:nvSpPr>
      <xdr:spPr>
        <a:xfrm rot="10800000">
          <a:off x="7697880" y="47623880"/>
          <a:ext cx="161364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319416</xdr:colOff>
      <xdr:row>238</xdr:row>
      <xdr:rowOff>140985</xdr:rowOff>
    </xdr:from>
    <xdr:to>
      <xdr:col>3</xdr:col>
      <xdr:colOff>716334</xdr:colOff>
      <xdr:row>241</xdr:row>
      <xdr:rowOff>175163</xdr:rowOff>
    </xdr:to>
    <xdr:sp macro="" textlink="">
      <xdr:nvSpPr>
        <xdr:cNvPr id="36" name="Arrow: Curved Down 22">
          <a:extLst>
            <a:ext uri="{FF2B5EF4-FFF2-40B4-BE49-F238E27FC236}">
              <a16:creationId xmlns="" xmlns:a16="http://schemas.microsoft.com/office/drawing/2014/main" id="{6A4F67AB-A903-40D5-929B-C15DCBAE6655}"/>
            </a:ext>
          </a:extLst>
        </xdr:cNvPr>
        <xdr:cNvSpPr/>
      </xdr:nvSpPr>
      <xdr:spPr>
        <a:xfrm rot="17529970">
          <a:off x="2558186" y="42860215"/>
          <a:ext cx="605678" cy="396918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128572</xdr:colOff>
      <xdr:row>238</xdr:row>
      <xdr:rowOff>153174</xdr:rowOff>
    </xdr:from>
    <xdr:to>
      <xdr:col>4</xdr:col>
      <xdr:colOff>516044</xdr:colOff>
      <xdr:row>241</xdr:row>
      <xdr:rowOff>187352</xdr:rowOff>
    </xdr:to>
    <xdr:sp macro="" textlink="">
      <xdr:nvSpPr>
        <xdr:cNvPr id="38" name="Arrow: Curved Down 22">
          <a:extLst>
            <a:ext uri="{FF2B5EF4-FFF2-40B4-BE49-F238E27FC236}">
              <a16:creationId xmlns="" xmlns:a16="http://schemas.microsoft.com/office/drawing/2014/main" id="{6A4F67AB-A903-40D5-929B-C15DCBAE6655}"/>
            </a:ext>
          </a:extLst>
        </xdr:cNvPr>
        <xdr:cNvSpPr/>
      </xdr:nvSpPr>
      <xdr:spPr>
        <a:xfrm rot="17529970">
          <a:off x="3224351" y="42900659"/>
          <a:ext cx="605678" cy="387472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285169</xdr:colOff>
      <xdr:row>238</xdr:row>
      <xdr:rowOff>145552</xdr:rowOff>
    </xdr:from>
    <xdr:to>
      <xdr:col>6</xdr:col>
      <xdr:colOff>719935</xdr:colOff>
      <xdr:row>241</xdr:row>
      <xdr:rowOff>179730</xdr:rowOff>
    </xdr:to>
    <xdr:sp macro="" textlink="">
      <xdr:nvSpPr>
        <xdr:cNvPr id="39" name="Arrow: Curved Down 22">
          <a:extLst>
            <a:ext uri="{FF2B5EF4-FFF2-40B4-BE49-F238E27FC236}">
              <a16:creationId xmlns="" xmlns:a16="http://schemas.microsoft.com/office/drawing/2014/main" id="{6A4F67AB-A903-40D5-929B-C15DCBAE6655}"/>
            </a:ext>
          </a:extLst>
        </xdr:cNvPr>
        <xdr:cNvSpPr/>
      </xdr:nvSpPr>
      <xdr:spPr>
        <a:xfrm rot="17529970">
          <a:off x="5162238" y="42845858"/>
          <a:ext cx="605678" cy="434766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126343</xdr:colOff>
      <xdr:row>238</xdr:row>
      <xdr:rowOff>137553</xdr:rowOff>
    </xdr:from>
    <xdr:to>
      <xdr:col>7</xdr:col>
      <xdr:colOff>526393</xdr:colOff>
      <xdr:row>241</xdr:row>
      <xdr:rowOff>171731</xdr:rowOff>
    </xdr:to>
    <xdr:sp macro="" textlink="">
      <xdr:nvSpPr>
        <xdr:cNvPr id="40" name="Arrow: Curved Down 22">
          <a:extLst>
            <a:ext uri="{FF2B5EF4-FFF2-40B4-BE49-F238E27FC236}">
              <a16:creationId xmlns="" xmlns:a16="http://schemas.microsoft.com/office/drawing/2014/main" id="{6A4F67AB-A903-40D5-929B-C15DCBAE6655}"/>
            </a:ext>
          </a:extLst>
        </xdr:cNvPr>
        <xdr:cNvSpPr/>
      </xdr:nvSpPr>
      <xdr:spPr>
        <a:xfrm rot="17529970">
          <a:off x="5985058" y="42878749"/>
          <a:ext cx="605678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704850</xdr:colOff>
      <xdr:row>240</xdr:row>
      <xdr:rowOff>38100</xdr:rowOff>
    </xdr:from>
    <xdr:to>
      <xdr:col>7</xdr:col>
      <xdr:colOff>114300</xdr:colOff>
      <xdr:row>241</xdr:row>
      <xdr:rowOff>19050</xdr:rowOff>
    </xdr:to>
    <xdr:sp macro="" textlink="">
      <xdr:nvSpPr>
        <xdr:cNvPr id="42" name="Oval 41">
          <a:extLst>
            <a:ext uri="{FF2B5EF4-FFF2-40B4-BE49-F238E27FC236}">
              <a16:creationId xmlns="" xmlns:a16="http://schemas.microsoft.com/office/drawing/2014/main" id="{689BA901-638C-42F8-8793-E903E55D81C1}"/>
            </a:ext>
          </a:extLst>
        </xdr:cNvPr>
        <xdr:cNvSpPr/>
      </xdr:nvSpPr>
      <xdr:spPr>
        <a:xfrm>
          <a:off x="5543550" y="43033950"/>
          <a:ext cx="171450" cy="171450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416576</xdr:colOff>
      <xdr:row>238</xdr:row>
      <xdr:rowOff>150440</xdr:rowOff>
    </xdr:from>
    <xdr:to>
      <xdr:col>9</xdr:col>
      <xdr:colOff>125223</xdr:colOff>
      <xdr:row>241</xdr:row>
      <xdr:rowOff>184618</xdr:rowOff>
    </xdr:to>
    <xdr:sp macro="" textlink="">
      <xdr:nvSpPr>
        <xdr:cNvPr id="43" name="Arrow: Curved Down 22">
          <a:extLst>
            <a:ext uri="{FF2B5EF4-FFF2-40B4-BE49-F238E27FC236}">
              <a16:creationId xmlns="" xmlns:a16="http://schemas.microsoft.com/office/drawing/2014/main" id="{6A4F67AB-A903-40D5-929B-C15DCBAE6655}"/>
            </a:ext>
          </a:extLst>
        </xdr:cNvPr>
        <xdr:cNvSpPr/>
      </xdr:nvSpPr>
      <xdr:spPr>
        <a:xfrm rot="17529970">
          <a:off x="7117413" y="42901161"/>
          <a:ext cx="605678" cy="38100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694480</xdr:colOff>
      <xdr:row>238</xdr:row>
      <xdr:rowOff>136992</xdr:rowOff>
    </xdr:from>
    <xdr:to>
      <xdr:col>1</xdr:col>
      <xdr:colOff>242883</xdr:colOff>
      <xdr:row>241</xdr:row>
      <xdr:rowOff>171170</xdr:rowOff>
    </xdr:to>
    <xdr:sp macro="" textlink="">
      <xdr:nvSpPr>
        <xdr:cNvPr id="44" name="Arrow: Curved Down 22">
          <a:extLst>
            <a:ext uri="{FF2B5EF4-FFF2-40B4-BE49-F238E27FC236}">
              <a16:creationId xmlns="" xmlns:a16="http://schemas.microsoft.com/office/drawing/2014/main" id="{6A4F67AB-A903-40D5-929B-C15DCBAE6655}"/>
            </a:ext>
          </a:extLst>
        </xdr:cNvPr>
        <xdr:cNvSpPr/>
      </xdr:nvSpPr>
      <xdr:spPr>
        <a:xfrm rot="17529970">
          <a:off x="484930" y="47314317"/>
          <a:ext cx="605678" cy="243728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38100</xdr:colOff>
      <xdr:row>241</xdr:row>
      <xdr:rowOff>89086</xdr:rowOff>
    </xdr:from>
    <xdr:to>
      <xdr:col>4</xdr:col>
      <xdr:colOff>140632</xdr:colOff>
      <xdr:row>244</xdr:row>
      <xdr:rowOff>108136</xdr:rowOff>
    </xdr:to>
    <xdr:sp macro="" textlink="">
      <xdr:nvSpPr>
        <xdr:cNvPr id="45" name="Arrow: Down 25">
          <a:extLst>
            <a:ext uri="{FF2B5EF4-FFF2-40B4-BE49-F238E27FC236}">
              <a16:creationId xmlns="" xmlns:a16="http://schemas.microsoft.com/office/drawing/2014/main" id="{31B13765-7A78-80C0-7CF4-BAF56C2683D7}"/>
            </a:ext>
          </a:extLst>
        </xdr:cNvPr>
        <xdr:cNvSpPr/>
      </xdr:nvSpPr>
      <xdr:spPr>
        <a:xfrm rot="10800000" flipH="1" flipV="1">
          <a:off x="3175747" y="43298968"/>
          <a:ext cx="102532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657225</xdr:colOff>
      <xdr:row>241</xdr:row>
      <xdr:rowOff>70036</xdr:rowOff>
    </xdr:from>
    <xdr:to>
      <xdr:col>6</xdr:col>
      <xdr:colOff>759757</xdr:colOff>
      <xdr:row>244</xdr:row>
      <xdr:rowOff>89086</xdr:rowOff>
    </xdr:to>
    <xdr:sp macro="" textlink="">
      <xdr:nvSpPr>
        <xdr:cNvPr id="46" name="Arrow: Down 25">
          <a:extLst>
            <a:ext uri="{FF2B5EF4-FFF2-40B4-BE49-F238E27FC236}">
              <a16:creationId xmlns="" xmlns:a16="http://schemas.microsoft.com/office/drawing/2014/main" id="{31B13765-7A78-80C0-7CF4-BAF56C2683D7}"/>
            </a:ext>
          </a:extLst>
        </xdr:cNvPr>
        <xdr:cNvSpPr/>
      </xdr:nvSpPr>
      <xdr:spPr>
        <a:xfrm rot="10800000" flipH="1">
          <a:off x="5619750" y="43256386"/>
          <a:ext cx="102532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57150</xdr:colOff>
      <xdr:row>241</xdr:row>
      <xdr:rowOff>60511</xdr:rowOff>
    </xdr:from>
    <xdr:to>
      <xdr:col>7</xdr:col>
      <xdr:colOff>159682</xdr:colOff>
      <xdr:row>244</xdr:row>
      <xdr:rowOff>79561</xdr:rowOff>
    </xdr:to>
    <xdr:sp macro="" textlink="">
      <xdr:nvSpPr>
        <xdr:cNvPr id="47" name="Arrow: Down 25">
          <a:extLst>
            <a:ext uri="{FF2B5EF4-FFF2-40B4-BE49-F238E27FC236}">
              <a16:creationId xmlns="" xmlns:a16="http://schemas.microsoft.com/office/drawing/2014/main" id="{31B13765-7A78-80C0-7CF4-BAF56C2683D7}"/>
            </a:ext>
          </a:extLst>
        </xdr:cNvPr>
        <xdr:cNvSpPr/>
      </xdr:nvSpPr>
      <xdr:spPr>
        <a:xfrm rot="10800000" flipH="1">
          <a:off x="5781675" y="43246861"/>
          <a:ext cx="102532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761999</xdr:colOff>
      <xdr:row>245</xdr:row>
      <xdr:rowOff>6162</xdr:rowOff>
    </xdr:from>
    <xdr:to>
      <xdr:col>3</xdr:col>
      <xdr:colOff>68914</xdr:colOff>
      <xdr:row>248</xdr:row>
      <xdr:rowOff>25212</xdr:rowOff>
    </xdr:to>
    <xdr:sp macro="" textlink="">
      <xdr:nvSpPr>
        <xdr:cNvPr id="48" name="Arrow: Down 25">
          <a:extLst>
            <a:ext uri="{FF2B5EF4-FFF2-40B4-BE49-F238E27FC236}">
              <a16:creationId xmlns="" xmlns:a16="http://schemas.microsoft.com/office/drawing/2014/main" id="{31B13765-7A78-80C0-7CF4-BAF56C2683D7}"/>
            </a:ext>
          </a:extLst>
        </xdr:cNvPr>
        <xdr:cNvSpPr/>
      </xdr:nvSpPr>
      <xdr:spPr>
        <a:xfrm rot="10800000" flipH="1" flipV="1">
          <a:off x="2308411" y="43978044"/>
          <a:ext cx="102532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876860</xdr:colOff>
      <xdr:row>244</xdr:row>
      <xdr:rowOff>155200</xdr:rowOff>
    </xdr:from>
    <xdr:to>
      <xdr:col>6</xdr:col>
      <xdr:colOff>38098</xdr:colOff>
      <xdr:row>247</xdr:row>
      <xdr:rowOff>174250</xdr:rowOff>
    </xdr:to>
    <xdr:sp macro="" textlink="">
      <xdr:nvSpPr>
        <xdr:cNvPr id="49" name="Arrow: Down 25">
          <a:extLst>
            <a:ext uri="{FF2B5EF4-FFF2-40B4-BE49-F238E27FC236}">
              <a16:creationId xmlns="" xmlns:a16="http://schemas.microsoft.com/office/drawing/2014/main" id="{31B13765-7A78-80C0-7CF4-BAF56C2683D7}"/>
            </a:ext>
          </a:extLst>
        </xdr:cNvPr>
        <xdr:cNvSpPr/>
      </xdr:nvSpPr>
      <xdr:spPr>
        <a:xfrm rot="10800000" flipH="1">
          <a:off x="4888566" y="43936582"/>
          <a:ext cx="102532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40821</xdr:colOff>
      <xdr:row>276</xdr:row>
      <xdr:rowOff>68035</xdr:rowOff>
    </xdr:from>
    <xdr:to>
      <xdr:col>10</xdr:col>
      <xdr:colOff>138544</xdr:colOff>
      <xdr:row>295</xdr:row>
      <xdr:rowOff>51954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329</xdr:row>
      <xdr:rowOff>0</xdr:rowOff>
    </xdr:from>
    <xdr:to>
      <xdr:col>10</xdr:col>
      <xdr:colOff>294409</xdr:colOff>
      <xdr:row>351</xdr:row>
      <xdr:rowOff>17318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383717</xdr:colOff>
      <xdr:row>46</xdr:row>
      <xdr:rowOff>7605</xdr:rowOff>
    </xdr:from>
    <xdr:to>
      <xdr:col>3</xdr:col>
      <xdr:colOff>187774</xdr:colOff>
      <xdr:row>48</xdr:row>
      <xdr:rowOff>26655</xdr:rowOff>
    </xdr:to>
    <xdr:sp macro="" textlink="">
      <xdr:nvSpPr>
        <xdr:cNvPr id="50" name="Arrow: Curved Down 17">
          <a:extLst>
            <a:ext uri="{FF2B5EF4-FFF2-40B4-BE49-F238E27FC236}">
              <a16:creationId xmlns="" xmlns:a16="http://schemas.microsoft.com/office/drawing/2014/main" id="{35C3BB4B-B41A-C205-21EB-9E0C1E0F3A95}"/>
            </a:ext>
          </a:extLst>
        </xdr:cNvPr>
        <xdr:cNvSpPr/>
      </xdr:nvSpPr>
      <xdr:spPr>
        <a:xfrm>
          <a:off x="2125431" y="8852248"/>
          <a:ext cx="634093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129987</xdr:colOff>
      <xdr:row>37</xdr:row>
      <xdr:rowOff>184897</xdr:rowOff>
    </xdr:from>
    <xdr:to>
      <xdr:col>3</xdr:col>
      <xdr:colOff>152400</xdr:colOff>
      <xdr:row>40</xdr:row>
      <xdr:rowOff>13447</xdr:rowOff>
    </xdr:to>
    <xdr:sp macro="" textlink="">
      <xdr:nvSpPr>
        <xdr:cNvPr id="56" name="Arrow: Curved Down 17">
          <a:extLst>
            <a:ext uri="{FF2B5EF4-FFF2-40B4-BE49-F238E27FC236}">
              <a16:creationId xmlns="" xmlns:a16="http://schemas.microsoft.com/office/drawing/2014/main" id="{35C3BB4B-B41A-C205-21EB-9E0C1E0F3A95}"/>
            </a:ext>
          </a:extLst>
        </xdr:cNvPr>
        <xdr:cNvSpPr/>
      </xdr:nvSpPr>
      <xdr:spPr>
        <a:xfrm>
          <a:off x="1873062" y="7290547"/>
          <a:ext cx="851088" cy="400050"/>
        </a:xfrm>
        <a:prstGeom prst="curved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57150</xdr:colOff>
      <xdr:row>43</xdr:row>
      <xdr:rowOff>104775</xdr:rowOff>
    </xdr:from>
    <xdr:to>
      <xdr:col>3</xdr:col>
      <xdr:colOff>276225</xdr:colOff>
      <xdr:row>46</xdr:row>
      <xdr:rowOff>123825</xdr:rowOff>
    </xdr:to>
    <xdr:sp macro="" textlink="">
      <xdr:nvSpPr>
        <xdr:cNvPr id="57" name="Arrow: Down 26">
          <a:extLst>
            <a:ext uri="{FF2B5EF4-FFF2-40B4-BE49-F238E27FC236}">
              <a16:creationId xmlns="" xmlns:a16="http://schemas.microsoft.com/office/drawing/2014/main" id="{9A955ECA-EE6A-4060-B1EF-FBB265B1402C}"/>
            </a:ext>
          </a:extLst>
        </xdr:cNvPr>
        <xdr:cNvSpPr/>
      </xdr:nvSpPr>
      <xdr:spPr>
        <a:xfrm rot="10800000">
          <a:off x="2628900" y="8353425"/>
          <a:ext cx="219075" cy="590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FERENSI/ASFM%20Nomor%2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A"/>
      <sheetName val="1B"/>
    </sheetNames>
    <sheetDataSet>
      <sheetData sheetId="0"/>
      <sheetData sheetId="1">
        <row r="17">
          <cell r="C17">
            <v>5.4</v>
          </cell>
        </row>
        <row r="281">
          <cell r="E281">
            <v>0</v>
          </cell>
          <cell r="F281">
            <v>0</v>
          </cell>
        </row>
        <row r="282">
          <cell r="E282">
            <v>0</v>
          </cell>
          <cell r="F282">
            <v>94.870397940913151</v>
          </cell>
        </row>
        <row r="283">
          <cell r="E283">
            <v>5.4</v>
          </cell>
          <cell r="F283">
            <v>-50.929602059086861</v>
          </cell>
        </row>
        <row r="284">
          <cell r="E284">
            <v>5.4</v>
          </cell>
          <cell r="F284">
            <v>-84.929602059086776</v>
          </cell>
        </row>
        <row r="285">
          <cell r="E285">
            <v>7.0200000000000005</v>
          </cell>
          <cell r="F285">
            <v>-146.16560205908678</v>
          </cell>
        </row>
        <row r="286">
          <cell r="E286">
            <v>7.0200000000000005</v>
          </cell>
          <cell r="F286">
            <v>153.72428061772604</v>
          </cell>
        </row>
        <row r="287">
          <cell r="E287">
            <v>12.420000000000002</v>
          </cell>
          <cell r="F287">
            <v>-84.395719382273967</v>
          </cell>
        </row>
        <row r="288">
          <cell r="E288">
            <v>12.420000000000002</v>
          </cell>
          <cell r="F28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70"/>
  <sheetViews>
    <sheetView topLeftCell="A231" zoomScale="70" zoomScaleNormal="70" workbookViewId="0">
      <selection activeCell="C242" sqref="C242"/>
    </sheetView>
  </sheetViews>
  <sheetFormatPr defaultColWidth="8.85546875" defaultRowHeight="15"/>
  <cols>
    <col min="1" max="1" width="10" style="1" customWidth="1"/>
    <col min="2" max="2" width="14.28515625" style="1" customWidth="1"/>
    <col min="3" max="3" width="13.7109375" style="1" customWidth="1"/>
    <col min="4" max="4" width="13.5703125" style="1" customWidth="1"/>
    <col min="5" max="5" width="13.140625" style="1" customWidth="1"/>
    <col min="6" max="6" width="13.7109375" style="1" customWidth="1"/>
    <col min="7" max="7" width="13.5703125" style="1" customWidth="1"/>
    <col min="8" max="8" width="13.140625" style="1" customWidth="1"/>
    <col min="9" max="9" width="9.5703125" style="1" customWidth="1"/>
    <col min="10" max="10" width="7" style="1" customWidth="1"/>
    <col min="11" max="11" width="8.85546875" style="1"/>
    <col min="12" max="12" width="10.7109375" style="1" customWidth="1"/>
    <col min="13" max="13" width="12" style="1" customWidth="1"/>
    <col min="14" max="14" width="11.42578125" style="1" customWidth="1"/>
    <col min="15" max="16384" width="8.85546875" style="1"/>
  </cols>
  <sheetData>
    <row r="1" spans="1:9" ht="15.75" thickBot="1"/>
    <row r="2" spans="1:9" ht="15.75" thickBot="1">
      <c r="H2" s="92" t="s">
        <v>167</v>
      </c>
      <c r="I2" s="80" t="s">
        <v>168</v>
      </c>
    </row>
    <row r="3" spans="1:9" ht="15.75" thickBot="1">
      <c r="H3" s="44" t="s">
        <v>82</v>
      </c>
      <c r="I3" s="45">
        <v>11</v>
      </c>
    </row>
    <row r="16" spans="1:9" s="3" customFormat="1">
      <c r="A16" s="93" t="s">
        <v>0</v>
      </c>
    </row>
    <row r="17" spans="1:11">
      <c r="A17" s="1" t="s">
        <v>1</v>
      </c>
      <c r="B17" s="4" t="s">
        <v>4</v>
      </c>
      <c r="C17" s="43">
        <f>20+0.5*I3</f>
        <v>25.5</v>
      </c>
      <c r="D17" s="1" t="s">
        <v>5</v>
      </c>
      <c r="F17" s="103" t="s">
        <v>172</v>
      </c>
      <c r="G17" s="103" t="s">
        <v>4</v>
      </c>
      <c r="H17" s="1">
        <f>0.5*C19</f>
        <v>2.7</v>
      </c>
      <c r="I17" s="103" t="s">
        <v>6</v>
      </c>
    </row>
    <row r="18" spans="1:11">
      <c r="A18" s="1" t="s">
        <v>2</v>
      </c>
      <c r="B18" s="4" t="s">
        <v>4</v>
      </c>
      <c r="C18" s="43">
        <f>20+I3</f>
        <v>31</v>
      </c>
      <c r="D18" s="42" t="s">
        <v>13</v>
      </c>
      <c r="F18" s="103" t="s">
        <v>173</v>
      </c>
      <c r="G18" s="103" t="s">
        <v>4</v>
      </c>
      <c r="H18" s="1">
        <f>C20-H17</f>
        <v>3.7800000000000002</v>
      </c>
      <c r="I18" s="103" t="s">
        <v>6</v>
      </c>
    </row>
    <row r="19" spans="1:11">
      <c r="A19" s="1" t="s">
        <v>3</v>
      </c>
      <c r="B19" s="4" t="s">
        <v>4</v>
      </c>
      <c r="C19" s="43">
        <v>5.4</v>
      </c>
      <c r="D19" s="1" t="s">
        <v>6</v>
      </c>
    </row>
    <row r="20" spans="1:11" s="2" customFormat="1">
      <c r="A20" s="1" t="s">
        <v>64</v>
      </c>
      <c r="B20" s="1" t="s">
        <v>4</v>
      </c>
      <c r="C20" s="43">
        <f>1.2*C19</f>
        <v>6.48</v>
      </c>
      <c r="D20" s="1" t="s">
        <v>6</v>
      </c>
    </row>
    <row r="21" spans="1:11" s="3" customFormat="1">
      <c r="A21" s="93" t="s">
        <v>15</v>
      </c>
    </row>
    <row r="22" spans="1:11">
      <c r="A22" s="1" t="s">
        <v>6</v>
      </c>
      <c r="B22" s="1" t="s">
        <v>4</v>
      </c>
      <c r="C22" s="5">
        <f>I3</f>
        <v>11</v>
      </c>
      <c r="D22" s="1" t="s">
        <v>7</v>
      </c>
    </row>
    <row r="23" spans="1:11">
      <c r="A23" s="1" t="s">
        <v>8</v>
      </c>
      <c r="B23" s="1" t="s">
        <v>4</v>
      </c>
      <c r="C23" s="5">
        <f>C18</f>
        <v>31</v>
      </c>
      <c r="D23" s="1" t="s">
        <v>13</v>
      </c>
    </row>
    <row r="24" spans="1:11">
      <c r="A24" s="1" t="s">
        <v>9</v>
      </c>
      <c r="B24" s="1" t="s">
        <v>4</v>
      </c>
      <c r="C24" s="5">
        <f>C18</f>
        <v>31</v>
      </c>
      <c r="D24" s="1" t="s">
        <v>13</v>
      </c>
    </row>
    <row r="25" spans="1:11">
      <c r="A25" s="1" t="s">
        <v>10</v>
      </c>
      <c r="B25" s="1" t="s">
        <v>4</v>
      </c>
      <c r="C25" s="6">
        <f>C18</f>
        <v>31</v>
      </c>
      <c r="D25" s="1" t="s">
        <v>13</v>
      </c>
    </row>
    <row r="26" spans="1:11">
      <c r="A26" s="1" t="s">
        <v>11</v>
      </c>
      <c r="B26" s="1" t="s">
        <v>4</v>
      </c>
      <c r="C26" s="1">
        <v>1.2</v>
      </c>
      <c r="D26" s="1" t="s">
        <v>1</v>
      </c>
      <c r="E26" s="1" t="s">
        <v>4</v>
      </c>
      <c r="F26" s="7">
        <f>1.2*C17</f>
        <v>30.599999999999998</v>
      </c>
      <c r="G26" s="1" t="s">
        <v>5</v>
      </c>
    </row>
    <row r="27" spans="1:11">
      <c r="A27" s="1" t="s">
        <v>12</v>
      </c>
      <c r="B27" s="1" t="s">
        <v>4</v>
      </c>
      <c r="D27" s="1" t="s">
        <v>1</v>
      </c>
      <c r="E27" s="1" t="s">
        <v>4</v>
      </c>
      <c r="F27" s="5">
        <f>C17</f>
        <v>25.5</v>
      </c>
      <c r="G27" s="1" t="s">
        <v>5</v>
      </c>
    </row>
    <row r="28" spans="1:11">
      <c r="A28" s="1" t="s">
        <v>14</v>
      </c>
      <c r="B28" s="1" t="s">
        <v>4</v>
      </c>
      <c r="C28" s="1">
        <v>1.2</v>
      </c>
      <c r="D28" s="1" t="s">
        <v>1</v>
      </c>
      <c r="E28" s="1" t="s">
        <v>4</v>
      </c>
      <c r="F28" s="5">
        <f>F26</f>
        <v>30.599999999999998</v>
      </c>
      <c r="G28" s="1" t="str">
        <f>G27</f>
        <v>kN/m</v>
      </c>
    </row>
    <row r="29" spans="1:11" s="3" customFormat="1" ht="15.75" thickBot="1">
      <c r="A29" s="93" t="s">
        <v>16</v>
      </c>
      <c r="K29" s="109"/>
    </row>
    <row r="30" spans="1:11" ht="15.75" thickBot="1">
      <c r="A30" s="1" t="s">
        <v>17</v>
      </c>
      <c r="B30" s="1" t="s">
        <v>4</v>
      </c>
      <c r="C30" s="1">
        <v>200000</v>
      </c>
      <c r="D30" s="1" t="s">
        <v>19</v>
      </c>
      <c r="F30" s="52" t="s">
        <v>18</v>
      </c>
      <c r="G30" s="53" t="s">
        <v>4</v>
      </c>
      <c r="H30" s="53" t="s">
        <v>169</v>
      </c>
      <c r="I30" s="54" t="s">
        <v>84</v>
      </c>
      <c r="K30" s="217" t="s">
        <v>170</v>
      </c>
    </row>
    <row r="31" spans="1:11">
      <c r="B31" s="1" t="s">
        <v>4</v>
      </c>
      <c r="C31" s="8">
        <f>C30*10^3</f>
        <v>200000000</v>
      </c>
      <c r="D31" s="1" t="s">
        <v>20</v>
      </c>
      <c r="F31" s="46" t="s">
        <v>21</v>
      </c>
      <c r="G31" s="35" t="s">
        <v>4</v>
      </c>
      <c r="H31" s="35">
        <v>1869</v>
      </c>
      <c r="I31" s="47" t="s">
        <v>23</v>
      </c>
      <c r="K31" s="218"/>
    </row>
    <row r="32" spans="1:11" ht="15.75" thickBot="1">
      <c r="F32" s="48"/>
      <c r="G32" s="49" t="s">
        <v>4</v>
      </c>
      <c r="H32" s="50">
        <f>H31*(10^-2)^4</f>
        <v>1.8689999999999999E-5</v>
      </c>
      <c r="I32" s="51" t="s">
        <v>22</v>
      </c>
      <c r="K32" s="219"/>
    </row>
    <row r="34" spans="1:14" s="95" customFormat="1">
      <c r="A34" s="94" t="s">
        <v>24</v>
      </c>
      <c r="C34" s="94" t="s">
        <v>25</v>
      </c>
    </row>
    <row r="35" spans="1:14" s="87" customFormat="1">
      <c r="A35" s="88" t="s">
        <v>156</v>
      </c>
      <c r="B35" s="86"/>
      <c r="C35" s="85"/>
      <c r="D35" s="86"/>
      <c r="E35" s="86"/>
    </row>
    <row r="36" spans="1:14" s="87" customFormat="1">
      <c r="A36" s="85"/>
      <c r="B36" s="86"/>
      <c r="C36" s="85"/>
      <c r="D36" s="86"/>
      <c r="E36" s="86"/>
    </row>
    <row r="37" spans="1:14">
      <c r="A37" s="60" t="s">
        <v>37</v>
      </c>
      <c r="D37" s="1" t="s">
        <v>36</v>
      </c>
      <c r="F37" s="1" t="s">
        <v>34</v>
      </c>
      <c r="I37" s="1" t="s">
        <v>35</v>
      </c>
    </row>
    <row r="40" spans="1:14">
      <c r="A40" s="60"/>
      <c r="B40" s="55" t="s">
        <v>30</v>
      </c>
      <c r="D40" s="60" t="s">
        <v>31</v>
      </c>
      <c r="F40" s="60" t="s">
        <v>32</v>
      </c>
      <c r="I40" s="60" t="s">
        <v>33</v>
      </c>
    </row>
    <row r="41" spans="1:14">
      <c r="K41" s="16"/>
      <c r="L41" s="83"/>
      <c r="M41" s="83"/>
      <c r="N41" s="83"/>
    </row>
    <row r="42" spans="1:14">
      <c r="A42" s="1" t="s">
        <v>26</v>
      </c>
      <c r="B42" s="199" t="s">
        <v>153</v>
      </c>
      <c r="C42" s="199"/>
      <c r="D42" s="1" t="s">
        <v>27</v>
      </c>
      <c r="E42" s="2" t="s">
        <v>154</v>
      </c>
      <c r="F42" s="1" t="s">
        <v>28</v>
      </c>
      <c r="G42" s="199" t="s">
        <v>155</v>
      </c>
      <c r="H42" s="199"/>
      <c r="I42" s="1" t="s">
        <v>29</v>
      </c>
      <c r="K42" s="16"/>
      <c r="L42" s="84"/>
      <c r="M42" s="84"/>
      <c r="N42" s="84"/>
    </row>
    <row r="43" spans="1:14">
      <c r="K43" s="16"/>
      <c r="L43" s="16"/>
      <c r="M43" s="16"/>
      <c r="N43" s="16"/>
    </row>
    <row r="44" spans="1:14">
      <c r="K44" s="16"/>
      <c r="L44" s="16"/>
      <c r="M44" s="16"/>
      <c r="N44" s="16"/>
    </row>
    <row r="45" spans="1:14">
      <c r="A45" s="88" t="s">
        <v>157</v>
      </c>
      <c r="K45" s="16"/>
      <c r="L45" s="16"/>
      <c r="M45" s="16"/>
      <c r="N45" s="16"/>
    </row>
    <row r="48" spans="1:14">
      <c r="A48" s="60"/>
      <c r="B48" s="55" t="s">
        <v>30</v>
      </c>
      <c r="D48" s="60" t="s">
        <v>31</v>
      </c>
      <c r="F48" s="60" t="s">
        <v>32</v>
      </c>
      <c r="I48" s="60" t="s">
        <v>33</v>
      </c>
    </row>
    <row r="49" spans="1:9">
      <c r="I49" s="60"/>
    </row>
    <row r="50" spans="1:9">
      <c r="A50" s="1" t="s">
        <v>26</v>
      </c>
      <c r="B50" s="199" t="s">
        <v>153</v>
      </c>
      <c r="C50" s="199"/>
      <c r="D50" s="1" t="s">
        <v>27</v>
      </c>
      <c r="E50" s="2" t="s">
        <v>154</v>
      </c>
      <c r="F50" s="1" t="s">
        <v>28</v>
      </c>
      <c r="G50" s="199" t="s">
        <v>155</v>
      </c>
      <c r="H50" s="199"/>
      <c r="I50" s="1" t="s">
        <v>29</v>
      </c>
    </row>
    <row r="52" spans="1:9" s="95" customFormat="1">
      <c r="A52" s="94" t="s">
        <v>38</v>
      </c>
      <c r="B52" s="97"/>
      <c r="C52" s="94" t="s">
        <v>39</v>
      </c>
    </row>
    <row r="54" spans="1:9">
      <c r="A54" s="220" t="s">
        <v>40</v>
      </c>
      <c r="B54" s="220"/>
    </row>
    <row r="55" spans="1:9">
      <c r="F55" s="214" t="s">
        <v>83</v>
      </c>
      <c r="G55" s="214"/>
      <c r="H55" s="214"/>
      <c r="I55" s="214"/>
    </row>
    <row r="56" spans="1:9">
      <c r="A56" s="1" t="s">
        <v>17</v>
      </c>
      <c r="B56" s="1">
        <f>$C$31</f>
        <v>200000000</v>
      </c>
      <c r="C56" s="1" t="str">
        <f>D31</f>
        <v>kN/m^2</v>
      </c>
      <c r="F56" s="10" t="s">
        <v>42</v>
      </c>
      <c r="G56" s="10" t="s">
        <v>43</v>
      </c>
      <c r="H56" s="11" t="s">
        <v>44</v>
      </c>
      <c r="I56" s="10" t="s">
        <v>43</v>
      </c>
    </row>
    <row r="57" spans="1:9">
      <c r="A57" s="1" t="s">
        <v>21</v>
      </c>
      <c r="B57" s="8">
        <f>$H$32</f>
        <v>1.8689999999999999E-5</v>
      </c>
      <c r="C57" s="1" t="str">
        <f>I32</f>
        <v>m^4</v>
      </c>
      <c r="F57" s="10" t="s">
        <v>43</v>
      </c>
      <c r="G57" s="10" t="s">
        <v>45</v>
      </c>
      <c r="H57" s="11" t="s">
        <v>46</v>
      </c>
      <c r="I57" s="10" t="s">
        <v>47</v>
      </c>
    </row>
    <row r="58" spans="1:9">
      <c r="A58" s="1" t="s">
        <v>3</v>
      </c>
      <c r="B58" s="1">
        <f>$C$19</f>
        <v>5.4</v>
      </c>
      <c r="C58" s="1" t="str">
        <f>D19</f>
        <v>m</v>
      </c>
      <c r="F58" s="11" t="s">
        <v>44</v>
      </c>
      <c r="G58" s="11" t="s">
        <v>46</v>
      </c>
      <c r="H58" s="10" t="s">
        <v>42</v>
      </c>
      <c r="I58" s="11" t="s">
        <v>46</v>
      </c>
    </row>
    <row r="59" spans="1:9">
      <c r="A59" s="1" t="s">
        <v>41</v>
      </c>
      <c r="B59" s="8">
        <f>$B$56*$B$57</f>
        <v>3738</v>
      </c>
      <c r="C59" s="103" t="s">
        <v>177</v>
      </c>
      <c r="F59" s="10" t="s">
        <v>43</v>
      </c>
      <c r="G59" s="10" t="s">
        <v>47</v>
      </c>
      <c r="H59" s="11" t="s">
        <v>46</v>
      </c>
      <c r="I59" s="10" t="s">
        <v>45</v>
      </c>
    </row>
    <row r="61" spans="1:9">
      <c r="A61" s="9" t="s">
        <v>37</v>
      </c>
      <c r="B61" s="9" t="s">
        <v>30</v>
      </c>
      <c r="C61" s="9" t="s">
        <v>36</v>
      </c>
      <c r="D61" s="9" t="s">
        <v>31</v>
      </c>
    </row>
    <row r="62" spans="1:9">
      <c r="A62" s="98">
        <f>(12*$B$56*$B$57)/($B$58^3)</f>
        <v>284.86511202560581</v>
      </c>
      <c r="B62" s="98">
        <f>(6*$B$56*$B$57)/($B$58^2)</f>
        <v>769.13580246913568</v>
      </c>
      <c r="C62" s="98">
        <f>(-12*$B$56*$B$57)/($B$58^3)</f>
        <v>-284.86511202560581</v>
      </c>
      <c r="D62" s="98">
        <f>(6*$B$56*$B$57)/($B$58^2)</f>
        <v>769.13580246913568</v>
      </c>
      <c r="E62" s="9" t="s">
        <v>37</v>
      </c>
    </row>
    <row r="63" spans="1:9">
      <c r="A63" s="98">
        <f>(6*$B$56*$B$57)/($B$58^2)</f>
        <v>769.13580246913568</v>
      </c>
      <c r="B63" s="99">
        <f>(4*$B$56*$B$57)/($B$58^1)</f>
        <v>2768.8888888888887</v>
      </c>
      <c r="C63" s="98">
        <f>(-6*$B$56*$B$57)/($B$58^2)</f>
        <v>-769.13580246913568</v>
      </c>
      <c r="D63" s="99">
        <f>(2*$B$56*$B$57)/($B$58^1)</f>
        <v>1384.4444444444443</v>
      </c>
      <c r="E63" s="9" t="s">
        <v>30</v>
      </c>
    </row>
    <row r="64" spans="1:9">
      <c r="A64" s="98">
        <f>(-12*$B$56*$B$57)/($B$58^3)</f>
        <v>-284.86511202560581</v>
      </c>
      <c r="B64" s="98">
        <f>(-6*$B$56*$B$57)/($B$58^2)</f>
        <v>-769.13580246913568</v>
      </c>
      <c r="C64" s="98">
        <f>(12*$B$56*$B$57)/($B$58^3)</f>
        <v>284.86511202560581</v>
      </c>
      <c r="D64" s="98">
        <f>(-6*$B$56*$B$57)/($B$58^2)</f>
        <v>-769.13580246913568</v>
      </c>
      <c r="E64" s="9" t="s">
        <v>36</v>
      </c>
    </row>
    <row r="65" spans="1:10">
      <c r="A65" s="98">
        <f>(6*$B$56*$B$57)/($B$58^2)</f>
        <v>769.13580246913568</v>
      </c>
      <c r="B65" s="99">
        <f>(2*$B$56*$B$57)/($B$58^1)</f>
        <v>1384.4444444444443</v>
      </c>
      <c r="C65" s="98">
        <f>(-6*$B$56*$B$57)/($B$58^2)</f>
        <v>-769.13580246913568</v>
      </c>
      <c r="D65" s="99">
        <f>(4*$B$56*$B$57)/($B$58^1)</f>
        <v>2768.8888888888887</v>
      </c>
      <c r="E65" s="9" t="s">
        <v>31</v>
      </c>
    </row>
    <row r="67" spans="1:10">
      <c r="A67" s="220" t="s">
        <v>48</v>
      </c>
      <c r="B67" s="220"/>
    </row>
    <row r="68" spans="1:10">
      <c r="F68" s="214" t="s">
        <v>83</v>
      </c>
      <c r="G68" s="214"/>
      <c r="H68" s="214"/>
      <c r="I68" s="214"/>
    </row>
    <row r="69" spans="1:10">
      <c r="A69" s="1" t="s">
        <v>17</v>
      </c>
      <c r="B69" s="1">
        <f>$C$31</f>
        <v>200000000</v>
      </c>
      <c r="C69" s="1" t="s">
        <v>20</v>
      </c>
      <c r="F69" s="10" t="s">
        <v>42</v>
      </c>
      <c r="G69" s="10" t="s">
        <v>43</v>
      </c>
      <c r="H69" s="11" t="s">
        <v>44</v>
      </c>
      <c r="I69" s="10" t="s">
        <v>43</v>
      </c>
    </row>
    <row r="70" spans="1:10">
      <c r="A70" s="1" t="s">
        <v>21</v>
      </c>
      <c r="B70" s="8">
        <f>$H$32</f>
        <v>1.8689999999999999E-5</v>
      </c>
      <c r="C70" s="1" t="s">
        <v>22</v>
      </c>
      <c r="F70" s="10" t="s">
        <v>43</v>
      </c>
      <c r="G70" s="10" t="s">
        <v>45</v>
      </c>
      <c r="H70" s="11" t="s">
        <v>46</v>
      </c>
      <c r="I70" s="10" t="s">
        <v>47</v>
      </c>
    </row>
    <row r="71" spans="1:10">
      <c r="A71" s="1" t="s">
        <v>3</v>
      </c>
      <c r="B71" s="1">
        <f>$C$20</f>
        <v>6.48</v>
      </c>
      <c r="C71" s="1" t="s">
        <v>6</v>
      </c>
      <c r="F71" s="11" t="s">
        <v>44</v>
      </c>
      <c r="G71" s="11" t="s">
        <v>46</v>
      </c>
      <c r="H71" s="10" t="s">
        <v>42</v>
      </c>
      <c r="I71" s="11" t="s">
        <v>46</v>
      </c>
    </row>
    <row r="72" spans="1:10">
      <c r="A72" s="1" t="s">
        <v>41</v>
      </c>
      <c r="B72" s="8">
        <f>$B$56*$B$57</f>
        <v>3738</v>
      </c>
      <c r="C72" s="103" t="s">
        <v>177</v>
      </c>
      <c r="F72" s="10" t="s">
        <v>43</v>
      </c>
      <c r="G72" s="10" t="s">
        <v>47</v>
      </c>
      <c r="H72" s="11" t="s">
        <v>46</v>
      </c>
      <c r="I72" s="10" t="s">
        <v>45</v>
      </c>
    </row>
    <row r="73" spans="1:10">
      <c r="G73" s="2"/>
      <c r="H73" s="2"/>
      <c r="I73" s="2"/>
      <c r="J73" s="2"/>
    </row>
    <row r="74" spans="1:10">
      <c r="A74" s="9" t="s">
        <v>36</v>
      </c>
      <c r="B74" s="9" t="s">
        <v>31</v>
      </c>
      <c r="C74" s="9" t="s">
        <v>34</v>
      </c>
      <c r="D74" s="9" t="s">
        <v>32</v>
      </c>
      <c r="G74" s="2"/>
      <c r="H74" s="2"/>
      <c r="I74" s="2"/>
      <c r="J74" s="2"/>
    </row>
    <row r="75" spans="1:10">
      <c r="A75" s="98">
        <f>(12*$B$69*$B$70)/($B$71^3)</f>
        <v>164.85249538518852</v>
      </c>
      <c r="B75" s="98">
        <f>(6*$B$69*$B$70)/($B$71^2)</f>
        <v>534.12208504801083</v>
      </c>
      <c r="C75" s="98">
        <f>(-12*$B$69*$B$70)/($B$71^3)</f>
        <v>-164.85249538518852</v>
      </c>
      <c r="D75" s="98">
        <f>(6*$B$56*$B$57)/($B$71^2)</f>
        <v>534.12208504801083</v>
      </c>
      <c r="E75" s="9" t="s">
        <v>36</v>
      </c>
      <c r="G75" s="2"/>
      <c r="H75" s="2"/>
      <c r="I75" s="2"/>
      <c r="J75" s="2"/>
    </row>
    <row r="76" spans="1:10">
      <c r="A76" s="98">
        <f>(6*$B$56*$B$57)/($B$71^2)</f>
        <v>534.12208504801083</v>
      </c>
      <c r="B76" s="99">
        <f>(4*$B$56*$B$57)/($B$71^1)</f>
        <v>2307.4074074074074</v>
      </c>
      <c r="C76" s="98">
        <f>(-6*$B$56*$B$57)/($B$71^2)</f>
        <v>-534.12208504801083</v>
      </c>
      <c r="D76" s="99">
        <f>(2*$B$56*$B$57)/($B$71^1)</f>
        <v>1153.7037037037037</v>
      </c>
      <c r="E76" s="9" t="s">
        <v>31</v>
      </c>
      <c r="G76" s="2"/>
      <c r="H76" s="2"/>
      <c r="I76" s="2"/>
      <c r="J76" s="2"/>
    </row>
    <row r="77" spans="1:10">
      <c r="A77" s="98">
        <f>(-12*$B$56*$B$57)/($B$71^3)</f>
        <v>-164.85249538518852</v>
      </c>
      <c r="B77" s="98">
        <f>(-6*$B$56*$B$57)/($B$71^2)</f>
        <v>-534.12208504801083</v>
      </c>
      <c r="C77" s="98">
        <f>(12*$B$56*$B$57)/($B$71^3)</f>
        <v>164.85249538518852</v>
      </c>
      <c r="D77" s="98">
        <f>(-6*$B$56*$B$57)/($B$71^2)</f>
        <v>-534.12208504801083</v>
      </c>
      <c r="E77" s="9" t="s">
        <v>34</v>
      </c>
      <c r="G77" s="2"/>
      <c r="H77" s="2"/>
      <c r="I77" s="2"/>
      <c r="J77" s="2"/>
    </row>
    <row r="78" spans="1:10">
      <c r="A78" s="98">
        <f>(6*$B$56*$B$57)/($B$71^2)</f>
        <v>534.12208504801083</v>
      </c>
      <c r="B78" s="99">
        <f>(2*$B$56*$B$57)/($B$71^1)</f>
        <v>1153.7037037037037</v>
      </c>
      <c r="C78" s="98">
        <f>(-6*$B$56*$B$57)/($B$71^2)</f>
        <v>-534.12208504801083</v>
      </c>
      <c r="D78" s="99">
        <f>(4*$B$56*$B$57)/($B$71^1)</f>
        <v>2307.4074074074074</v>
      </c>
      <c r="E78" s="9" t="s">
        <v>32</v>
      </c>
      <c r="G78" s="2"/>
      <c r="H78" s="2"/>
      <c r="I78" s="2"/>
      <c r="J78" s="2"/>
    </row>
    <row r="79" spans="1:10">
      <c r="G79" s="2"/>
      <c r="H79" s="2"/>
      <c r="I79" s="2"/>
      <c r="J79" s="2"/>
    </row>
    <row r="80" spans="1:10">
      <c r="A80" s="220" t="s">
        <v>49</v>
      </c>
      <c r="B80" s="220"/>
      <c r="G80" s="2"/>
      <c r="H80" s="2"/>
      <c r="I80" s="2"/>
      <c r="J80" s="2"/>
    </row>
    <row r="81" spans="1:9">
      <c r="F81" s="214" t="s">
        <v>83</v>
      </c>
      <c r="G81" s="214"/>
      <c r="H81" s="214"/>
      <c r="I81" s="214"/>
    </row>
    <row r="82" spans="1:9">
      <c r="A82" s="1" t="s">
        <v>17</v>
      </c>
      <c r="B82" s="1">
        <f>$C$31</f>
        <v>200000000</v>
      </c>
      <c r="C82" s="1" t="s">
        <v>20</v>
      </c>
      <c r="F82" s="10" t="s">
        <v>42</v>
      </c>
      <c r="G82" s="10" t="s">
        <v>43</v>
      </c>
      <c r="H82" s="11" t="s">
        <v>44</v>
      </c>
      <c r="I82" s="10" t="s">
        <v>43</v>
      </c>
    </row>
    <row r="83" spans="1:9">
      <c r="A83" s="1" t="s">
        <v>21</v>
      </c>
      <c r="B83" s="8">
        <f>$H$32</f>
        <v>1.8689999999999999E-5</v>
      </c>
      <c r="C83" s="1" t="s">
        <v>22</v>
      </c>
      <c r="F83" s="10" t="s">
        <v>43</v>
      </c>
      <c r="G83" s="10" t="s">
        <v>45</v>
      </c>
      <c r="H83" s="11" t="s">
        <v>46</v>
      </c>
      <c r="I83" s="10" t="s">
        <v>47</v>
      </c>
    </row>
    <row r="84" spans="1:9">
      <c r="A84" s="1" t="s">
        <v>3</v>
      </c>
      <c r="B84" s="1">
        <f>$C$19</f>
        <v>5.4</v>
      </c>
      <c r="C84" s="1" t="s">
        <v>6</v>
      </c>
      <c r="F84" s="11" t="s">
        <v>44</v>
      </c>
      <c r="G84" s="11" t="s">
        <v>46</v>
      </c>
      <c r="H84" s="10" t="s">
        <v>42</v>
      </c>
      <c r="I84" s="11" t="s">
        <v>46</v>
      </c>
    </row>
    <row r="85" spans="1:9">
      <c r="A85" s="1" t="s">
        <v>41</v>
      </c>
      <c r="B85" s="8">
        <f>$B$56*$B$57</f>
        <v>3738</v>
      </c>
      <c r="C85" s="103" t="s">
        <v>177</v>
      </c>
      <c r="F85" s="10" t="s">
        <v>43</v>
      </c>
      <c r="G85" s="10" t="s">
        <v>47</v>
      </c>
      <c r="H85" s="11" t="s">
        <v>46</v>
      </c>
      <c r="I85" s="10" t="s">
        <v>45</v>
      </c>
    </row>
    <row r="87" spans="1:9">
      <c r="A87" s="9" t="s">
        <v>34</v>
      </c>
      <c r="B87" s="9" t="s">
        <v>32</v>
      </c>
      <c r="C87" s="9" t="s">
        <v>35</v>
      </c>
      <c r="D87" s="9" t="s">
        <v>33</v>
      </c>
    </row>
    <row r="88" spans="1:9">
      <c r="A88" s="98">
        <f>(12*$B$56*$B$57)/($B$58^3)</f>
        <v>284.86511202560581</v>
      </c>
      <c r="B88" s="98">
        <f>(6*$B$56*$B$57)/($B$58^2)</f>
        <v>769.13580246913568</v>
      </c>
      <c r="C88" s="98">
        <f>(-12*$B$56*$B$57)/($B$58^3)</f>
        <v>-284.86511202560581</v>
      </c>
      <c r="D88" s="98">
        <f>(6*$B$56*$B$57)/($B$58^2)</f>
        <v>769.13580246913568</v>
      </c>
      <c r="E88" s="9" t="s">
        <v>34</v>
      </c>
    </row>
    <row r="89" spans="1:9">
      <c r="A89" s="98">
        <f>(6*$B$56*$B$57)/($B$58^2)</f>
        <v>769.13580246913568</v>
      </c>
      <c r="B89" s="99">
        <f>(4*$B$56*$B$57)/($B$58^1)</f>
        <v>2768.8888888888887</v>
      </c>
      <c r="C89" s="98">
        <f>(-6*$B$56*$B$57)/($B$58^2)</f>
        <v>-769.13580246913568</v>
      </c>
      <c r="D89" s="99">
        <f>(2*$B$56*$B$57)/($B$58^1)</f>
        <v>1384.4444444444443</v>
      </c>
      <c r="E89" s="9" t="s">
        <v>32</v>
      </c>
    </row>
    <row r="90" spans="1:9">
      <c r="A90" s="98">
        <f>(-12*$B$56*$B$57)/($B$58^3)</f>
        <v>-284.86511202560581</v>
      </c>
      <c r="B90" s="98">
        <f>(-6*$B$56*$B$57)/($B$58^2)</f>
        <v>-769.13580246913568</v>
      </c>
      <c r="C90" s="98">
        <f>(12*$B$56*$B$57)/($B$58^3)</f>
        <v>284.86511202560581</v>
      </c>
      <c r="D90" s="98">
        <f>(-6*$B$56*$B$57)/($B$58^2)</f>
        <v>-769.13580246913568</v>
      </c>
      <c r="E90" s="9" t="s">
        <v>35</v>
      </c>
    </row>
    <row r="91" spans="1:9">
      <c r="A91" s="98">
        <f>(6*$B$56*$B$57)/($B$58^2)</f>
        <v>769.13580246913568</v>
      </c>
      <c r="B91" s="99">
        <f>(2*$B$56*$B$57)/($B$58^1)</f>
        <v>1384.4444444444443</v>
      </c>
      <c r="C91" s="98">
        <f>(-6*$B$56*$B$57)/($B$58^2)</f>
        <v>-769.13580246913568</v>
      </c>
      <c r="D91" s="99">
        <f>(4*$B$56*$B$57)/($B$58^1)</f>
        <v>2768.8888888888887</v>
      </c>
      <c r="E91" s="9" t="s">
        <v>33</v>
      </c>
    </row>
    <row r="94" spans="1:9" s="2" customFormat="1"/>
    <row r="95" spans="1:9" s="2" customFormat="1"/>
    <row r="96" spans="1:9" s="2" customFormat="1"/>
    <row r="97" spans="1:8" s="2" customFormat="1"/>
    <row r="98" spans="1:8" s="2" customFormat="1"/>
    <row r="99" spans="1:8" s="2" customFormat="1"/>
    <row r="100" spans="1:8" s="95" customFormat="1">
      <c r="A100" s="94" t="s">
        <v>50</v>
      </c>
      <c r="D100" s="96" t="s">
        <v>51</v>
      </c>
    </row>
    <row r="102" spans="1:8">
      <c r="A102" s="9" t="s">
        <v>52</v>
      </c>
      <c r="H102" s="9"/>
    </row>
    <row r="103" spans="1:8">
      <c r="C103" s="9" t="s">
        <v>30</v>
      </c>
      <c r="D103" s="9" t="s">
        <v>31</v>
      </c>
      <c r="E103" s="9" t="s">
        <v>32</v>
      </c>
      <c r="F103" s="9" t="s">
        <v>33</v>
      </c>
    </row>
    <row r="104" spans="1:8">
      <c r="A104" s="2" t="s">
        <v>158</v>
      </c>
      <c r="B104" s="1" t="s">
        <v>4</v>
      </c>
      <c r="C104" s="12">
        <f>$B$63</f>
        <v>2768.8888888888887</v>
      </c>
      <c r="D104" s="12">
        <f>D63</f>
        <v>1384.4444444444443</v>
      </c>
      <c r="E104" s="12">
        <v>0</v>
      </c>
      <c r="F104" s="13">
        <v>0</v>
      </c>
      <c r="G104" s="9" t="s">
        <v>30</v>
      </c>
    </row>
    <row r="105" spans="1:8">
      <c r="C105" s="12">
        <f>$B$65</f>
        <v>1384.4444444444443</v>
      </c>
      <c r="D105" s="12">
        <f>$D$65</f>
        <v>2768.8888888888887</v>
      </c>
      <c r="E105" s="12">
        <v>0</v>
      </c>
      <c r="F105" s="13">
        <v>0</v>
      </c>
      <c r="G105" s="9" t="s">
        <v>31</v>
      </c>
    </row>
    <row r="106" spans="1:8">
      <c r="C106" s="13">
        <v>0</v>
      </c>
      <c r="D106" s="12">
        <v>0</v>
      </c>
      <c r="E106" s="12">
        <v>0</v>
      </c>
      <c r="F106" s="13">
        <v>0</v>
      </c>
      <c r="G106" s="9" t="s">
        <v>32</v>
      </c>
    </row>
    <row r="107" spans="1:8">
      <c r="C107" s="13">
        <v>0</v>
      </c>
      <c r="D107" s="12">
        <v>0</v>
      </c>
      <c r="E107" s="12">
        <v>0</v>
      </c>
      <c r="F107" s="13">
        <v>0</v>
      </c>
      <c r="G107" s="9" t="s">
        <v>33</v>
      </c>
    </row>
    <row r="109" spans="1:8" s="2" customFormat="1">
      <c r="A109" s="9" t="s">
        <v>53</v>
      </c>
      <c r="B109" s="1"/>
      <c r="C109" s="1"/>
      <c r="D109" s="1"/>
      <c r="E109" s="1"/>
      <c r="F109" s="1"/>
      <c r="G109" s="1"/>
      <c r="H109" s="1"/>
    </row>
    <row r="110" spans="1:8" s="2" customFormat="1">
      <c r="A110" s="1"/>
      <c r="B110" s="1"/>
      <c r="C110" s="9" t="s">
        <v>30</v>
      </c>
      <c r="D110" s="9" t="s">
        <v>31</v>
      </c>
      <c r="E110" s="9" t="s">
        <v>32</v>
      </c>
      <c r="F110" s="9" t="s">
        <v>33</v>
      </c>
      <c r="G110" s="1"/>
      <c r="H110" s="1"/>
    </row>
    <row r="111" spans="1:8" s="2" customFormat="1">
      <c r="A111" s="2" t="s">
        <v>159</v>
      </c>
      <c r="B111" s="1" t="s">
        <v>4</v>
      </c>
      <c r="C111" s="12">
        <f>J63</f>
        <v>0</v>
      </c>
      <c r="D111" s="12">
        <f>C112</f>
        <v>0</v>
      </c>
      <c r="E111" s="12">
        <v>0</v>
      </c>
      <c r="F111" s="13">
        <v>0</v>
      </c>
      <c r="G111" s="9" t="s">
        <v>30</v>
      </c>
      <c r="H111" s="1"/>
    </row>
    <row r="112" spans="1:8" s="2" customFormat="1">
      <c r="A112" s="1"/>
      <c r="B112" s="1"/>
      <c r="C112" s="12">
        <f>J65</f>
        <v>0</v>
      </c>
      <c r="D112" s="12">
        <f>$B$76</f>
        <v>2307.4074074074074</v>
      </c>
      <c r="E112" s="12">
        <f>$D$76</f>
        <v>1153.7037037037037</v>
      </c>
      <c r="F112" s="13">
        <v>0</v>
      </c>
      <c r="G112" s="9" t="s">
        <v>31</v>
      </c>
      <c r="H112" s="1"/>
    </row>
    <row r="113" spans="1:8" s="2" customFormat="1">
      <c r="A113" s="1"/>
      <c r="B113" s="1"/>
      <c r="C113" s="13">
        <v>0</v>
      </c>
      <c r="D113" s="12">
        <f>$B$78</f>
        <v>1153.7037037037037</v>
      </c>
      <c r="E113" s="12">
        <f>$D$78</f>
        <v>2307.4074074074074</v>
      </c>
      <c r="F113" s="13">
        <v>0</v>
      </c>
      <c r="G113" s="9" t="s">
        <v>32</v>
      </c>
      <c r="H113" s="1"/>
    </row>
    <row r="114" spans="1:8" s="2" customFormat="1">
      <c r="A114" s="1"/>
      <c r="B114" s="1"/>
      <c r="C114" s="13">
        <v>0</v>
      </c>
      <c r="D114" s="12">
        <v>0</v>
      </c>
      <c r="E114" s="12">
        <v>0</v>
      </c>
      <c r="F114" s="13">
        <v>0</v>
      </c>
      <c r="G114" s="9" t="s">
        <v>33</v>
      </c>
      <c r="H114" s="1"/>
    </row>
    <row r="115" spans="1:8" s="2" customFormat="1"/>
    <row r="116" spans="1:8" s="2" customFormat="1">
      <c r="A116" s="9" t="s">
        <v>54</v>
      </c>
      <c r="B116" s="1"/>
      <c r="C116" s="1"/>
      <c r="D116" s="1"/>
      <c r="E116" s="1"/>
      <c r="F116" s="1"/>
      <c r="G116" s="1"/>
    </row>
    <row r="117" spans="1:8" s="2" customFormat="1">
      <c r="A117" s="1"/>
      <c r="B117" s="1"/>
      <c r="C117" s="9" t="s">
        <v>30</v>
      </c>
      <c r="D117" s="9" t="s">
        <v>31</v>
      </c>
      <c r="E117" s="9" t="s">
        <v>32</v>
      </c>
      <c r="F117" s="9" t="s">
        <v>33</v>
      </c>
      <c r="G117" s="1"/>
    </row>
    <row r="118" spans="1:8" s="2" customFormat="1">
      <c r="A118" s="2" t="s">
        <v>160</v>
      </c>
      <c r="B118" s="1" t="s">
        <v>4</v>
      </c>
      <c r="C118" s="12">
        <f>R63</f>
        <v>0</v>
      </c>
      <c r="D118" s="12">
        <f>C119</f>
        <v>0</v>
      </c>
      <c r="E118" s="12">
        <v>0</v>
      </c>
      <c r="F118" s="13">
        <v>0</v>
      </c>
      <c r="G118" s="9" t="s">
        <v>30</v>
      </c>
    </row>
    <row r="119" spans="1:8" s="2" customFormat="1">
      <c r="A119" s="1"/>
      <c r="B119" s="1"/>
      <c r="C119" s="12">
        <f>R65</f>
        <v>0</v>
      </c>
      <c r="D119" s="12">
        <f>T65</f>
        <v>0</v>
      </c>
      <c r="E119" s="12">
        <v>0</v>
      </c>
      <c r="F119" s="13">
        <v>0</v>
      </c>
      <c r="G119" s="9" t="s">
        <v>31</v>
      </c>
    </row>
    <row r="120" spans="1:8" s="2" customFormat="1">
      <c r="A120" s="1"/>
      <c r="B120" s="1"/>
      <c r="C120" s="13">
        <v>0</v>
      </c>
      <c r="D120" s="12">
        <v>0</v>
      </c>
      <c r="E120" s="12">
        <f>$B$89</f>
        <v>2768.8888888888887</v>
      </c>
      <c r="F120" s="12">
        <f>D89</f>
        <v>1384.4444444444443</v>
      </c>
      <c r="G120" s="9" t="s">
        <v>32</v>
      </c>
    </row>
    <row r="121" spans="1:8" s="2" customFormat="1">
      <c r="A121" s="1"/>
      <c r="B121" s="1"/>
      <c r="C121" s="13">
        <v>0</v>
      </c>
      <c r="D121" s="12">
        <v>0</v>
      </c>
      <c r="E121" s="12">
        <f>B91</f>
        <v>1384.4444444444443</v>
      </c>
      <c r="F121" s="12">
        <f>$D$91</f>
        <v>2768.8888888888887</v>
      </c>
      <c r="G121" s="9" t="s">
        <v>33</v>
      </c>
    </row>
    <row r="122" spans="1:8" s="2" customFormat="1"/>
    <row r="123" spans="1:8">
      <c r="A123" s="38" t="s">
        <v>55</v>
      </c>
    </row>
    <row r="124" spans="1:8">
      <c r="C124" s="9" t="s">
        <v>30</v>
      </c>
      <c r="D124" s="9" t="s">
        <v>31</v>
      </c>
      <c r="E124" s="9" t="s">
        <v>32</v>
      </c>
      <c r="F124" s="9" t="s">
        <v>33</v>
      </c>
    </row>
    <row r="125" spans="1:8">
      <c r="A125" s="2" t="s">
        <v>161</v>
      </c>
      <c r="B125" s="1" t="s">
        <v>4</v>
      </c>
      <c r="C125" s="12">
        <f t="shared" ref="C125:F128" si="0">C104+C111+C118</f>
        <v>2768.8888888888887</v>
      </c>
      <c r="D125" s="12">
        <f t="shared" si="0"/>
        <v>1384.4444444444443</v>
      </c>
      <c r="E125" s="12">
        <f t="shared" si="0"/>
        <v>0</v>
      </c>
      <c r="F125" s="12">
        <f t="shared" si="0"/>
        <v>0</v>
      </c>
      <c r="G125" s="9" t="s">
        <v>30</v>
      </c>
    </row>
    <row r="126" spans="1:8">
      <c r="C126" s="12">
        <f t="shared" si="0"/>
        <v>1384.4444444444443</v>
      </c>
      <c r="D126" s="12">
        <f t="shared" si="0"/>
        <v>5076.2962962962956</v>
      </c>
      <c r="E126" s="12">
        <f t="shared" si="0"/>
        <v>1153.7037037037037</v>
      </c>
      <c r="F126" s="12">
        <f t="shared" si="0"/>
        <v>0</v>
      </c>
      <c r="G126" s="9" t="s">
        <v>31</v>
      </c>
    </row>
    <row r="127" spans="1:8">
      <c r="C127" s="12">
        <f t="shared" si="0"/>
        <v>0</v>
      </c>
      <c r="D127" s="12">
        <f t="shared" si="0"/>
        <v>1153.7037037037037</v>
      </c>
      <c r="E127" s="12">
        <f t="shared" si="0"/>
        <v>5076.2962962962956</v>
      </c>
      <c r="F127" s="12">
        <f t="shared" si="0"/>
        <v>1384.4444444444443</v>
      </c>
      <c r="G127" s="9" t="s">
        <v>32</v>
      </c>
    </row>
    <row r="128" spans="1:8">
      <c r="C128" s="12">
        <f t="shared" si="0"/>
        <v>0</v>
      </c>
      <c r="D128" s="12">
        <f t="shared" si="0"/>
        <v>0</v>
      </c>
      <c r="E128" s="12">
        <f t="shared" si="0"/>
        <v>1384.4444444444443</v>
      </c>
      <c r="F128" s="12">
        <f t="shared" si="0"/>
        <v>2768.8888888888887</v>
      </c>
      <c r="G128" s="9" t="s">
        <v>33</v>
      </c>
    </row>
    <row r="130" spans="1:12" s="2" customFormat="1"/>
    <row r="131" spans="1:12" s="2" customFormat="1"/>
    <row r="133" spans="1:12" s="95" customFormat="1">
      <c r="A133" s="94" t="s">
        <v>56</v>
      </c>
      <c r="D133" s="96" t="s">
        <v>57</v>
      </c>
    </row>
    <row r="134" spans="1:12">
      <c r="A134" s="9" t="s">
        <v>52</v>
      </c>
      <c r="B134" s="63" t="s">
        <v>85</v>
      </c>
    </row>
    <row r="135" spans="1:12">
      <c r="A135" s="55"/>
    </row>
    <row r="136" spans="1:12">
      <c r="B136" s="9"/>
      <c r="C136" s="9"/>
    </row>
    <row r="137" spans="1:12">
      <c r="A137" s="199" t="s">
        <v>58</v>
      </c>
      <c r="B137" s="213" t="s">
        <v>4</v>
      </c>
      <c r="C137" s="14">
        <f>-0.5*F26*C19</f>
        <v>-82.62</v>
      </c>
      <c r="D137" s="2" t="s">
        <v>37</v>
      </c>
    </row>
    <row r="138" spans="1:12">
      <c r="A138" s="199"/>
      <c r="B138" s="213"/>
      <c r="C138" s="14">
        <f>-1/12*F26*C19^2</f>
        <v>-74.358000000000004</v>
      </c>
      <c r="D138" s="1" t="s">
        <v>30</v>
      </c>
    </row>
    <row r="139" spans="1:12">
      <c r="A139" s="199"/>
      <c r="B139" s="213"/>
      <c r="C139" s="15">
        <f>-0.5*F26*C19</f>
        <v>-82.62</v>
      </c>
      <c r="D139" s="9" t="s">
        <v>36</v>
      </c>
    </row>
    <row r="140" spans="1:12">
      <c r="A140" s="199"/>
      <c r="B140" s="213"/>
      <c r="C140" s="14">
        <f>1/12*F26*C19^2</f>
        <v>74.358000000000004</v>
      </c>
      <c r="D140" s="1" t="s">
        <v>31</v>
      </c>
    </row>
    <row r="141" spans="1:12" s="2" customFormat="1">
      <c r="C141" s="56"/>
      <c r="G141" s="35"/>
      <c r="L141" s="56"/>
    </row>
    <row r="142" spans="1:12">
      <c r="A142" s="9" t="s">
        <v>53</v>
      </c>
      <c r="B142" s="55" t="s">
        <v>200</v>
      </c>
    </row>
    <row r="143" spans="1:12">
      <c r="A143" s="199" t="s">
        <v>59</v>
      </c>
      <c r="B143" s="213" t="s">
        <v>4</v>
      </c>
      <c r="C143" s="148">
        <f>-0.5*F27*C20-((C18*H18^2)*(3*H17+H18)/(C20^3))</f>
        <v>-101.95912037037037</v>
      </c>
      <c r="D143" s="149" t="s">
        <v>36</v>
      </c>
      <c r="G143" s="10"/>
      <c r="H143" s="16"/>
    </row>
    <row r="144" spans="1:12">
      <c r="A144" s="199"/>
      <c r="B144" s="213"/>
      <c r="C144" s="150">
        <f>-1/12*F27*C20^2-(C18*H17*H18^2/C20^2)</f>
        <v>-117.71085000000002</v>
      </c>
      <c r="D144" s="149" t="s">
        <v>31</v>
      </c>
    </row>
    <row r="145" spans="1:4">
      <c r="A145" s="199"/>
      <c r="B145" s="213"/>
      <c r="C145" s="148">
        <f>-0.5*F27*C20-((C18*H17^2)*(H17+3*H18)/(C20^3))</f>
        <v>-94.280879629629624</v>
      </c>
      <c r="D145" s="151" t="s">
        <v>34</v>
      </c>
    </row>
    <row r="146" spans="1:4">
      <c r="A146" s="199"/>
      <c r="B146" s="213"/>
      <c r="C146" s="150">
        <f>1/12*F27*C20^2+((C18*H17^2)*H18/C20^2)</f>
        <v>109.57335000000002</v>
      </c>
      <c r="D146" s="149" t="s">
        <v>32</v>
      </c>
    </row>
    <row r="147" spans="1:4" s="2" customFormat="1">
      <c r="C147" s="56"/>
    </row>
    <row r="148" spans="1:4" s="2" customFormat="1">
      <c r="A148" s="9" t="s">
        <v>54</v>
      </c>
      <c r="B148" s="55" t="s">
        <v>85</v>
      </c>
    </row>
    <row r="149" spans="1:4" s="2" customFormat="1">
      <c r="A149" s="199" t="s">
        <v>60</v>
      </c>
      <c r="B149" s="213" t="s">
        <v>4</v>
      </c>
      <c r="C149" s="15">
        <f>-0.5*F28*C19</f>
        <v>-82.62</v>
      </c>
      <c r="D149" s="1" t="s">
        <v>34</v>
      </c>
    </row>
    <row r="150" spans="1:4" s="2" customFormat="1">
      <c r="A150" s="199"/>
      <c r="B150" s="213"/>
      <c r="C150" s="14">
        <f>-1/12*F28*C19^2</f>
        <v>-74.358000000000004</v>
      </c>
      <c r="D150" s="1" t="s">
        <v>32</v>
      </c>
    </row>
    <row r="151" spans="1:4" s="2" customFormat="1">
      <c r="A151" s="199"/>
      <c r="B151" s="213"/>
      <c r="C151" s="14">
        <f>-0.5*C19*F28</f>
        <v>-82.62</v>
      </c>
      <c r="D151" s="9" t="s">
        <v>35</v>
      </c>
    </row>
    <row r="152" spans="1:4" s="2" customFormat="1">
      <c r="A152" s="199"/>
      <c r="B152" s="213"/>
      <c r="C152" s="14">
        <f>1/12*F28*C19^2</f>
        <v>74.358000000000004</v>
      </c>
      <c r="D152" s="1" t="s">
        <v>33</v>
      </c>
    </row>
    <row r="153" spans="1:4" s="103" customFormat="1">
      <c r="B153" s="106"/>
      <c r="C153" s="56"/>
    </row>
    <row r="154" spans="1:4" s="2" customFormat="1">
      <c r="A154" s="9" t="s">
        <v>171</v>
      </c>
      <c r="B154" s="56"/>
    </row>
    <row r="155" spans="1:4" s="2" customFormat="1">
      <c r="A155" s="199" t="s">
        <v>61</v>
      </c>
      <c r="B155" s="213" t="s">
        <v>4</v>
      </c>
      <c r="C155" s="15">
        <f>+C138</f>
        <v>-74.358000000000004</v>
      </c>
      <c r="D155" s="1" t="s">
        <v>30</v>
      </c>
    </row>
    <row r="156" spans="1:4" s="2" customFormat="1">
      <c r="A156" s="199"/>
      <c r="B156" s="213"/>
      <c r="C156" s="15">
        <f>+C140+C144</f>
        <v>-43.352850000000018</v>
      </c>
      <c r="D156" s="1" t="s">
        <v>31</v>
      </c>
    </row>
    <row r="157" spans="1:4" s="2" customFormat="1">
      <c r="A157" s="199"/>
      <c r="B157" s="213"/>
      <c r="C157" s="14">
        <f>+C146+C150</f>
        <v>35.215350000000015</v>
      </c>
      <c r="D157" s="1" t="s">
        <v>32</v>
      </c>
    </row>
    <row r="158" spans="1:4">
      <c r="A158" s="199"/>
      <c r="B158" s="213"/>
      <c r="C158" s="14">
        <f>C152</f>
        <v>74.358000000000004</v>
      </c>
      <c r="D158" s="1" t="s">
        <v>33</v>
      </c>
    </row>
    <row r="160" spans="1:4" s="95" customFormat="1">
      <c r="A160" s="94" t="s">
        <v>62</v>
      </c>
      <c r="D160" s="96" t="s">
        <v>63</v>
      </c>
    </row>
    <row r="162" spans="1:10">
      <c r="A162" s="17">
        <v>0</v>
      </c>
      <c r="B162" s="221" t="s">
        <v>65</v>
      </c>
      <c r="C162" s="18">
        <f>C155</f>
        <v>-74.358000000000004</v>
      </c>
      <c r="D162" s="221" t="s">
        <v>4</v>
      </c>
      <c r="E162" s="19">
        <f>C125</f>
        <v>2768.8888888888887</v>
      </c>
      <c r="F162" s="20">
        <f>D125</f>
        <v>1384.4444444444443</v>
      </c>
      <c r="G162" s="20">
        <f>E125</f>
        <v>0</v>
      </c>
      <c r="H162" s="21">
        <f>F125</f>
        <v>0</v>
      </c>
      <c r="I162" s="221" t="s">
        <v>66</v>
      </c>
      <c r="J162" s="17" t="s">
        <v>30</v>
      </c>
    </row>
    <row r="163" spans="1:10">
      <c r="A163" s="22">
        <v>0</v>
      </c>
      <c r="B163" s="221"/>
      <c r="C163" s="23">
        <f>C156</f>
        <v>-43.352850000000018</v>
      </c>
      <c r="D163" s="221"/>
      <c r="E163" s="24">
        <f>C105</f>
        <v>1384.4444444444443</v>
      </c>
      <c r="F163" s="25">
        <f>D126</f>
        <v>5076.2962962962956</v>
      </c>
      <c r="G163" s="25">
        <f t="shared" ref="G163:G165" si="1">E126</f>
        <v>1153.7037037037037</v>
      </c>
      <c r="H163" s="26">
        <f t="shared" ref="H163:H165" si="2">F126</f>
        <v>0</v>
      </c>
      <c r="I163" s="221"/>
      <c r="J163" s="22" t="s">
        <v>31</v>
      </c>
    </row>
    <row r="164" spans="1:10">
      <c r="A164" s="22">
        <v>0</v>
      </c>
      <c r="B164" s="221"/>
      <c r="C164" s="23">
        <f>C157</f>
        <v>35.215350000000015</v>
      </c>
      <c r="D164" s="221"/>
      <c r="E164" s="24">
        <f>C106</f>
        <v>0</v>
      </c>
      <c r="F164" s="25">
        <f t="shared" ref="F164:F165" si="3">D127</f>
        <v>1153.7037037037037</v>
      </c>
      <c r="G164" s="25">
        <f t="shared" si="1"/>
        <v>5076.2962962962956</v>
      </c>
      <c r="H164" s="26">
        <f t="shared" si="2"/>
        <v>1384.4444444444443</v>
      </c>
      <c r="I164" s="221"/>
      <c r="J164" s="22" t="s">
        <v>32</v>
      </c>
    </row>
    <row r="165" spans="1:10">
      <c r="A165" s="27">
        <f>C22</f>
        <v>11</v>
      </c>
      <c r="B165" s="221"/>
      <c r="C165" s="28">
        <f>C158</f>
        <v>74.358000000000004</v>
      </c>
      <c r="D165" s="221"/>
      <c r="E165" s="29">
        <f>C107</f>
        <v>0</v>
      </c>
      <c r="F165" s="30">
        <f t="shared" si="3"/>
        <v>0</v>
      </c>
      <c r="G165" s="30">
        <f t="shared" si="1"/>
        <v>1384.4444444444443</v>
      </c>
      <c r="H165" s="31">
        <f t="shared" si="2"/>
        <v>2768.8888888888887</v>
      </c>
      <c r="I165" s="221"/>
      <c r="J165" s="27" t="s">
        <v>33</v>
      </c>
    </row>
    <row r="167" spans="1:10">
      <c r="A167" s="55" t="s">
        <v>67</v>
      </c>
    </row>
    <row r="168" spans="1:10">
      <c r="A168" s="17" t="str">
        <f>J162</f>
        <v>Raz</v>
      </c>
      <c r="B168" s="221" t="s">
        <v>4</v>
      </c>
      <c r="C168" s="32">
        <f t="array" ref="C168:F171">MINVERSE(E162:H165)</f>
        <v>4.2242318275624862E-4</v>
      </c>
      <c r="D168" s="33">
        <v>-1.2253496904379732E-4</v>
      </c>
      <c r="E168" s="33">
        <v>3.224604448520983E-5</v>
      </c>
      <c r="F168" s="21">
        <v>-1.6123022242604915E-5</v>
      </c>
      <c r="G168" s="221" t="s">
        <v>66</v>
      </c>
      <c r="H168" s="18">
        <f>A162+C162</f>
        <v>-74.358000000000004</v>
      </c>
    </row>
    <row r="169" spans="1:10">
      <c r="A169" s="22" t="str">
        <f>J163</f>
        <v>Rbz</v>
      </c>
      <c r="B169" s="221"/>
      <c r="C169" s="34">
        <v>-1.2253496904379732E-4</v>
      </c>
      <c r="D169" s="35">
        <v>2.4506993808759463E-4</v>
      </c>
      <c r="E169" s="35">
        <v>-6.449208897041966E-5</v>
      </c>
      <c r="F169" s="26">
        <v>3.224604448520983E-5</v>
      </c>
      <c r="G169" s="221"/>
      <c r="H169" s="23">
        <f t="shared" ref="H169:H170" si="4">A163+C163</f>
        <v>-43.352850000000018</v>
      </c>
    </row>
    <row r="170" spans="1:10">
      <c r="A170" s="22" t="str">
        <f>J164</f>
        <v>Rcz</v>
      </c>
      <c r="B170" s="221"/>
      <c r="C170" s="34">
        <v>3.2246044485209823E-5</v>
      </c>
      <c r="D170" s="35">
        <v>-6.4492088970419646E-5</v>
      </c>
      <c r="E170" s="35">
        <v>2.4506993808759463E-4</v>
      </c>
      <c r="F170" s="26">
        <v>-1.2253496904379732E-4</v>
      </c>
      <c r="G170" s="221"/>
      <c r="H170" s="23">
        <f t="shared" si="4"/>
        <v>35.215350000000015</v>
      </c>
    </row>
    <row r="171" spans="1:10">
      <c r="A171" s="27" t="str">
        <f>J165</f>
        <v>Rdz</v>
      </c>
      <c r="B171" s="221"/>
      <c r="C171" s="36">
        <v>-1.6123022242604912E-5</v>
      </c>
      <c r="D171" s="37">
        <v>3.2246044485209823E-5</v>
      </c>
      <c r="E171" s="37">
        <v>-1.2253496904379732E-4</v>
      </c>
      <c r="F171" s="31">
        <v>4.2242318275624862E-4</v>
      </c>
      <c r="G171" s="221"/>
      <c r="H171" s="28">
        <f>A165+C165</f>
        <v>85.358000000000004</v>
      </c>
    </row>
    <row r="173" spans="1:10">
      <c r="A173" s="17" t="str">
        <f>A168</f>
        <v>Raz</v>
      </c>
      <c r="B173" s="221" t="s">
        <v>4</v>
      </c>
      <c r="C173" s="18">
        <f t="array" ref="C173:C176">MMULT(C168:F171,H168:H171)</f>
        <v>-2.6338976080600783E-2</v>
      </c>
      <c r="D173" s="1" t="s">
        <v>68</v>
      </c>
    </row>
    <row r="174" spans="1:10">
      <c r="A174" s="22" t="str">
        <f>A169</f>
        <v>Rbz</v>
      </c>
      <c r="B174" s="221"/>
      <c r="C174" s="23">
        <v>-1.0316786574180274E-3</v>
      </c>
      <c r="D174" s="1" t="s">
        <v>68</v>
      </c>
    </row>
    <row r="175" spans="1:10">
      <c r="A175" s="22" t="str">
        <f>A170</f>
        <v>Rcz</v>
      </c>
      <c r="B175" s="221"/>
      <c r="C175" s="23">
        <v>-1.4309517599174464E-3</v>
      </c>
      <c r="D175" s="1" t="s">
        <v>68</v>
      </c>
    </row>
    <row r="176" spans="1:10">
      <c r="A176" s="27" t="str">
        <f>A171</f>
        <v>Rdz</v>
      </c>
      <c r="B176" s="221"/>
      <c r="C176" s="28">
        <v>3.1543003969846363E-2</v>
      </c>
      <c r="D176" s="1" t="s">
        <v>68</v>
      </c>
    </row>
    <row r="179" spans="1:13" s="95" customFormat="1">
      <c r="A179" s="94" t="s">
        <v>69</v>
      </c>
      <c r="C179" s="94" t="s">
        <v>70</v>
      </c>
      <c r="D179" s="96"/>
    </row>
    <row r="181" spans="1:13">
      <c r="A181" s="199" t="s">
        <v>71</v>
      </c>
      <c r="B181" s="199" t="s">
        <v>4</v>
      </c>
      <c r="C181" s="17">
        <v>0</v>
      </c>
      <c r="D181" s="1" t="s">
        <v>37</v>
      </c>
    </row>
    <row r="182" spans="1:13">
      <c r="A182" s="199"/>
      <c r="B182" s="199"/>
      <c r="C182" s="23">
        <f>C173</f>
        <v>-2.6338976080600783E-2</v>
      </c>
      <c r="D182" s="1" t="s">
        <v>30</v>
      </c>
    </row>
    <row r="183" spans="1:13">
      <c r="A183" s="199"/>
      <c r="B183" s="199"/>
      <c r="C183" s="22">
        <v>0</v>
      </c>
      <c r="D183" s="1" t="s">
        <v>36</v>
      </c>
    </row>
    <row r="184" spans="1:13">
      <c r="A184" s="199"/>
      <c r="B184" s="199"/>
      <c r="C184" s="28">
        <f>C174</f>
        <v>-1.0316786574180274E-3</v>
      </c>
      <c r="D184" s="1" t="s">
        <v>31</v>
      </c>
    </row>
    <row r="185" spans="1:13" s="2" customFormat="1">
      <c r="C185" s="56"/>
      <c r="H185" s="56"/>
      <c r="M185" s="56"/>
    </row>
    <row r="186" spans="1:13" s="2" customFormat="1">
      <c r="A186" s="199" t="s">
        <v>72</v>
      </c>
      <c r="B186" s="199" t="s">
        <v>4</v>
      </c>
      <c r="C186" s="17">
        <v>0</v>
      </c>
      <c r="D186" s="1" t="s">
        <v>36</v>
      </c>
      <c r="H186" s="56"/>
      <c r="M186" s="56"/>
    </row>
    <row r="187" spans="1:13" s="2" customFormat="1">
      <c r="A187" s="199"/>
      <c r="B187" s="199"/>
      <c r="C187" s="23">
        <f>C174</f>
        <v>-1.0316786574180274E-3</v>
      </c>
      <c r="D187" s="1" t="s">
        <v>31</v>
      </c>
      <c r="H187" s="56"/>
      <c r="M187" s="56"/>
    </row>
    <row r="188" spans="1:13" s="2" customFormat="1">
      <c r="A188" s="199"/>
      <c r="B188" s="199"/>
      <c r="C188" s="22">
        <v>0</v>
      </c>
      <c r="D188" s="1" t="s">
        <v>34</v>
      </c>
      <c r="H188" s="56"/>
      <c r="M188" s="56"/>
    </row>
    <row r="189" spans="1:13" s="2" customFormat="1">
      <c r="A189" s="199"/>
      <c r="B189" s="199"/>
      <c r="C189" s="28">
        <f>C175</f>
        <v>-1.4309517599174464E-3</v>
      </c>
      <c r="D189" s="1" t="s">
        <v>32</v>
      </c>
      <c r="H189" s="56"/>
      <c r="M189" s="56"/>
    </row>
    <row r="190" spans="1:13" s="2" customFormat="1">
      <c r="C190" s="56"/>
      <c r="H190" s="56"/>
      <c r="M190" s="56"/>
    </row>
    <row r="191" spans="1:13" s="2" customFormat="1">
      <c r="A191" s="199" t="s">
        <v>73</v>
      </c>
      <c r="B191" s="199" t="s">
        <v>4</v>
      </c>
      <c r="C191" s="17">
        <v>0</v>
      </c>
      <c r="D191" s="1" t="s">
        <v>34</v>
      </c>
      <c r="H191" s="56"/>
      <c r="M191" s="56"/>
    </row>
    <row r="192" spans="1:13" s="2" customFormat="1">
      <c r="A192" s="199"/>
      <c r="B192" s="199"/>
      <c r="C192" s="23">
        <f>C175</f>
        <v>-1.4309517599174464E-3</v>
      </c>
      <c r="D192" s="1" t="s">
        <v>32</v>
      </c>
      <c r="H192" s="56"/>
      <c r="M192" s="56"/>
    </row>
    <row r="193" spans="1:13" s="2" customFormat="1">
      <c r="A193" s="199"/>
      <c r="B193" s="199"/>
      <c r="C193" s="22">
        <v>0</v>
      </c>
      <c r="D193" s="1" t="s">
        <v>35</v>
      </c>
      <c r="H193" s="56"/>
      <c r="M193" s="56"/>
    </row>
    <row r="194" spans="1:13" s="2" customFormat="1">
      <c r="A194" s="199"/>
      <c r="B194" s="199"/>
      <c r="C194" s="28">
        <f>C176</f>
        <v>3.1543003969846363E-2</v>
      </c>
      <c r="D194" s="1" t="s">
        <v>33</v>
      </c>
      <c r="H194" s="56"/>
      <c r="M194" s="56"/>
    </row>
    <row r="195" spans="1:13" s="2" customFormat="1">
      <c r="C195" s="56"/>
      <c r="H195" s="56"/>
      <c r="M195" s="56"/>
    </row>
    <row r="196" spans="1:13" s="2" customFormat="1">
      <c r="C196" s="56"/>
      <c r="H196" s="56"/>
      <c r="M196" s="56"/>
    </row>
    <row r="199" spans="1:13" s="2" customFormat="1"/>
    <row r="200" spans="1:13" s="95" customFormat="1">
      <c r="A200" s="94" t="s">
        <v>74</v>
      </c>
      <c r="C200" s="94" t="s">
        <v>75</v>
      </c>
      <c r="D200" s="96"/>
    </row>
    <row r="202" spans="1:13" ht="14.45" customHeight="1">
      <c r="A202" s="212" t="s">
        <v>76</v>
      </c>
      <c r="B202" s="199" t="s">
        <v>77</v>
      </c>
    </row>
    <row r="203" spans="1:13">
      <c r="A203" s="212"/>
      <c r="B203" s="199"/>
    </row>
    <row r="204" spans="1:13">
      <c r="A204" s="212"/>
      <c r="B204" s="199"/>
    </row>
    <row r="205" spans="1:13">
      <c r="A205" s="212"/>
      <c r="B205" s="199"/>
    </row>
    <row r="206" spans="1:13" s="103" customFormat="1">
      <c r="A206" s="108"/>
    </row>
    <row r="207" spans="1:13">
      <c r="A207" s="9" t="s">
        <v>52</v>
      </c>
    </row>
    <row r="208" spans="1:13">
      <c r="A208" s="22" t="s">
        <v>96</v>
      </c>
      <c r="B208" s="208" t="s">
        <v>4</v>
      </c>
      <c r="C208" s="41">
        <f t="shared" ref="C208:F211" si="5">A62</f>
        <v>284.86511202560581</v>
      </c>
      <c r="D208" s="41">
        <f t="shared" si="5"/>
        <v>769.13580246913568</v>
      </c>
      <c r="E208" s="41">
        <f t="shared" si="5"/>
        <v>-284.86511202560581</v>
      </c>
      <c r="F208" s="41">
        <f t="shared" si="5"/>
        <v>769.13580246913568</v>
      </c>
      <c r="G208" s="208" t="s">
        <v>66</v>
      </c>
      <c r="H208" s="10">
        <f>C181</f>
        <v>0</v>
      </c>
      <c r="I208" s="208" t="s">
        <v>79</v>
      </c>
      <c r="J208" s="201">
        <f>C137</f>
        <v>-82.62</v>
      </c>
      <c r="K208" s="202"/>
    </row>
    <row r="209" spans="1:11">
      <c r="A209" s="22" t="s">
        <v>162</v>
      </c>
      <c r="B209" s="208"/>
      <c r="C209" s="41">
        <f t="shared" si="5"/>
        <v>769.13580246913568</v>
      </c>
      <c r="D209" s="41">
        <f t="shared" si="5"/>
        <v>2768.8888888888887</v>
      </c>
      <c r="E209" s="41">
        <f t="shared" si="5"/>
        <v>-769.13580246913568</v>
      </c>
      <c r="F209" s="41">
        <f t="shared" si="5"/>
        <v>1384.4444444444443</v>
      </c>
      <c r="G209" s="208"/>
      <c r="H209" s="14">
        <f>C182</f>
        <v>-2.6338976080600783E-2</v>
      </c>
      <c r="I209" s="208"/>
      <c r="J209" s="201">
        <f>C138</f>
        <v>-74.358000000000004</v>
      </c>
      <c r="K209" s="202"/>
    </row>
    <row r="210" spans="1:11">
      <c r="A210" s="22" t="s">
        <v>103</v>
      </c>
      <c r="B210" s="208"/>
      <c r="C210" s="41">
        <f t="shared" si="5"/>
        <v>-284.86511202560581</v>
      </c>
      <c r="D210" s="41">
        <f t="shared" si="5"/>
        <v>-769.13580246913568</v>
      </c>
      <c r="E210" s="41">
        <f t="shared" si="5"/>
        <v>284.86511202560581</v>
      </c>
      <c r="F210" s="41">
        <f t="shared" si="5"/>
        <v>-769.13580246913568</v>
      </c>
      <c r="G210" s="208"/>
      <c r="H210" s="10">
        <f>C183</f>
        <v>0</v>
      </c>
      <c r="I210" s="208"/>
      <c r="J210" s="201">
        <f>C139</f>
        <v>-82.62</v>
      </c>
      <c r="K210" s="202"/>
    </row>
    <row r="211" spans="1:11">
      <c r="A211" s="22" t="s">
        <v>163</v>
      </c>
      <c r="B211" s="208"/>
      <c r="C211" s="41">
        <f t="shared" si="5"/>
        <v>769.13580246913568</v>
      </c>
      <c r="D211" s="41">
        <f t="shared" si="5"/>
        <v>1384.4444444444443</v>
      </c>
      <c r="E211" s="41">
        <f t="shared" si="5"/>
        <v>-769.13580246913568</v>
      </c>
      <c r="F211" s="41">
        <f t="shared" si="5"/>
        <v>2768.8888888888887</v>
      </c>
      <c r="G211" s="208"/>
      <c r="H211" s="14">
        <f>C184</f>
        <v>-1.0316786574180274E-3</v>
      </c>
      <c r="I211" s="208"/>
      <c r="J211" s="201">
        <f>C140</f>
        <v>74.358000000000004</v>
      </c>
      <c r="K211" s="202"/>
    </row>
    <row r="212" spans="1:11" ht="15.75" thickBot="1">
      <c r="B212" s="2"/>
      <c r="C212" s="2"/>
      <c r="D212" s="2"/>
      <c r="E212" s="2"/>
      <c r="F212" s="2"/>
      <c r="G212" s="2"/>
      <c r="H212" s="2"/>
      <c r="I212" s="2"/>
      <c r="J212" s="2"/>
    </row>
    <row r="213" spans="1:11">
      <c r="A213" s="22" t="s">
        <v>96</v>
      </c>
      <c r="B213" s="208" t="s">
        <v>4</v>
      </c>
      <c r="C213" s="14">
        <f t="array" ref="C213:C216">MMULT(C208:F211,H208:H211)</f>
        <v>-21.051750496031751</v>
      </c>
      <c r="D213" s="208" t="s">
        <v>79</v>
      </c>
      <c r="E213" s="14">
        <f>J208</f>
        <v>-82.62</v>
      </c>
      <c r="F213" s="211" t="s">
        <v>4</v>
      </c>
      <c r="G213" s="64">
        <f>C213-E213</f>
        <v>61.568249503968254</v>
      </c>
      <c r="H213" s="57" t="s">
        <v>13</v>
      </c>
      <c r="I213" s="2"/>
      <c r="J213" s="2"/>
    </row>
    <row r="214" spans="1:11">
      <c r="A214" s="22" t="s">
        <v>162</v>
      </c>
      <c r="B214" s="208"/>
      <c r="C214" s="14">
        <v>-74.358000000000018</v>
      </c>
      <c r="D214" s="208"/>
      <c r="E214" s="14">
        <f t="shared" ref="E214:E216" si="6">J209</f>
        <v>-74.358000000000004</v>
      </c>
      <c r="F214" s="211"/>
      <c r="G214" s="65">
        <f t="shared" ref="G214:G216" si="7">C214-E214</f>
        <v>0</v>
      </c>
      <c r="H214" s="47" t="s">
        <v>80</v>
      </c>
      <c r="I214" s="2"/>
      <c r="J214" s="2"/>
    </row>
    <row r="215" spans="1:11">
      <c r="A215" s="22" t="s">
        <v>103</v>
      </c>
      <c r="B215" s="208"/>
      <c r="C215" s="14">
        <v>21.051750496031751</v>
      </c>
      <c r="D215" s="208"/>
      <c r="E215" s="14">
        <f t="shared" si="6"/>
        <v>-82.62</v>
      </c>
      <c r="F215" s="211"/>
      <c r="G215" s="65">
        <f t="shared" si="7"/>
        <v>103.67175049603176</v>
      </c>
      <c r="H215" s="47" t="s">
        <v>13</v>
      </c>
      <c r="I215" s="2"/>
      <c r="J215" s="2"/>
    </row>
    <row r="216" spans="1:11" ht="15.75" thickBot="1">
      <c r="A216" s="22" t="s">
        <v>163</v>
      </c>
      <c r="B216" s="208"/>
      <c r="C216" s="14">
        <v>-39.321452678571447</v>
      </c>
      <c r="D216" s="208"/>
      <c r="E216" s="14">
        <f t="shared" si="6"/>
        <v>74.358000000000004</v>
      </c>
      <c r="F216" s="211"/>
      <c r="G216" s="66">
        <f t="shared" si="7"/>
        <v>-113.67945267857145</v>
      </c>
      <c r="H216" s="51" t="s">
        <v>80</v>
      </c>
      <c r="I216" s="2"/>
      <c r="J216" s="2"/>
    </row>
    <row r="217" spans="1:11">
      <c r="B217" s="2"/>
      <c r="C217" s="2"/>
      <c r="D217" s="2"/>
      <c r="E217" s="2"/>
      <c r="F217" s="2"/>
      <c r="G217" s="2"/>
      <c r="H217" s="2"/>
      <c r="I217" s="2"/>
      <c r="J217" s="2"/>
    </row>
    <row r="218" spans="1:11">
      <c r="A218" s="9" t="s">
        <v>53</v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1">
      <c r="A219" s="22" t="s">
        <v>103</v>
      </c>
      <c r="B219" s="208" t="s">
        <v>4</v>
      </c>
      <c r="C219" s="19">
        <f t="shared" ref="C219:F222" si="8">A75</f>
        <v>164.85249538518852</v>
      </c>
      <c r="D219" s="19">
        <f t="shared" si="8"/>
        <v>534.12208504801083</v>
      </c>
      <c r="E219" s="19">
        <f t="shared" si="8"/>
        <v>-164.85249538518852</v>
      </c>
      <c r="F219" s="39">
        <f t="shared" si="8"/>
        <v>534.12208504801083</v>
      </c>
      <c r="G219" s="208" t="s">
        <v>66</v>
      </c>
      <c r="H219" s="14">
        <f>C186</f>
        <v>0</v>
      </c>
      <c r="I219" s="208" t="s">
        <v>79</v>
      </c>
      <c r="J219" s="201">
        <f>C143</f>
        <v>-101.95912037037037</v>
      </c>
      <c r="K219" s="202"/>
    </row>
    <row r="220" spans="1:11">
      <c r="A220" s="22" t="s">
        <v>163</v>
      </c>
      <c r="B220" s="208"/>
      <c r="C220" s="19">
        <f t="shared" si="8"/>
        <v>534.12208504801083</v>
      </c>
      <c r="D220" s="19">
        <f t="shared" si="8"/>
        <v>2307.4074074074074</v>
      </c>
      <c r="E220" s="19">
        <f t="shared" si="8"/>
        <v>-534.12208504801083</v>
      </c>
      <c r="F220" s="39">
        <f t="shared" si="8"/>
        <v>1153.7037037037037</v>
      </c>
      <c r="G220" s="208"/>
      <c r="H220" s="14">
        <f>C187</f>
        <v>-1.0316786574180274E-3</v>
      </c>
      <c r="I220" s="208"/>
      <c r="J220" s="201">
        <f>C144</f>
        <v>-117.71085000000002</v>
      </c>
      <c r="K220" s="202"/>
    </row>
    <row r="221" spans="1:11">
      <c r="A221" s="22" t="s">
        <v>104</v>
      </c>
      <c r="B221" s="208"/>
      <c r="C221" s="19">
        <f t="shared" si="8"/>
        <v>-164.85249538518852</v>
      </c>
      <c r="D221" s="19">
        <f t="shared" si="8"/>
        <v>-534.12208504801083</v>
      </c>
      <c r="E221" s="19">
        <f t="shared" si="8"/>
        <v>164.85249538518852</v>
      </c>
      <c r="F221" s="39">
        <f t="shared" si="8"/>
        <v>-534.12208504801083</v>
      </c>
      <c r="G221" s="208"/>
      <c r="H221" s="14">
        <f>C188</f>
        <v>0</v>
      </c>
      <c r="I221" s="208"/>
      <c r="J221" s="201">
        <f>C145</f>
        <v>-94.280879629629624</v>
      </c>
      <c r="K221" s="202"/>
    </row>
    <row r="222" spans="1:11">
      <c r="A222" s="22" t="s">
        <v>164</v>
      </c>
      <c r="B222" s="208"/>
      <c r="C222" s="40">
        <f t="shared" si="8"/>
        <v>534.12208504801083</v>
      </c>
      <c r="D222" s="40">
        <f t="shared" si="8"/>
        <v>1153.7037037037037</v>
      </c>
      <c r="E222" s="40">
        <f t="shared" si="8"/>
        <v>-534.12208504801083</v>
      </c>
      <c r="F222" s="41">
        <f t="shared" si="8"/>
        <v>2307.4074074074074</v>
      </c>
      <c r="G222" s="208"/>
      <c r="H222" s="14">
        <f>C189</f>
        <v>-1.4309517599174464E-3</v>
      </c>
      <c r="I222" s="208"/>
      <c r="J222" s="201">
        <f>C146</f>
        <v>109.57335000000002</v>
      </c>
      <c r="K222" s="202"/>
    </row>
    <row r="223" spans="1:11" ht="15.75" thickBot="1">
      <c r="B223" s="2"/>
      <c r="C223" s="2"/>
      <c r="D223" s="2"/>
      <c r="E223" s="2"/>
      <c r="F223" s="2"/>
      <c r="G223" s="2"/>
      <c r="H223" s="2"/>
      <c r="I223" s="2"/>
      <c r="J223" s="2"/>
    </row>
    <row r="224" spans="1:11">
      <c r="A224" s="22" t="s">
        <v>103</v>
      </c>
      <c r="B224" s="208" t="s">
        <v>4</v>
      </c>
      <c r="C224" s="14">
        <f t="array" ref="C224:C227">MMULT(C219:F222,H219:H222)</f>
        <v>-1.3153452932098764</v>
      </c>
      <c r="D224" s="208" t="s">
        <v>79</v>
      </c>
      <c r="E224" s="14">
        <f>J219</f>
        <v>-101.95912037037037</v>
      </c>
      <c r="F224" s="211" t="s">
        <v>4</v>
      </c>
      <c r="G224" s="64">
        <f>C224-E224</f>
        <v>100.6437750771605</v>
      </c>
      <c r="H224" s="57" t="s">
        <v>13</v>
      </c>
      <c r="I224" s="2"/>
      <c r="J224" s="2"/>
    </row>
    <row r="225" spans="1:11">
      <c r="A225" s="22" t="s">
        <v>163</v>
      </c>
      <c r="B225" s="208"/>
      <c r="C225" s="14">
        <v>-4.0313973214285763</v>
      </c>
      <c r="D225" s="208"/>
      <c r="E225" s="14">
        <f t="shared" ref="E225:E227" si="9">J220</f>
        <v>-117.71085000000002</v>
      </c>
      <c r="F225" s="211"/>
      <c r="G225" s="65">
        <f t="shared" ref="G225:G227" si="10">C225-E225</f>
        <v>113.67945267857145</v>
      </c>
      <c r="H225" s="47" t="s">
        <v>80</v>
      </c>
      <c r="I225" s="2"/>
      <c r="J225" s="2"/>
    </row>
    <row r="226" spans="1:11">
      <c r="A226" s="22" t="s">
        <v>104</v>
      </c>
      <c r="B226" s="208"/>
      <c r="C226" s="14">
        <v>1.3153452932098764</v>
      </c>
      <c r="D226" s="208"/>
      <c r="E226" s="14">
        <f t="shared" si="9"/>
        <v>-94.280879629629624</v>
      </c>
      <c r="F226" s="211"/>
      <c r="G226" s="65">
        <f t="shared" si="10"/>
        <v>95.596224922839497</v>
      </c>
      <c r="H226" s="47" t="s">
        <v>13</v>
      </c>
      <c r="I226" s="2"/>
      <c r="J226" s="2"/>
    </row>
    <row r="227" spans="1:11" ht="15.75" thickBot="1">
      <c r="A227" s="22" t="s">
        <v>164</v>
      </c>
      <c r="B227" s="208"/>
      <c r="C227" s="14">
        <v>-4.4920401785714246</v>
      </c>
      <c r="D227" s="208"/>
      <c r="E227" s="14">
        <f t="shared" si="9"/>
        <v>109.57335000000002</v>
      </c>
      <c r="F227" s="211"/>
      <c r="G227" s="66">
        <f t="shared" si="10"/>
        <v>-114.06539017857145</v>
      </c>
      <c r="H227" s="51" t="s">
        <v>80</v>
      </c>
      <c r="I227" s="2"/>
      <c r="J227" s="2"/>
    </row>
    <row r="228" spans="1:11">
      <c r="B228" s="2"/>
      <c r="C228" s="2"/>
      <c r="D228" s="2"/>
      <c r="E228" s="2"/>
      <c r="F228" s="2"/>
      <c r="G228" s="2"/>
      <c r="H228" s="2"/>
      <c r="I228" s="2"/>
      <c r="J228" s="2"/>
    </row>
    <row r="229" spans="1:11">
      <c r="A229" s="9" t="s">
        <v>54</v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1">
      <c r="A230" s="22" t="s">
        <v>104</v>
      </c>
      <c r="B230" s="208" t="s">
        <v>4</v>
      </c>
      <c r="C230" s="41">
        <f t="shared" ref="C230:F233" si="11">A88</f>
        <v>284.86511202560581</v>
      </c>
      <c r="D230" s="41">
        <f t="shared" si="11"/>
        <v>769.13580246913568</v>
      </c>
      <c r="E230" s="41">
        <f t="shared" si="11"/>
        <v>-284.86511202560581</v>
      </c>
      <c r="F230" s="41">
        <f t="shared" si="11"/>
        <v>769.13580246913568</v>
      </c>
      <c r="G230" s="208" t="s">
        <v>66</v>
      </c>
      <c r="H230" s="14">
        <f>C191</f>
        <v>0</v>
      </c>
      <c r="I230" s="208" t="s">
        <v>79</v>
      </c>
      <c r="J230" s="201">
        <f>C149</f>
        <v>-82.62</v>
      </c>
      <c r="K230" s="202"/>
    </row>
    <row r="231" spans="1:11">
      <c r="A231" s="22" t="s">
        <v>164</v>
      </c>
      <c r="B231" s="208"/>
      <c r="C231" s="41">
        <f t="shared" si="11"/>
        <v>769.13580246913568</v>
      </c>
      <c r="D231" s="41">
        <f t="shared" si="11"/>
        <v>2768.8888888888887</v>
      </c>
      <c r="E231" s="41">
        <f t="shared" si="11"/>
        <v>-769.13580246913568</v>
      </c>
      <c r="F231" s="41">
        <f t="shared" si="11"/>
        <v>1384.4444444444443</v>
      </c>
      <c r="G231" s="208"/>
      <c r="H231" s="14">
        <f>C192</f>
        <v>-1.4309517599174464E-3</v>
      </c>
      <c r="I231" s="208"/>
      <c r="J231" s="201">
        <f>C150</f>
        <v>-74.358000000000004</v>
      </c>
      <c r="K231" s="202"/>
    </row>
    <row r="232" spans="1:11">
      <c r="A232" s="22" t="s">
        <v>101</v>
      </c>
      <c r="B232" s="208"/>
      <c r="C232" s="41">
        <f t="shared" si="11"/>
        <v>-284.86511202560581</v>
      </c>
      <c r="D232" s="41">
        <f t="shared" si="11"/>
        <v>-769.13580246913568</v>
      </c>
      <c r="E232" s="41">
        <f t="shared" si="11"/>
        <v>284.86511202560581</v>
      </c>
      <c r="F232" s="41">
        <f t="shared" si="11"/>
        <v>-769.13580246913568</v>
      </c>
      <c r="G232" s="208"/>
      <c r="H232" s="14">
        <f>C193</f>
        <v>0</v>
      </c>
      <c r="I232" s="208"/>
      <c r="J232" s="201">
        <f>C151</f>
        <v>-82.62</v>
      </c>
      <c r="K232" s="202"/>
    </row>
    <row r="233" spans="1:11">
      <c r="A233" s="22" t="s">
        <v>165</v>
      </c>
      <c r="B233" s="208"/>
      <c r="C233" s="41">
        <f t="shared" si="11"/>
        <v>769.13580246913568</v>
      </c>
      <c r="D233" s="41">
        <f t="shared" si="11"/>
        <v>1384.4444444444443</v>
      </c>
      <c r="E233" s="41">
        <f t="shared" si="11"/>
        <v>-769.13580246913568</v>
      </c>
      <c r="F233" s="41">
        <f t="shared" si="11"/>
        <v>2768.8888888888887</v>
      </c>
      <c r="G233" s="208"/>
      <c r="H233" s="14">
        <f>C194</f>
        <v>3.1543003969846363E-2</v>
      </c>
      <c r="I233" s="208"/>
      <c r="J233" s="201">
        <f>C152</f>
        <v>74.358000000000004</v>
      </c>
      <c r="K233" s="202"/>
    </row>
    <row r="234" spans="1:11" ht="15.75" thickBot="1">
      <c r="B234" s="2"/>
      <c r="C234" s="2"/>
      <c r="D234" s="2"/>
      <c r="E234" s="2"/>
      <c r="F234" s="2"/>
      <c r="G234" s="2"/>
      <c r="H234" s="2"/>
      <c r="I234" s="2"/>
      <c r="J234" s="2"/>
    </row>
    <row r="235" spans="1:11">
      <c r="A235" s="22" t="s">
        <v>104</v>
      </c>
      <c r="B235" s="208" t="s">
        <v>4</v>
      </c>
      <c r="C235" s="14">
        <f t="array" ref="C235:C238">MMULT(C230:F233,H230:H233)</f>
        <v>23.160257440476187</v>
      </c>
      <c r="D235" s="208" t="s">
        <v>79</v>
      </c>
      <c r="E235" s="14">
        <f>J230</f>
        <v>-82.62</v>
      </c>
      <c r="F235" s="211" t="s">
        <v>4</v>
      </c>
      <c r="G235" s="64">
        <f>C235-E235</f>
        <v>105.78025744047619</v>
      </c>
      <c r="H235" s="57" t="s">
        <v>13</v>
      </c>
      <c r="I235" s="2"/>
      <c r="J235" s="2"/>
    </row>
    <row r="236" spans="1:11">
      <c r="A236" s="22" t="s">
        <v>164</v>
      </c>
      <c r="B236" s="208"/>
      <c r="C236" s="14">
        <v>39.707390178571437</v>
      </c>
      <c r="D236" s="208"/>
      <c r="E236" s="14">
        <f>J231</f>
        <v>-74.358000000000004</v>
      </c>
      <c r="F236" s="211"/>
      <c r="G236" s="65">
        <f>C236-E236</f>
        <v>114.06539017857145</v>
      </c>
      <c r="H236" s="47" t="s">
        <v>80</v>
      </c>
      <c r="I236" s="2"/>
      <c r="J236" s="2"/>
    </row>
    <row r="237" spans="1:11">
      <c r="A237" s="22" t="s">
        <v>101</v>
      </c>
      <c r="B237" s="208"/>
      <c r="C237" s="14">
        <v>-23.160257440476187</v>
      </c>
      <c r="D237" s="208"/>
      <c r="E237" s="14">
        <f t="shared" ref="E237:E238" si="12">J232</f>
        <v>-82.62</v>
      </c>
      <c r="F237" s="211"/>
      <c r="G237" s="65">
        <f t="shared" ref="G237:G238" si="13">C237-E237</f>
        <v>59.459742559523818</v>
      </c>
      <c r="H237" s="47" t="s">
        <v>13</v>
      </c>
      <c r="I237" s="2"/>
      <c r="J237" s="2"/>
    </row>
    <row r="238" spans="1:11" ht="15.75" thickBot="1">
      <c r="A238" s="22" t="s">
        <v>165</v>
      </c>
      <c r="B238" s="208"/>
      <c r="C238" s="14">
        <v>85.35799999999999</v>
      </c>
      <c r="D238" s="208"/>
      <c r="E238" s="14">
        <f t="shared" si="12"/>
        <v>74.358000000000004</v>
      </c>
      <c r="F238" s="211"/>
      <c r="G238" s="66">
        <f t="shared" si="13"/>
        <v>10.999999999999986</v>
      </c>
      <c r="H238" s="51" t="s">
        <v>80</v>
      </c>
      <c r="I238" s="2"/>
      <c r="J238" s="2"/>
    </row>
    <row r="239" spans="1:11" ht="15.75" thickBot="1"/>
    <row r="240" spans="1:11">
      <c r="A240" s="203" t="s">
        <v>87</v>
      </c>
      <c r="B240" s="204"/>
      <c r="C240" s="204"/>
      <c r="D240" s="204"/>
      <c r="E240" s="204"/>
      <c r="F240" s="205"/>
    </row>
    <row r="241" spans="1:11" ht="15.75" thickBot="1">
      <c r="A241" s="206" t="s">
        <v>166</v>
      </c>
      <c r="B241" s="207"/>
      <c r="C241" s="207"/>
      <c r="D241" s="35" t="s">
        <v>4</v>
      </c>
      <c r="E241" s="35">
        <v>0</v>
      </c>
      <c r="F241" s="47"/>
    </row>
    <row r="242" spans="1:11" ht="15.75" thickBot="1">
      <c r="A242" s="58">
        <f>G213+G215+G224+G226+G235+G237</f>
        <v>526.72</v>
      </c>
      <c r="B242" s="49" t="s">
        <v>79</v>
      </c>
      <c r="C242" s="59">
        <f>F26*C19+F27*C20+F28*C19+C18</f>
        <v>526.72</v>
      </c>
      <c r="D242" s="49" t="s">
        <v>4</v>
      </c>
      <c r="E242" s="59">
        <f>A242-C242</f>
        <v>0</v>
      </c>
      <c r="F242" s="89" t="str">
        <f>IF(A242-C242=0,"OKE","NOT OKE")</f>
        <v>OKE</v>
      </c>
    </row>
    <row r="244" spans="1:11" s="95" customFormat="1">
      <c r="A244" s="94" t="s">
        <v>89</v>
      </c>
      <c r="C244" s="94" t="s">
        <v>88</v>
      </c>
      <c r="D244" s="96"/>
    </row>
    <row r="245" spans="1:11">
      <c r="B245" s="2"/>
      <c r="C245" s="2"/>
      <c r="D245" s="2"/>
      <c r="E245" s="2"/>
      <c r="F245" s="2"/>
      <c r="G245" s="2"/>
      <c r="H245" s="2"/>
      <c r="I245" s="2"/>
      <c r="J245" s="2"/>
    </row>
    <row r="246" spans="1:11">
      <c r="B246" s="2" t="s">
        <v>26</v>
      </c>
      <c r="C246" s="2"/>
      <c r="D246" s="199" t="s">
        <v>27</v>
      </c>
      <c r="E246" s="199"/>
      <c r="F246" s="2"/>
      <c r="G246" s="199" t="s">
        <v>28</v>
      </c>
      <c r="H246" s="199"/>
      <c r="I246" s="2"/>
      <c r="J246" s="55" t="s">
        <v>29</v>
      </c>
      <c r="K246" s="2"/>
    </row>
    <row r="247" spans="1:11">
      <c r="B247" s="2"/>
      <c r="C247" s="2"/>
      <c r="D247" s="62">
        <f>G216</f>
        <v>-113.67945267857145</v>
      </c>
      <c r="E247" s="62">
        <f>G225</f>
        <v>113.67945267857145</v>
      </c>
      <c r="F247" s="2"/>
      <c r="G247" s="62">
        <f>G227</f>
        <v>-114.06539017857145</v>
      </c>
      <c r="H247" s="62">
        <f>G236</f>
        <v>114.06539017857145</v>
      </c>
      <c r="I247" s="2"/>
      <c r="J247" s="209">
        <f>G238</f>
        <v>10.999999999999986</v>
      </c>
      <c r="K247" s="209"/>
    </row>
    <row r="248" spans="1:11"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1:11"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1:11">
      <c r="B250" s="60"/>
      <c r="C250" s="2"/>
      <c r="D250" s="2"/>
      <c r="E250" s="55"/>
      <c r="F250" s="2"/>
      <c r="G250" s="55"/>
      <c r="H250" s="2"/>
      <c r="I250" s="2"/>
      <c r="J250" s="2"/>
      <c r="K250" s="2"/>
    </row>
    <row r="251" spans="1:11">
      <c r="B251" s="2">
        <v>1</v>
      </c>
      <c r="C251" s="2"/>
      <c r="D251" s="2"/>
      <c r="E251" s="2">
        <v>2</v>
      </c>
      <c r="F251" s="2"/>
      <c r="G251" s="2"/>
      <c r="H251" s="2">
        <v>3</v>
      </c>
      <c r="I251" s="2"/>
      <c r="J251" s="2"/>
      <c r="K251" s="2"/>
    </row>
    <row r="252" spans="1:11"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1:11">
      <c r="B253" s="2"/>
      <c r="C253" s="2"/>
      <c r="D253" s="62"/>
      <c r="E253" s="2"/>
      <c r="F253" s="2"/>
      <c r="G253" s="2"/>
      <c r="H253" s="2"/>
      <c r="I253" s="2"/>
      <c r="J253" s="2"/>
      <c r="K253" s="2"/>
    </row>
    <row r="254" spans="1:11">
      <c r="B254" s="61">
        <f>G213</f>
        <v>61.568249503968254</v>
      </c>
      <c r="C254" s="2"/>
      <c r="D254" s="61">
        <f>G215</f>
        <v>103.67175049603176</v>
      </c>
      <c r="E254" s="61">
        <f>G224</f>
        <v>100.6437750771605</v>
      </c>
      <c r="F254" s="2"/>
      <c r="G254" s="61">
        <f>G226</f>
        <v>95.596224922839497</v>
      </c>
      <c r="H254" s="61">
        <f>G235</f>
        <v>105.78025744047619</v>
      </c>
      <c r="I254" s="2"/>
      <c r="J254" s="210">
        <f>G237</f>
        <v>59.459742559523818</v>
      </c>
      <c r="K254" s="210"/>
    </row>
    <row r="255" spans="1:11">
      <c r="B255" s="2" t="s">
        <v>92</v>
      </c>
      <c r="C255" s="2"/>
      <c r="D255" s="199" t="s">
        <v>93</v>
      </c>
      <c r="E255" s="199"/>
      <c r="F255" s="2"/>
      <c r="G255" s="199" t="s">
        <v>94</v>
      </c>
      <c r="H255" s="199"/>
      <c r="I255" s="2"/>
      <c r="J255" s="2" t="s">
        <v>95</v>
      </c>
      <c r="K255" s="2"/>
    </row>
    <row r="256" spans="1:11" s="2" customFormat="1">
      <c r="D256" s="200">
        <f>SUM(D254:E254)</f>
        <v>204.31552557319225</v>
      </c>
      <c r="E256" s="200"/>
      <c r="G256" s="200">
        <f>SUM(G254:H254)</f>
        <v>201.37648236331569</v>
      </c>
      <c r="H256" s="200"/>
    </row>
    <row r="257" spans="1:11" s="2" customFormat="1"/>
    <row r="258" spans="1:11" s="95" customFormat="1">
      <c r="A258" s="94" t="s">
        <v>90</v>
      </c>
      <c r="C258" s="94" t="s">
        <v>91</v>
      </c>
      <c r="D258" s="96"/>
    </row>
    <row r="259" spans="1:11">
      <c r="A259" s="215" t="s">
        <v>125</v>
      </c>
      <c r="B259" s="216"/>
      <c r="C259" s="111" t="s">
        <v>201</v>
      </c>
      <c r="D259" s="111" t="s">
        <v>202</v>
      </c>
      <c r="F259" s="215" t="s">
        <v>102</v>
      </c>
      <c r="G259" s="225"/>
      <c r="H259" s="216"/>
      <c r="I259" s="111" t="s">
        <v>201</v>
      </c>
      <c r="J259" s="224" t="s">
        <v>202</v>
      </c>
      <c r="K259" s="224"/>
    </row>
    <row r="260" spans="1:11">
      <c r="A260" s="10" t="s">
        <v>96</v>
      </c>
      <c r="B260" s="90">
        <f>B254</f>
        <v>61.568249503968254</v>
      </c>
      <c r="C260" s="111">
        <v>63.11</v>
      </c>
      <c r="D260" s="159">
        <f>ABS(B260-C260)/B260</f>
        <v>2.5041324196368057E-2</v>
      </c>
      <c r="F260" s="68" t="s">
        <v>78</v>
      </c>
      <c r="G260" s="226">
        <f>G214</f>
        <v>0</v>
      </c>
      <c r="H260" s="227"/>
      <c r="I260" s="111">
        <v>0</v>
      </c>
      <c r="J260" s="223">
        <f>ABS(G260-I260)</f>
        <v>0</v>
      </c>
      <c r="K260" s="223"/>
    </row>
    <row r="261" spans="1:11">
      <c r="A261" s="10" t="s">
        <v>97</v>
      </c>
      <c r="B261" s="90">
        <f>D254</f>
        <v>103.67175049603176</v>
      </c>
      <c r="C261" s="111">
        <v>105.85</v>
      </c>
      <c r="D261" s="159">
        <f t="shared" ref="D261:D265" si="14">ABS(B261-C261)/B261</f>
        <v>2.101102270913819E-2</v>
      </c>
      <c r="F261" s="68" t="s">
        <v>105</v>
      </c>
      <c r="G261" s="228">
        <f>D247</f>
        <v>-113.67945267857145</v>
      </c>
      <c r="H261" s="229"/>
      <c r="I261" s="111">
        <v>-115.4</v>
      </c>
      <c r="J261" s="222">
        <f>ABS((G261-I261)/G261)</f>
        <v>1.5135077455847723E-2</v>
      </c>
      <c r="K261" s="222"/>
    </row>
    <row r="262" spans="1:11">
      <c r="A262" s="10" t="s">
        <v>98</v>
      </c>
      <c r="B262" s="90">
        <f>E254</f>
        <v>100.6437750771605</v>
      </c>
      <c r="C262" s="111">
        <v>102.9</v>
      </c>
      <c r="D262" s="159">
        <f t="shared" si="14"/>
        <v>2.2417928193867221E-2</v>
      </c>
      <c r="F262" s="68" t="s">
        <v>106</v>
      </c>
      <c r="G262" s="228">
        <f>E247</f>
        <v>113.67945267857145</v>
      </c>
      <c r="H262" s="229"/>
      <c r="I262" s="111">
        <v>115.4</v>
      </c>
      <c r="J262" s="222">
        <f>ABS((G262-I262)/G262)</f>
        <v>1.5135077455847723E-2</v>
      </c>
      <c r="K262" s="222"/>
    </row>
    <row r="263" spans="1:11" s="2" customFormat="1">
      <c r="A263" s="10" t="s">
        <v>99</v>
      </c>
      <c r="B263" s="90">
        <f>G254</f>
        <v>95.596224922839497</v>
      </c>
      <c r="C263" s="111">
        <v>97.81</v>
      </c>
      <c r="D263" s="159">
        <f t="shared" si="14"/>
        <v>2.3157557518064698E-2</v>
      </c>
      <c r="F263" s="68" t="s">
        <v>107</v>
      </c>
      <c r="G263" s="228">
        <f>G247</f>
        <v>-114.06539017857145</v>
      </c>
      <c r="H263" s="229"/>
      <c r="I263" s="111">
        <v>-115.65</v>
      </c>
      <c r="J263" s="222">
        <f>ABS((G263-I263)/G263)</f>
        <v>1.3892117661175069E-2</v>
      </c>
      <c r="K263" s="222"/>
    </row>
    <row r="264" spans="1:11">
      <c r="A264" s="10" t="s">
        <v>100</v>
      </c>
      <c r="B264" s="90">
        <f>H254</f>
        <v>105.78025744047619</v>
      </c>
      <c r="C264" s="111">
        <v>107.93</v>
      </c>
      <c r="D264" s="159">
        <f t="shared" si="14"/>
        <v>2.0322720057034283E-2</v>
      </c>
      <c r="F264" s="68" t="s">
        <v>108</v>
      </c>
      <c r="G264" s="228">
        <f>H247</f>
        <v>114.06539017857145</v>
      </c>
      <c r="H264" s="229"/>
      <c r="I264" s="111">
        <v>115.65</v>
      </c>
      <c r="J264" s="222">
        <f>ABS((G264-I264)/G264)</f>
        <v>1.3892117661175069E-2</v>
      </c>
      <c r="K264" s="222"/>
    </row>
    <row r="265" spans="1:11">
      <c r="A265" s="10" t="s">
        <v>101</v>
      </c>
      <c r="B265" s="90">
        <f>J254</f>
        <v>59.459742559523818</v>
      </c>
      <c r="C265" s="111">
        <v>61.03</v>
      </c>
      <c r="D265" s="159">
        <f t="shared" si="14"/>
        <v>2.640874939719481E-2</v>
      </c>
      <c r="F265" s="68" t="s">
        <v>81</v>
      </c>
      <c r="G265" s="228">
        <f>J247</f>
        <v>10.999999999999986</v>
      </c>
      <c r="H265" s="229"/>
      <c r="I265" s="111">
        <v>11</v>
      </c>
      <c r="J265" s="223">
        <f>ABS((G265-I265)/G265)</f>
        <v>1.2918958832001838E-15</v>
      </c>
      <c r="K265" s="223"/>
    </row>
    <row r="266" spans="1:11" s="2" customFormat="1"/>
    <row r="267" spans="1:11" s="95" customFormat="1">
      <c r="A267" s="94" t="s">
        <v>90</v>
      </c>
      <c r="C267" s="94" t="s">
        <v>109</v>
      </c>
      <c r="D267" s="96"/>
    </row>
    <row r="268" spans="1:11">
      <c r="A268" s="199" t="s">
        <v>125</v>
      </c>
      <c r="B268" s="199"/>
      <c r="C268" s="2" t="s">
        <v>126</v>
      </c>
    </row>
    <row r="269" spans="1:11">
      <c r="A269" s="2" t="s">
        <v>110</v>
      </c>
      <c r="B269" s="70">
        <v>0</v>
      </c>
      <c r="C269" s="2">
        <f>0</f>
        <v>0</v>
      </c>
      <c r="E269" s="10" t="s">
        <v>126</v>
      </c>
      <c r="F269" s="10" t="s">
        <v>125</v>
      </c>
    </row>
    <row r="270" spans="1:11">
      <c r="A270" s="199" t="s">
        <v>111</v>
      </c>
      <c r="B270" s="2" t="s">
        <v>112</v>
      </c>
      <c r="C270" s="199">
        <f>C269</f>
        <v>0</v>
      </c>
      <c r="E270" s="10">
        <f>C269</f>
        <v>0</v>
      </c>
      <c r="F270" s="71">
        <f>B269</f>
        <v>0</v>
      </c>
    </row>
    <row r="271" spans="1:11">
      <c r="A271" s="199"/>
      <c r="B271" s="69">
        <f>B260</f>
        <v>61.568249503968254</v>
      </c>
      <c r="C271" s="199"/>
      <c r="E271" s="10">
        <f>C270</f>
        <v>0</v>
      </c>
      <c r="F271" s="67">
        <f>B271</f>
        <v>61.568249503968254</v>
      </c>
    </row>
    <row r="272" spans="1:11">
      <c r="A272" s="199" t="s">
        <v>113</v>
      </c>
      <c r="B272" s="2" t="s">
        <v>114</v>
      </c>
      <c r="C272" s="199">
        <f>C19</f>
        <v>5.4</v>
      </c>
      <c r="E272" s="10">
        <f>C272</f>
        <v>5.4</v>
      </c>
      <c r="F272" s="67">
        <f>B273</f>
        <v>-103.67175049603176</v>
      </c>
    </row>
    <row r="273" spans="1:6">
      <c r="A273" s="199"/>
      <c r="B273" s="69">
        <f>B271-F26*C19</f>
        <v>-103.67175049603176</v>
      </c>
      <c r="C273" s="199"/>
      <c r="E273" s="10">
        <f>C274</f>
        <v>5.4</v>
      </c>
      <c r="F273" s="67">
        <f>B275</f>
        <v>100.64377507716048</v>
      </c>
    </row>
    <row r="274" spans="1:6">
      <c r="A274" s="199" t="s">
        <v>115</v>
      </c>
      <c r="B274" s="2" t="s">
        <v>116</v>
      </c>
      <c r="C274" s="199">
        <f>C19</f>
        <v>5.4</v>
      </c>
      <c r="E274" s="10">
        <f>C276</f>
        <v>11.88</v>
      </c>
      <c r="F274" s="67">
        <f>B277</f>
        <v>-95.596224922839525</v>
      </c>
    </row>
    <row r="275" spans="1:6">
      <c r="A275" s="199"/>
      <c r="B275" s="69">
        <f>B273+SUM(B261:B262)</f>
        <v>100.64377507716048</v>
      </c>
      <c r="C275" s="199"/>
      <c r="D275" s="4" t="s">
        <v>127</v>
      </c>
      <c r="E275" s="10">
        <f>C278</f>
        <v>11.88</v>
      </c>
      <c r="F275" s="67">
        <f>B279</f>
        <v>105.78025744047616</v>
      </c>
    </row>
    <row r="276" spans="1:6">
      <c r="A276" s="199" t="s">
        <v>117</v>
      </c>
      <c r="B276" s="2" t="s">
        <v>118</v>
      </c>
      <c r="C276" s="199">
        <f>C274+C20</f>
        <v>11.88</v>
      </c>
      <c r="E276" s="10">
        <f>C280</f>
        <v>17.28</v>
      </c>
      <c r="F276" s="67">
        <f>B281</f>
        <v>-59.459742559523846</v>
      </c>
    </row>
    <row r="277" spans="1:6">
      <c r="A277" s="199"/>
      <c r="B277" s="69">
        <f>B275-C17*C20-C18</f>
        <v>-95.596224922839525</v>
      </c>
      <c r="C277" s="199"/>
      <c r="E277" s="10">
        <f>C282</f>
        <v>17.28</v>
      </c>
      <c r="F277" s="71">
        <f>F270</f>
        <v>0</v>
      </c>
    </row>
    <row r="278" spans="1:6">
      <c r="A278" s="199" t="s">
        <v>119</v>
      </c>
      <c r="B278" s="2" t="s">
        <v>121</v>
      </c>
      <c r="C278" s="199">
        <f>C276</f>
        <v>11.88</v>
      </c>
    </row>
    <row r="279" spans="1:6">
      <c r="A279" s="199"/>
      <c r="B279" s="69">
        <f>B277+SUM(B263:B264)</f>
        <v>105.78025744047616</v>
      </c>
      <c r="C279" s="199"/>
    </row>
    <row r="280" spans="1:6">
      <c r="A280" s="199" t="s">
        <v>120</v>
      </c>
      <c r="B280" s="2" t="s">
        <v>122</v>
      </c>
      <c r="C280" s="199">
        <f>C278+C19</f>
        <v>17.28</v>
      </c>
    </row>
    <row r="281" spans="1:6">
      <c r="A281" s="199"/>
      <c r="B281" s="69">
        <f>B279-F26*C19</f>
        <v>-59.459742559523846</v>
      </c>
      <c r="C281" s="199"/>
    </row>
    <row r="282" spans="1:6">
      <c r="A282" s="199" t="s">
        <v>123</v>
      </c>
      <c r="B282" s="2" t="s">
        <v>124</v>
      </c>
      <c r="C282" s="199">
        <f>C280</f>
        <v>17.28</v>
      </c>
    </row>
    <row r="283" spans="1:6">
      <c r="A283" s="199"/>
      <c r="B283" s="69">
        <f>B281+B265</f>
        <v>0</v>
      </c>
      <c r="C283" s="199"/>
    </row>
    <row r="284" spans="1:6">
      <c r="B284" s="10" t="str">
        <f>IF(B283=0,"OKE", "NOT OKE")</f>
        <v>OKE</v>
      </c>
    </row>
    <row r="293" spans="1:10" s="2" customFormat="1"/>
    <row r="294" spans="1:10" s="2" customFormat="1"/>
    <row r="295" spans="1:10" s="2" customFormat="1"/>
    <row r="296" spans="1:10" s="2" customFormat="1"/>
    <row r="297" spans="1:10" s="2" customFormat="1"/>
    <row r="298" spans="1:10" s="95" customFormat="1">
      <c r="A298" s="94" t="s">
        <v>128</v>
      </c>
      <c r="C298" s="94" t="s">
        <v>129</v>
      </c>
      <c r="D298" s="96"/>
    </row>
    <row r="299" spans="1:10" ht="15.75" thickBot="1"/>
    <row r="300" spans="1:10">
      <c r="A300" s="78" t="s">
        <v>52</v>
      </c>
      <c r="B300" s="79"/>
      <c r="C300" s="79"/>
      <c r="D300" s="79"/>
      <c r="E300" s="79"/>
      <c r="F300" s="79"/>
      <c r="G300" s="79"/>
      <c r="H300" s="79"/>
      <c r="I300" s="79"/>
      <c r="J300" s="57"/>
    </row>
    <row r="301" spans="1:10">
      <c r="A301" s="46" t="s">
        <v>130</v>
      </c>
      <c r="B301" s="72" t="s">
        <v>131</v>
      </c>
      <c r="C301" s="35"/>
      <c r="D301" s="35"/>
      <c r="E301" s="35"/>
      <c r="F301" s="35"/>
      <c r="G301" s="35"/>
      <c r="H301" s="35"/>
      <c r="I301" s="35"/>
      <c r="J301" s="47"/>
    </row>
    <row r="302" spans="1:10">
      <c r="A302" s="46"/>
      <c r="B302" s="73">
        <f>-G260</f>
        <v>0</v>
      </c>
      <c r="C302" s="35"/>
      <c r="D302" s="35"/>
      <c r="E302" s="35"/>
      <c r="F302" s="35"/>
      <c r="G302" s="35"/>
      <c r="H302" s="35"/>
      <c r="I302" s="35"/>
      <c r="J302" s="47"/>
    </row>
    <row r="303" spans="1:10">
      <c r="A303" s="46" t="s">
        <v>141</v>
      </c>
      <c r="B303" s="35" t="s">
        <v>105</v>
      </c>
      <c r="C303" s="35"/>
      <c r="D303" s="35"/>
      <c r="E303" s="35"/>
      <c r="F303" s="35"/>
      <c r="G303" s="35"/>
      <c r="H303" s="35"/>
      <c r="I303" s="35"/>
      <c r="J303" s="47"/>
    </row>
    <row r="304" spans="1:10">
      <c r="A304" s="46"/>
      <c r="B304" s="74">
        <f>G261</f>
        <v>-113.67945267857145</v>
      </c>
      <c r="C304" s="35"/>
      <c r="D304" s="35"/>
      <c r="E304" s="35"/>
      <c r="F304" s="35"/>
      <c r="G304" s="35"/>
      <c r="H304" s="35"/>
      <c r="I304" s="35"/>
      <c r="J304" s="47"/>
    </row>
    <row r="305" spans="1:10">
      <c r="A305" s="46"/>
      <c r="B305" s="35"/>
      <c r="C305" s="35"/>
      <c r="D305" s="35"/>
      <c r="E305" s="35"/>
      <c r="F305" s="35"/>
      <c r="G305" s="35"/>
      <c r="H305" s="35"/>
      <c r="I305" s="35"/>
      <c r="J305" s="47"/>
    </row>
    <row r="306" spans="1:10">
      <c r="A306" s="91" t="s">
        <v>133</v>
      </c>
      <c r="B306" s="35"/>
      <c r="C306" s="35"/>
      <c r="D306" s="35"/>
      <c r="E306" s="35"/>
      <c r="F306" s="35"/>
      <c r="G306" s="35"/>
      <c r="H306" s="35"/>
      <c r="I306" s="35"/>
      <c r="J306" s="47"/>
    </row>
    <row r="307" spans="1:10" ht="15.75" thickBot="1">
      <c r="A307" s="46" t="s">
        <v>134</v>
      </c>
      <c r="B307" s="35" t="s">
        <v>146</v>
      </c>
      <c r="C307" s="35"/>
      <c r="D307" s="35"/>
      <c r="E307" s="35"/>
      <c r="F307" s="35"/>
      <c r="G307" s="35"/>
      <c r="H307" s="35"/>
      <c r="I307" s="35"/>
      <c r="J307" s="47"/>
    </row>
    <row r="308" spans="1:10" ht="15.75" thickBot="1">
      <c r="A308" s="52" t="s">
        <v>134</v>
      </c>
      <c r="B308" s="77">
        <f>B260/F26</f>
        <v>2.0120342975153025</v>
      </c>
      <c r="C308" s="54" t="s">
        <v>6</v>
      </c>
      <c r="D308" s="35"/>
      <c r="E308" s="35"/>
      <c r="F308" s="35"/>
      <c r="G308" s="35"/>
      <c r="H308" s="35"/>
      <c r="I308" s="35"/>
      <c r="J308" s="47"/>
    </row>
    <row r="309" spans="1:10">
      <c r="A309" s="46" t="s">
        <v>135</v>
      </c>
      <c r="B309" s="35" t="s">
        <v>138</v>
      </c>
      <c r="C309" s="35" t="s">
        <v>66</v>
      </c>
      <c r="D309" s="35" t="s">
        <v>79</v>
      </c>
      <c r="E309" s="35">
        <v>0.5</v>
      </c>
      <c r="F309" s="35" t="s">
        <v>136</v>
      </c>
      <c r="G309" s="35" t="s">
        <v>137</v>
      </c>
      <c r="H309" s="35" t="s">
        <v>79</v>
      </c>
      <c r="I309" s="35" t="s">
        <v>78</v>
      </c>
      <c r="J309" s="47"/>
    </row>
    <row r="310" spans="1:10" ht="15.75" thickBot="1">
      <c r="A310" s="46"/>
      <c r="B310" s="75">
        <f>B260</f>
        <v>61.568249503968254</v>
      </c>
      <c r="C310" s="56">
        <f>B308</f>
        <v>2.0120342975153025</v>
      </c>
      <c r="D310" s="35" t="s">
        <v>79</v>
      </c>
      <c r="E310" s="35">
        <f>E309</f>
        <v>0.5</v>
      </c>
      <c r="F310" s="35">
        <f>F26</f>
        <v>30.599999999999998</v>
      </c>
      <c r="G310" s="56">
        <f>C310^2</f>
        <v>4.0482820143778966</v>
      </c>
      <c r="H310" s="35" t="s">
        <v>79</v>
      </c>
      <c r="I310" s="197">
        <f>B302</f>
        <v>0</v>
      </c>
      <c r="J310" s="198"/>
    </row>
    <row r="311" spans="1:10" ht="15.75" thickBot="1">
      <c r="A311" s="152" t="s">
        <v>135</v>
      </c>
      <c r="B311" s="153">
        <f>B310*C310-E310*F310*G310-I310</f>
        <v>61.938714819981826</v>
      </c>
      <c r="C311" s="154" t="s">
        <v>139</v>
      </c>
      <c r="D311" s="155" t="s">
        <v>203</v>
      </c>
      <c r="E311" s="156">
        <v>62.91</v>
      </c>
      <c r="F311" s="157" t="s">
        <v>204</v>
      </c>
      <c r="G311" s="158">
        <f>ABS(B311-E311)/B311</f>
        <v>1.5681390594575725E-2</v>
      </c>
      <c r="H311" s="49"/>
      <c r="I311" s="49"/>
      <c r="J311" s="51"/>
    </row>
    <row r="312" spans="1:10" ht="15.75" thickBot="1"/>
    <row r="313" spans="1:10">
      <c r="A313" s="78" t="s">
        <v>140</v>
      </c>
      <c r="B313" s="79"/>
      <c r="C313" s="79"/>
      <c r="D313" s="79"/>
      <c r="E313" s="79"/>
      <c r="F313" s="79"/>
      <c r="G313" s="79"/>
      <c r="H313" s="79"/>
      <c r="I313" s="79"/>
      <c r="J313" s="57"/>
    </row>
    <row r="314" spans="1:10">
      <c r="A314" s="46" t="s">
        <v>132</v>
      </c>
      <c r="B314" s="72" t="s">
        <v>142</v>
      </c>
      <c r="C314" s="35"/>
      <c r="D314" s="35"/>
      <c r="E314" s="35"/>
      <c r="F314" s="35"/>
      <c r="G314" s="35"/>
      <c r="H314" s="35"/>
      <c r="I314" s="35"/>
      <c r="J314" s="47"/>
    </row>
    <row r="315" spans="1:10">
      <c r="A315" s="46"/>
      <c r="B315" s="74">
        <f>-G262</f>
        <v>-113.67945267857145</v>
      </c>
      <c r="C315" s="35"/>
      <c r="D315" s="35"/>
      <c r="E315" s="35"/>
      <c r="F315" s="35"/>
      <c r="G315" s="35"/>
      <c r="H315" s="35"/>
      <c r="I315" s="35"/>
      <c r="J315" s="47"/>
    </row>
    <row r="316" spans="1:10">
      <c r="A316" s="46" t="s">
        <v>143</v>
      </c>
      <c r="B316" s="35" t="s">
        <v>107</v>
      </c>
      <c r="C316" s="35"/>
      <c r="D316" s="35"/>
      <c r="E316" s="35"/>
      <c r="F316" s="35"/>
      <c r="G316" s="35"/>
      <c r="H316" s="35"/>
      <c r="I316" s="35"/>
      <c r="J316" s="47"/>
    </row>
    <row r="317" spans="1:10">
      <c r="A317" s="46"/>
      <c r="B317" s="74">
        <f>G263</f>
        <v>-114.06539017857145</v>
      </c>
      <c r="C317" s="35"/>
      <c r="D317" s="35"/>
      <c r="E317" s="35"/>
      <c r="F317" s="35"/>
      <c r="G317" s="35"/>
      <c r="H317" s="35"/>
      <c r="I317" s="35"/>
      <c r="J317" s="47"/>
    </row>
    <row r="318" spans="1:10">
      <c r="A318" s="46"/>
      <c r="B318" s="35"/>
      <c r="C318" s="35"/>
      <c r="D318" s="35"/>
      <c r="E318" s="35"/>
      <c r="F318" s="35"/>
      <c r="G318" s="35"/>
      <c r="H318" s="35"/>
      <c r="I318" s="35"/>
      <c r="J318" s="47"/>
    </row>
    <row r="319" spans="1:10">
      <c r="A319" s="91" t="s">
        <v>133</v>
      </c>
      <c r="B319" s="35"/>
      <c r="C319" s="35"/>
      <c r="D319" s="35"/>
      <c r="E319" s="35"/>
      <c r="F319" s="35"/>
      <c r="G319" s="35"/>
      <c r="H319" s="35"/>
      <c r="I319" s="35"/>
      <c r="J319" s="47"/>
    </row>
    <row r="320" spans="1:10" ht="15.75" thickBot="1">
      <c r="A320" s="46" t="s">
        <v>134</v>
      </c>
      <c r="B320" s="35" t="s">
        <v>145</v>
      </c>
      <c r="C320" s="35"/>
      <c r="D320" s="35"/>
      <c r="E320" s="35"/>
      <c r="F320" s="35"/>
      <c r="G320" s="35"/>
      <c r="H320" s="35"/>
      <c r="I320" s="35"/>
      <c r="J320" s="47"/>
    </row>
    <row r="321" spans="1:10" ht="15.75" thickBot="1">
      <c r="A321" s="52" t="s">
        <v>134</v>
      </c>
      <c r="B321" s="77">
        <f>B262/F27</f>
        <v>3.946814708908255</v>
      </c>
      <c r="C321" s="54" t="s">
        <v>6</v>
      </c>
      <c r="D321" s="35"/>
      <c r="E321" s="35"/>
      <c r="F321" s="35"/>
      <c r="G321" s="35"/>
      <c r="H321" s="35"/>
      <c r="I321" s="35"/>
      <c r="J321" s="47"/>
    </row>
    <row r="322" spans="1:10">
      <c r="A322" s="46" t="s">
        <v>135</v>
      </c>
      <c r="B322" s="35" t="s">
        <v>144</v>
      </c>
      <c r="C322" s="35" t="s">
        <v>66</v>
      </c>
      <c r="D322" s="35" t="s">
        <v>79</v>
      </c>
      <c r="E322" s="35">
        <v>0.5</v>
      </c>
      <c r="F322" s="35" t="s">
        <v>1</v>
      </c>
      <c r="G322" s="35" t="s">
        <v>137</v>
      </c>
      <c r="H322" s="35" t="s">
        <v>79</v>
      </c>
      <c r="I322" s="35" t="s">
        <v>106</v>
      </c>
      <c r="J322" s="47"/>
    </row>
    <row r="323" spans="1:10" ht="15.75" thickBot="1">
      <c r="A323" s="46"/>
      <c r="B323" s="75">
        <f>B262</f>
        <v>100.6437750771605</v>
      </c>
      <c r="C323" s="56">
        <f>B321</f>
        <v>3.946814708908255</v>
      </c>
      <c r="D323" s="35" t="s">
        <v>79</v>
      </c>
      <c r="E323" s="35">
        <f>E322</f>
        <v>0.5</v>
      </c>
      <c r="F323" s="35">
        <f>F27</f>
        <v>25.5</v>
      </c>
      <c r="G323" s="56">
        <f>C323^2</f>
        <v>15.577346346454554</v>
      </c>
      <c r="H323" s="35" t="s">
        <v>79</v>
      </c>
      <c r="I323" s="195">
        <f>G262</f>
        <v>113.67945267857145</v>
      </c>
      <c r="J323" s="196"/>
    </row>
    <row r="324" spans="1:10" ht="15.75" thickBot="1">
      <c r="A324" s="52" t="s">
        <v>135</v>
      </c>
      <c r="B324" s="76">
        <f>B323*C323-E323*F323*G323-I323</f>
        <v>84.931713238724072</v>
      </c>
      <c r="C324" s="54" t="s">
        <v>139</v>
      </c>
      <c r="D324" s="155" t="s">
        <v>203</v>
      </c>
      <c r="E324" s="156">
        <v>66.959999999999994</v>
      </c>
      <c r="F324" s="157" t="s">
        <v>204</v>
      </c>
      <c r="G324" s="158">
        <f>ABS(B324-E324)/B324</f>
        <v>0.21160191586162411</v>
      </c>
      <c r="H324" s="49"/>
      <c r="I324" s="49"/>
      <c r="J324" s="51"/>
    </row>
    <row r="326" spans="1:10" s="2" customFormat="1"/>
    <row r="327" spans="1:10" s="2" customFormat="1"/>
    <row r="328" spans="1:10" s="2" customFormat="1"/>
    <row r="329" spans="1:10" s="2" customFormat="1" ht="15.75" thickBot="1"/>
    <row r="330" spans="1:10">
      <c r="A330" s="78" t="s">
        <v>147</v>
      </c>
      <c r="B330" s="79"/>
      <c r="C330" s="79"/>
      <c r="D330" s="79"/>
      <c r="E330" s="79"/>
      <c r="F330" s="79"/>
      <c r="G330" s="79"/>
      <c r="H330" s="79"/>
      <c r="I330" s="79"/>
      <c r="J330" s="57"/>
    </row>
    <row r="331" spans="1:10">
      <c r="A331" s="46" t="s">
        <v>148</v>
      </c>
      <c r="B331" s="72" t="s">
        <v>149</v>
      </c>
      <c r="C331" s="35"/>
      <c r="D331" s="35"/>
      <c r="E331" s="35"/>
      <c r="F331" s="35"/>
      <c r="G331" s="35"/>
      <c r="H331" s="35"/>
      <c r="I331" s="35"/>
      <c r="J331" s="47"/>
    </row>
    <row r="332" spans="1:10">
      <c r="A332" s="46"/>
      <c r="B332" s="74">
        <f>-G264</f>
        <v>-114.06539017857145</v>
      </c>
      <c r="C332" s="35"/>
      <c r="D332" s="35"/>
      <c r="E332" s="35"/>
      <c r="F332" s="35"/>
      <c r="G332" s="35"/>
      <c r="H332" s="35"/>
      <c r="I332" s="35"/>
      <c r="J332" s="47"/>
    </row>
    <row r="333" spans="1:10">
      <c r="A333" s="46" t="s">
        <v>150</v>
      </c>
      <c r="B333" s="35" t="s">
        <v>107</v>
      </c>
      <c r="C333" s="35"/>
      <c r="D333" s="35"/>
      <c r="E333" s="35"/>
      <c r="F333" s="35"/>
      <c r="G333" s="35"/>
      <c r="H333" s="35"/>
      <c r="I333" s="35"/>
      <c r="J333" s="47"/>
    </row>
    <row r="334" spans="1:10">
      <c r="A334" s="46"/>
      <c r="B334" s="74">
        <f>G265</f>
        <v>10.999999999999986</v>
      </c>
      <c r="C334" s="35"/>
      <c r="D334" s="35"/>
      <c r="E334" s="35"/>
      <c r="F334" s="35"/>
      <c r="G334" s="35"/>
      <c r="H334" s="35"/>
      <c r="I334" s="35"/>
      <c r="J334" s="47"/>
    </row>
    <row r="335" spans="1:10">
      <c r="A335" s="46"/>
      <c r="B335" s="35"/>
      <c r="C335" s="35"/>
      <c r="D335" s="35"/>
      <c r="E335" s="35"/>
      <c r="F335" s="35"/>
      <c r="G335" s="35"/>
      <c r="H335" s="35"/>
      <c r="I335" s="35"/>
      <c r="J335" s="47"/>
    </row>
    <row r="336" spans="1:10">
      <c r="A336" s="91" t="s">
        <v>133</v>
      </c>
      <c r="B336" s="35"/>
      <c r="C336" s="35"/>
      <c r="D336" s="35"/>
      <c r="E336" s="35"/>
      <c r="F336" s="35"/>
      <c r="G336" s="35"/>
      <c r="H336" s="35"/>
      <c r="I336" s="35"/>
      <c r="J336" s="47"/>
    </row>
    <row r="337" spans="1:10" ht="15.75" thickBot="1">
      <c r="A337" s="46" t="s">
        <v>134</v>
      </c>
      <c r="B337" s="35" t="s">
        <v>151</v>
      </c>
      <c r="C337" s="35"/>
      <c r="D337" s="35"/>
      <c r="E337" s="35"/>
      <c r="F337" s="35"/>
      <c r="G337" s="35"/>
      <c r="H337" s="35"/>
      <c r="I337" s="35"/>
      <c r="J337" s="47"/>
    </row>
    <row r="338" spans="1:10" ht="15.75" thickBot="1">
      <c r="A338" s="52" t="s">
        <v>134</v>
      </c>
      <c r="B338" s="77">
        <f>B264/F28</f>
        <v>3.4568711581854967</v>
      </c>
      <c r="C338" s="54" t="s">
        <v>6</v>
      </c>
      <c r="D338" s="35"/>
      <c r="E338" s="35"/>
      <c r="F338" s="35"/>
      <c r="G338" s="35"/>
      <c r="H338" s="35"/>
      <c r="I338" s="35"/>
      <c r="J338" s="47"/>
    </row>
    <row r="339" spans="1:10">
      <c r="A339" s="46" t="s">
        <v>135</v>
      </c>
      <c r="B339" s="35" t="s">
        <v>152</v>
      </c>
      <c r="C339" s="35" t="s">
        <v>66</v>
      </c>
      <c r="D339" s="35" t="s">
        <v>79</v>
      </c>
      <c r="E339" s="35">
        <v>0.5</v>
      </c>
      <c r="F339" s="35" t="s">
        <v>1</v>
      </c>
      <c r="G339" s="35" t="s">
        <v>137</v>
      </c>
      <c r="H339" s="35" t="s">
        <v>79</v>
      </c>
      <c r="I339" s="35" t="s">
        <v>108</v>
      </c>
      <c r="J339" s="47"/>
    </row>
    <row r="340" spans="1:10" ht="15.75" thickBot="1">
      <c r="A340" s="46"/>
      <c r="B340" s="75">
        <f>B264</f>
        <v>105.78025744047619</v>
      </c>
      <c r="C340" s="56">
        <f>B338</f>
        <v>3.4568711581854967</v>
      </c>
      <c r="D340" s="35" t="s">
        <v>79</v>
      </c>
      <c r="E340" s="35">
        <f>E339</f>
        <v>0.5</v>
      </c>
      <c r="F340" s="35">
        <f>F28</f>
        <v>30.599999999999998</v>
      </c>
      <c r="G340" s="56">
        <f>C340^2</f>
        <v>11.949958204294738</v>
      </c>
      <c r="H340" s="35" t="s">
        <v>79</v>
      </c>
      <c r="I340" s="195">
        <f>G264</f>
        <v>114.06539017857145</v>
      </c>
      <c r="J340" s="196"/>
    </row>
    <row r="341" spans="1:10" ht="15.75" thickBot="1">
      <c r="A341" s="52" t="s">
        <v>135</v>
      </c>
      <c r="B341" s="76">
        <f>B340*C340-E340*F340*G340-I340</f>
        <v>68.76897034713798</v>
      </c>
      <c r="C341" s="54" t="s">
        <v>139</v>
      </c>
      <c r="D341" s="155" t="s">
        <v>203</v>
      </c>
      <c r="E341" s="156">
        <v>70.16</v>
      </c>
      <c r="F341" s="157" t="s">
        <v>204</v>
      </c>
      <c r="G341" s="158">
        <f>ABS(B341-E341)/B341</f>
        <v>2.0227577144753751E-2</v>
      </c>
      <c r="H341" s="49"/>
      <c r="I341" s="49"/>
      <c r="J341" s="51"/>
    </row>
    <row r="343" spans="1:10">
      <c r="A343" s="10" t="s">
        <v>126</v>
      </c>
      <c r="B343" s="10" t="s">
        <v>102</v>
      </c>
    </row>
    <row r="344" spans="1:10">
      <c r="A344" s="10">
        <f>0</f>
        <v>0</v>
      </c>
      <c r="B344" s="81">
        <f>B302</f>
        <v>0</v>
      </c>
    </row>
    <row r="345" spans="1:10" s="110" customFormat="1">
      <c r="A345" s="111">
        <v>1</v>
      </c>
      <c r="B345" s="81">
        <f>$B$260*A345-0.5*$F$26*A345^2-$B$302</f>
        <v>46.268249503968256</v>
      </c>
    </row>
    <row r="346" spans="1:10">
      <c r="A346" s="14">
        <f>B308</f>
        <v>2.0120342975153025</v>
      </c>
      <c r="B346" s="82">
        <f>B311</f>
        <v>61.938714819981826</v>
      </c>
    </row>
    <row r="347" spans="1:10" s="110" customFormat="1">
      <c r="A347" s="14">
        <v>2</v>
      </c>
      <c r="B347" s="81">
        <f>$B$260*A347-0.5*$F$26*A347^2-$B$302</f>
        <v>61.936499007936511</v>
      </c>
    </row>
    <row r="348" spans="1:10" s="110" customFormat="1">
      <c r="A348" s="14">
        <v>3</v>
      </c>
      <c r="B348" s="81">
        <f>$B$260*A348-0.5*$F$26*A348^2-$B$302</f>
        <v>47.004748511904779</v>
      </c>
    </row>
    <row r="349" spans="1:10" s="110" customFormat="1">
      <c r="A349" s="14">
        <v>4</v>
      </c>
      <c r="B349" s="81">
        <f>$B$260*A349-0.5*$F$26*A349^2-$B$302</f>
        <v>1.4729980158730314</v>
      </c>
    </row>
    <row r="350" spans="1:10" s="110" customFormat="1">
      <c r="A350" s="14">
        <v>5</v>
      </c>
      <c r="B350" s="81">
        <f>$B$260*A350-0.5*$F$26*A350^2-$B$302</f>
        <v>-74.658752480158739</v>
      </c>
    </row>
    <row r="351" spans="1:10">
      <c r="A351" s="10">
        <f>C19</f>
        <v>5.4</v>
      </c>
      <c r="B351" s="82">
        <f>B304</f>
        <v>-113.67945267857145</v>
      </c>
    </row>
    <row r="352" spans="1:10">
      <c r="A352" s="10">
        <f>A351</f>
        <v>5.4</v>
      </c>
      <c r="B352" s="82">
        <f>B315</f>
        <v>-113.67945267857145</v>
      </c>
    </row>
    <row r="353" spans="1:2" s="110" customFormat="1">
      <c r="A353" s="111">
        <v>6</v>
      </c>
      <c r="B353" s="81">
        <f>$B$262*(A353-A352)-0.5*$F$27*(A353-A352)^2-I323</f>
        <v>-57.883187632275181</v>
      </c>
    </row>
    <row r="354" spans="1:2" s="110" customFormat="1">
      <c r="A354" s="111">
        <v>7</v>
      </c>
      <c r="B354" s="81">
        <f>$B$262*(A354-$A$352)-0.5*$F$27*(A354-$A$352)^2-$I$323</f>
        <v>14.71058744488532</v>
      </c>
    </row>
    <row r="355" spans="1:2" s="110" customFormat="1">
      <c r="A355" s="111">
        <v>8</v>
      </c>
      <c r="B355" s="81">
        <f>$B$262*(A355-$A$352)-0.5*$F$27*(A355-$A$352)^2-$I$323</f>
        <v>61.804362522045821</v>
      </c>
    </row>
    <row r="356" spans="1:2" s="110" customFormat="1">
      <c r="A356" s="111">
        <v>9</v>
      </c>
      <c r="B356" s="81">
        <f>$B$262*(A356-$A$352)-0.5*$F$27*(A356-$A$352)^2-$I$323</f>
        <v>83.398137599206351</v>
      </c>
    </row>
    <row r="357" spans="1:2" ht="14.25" customHeight="1">
      <c r="A357" s="14">
        <f>A352+B321</f>
        <v>9.3468147089082549</v>
      </c>
      <c r="B357" s="82">
        <f>B324</f>
        <v>84.931713238724072</v>
      </c>
    </row>
    <row r="358" spans="1:2" s="110" customFormat="1" ht="14.25" customHeight="1">
      <c r="A358" s="14">
        <v>10</v>
      </c>
      <c r="B358" s="81">
        <f>$B$262*(A358-$A$352)-0.5*$F$27*(A358-$A$352)^2-$I$323</f>
        <v>79.491912676366852</v>
      </c>
    </row>
    <row r="359" spans="1:2" s="110" customFormat="1" ht="14.25" customHeight="1">
      <c r="A359" s="14">
        <v>11</v>
      </c>
      <c r="B359" s="81">
        <f>$B$262*(A359-$A$352)-0.5*$F$27*(A359-$A$352)^2-$I$323</f>
        <v>50.085687753527353</v>
      </c>
    </row>
    <row r="360" spans="1:2">
      <c r="A360" s="10">
        <f>A352+C20</f>
        <v>11.88</v>
      </c>
      <c r="B360" s="82">
        <f>B317</f>
        <v>-114.06539017857145</v>
      </c>
    </row>
    <row r="361" spans="1:2">
      <c r="A361" s="10">
        <f>A360</f>
        <v>11.88</v>
      </c>
      <c r="B361" s="82">
        <f>B332</f>
        <v>-114.06539017857145</v>
      </c>
    </row>
    <row r="362" spans="1:2" s="110" customFormat="1">
      <c r="A362" s="111">
        <v>12</v>
      </c>
      <c r="B362" s="81">
        <f>$B$264*(A362-$A$360)-0.5*$F$28*(A362-$A$360)^2-$I$340</f>
        <v>-101.59207928571439</v>
      </c>
    </row>
    <row r="363" spans="1:2" s="110" customFormat="1">
      <c r="A363" s="111">
        <v>13</v>
      </c>
      <c r="B363" s="81">
        <f>$B$264*(A363-$A$360)-0.5*$F$28*(A363-$A$360)^2-$I$340</f>
        <v>-14.783821845238165</v>
      </c>
    </row>
    <row r="364" spans="1:2" s="110" customFormat="1">
      <c r="A364" s="111">
        <v>14</v>
      </c>
      <c r="B364" s="81">
        <f>$B$264*(A364-$A$360)-0.5*$F$28*(A364-$A$360)^2-$I$340</f>
        <v>41.424435595238066</v>
      </c>
    </row>
    <row r="365" spans="1:2" s="110" customFormat="1">
      <c r="A365" s="111">
        <v>15</v>
      </c>
      <c r="B365" s="81">
        <f>$B$264*(A365-$A$360)-0.5*$F$28*(A365-$A$360)^2-$I$340</f>
        <v>67.032693035714288</v>
      </c>
    </row>
    <row r="366" spans="1:2">
      <c r="A366" s="14">
        <f>A361+B338</f>
        <v>15.336871158185497</v>
      </c>
      <c r="B366" s="82">
        <f>B341</f>
        <v>68.76897034713798</v>
      </c>
    </row>
    <row r="367" spans="1:2" s="110" customFormat="1">
      <c r="A367" s="14">
        <v>16</v>
      </c>
      <c r="B367" s="81">
        <f>$B$264*(A367-$A$360)-0.5*$F$28*(A367-$A$360)^2-$I$340</f>
        <v>62.040950476190545</v>
      </c>
    </row>
    <row r="368" spans="1:2" s="110" customFormat="1">
      <c r="A368" s="14">
        <v>17</v>
      </c>
      <c r="B368" s="81">
        <f>$B$264*(A368-$A$360)-0.5*$F$28*(A368-$A$360)^2-$I$340</f>
        <v>26.449207916666722</v>
      </c>
    </row>
    <row r="369" spans="1:2" s="2" customFormat="1">
      <c r="A369" s="10">
        <f>A361+C19</f>
        <v>17.28</v>
      </c>
      <c r="B369" s="82">
        <f>B334</f>
        <v>10.999999999999986</v>
      </c>
    </row>
    <row r="370" spans="1:2" s="2" customFormat="1">
      <c r="A370" s="10">
        <f>A369</f>
        <v>17.28</v>
      </c>
      <c r="B370" s="81">
        <f>B344</f>
        <v>0</v>
      </c>
    </row>
  </sheetData>
  <mergeCells count="106">
    <mergeCell ref="J264:K264"/>
    <mergeCell ref="J265:K265"/>
    <mergeCell ref="J259:K259"/>
    <mergeCell ref="J260:K260"/>
    <mergeCell ref="J261:K261"/>
    <mergeCell ref="J262:K262"/>
    <mergeCell ref="J263:K263"/>
    <mergeCell ref="F259:H259"/>
    <mergeCell ref="G260:H260"/>
    <mergeCell ref="G261:H261"/>
    <mergeCell ref="G262:H262"/>
    <mergeCell ref="G263:H263"/>
    <mergeCell ref="G264:H264"/>
    <mergeCell ref="G265:H265"/>
    <mergeCell ref="B191:B194"/>
    <mergeCell ref="J208:K208"/>
    <mergeCell ref="J209:K209"/>
    <mergeCell ref="I219:I222"/>
    <mergeCell ref="I230:I233"/>
    <mergeCell ref="F55:I55"/>
    <mergeCell ref="D235:D238"/>
    <mergeCell ref="D213:D216"/>
    <mergeCell ref="D224:D227"/>
    <mergeCell ref="G208:G211"/>
    <mergeCell ref="I208:I211"/>
    <mergeCell ref="B219:B222"/>
    <mergeCell ref="B208:B211"/>
    <mergeCell ref="B213:B216"/>
    <mergeCell ref="G219:G222"/>
    <mergeCell ref="G246:H246"/>
    <mergeCell ref="D246:E246"/>
    <mergeCell ref="D255:E255"/>
    <mergeCell ref="G255:H255"/>
    <mergeCell ref="A259:B259"/>
    <mergeCell ref="K30:K32"/>
    <mergeCell ref="J220:K220"/>
    <mergeCell ref="J221:K221"/>
    <mergeCell ref="J210:K210"/>
    <mergeCell ref="J211:K211"/>
    <mergeCell ref="J219:K219"/>
    <mergeCell ref="J222:K222"/>
    <mergeCell ref="J230:K230"/>
    <mergeCell ref="A54:B54"/>
    <mergeCell ref="A67:B67"/>
    <mergeCell ref="A80:B80"/>
    <mergeCell ref="B162:B165"/>
    <mergeCell ref="D162:D165"/>
    <mergeCell ref="I162:I165"/>
    <mergeCell ref="B168:B171"/>
    <mergeCell ref="G168:G171"/>
    <mergeCell ref="B173:B176"/>
    <mergeCell ref="B181:B184"/>
    <mergeCell ref="B186:B189"/>
    <mergeCell ref="G42:H42"/>
    <mergeCell ref="B42:C42"/>
    <mergeCell ref="G50:H50"/>
    <mergeCell ref="A137:A140"/>
    <mergeCell ref="B137:B140"/>
    <mergeCell ref="A155:A158"/>
    <mergeCell ref="B155:B158"/>
    <mergeCell ref="A143:A146"/>
    <mergeCell ref="B143:B146"/>
    <mergeCell ref="A149:A152"/>
    <mergeCell ref="B50:C50"/>
    <mergeCell ref="F81:I81"/>
    <mergeCell ref="F68:I68"/>
    <mergeCell ref="B149:B152"/>
    <mergeCell ref="D256:E256"/>
    <mergeCell ref="G256:H256"/>
    <mergeCell ref="A278:A279"/>
    <mergeCell ref="A181:A184"/>
    <mergeCell ref="J231:K231"/>
    <mergeCell ref="J232:K232"/>
    <mergeCell ref="J233:K233"/>
    <mergeCell ref="A240:F240"/>
    <mergeCell ref="A241:C241"/>
    <mergeCell ref="G230:G233"/>
    <mergeCell ref="J247:K247"/>
    <mergeCell ref="J254:K254"/>
    <mergeCell ref="A186:A189"/>
    <mergeCell ref="B224:B227"/>
    <mergeCell ref="B230:B233"/>
    <mergeCell ref="B235:B238"/>
    <mergeCell ref="F235:F238"/>
    <mergeCell ref="F224:F227"/>
    <mergeCell ref="A202:A205"/>
    <mergeCell ref="B202:B205"/>
    <mergeCell ref="F213:F216"/>
    <mergeCell ref="A191:A194"/>
    <mergeCell ref="A268:B268"/>
    <mergeCell ref="C270:C271"/>
    <mergeCell ref="I340:J340"/>
    <mergeCell ref="I310:J310"/>
    <mergeCell ref="I323:J323"/>
    <mergeCell ref="C280:C281"/>
    <mergeCell ref="C282:C283"/>
    <mergeCell ref="A270:A271"/>
    <mergeCell ref="A272:A273"/>
    <mergeCell ref="A274:A275"/>
    <mergeCell ref="A276:A277"/>
    <mergeCell ref="A280:A281"/>
    <mergeCell ref="A282:A283"/>
    <mergeCell ref="C272:C273"/>
    <mergeCell ref="C274:C275"/>
    <mergeCell ref="C276:C277"/>
    <mergeCell ref="C278:C279"/>
  </mergeCells>
  <conditionalFormatting sqref="G213:G216 G235:G238">
    <cfRule type="cellIs" dxfId="13" priority="7" operator="greaterThan">
      <formula>0</formula>
    </cfRule>
    <cfRule type="cellIs" dxfId="12" priority="8" operator="lessThan">
      <formula>0</formula>
    </cfRule>
  </conditionalFormatting>
  <conditionalFormatting sqref="G224:G227">
    <cfRule type="cellIs" dxfId="11" priority="4" operator="greaterThan">
      <formula>0</formula>
    </cfRule>
    <cfRule type="cellIs" dxfId="10" priority="5" operator="greaterThan">
      <formula>0</formula>
    </cfRule>
    <cfRule type="cellIs" dxfId="9" priority="6" operator="lessThan">
      <formula>0</formula>
    </cfRule>
  </conditionalFormatting>
  <conditionalFormatting sqref="F242">
    <cfRule type="containsText" dxfId="8" priority="1" operator="containsText" text="OKE">
      <formula>NOT(ISERROR(SEARCH("OKE",F242)))</formula>
    </cfRule>
  </conditionalFormatting>
  <pageMargins left="0.7" right="0.7" top="0.75" bottom="0.75" header="0.3" footer="0.3"/>
  <pageSetup paperSize="9" orientation="landscape" horizontalDpi="4294967293" verticalDpi="0" r:id="rId1"/>
  <drawing r:id="rId2"/>
  <legacyDrawing r:id="rId3"/>
  <oleObjects>
    <oleObject progId="Equation.3" shapeId="1025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2:N371"/>
  <sheetViews>
    <sheetView tabSelected="1" topLeftCell="B255" zoomScale="70" zoomScaleNormal="70" workbookViewId="0">
      <pane ySplit="4395" topLeftCell="A345"/>
      <selection activeCell="G272" sqref="G272"/>
      <selection pane="bottomLeft" activeCell="J351" sqref="J351"/>
    </sheetView>
  </sheetViews>
  <sheetFormatPr defaultRowHeight="15"/>
  <cols>
    <col min="1" max="1" width="9.5703125" customWidth="1"/>
    <col min="2" max="2" width="16.5703125" bestFit="1" customWidth="1"/>
    <col min="3" max="3" width="12.42578125" customWidth="1"/>
    <col min="4" max="4" width="12.85546875" customWidth="1"/>
    <col min="5" max="5" width="13.140625" customWidth="1"/>
    <col min="6" max="7" width="14.140625" customWidth="1"/>
    <col min="8" max="8" width="12.7109375" customWidth="1"/>
    <col min="9" max="9" width="10.85546875" customWidth="1"/>
    <col min="10" max="10" width="9.140625" customWidth="1"/>
    <col min="11" max="11" width="7" customWidth="1"/>
  </cols>
  <sheetData>
    <row r="2" spans="1:10" ht="15.75" thickBot="1"/>
    <row r="3" spans="1:10" ht="15.75" thickBot="1">
      <c r="I3" s="92" t="s">
        <v>167</v>
      </c>
      <c r="J3" s="80" t="s">
        <v>207</v>
      </c>
    </row>
    <row r="4" spans="1:10" ht="15.75" thickBot="1">
      <c r="I4" s="44" t="s">
        <v>82</v>
      </c>
      <c r="J4" s="45">
        <v>11</v>
      </c>
    </row>
    <row r="14" spans="1:10" s="3" customFormat="1">
      <c r="A14" s="93" t="s">
        <v>0</v>
      </c>
    </row>
    <row r="15" spans="1:10" s="160" customFormat="1">
      <c r="A15" s="160" t="s">
        <v>1</v>
      </c>
      <c r="B15" s="4" t="s">
        <v>4</v>
      </c>
      <c r="C15" s="43">
        <f>20+0.5*J4</f>
        <v>25.5</v>
      </c>
      <c r="D15" s="160" t="s">
        <v>5</v>
      </c>
      <c r="F15" s="160" t="s">
        <v>172</v>
      </c>
      <c r="G15" s="160" t="s">
        <v>4</v>
      </c>
      <c r="H15" s="160">
        <f>C17/2</f>
        <v>2.7</v>
      </c>
    </row>
    <row r="16" spans="1:10" s="160" customFormat="1">
      <c r="A16" s="160" t="s">
        <v>2</v>
      </c>
      <c r="B16" s="4" t="s">
        <v>4</v>
      </c>
      <c r="C16" s="43">
        <f>20+J4</f>
        <v>31</v>
      </c>
      <c r="D16" s="160" t="s">
        <v>13</v>
      </c>
      <c r="F16" s="160" t="s">
        <v>173</v>
      </c>
      <c r="G16" s="160" t="s">
        <v>4</v>
      </c>
      <c r="H16" s="160">
        <f>H15</f>
        <v>2.7</v>
      </c>
    </row>
    <row r="17" spans="1:11" s="160" customFormat="1">
      <c r="A17" s="160" t="s">
        <v>3</v>
      </c>
      <c r="B17" s="4" t="s">
        <v>4</v>
      </c>
      <c r="C17" s="43">
        <v>5.4</v>
      </c>
      <c r="D17" s="160" t="s">
        <v>6</v>
      </c>
    </row>
    <row r="18" spans="1:11" s="160" customFormat="1">
      <c r="A18" s="160" t="s">
        <v>175</v>
      </c>
      <c r="B18" s="160" t="s">
        <v>4</v>
      </c>
      <c r="C18" s="43">
        <f>C17/2</f>
        <v>2.7</v>
      </c>
      <c r="D18" s="160" t="s">
        <v>6</v>
      </c>
    </row>
    <row r="19" spans="1:11" s="160" customFormat="1">
      <c r="A19" s="160" t="s">
        <v>174</v>
      </c>
      <c r="B19" s="160" t="s">
        <v>4</v>
      </c>
      <c r="C19" s="43">
        <f>0.3*C17</f>
        <v>1.62</v>
      </c>
      <c r="D19" s="160" t="s">
        <v>6</v>
      </c>
    </row>
    <row r="20" spans="1:11" s="3" customFormat="1">
      <c r="A20" s="93" t="s">
        <v>15</v>
      </c>
    </row>
    <row r="21" spans="1:11" s="160" customFormat="1">
      <c r="A21" s="160" t="s">
        <v>8</v>
      </c>
      <c r="B21" s="160" t="s">
        <v>4</v>
      </c>
      <c r="C21" s="5">
        <f>C16</f>
        <v>31</v>
      </c>
      <c r="D21" s="160" t="s">
        <v>13</v>
      </c>
    </row>
    <row r="22" spans="1:11" s="160" customFormat="1">
      <c r="A22" s="160" t="s">
        <v>9</v>
      </c>
      <c r="B22" s="160" t="s">
        <v>4</v>
      </c>
      <c r="C22" s="5">
        <f>C16</f>
        <v>31</v>
      </c>
      <c r="D22" s="160" t="s">
        <v>13</v>
      </c>
    </row>
    <row r="23" spans="1:11" s="160" customFormat="1">
      <c r="A23" s="160" t="s">
        <v>11</v>
      </c>
      <c r="B23" s="160" t="s">
        <v>4</v>
      </c>
      <c r="D23" s="160" t="s">
        <v>1</v>
      </c>
      <c r="E23" s="160" t="s">
        <v>4</v>
      </c>
      <c r="F23" s="7">
        <f>C15</f>
        <v>25.5</v>
      </c>
      <c r="G23" s="160" t="s">
        <v>5</v>
      </c>
    </row>
    <row r="24" spans="1:11" s="160" customFormat="1">
      <c r="A24" s="160" t="s">
        <v>12</v>
      </c>
      <c r="B24" s="160" t="s">
        <v>4</v>
      </c>
      <c r="C24" s="160">
        <v>1.4</v>
      </c>
      <c r="D24" s="160" t="s">
        <v>1</v>
      </c>
      <c r="E24" s="160" t="s">
        <v>4</v>
      </c>
      <c r="F24" s="5">
        <f>C15*1.4</f>
        <v>35.699999999999996</v>
      </c>
      <c r="G24" s="160" t="s">
        <v>5</v>
      </c>
    </row>
    <row r="25" spans="1:11" s="160" customFormat="1">
      <c r="A25" s="160" t="s">
        <v>14</v>
      </c>
      <c r="B25" s="160" t="s">
        <v>4</v>
      </c>
      <c r="C25" s="160">
        <v>1.4</v>
      </c>
      <c r="D25" s="160" t="s">
        <v>1</v>
      </c>
      <c r="E25" s="160" t="s">
        <v>4</v>
      </c>
      <c r="F25" s="5">
        <f>F24</f>
        <v>35.699999999999996</v>
      </c>
      <c r="G25" s="160" t="str">
        <f>G24</f>
        <v>kN/m</v>
      </c>
    </row>
    <row r="26" spans="1:11" s="3" customFormat="1" ht="15.75" thickBot="1">
      <c r="A26" s="93" t="s">
        <v>16</v>
      </c>
      <c r="K26" s="109"/>
    </row>
    <row r="27" spans="1:11" s="160" customFormat="1" ht="15.75" thickBot="1">
      <c r="A27" s="160" t="s">
        <v>17</v>
      </c>
      <c r="B27" s="160" t="s">
        <v>4</v>
      </c>
      <c r="C27" s="160">
        <v>200000</v>
      </c>
      <c r="D27" s="160" t="s">
        <v>19</v>
      </c>
      <c r="F27" s="52" t="s">
        <v>18</v>
      </c>
      <c r="G27" s="53" t="s">
        <v>4</v>
      </c>
      <c r="H27" s="53" t="s">
        <v>169</v>
      </c>
      <c r="I27" s="54" t="s">
        <v>84</v>
      </c>
      <c r="K27" s="217" t="s">
        <v>170</v>
      </c>
    </row>
    <row r="28" spans="1:11" s="160" customFormat="1">
      <c r="B28" s="160" t="s">
        <v>4</v>
      </c>
      <c r="C28" s="8">
        <f>C27*10^3</f>
        <v>200000000</v>
      </c>
      <c r="D28" s="160" t="s">
        <v>20</v>
      </c>
      <c r="F28" s="162" t="s">
        <v>21</v>
      </c>
      <c r="G28" s="160" t="s">
        <v>4</v>
      </c>
      <c r="H28" s="160">
        <v>1869</v>
      </c>
      <c r="I28" s="47" t="s">
        <v>23</v>
      </c>
      <c r="K28" s="218"/>
    </row>
    <row r="29" spans="1:11" s="160" customFormat="1" ht="15.75" thickBot="1">
      <c r="F29" s="48"/>
      <c r="G29" s="49" t="s">
        <v>4</v>
      </c>
      <c r="H29" s="50">
        <f>H28*(10^-2)^4</f>
        <v>1.8689999999999999E-5</v>
      </c>
      <c r="I29" s="51" t="s">
        <v>22</v>
      </c>
      <c r="K29" s="219"/>
    </row>
    <row r="30" spans="1:11" s="160" customFormat="1"/>
    <row r="31" spans="1:11" s="160" customFormat="1"/>
    <row r="32" spans="1:11" s="160" customFormat="1"/>
    <row r="33" spans="1:14" s="160" customFormat="1"/>
    <row r="34" spans="1:14" s="95" customFormat="1">
      <c r="A34" s="94" t="s">
        <v>24</v>
      </c>
      <c r="C34" s="94" t="s">
        <v>25</v>
      </c>
    </row>
    <row r="35" spans="1:14" s="160" customFormat="1">
      <c r="A35" s="171" t="s">
        <v>156</v>
      </c>
      <c r="B35" s="172"/>
      <c r="C35" s="173"/>
      <c r="D35" s="172"/>
      <c r="E35" s="172"/>
    </row>
    <row r="36" spans="1:14" s="160" customFormat="1">
      <c r="A36" s="173"/>
      <c r="B36" s="172"/>
      <c r="C36" s="173"/>
      <c r="D36" s="172"/>
      <c r="E36" s="172"/>
    </row>
    <row r="37" spans="1:14" s="160" customFormat="1">
      <c r="A37" s="60" t="s">
        <v>37</v>
      </c>
      <c r="D37" s="160" t="s">
        <v>36</v>
      </c>
      <c r="F37" s="160" t="s">
        <v>34</v>
      </c>
      <c r="I37" s="160" t="s">
        <v>35</v>
      </c>
    </row>
    <row r="38" spans="1:14" s="160" customFormat="1"/>
    <row r="39" spans="1:14" s="160" customFormat="1"/>
    <row r="40" spans="1:14" s="160" customFormat="1">
      <c r="A40" s="60"/>
      <c r="B40" s="55" t="s">
        <v>30</v>
      </c>
      <c r="D40" s="60" t="s">
        <v>31</v>
      </c>
      <c r="F40" s="60" t="s">
        <v>32</v>
      </c>
      <c r="I40" s="60" t="s">
        <v>33</v>
      </c>
    </row>
    <row r="41" spans="1:14" s="160" customFormat="1">
      <c r="L41" s="9"/>
      <c r="M41" s="9"/>
      <c r="N41" s="9"/>
    </row>
    <row r="42" spans="1:14" s="160" customFormat="1">
      <c r="A42" s="160" t="s">
        <v>26</v>
      </c>
      <c r="B42" s="199" t="s">
        <v>153</v>
      </c>
      <c r="C42" s="199"/>
      <c r="D42" s="160" t="s">
        <v>176</v>
      </c>
      <c r="E42" s="160" t="s">
        <v>154</v>
      </c>
      <c r="F42" s="160" t="s">
        <v>27</v>
      </c>
      <c r="G42" s="199" t="s">
        <v>155</v>
      </c>
      <c r="H42" s="199"/>
      <c r="I42" s="160" t="s">
        <v>28</v>
      </c>
      <c r="L42" s="173"/>
      <c r="M42" s="173"/>
      <c r="N42" s="173"/>
    </row>
    <row r="43" spans="1:14" s="160" customFormat="1"/>
    <row r="44" spans="1:14" s="160" customFormat="1">
      <c r="D44" s="160" t="s">
        <v>36</v>
      </c>
    </row>
    <row r="45" spans="1:14" s="160" customFormat="1">
      <c r="A45" s="171" t="s">
        <v>157</v>
      </c>
    </row>
    <row r="46" spans="1:14" s="160" customFormat="1"/>
    <row r="47" spans="1:14" s="160" customFormat="1"/>
    <row r="48" spans="1:14" s="160" customFormat="1">
      <c r="A48" s="60"/>
      <c r="B48" s="55"/>
      <c r="C48" s="55" t="s">
        <v>180</v>
      </c>
      <c r="D48" s="160" t="s">
        <v>180</v>
      </c>
      <c r="F48" s="60" t="s">
        <v>31</v>
      </c>
      <c r="I48" s="60" t="s">
        <v>32</v>
      </c>
    </row>
    <row r="49" spans="1:9" s="160" customFormat="1">
      <c r="I49" s="60"/>
    </row>
    <row r="50" spans="1:9" s="160" customFormat="1">
      <c r="A50" s="160" t="s">
        <v>26</v>
      </c>
      <c r="B50" s="199" t="s">
        <v>153</v>
      </c>
      <c r="C50" s="199"/>
      <c r="D50" s="160" t="s">
        <v>176</v>
      </c>
      <c r="E50" s="160" t="s">
        <v>154</v>
      </c>
      <c r="F50" s="160" t="s">
        <v>27</v>
      </c>
      <c r="G50" s="199" t="s">
        <v>155</v>
      </c>
      <c r="H50" s="199"/>
      <c r="I50" s="160" t="s">
        <v>28</v>
      </c>
    </row>
    <row r="51" spans="1:9" s="160" customFormat="1"/>
    <row r="52" spans="1:9" s="95" customFormat="1">
      <c r="A52" s="94" t="s">
        <v>38</v>
      </c>
      <c r="B52" s="97"/>
      <c r="C52" s="94" t="s">
        <v>39</v>
      </c>
    </row>
    <row r="53" spans="1:9" s="160" customFormat="1"/>
    <row r="54" spans="1:9" s="160" customFormat="1">
      <c r="A54" s="220" t="s">
        <v>40</v>
      </c>
      <c r="B54" s="220"/>
    </row>
    <row r="55" spans="1:9">
      <c r="A55" s="160"/>
      <c r="B55" s="160"/>
      <c r="C55" s="160"/>
      <c r="D55" s="160"/>
      <c r="E55" s="160"/>
      <c r="F55" s="214" t="s">
        <v>83</v>
      </c>
      <c r="G55" s="214"/>
      <c r="H55" s="214"/>
      <c r="I55" s="214"/>
    </row>
    <row r="56" spans="1:9">
      <c r="A56" s="160" t="s">
        <v>17</v>
      </c>
      <c r="B56" s="8">
        <f>C28</f>
        <v>200000000</v>
      </c>
      <c r="C56" s="160" t="str">
        <f>D28</f>
        <v>kN/m^2</v>
      </c>
      <c r="D56" s="160"/>
      <c r="E56" s="160"/>
      <c r="F56" s="165" t="s">
        <v>42</v>
      </c>
      <c r="G56" s="165" t="s">
        <v>43</v>
      </c>
      <c r="H56" s="11" t="s">
        <v>44</v>
      </c>
      <c r="I56" s="165" t="s">
        <v>43</v>
      </c>
    </row>
    <row r="57" spans="1:9">
      <c r="A57" s="160" t="s">
        <v>21</v>
      </c>
      <c r="B57" s="8">
        <f>H29</f>
        <v>1.8689999999999999E-5</v>
      </c>
      <c r="C57" s="160" t="str">
        <f>I29</f>
        <v>m^4</v>
      </c>
      <c r="D57" s="160"/>
      <c r="E57" s="160"/>
      <c r="F57" s="165" t="s">
        <v>43</v>
      </c>
      <c r="G57" s="165" t="s">
        <v>45</v>
      </c>
      <c r="H57" s="11" t="s">
        <v>46</v>
      </c>
      <c r="I57" s="165" t="s">
        <v>47</v>
      </c>
    </row>
    <row r="58" spans="1:9">
      <c r="A58" s="160" t="s">
        <v>3</v>
      </c>
      <c r="B58" s="160">
        <f>'[1]1B'!C17</f>
        <v>5.4</v>
      </c>
      <c r="C58" s="160" t="str">
        <f>D16</f>
        <v>kN</v>
      </c>
      <c r="D58" s="160"/>
      <c r="E58" s="160"/>
      <c r="F58" s="11" t="s">
        <v>44</v>
      </c>
      <c r="G58" s="11" t="s">
        <v>46</v>
      </c>
      <c r="H58" s="165" t="s">
        <v>42</v>
      </c>
      <c r="I58" s="11" t="s">
        <v>46</v>
      </c>
    </row>
    <row r="59" spans="1:9">
      <c r="A59" s="160" t="s">
        <v>41</v>
      </c>
      <c r="B59" s="8">
        <f>B56*B57</f>
        <v>3738</v>
      </c>
      <c r="C59" s="160" t="s">
        <v>177</v>
      </c>
      <c r="D59" s="160"/>
      <c r="E59" s="160"/>
      <c r="F59" s="165" t="s">
        <v>43</v>
      </c>
      <c r="G59" s="165" t="s">
        <v>47</v>
      </c>
      <c r="H59" s="11" t="s">
        <v>46</v>
      </c>
      <c r="I59" s="165" t="s">
        <v>45</v>
      </c>
    </row>
    <row r="60" spans="1:9">
      <c r="A60" s="160"/>
      <c r="B60" s="160"/>
      <c r="C60" s="160"/>
      <c r="D60" s="160"/>
      <c r="E60" s="160"/>
      <c r="F60" s="160"/>
      <c r="G60" s="160"/>
      <c r="H60" s="160"/>
      <c r="I60" s="160"/>
    </row>
    <row r="61" spans="1:9">
      <c r="A61" s="9" t="s">
        <v>37</v>
      </c>
      <c r="B61" s="9" t="s">
        <v>30</v>
      </c>
      <c r="C61" s="9" t="s">
        <v>179</v>
      </c>
      <c r="D61" s="9" t="s">
        <v>180</v>
      </c>
      <c r="E61" s="160"/>
      <c r="F61" s="160"/>
      <c r="G61" s="160"/>
      <c r="H61" s="160"/>
      <c r="I61" s="160"/>
    </row>
    <row r="62" spans="1:9">
      <c r="A62" s="98">
        <f>(12*$B$56*$B$57)/($B$58^3)</f>
        <v>284.86511202560581</v>
      </c>
      <c r="B62" s="98">
        <f>(6*$B$56*$B$57)/($B$58^2)</f>
        <v>769.13580246913568</v>
      </c>
      <c r="C62" s="98">
        <f>(-12*$B$56*$B$57)/($B$58^3)</f>
        <v>-284.86511202560581</v>
      </c>
      <c r="D62" s="98">
        <f>(6*$B$56*$B$57)/($B$58^2)</f>
        <v>769.13580246913568</v>
      </c>
      <c r="E62" s="9" t="s">
        <v>37</v>
      </c>
      <c r="F62" s="160"/>
      <c r="G62" s="160"/>
      <c r="H62" s="160"/>
      <c r="I62" s="160"/>
    </row>
    <row r="63" spans="1:9">
      <c r="A63" s="98">
        <f>(6*$B$56*$B$57)/($B$58^2)</f>
        <v>769.13580246913568</v>
      </c>
      <c r="B63" s="98">
        <f>(4*$B$56*$B$57)/($B$58^1)</f>
        <v>2768.8888888888887</v>
      </c>
      <c r="C63" s="98">
        <f>(-6*$B$56*$B$57)/($B$58^2)</f>
        <v>-769.13580246913568</v>
      </c>
      <c r="D63" s="98">
        <f>(2*$B$56*$B$57)/($B$58^1)</f>
        <v>1384.4444444444443</v>
      </c>
      <c r="E63" s="9" t="s">
        <v>30</v>
      </c>
      <c r="F63" s="160"/>
      <c r="G63" s="160"/>
      <c r="H63" s="160"/>
      <c r="I63" s="160"/>
    </row>
    <row r="64" spans="1:9">
      <c r="A64" s="98">
        <f>(-12*$B$56*$B$57)/($B$58^3)</f>
        <v>-284.86511202560581</v>
      </c>
      <c r="B64" s="98">
        <f>(-6*$B$56*$B$57)/($B$58^2)</f>
        <v>-769.13580246913568</v>
      </c>
      <c r="C64" s="99">
        <f>(12*$B$56*$B$57)/($B$58^3)</f>
        <v>284.86511202560581</v>
      </c>
      <c r="D64" s="99">
        <f>(-6*$B$56*$B$57)/($B$58^2)</f>
        <v>-769.13580246913568</v>
      </c>
      <c r="E64" s="9" t="s">
        <v>179</v>
      </c>
      <c r="F64" s="160"/>
      <c r="G64" s="160"/>
      <c r="H64" s="160"/>
      <c r="I64" s="160"/>
    </row>
    <row r="65" spans="1:9">
      <c r="A65" s="98">
        <f>(6*$B$56*$B$57)/($B$58^2)</f>
        <v>769.13580246913568</v>
      </c>
      <c r="B65" s="98">
        <f>(2*$B$56*$B$57)/($B$58^1)</f>
        <v>1384.4444444444443</v>
      </c>
      <c r="C65" s="99">
        <f>(-6*$B$56*$B$57)/($B$58^2)</f>
        <v>-769.13580246913568</v>
      </c>
      <c r="D65" s="99">
        <f>(4*$B$56*$B$57)/($B$58^1)</f>
        <v>2768.8888888888887</v>
      </c>
      <c r="E65" s="9" t="s">
        <v>180</v>
      </c>
      <c r="F65" s="160"/>
      <c r="G65" s="160"/>
      <c r="H65" s="160"/>
      <c r="I65" s="160"/>
    </row>
    <row r="67" spans="1:9">
      <c r="A67" s="220" t="s">
        <v>48</v>
      </c>
      <c r="B67" s="220"/>
      <c r="C67" s="160"/>
      <c r="D67" s="160"/>
      <c r="E67" s="160"/>
      <c r="F67" s="160"/>
      <c r="G67" s="160"/>
      <c r="H67" s="160"/>
      <c r="I67" s="160"/>
    </row>
    <row r="68" spans="1:9">
      <c r="A68" s="160"/>
      <c r="B68" s="160"/>
      <c r="C68" s="160"/>
      <c r="D68" s="160"/>
      <c r="E68" s="160"/>
      <c r="F68" s="214" t="s">
        <v>83</v>
      </c>
      <c r="G68" s="214"/>
      <c r="H68" s="214"/>
      <c r="I68" s="214"/>
    </row>
    <row r="69" spans="1:9">
      <c r="A69" s="160" t="s">
        <v>17</v>
      </c>
      <c r="B69" s="8">
        <f>C28</f>
        <v>200000000</v>
      </c>
      <c r="C69" s="160" t="str">
        <f>C56</f>
        <v>kN/m^2</v>
      </c>
      <c r="D69" s="160"/>
      <c r="E69" s="160"/>
      <c r="F69" s="165" t="s">
        <v>42</v>
      </c>
      <c r="G69" s="165" t="s">
        <v>43</v>
      </c>
      <c r="H69" s="11" t="s">
        <v>44</v>
      </c>
      <c r="I69" s="165" t="s">
        <v>43</v>
      </c>
    </row>
    <row r="70" spans="1:9">
      <c r="A70" s="160" t="s">
        <v>21</v>
      </c>
      <c r="B70" s="8">
        <f>H29</f>
        <v>1.8689999999999999E-5</v>
      </c>
      <c r="C70" s="160" t="str">
        <f t="shared" ref="C70:C72" si="0">C57</f>
        <v>m^4</v>
      </c>
      <c r="D70" s="160"/>
      <c r="E70" s="160"/>
      <c r="F70" s="165" t="s">
        <v>43</v>
      </c>
      <c r="G70" s="165" t="s">
        <v>45</v>
      </c>
      <c r="H70" s="11" t="s">
        <v>46</v>
      </c>
      <c r="I70" s="165" t="s">
        <v>47</v>
      </c>
    </row>
    <row r="71" spans="1:9">
      <c r="A71" s="160" t="s">
        <v>3</v>
      </c>
      <c r="B71" s="160">
        <f>C19</f>
        <v>1.62</v>
      </c>
      <c r="C71" s="160" t="str">
        <f t="shared" si="0"/>
        <v>kN</v>
      </c>
      <c r="D71" s="160"/>
      <c r="E71" s="160"/>
      <c r="F71" s="11" t="s">
        <v>44</v>
      </c>
      <c r="G71" s="11" t="s">
        <v>46</v>
      </c>
      <c r="H71" s="165" t="s">
        <v>42</v>
      </c>
      <c r="I71" s="11" t="s">
        <v>46</v>
      </c>
    </row>
    <row r="72" spans="1:9">
      <c r="A72" s="160" t="s">
        <v>41</v>
      </c>
      <c r="B72" s="8">
        <f>B69*B70</f>
        <v>3738</v>
      </c>
      <c r="C72" s="160" t="str">
        <f t="shared" si="0"/>
        <v>kNm^2</v>
      </c>
      <c r="D72" s="160"/>
      <c r="E72" s="160"/>
      <c r="F72" s="165" t="s">
        <v>43</v>
      </c>
      <c r="G72" s="165" t="s">
        <v>47</v>
      </c>
      <c r="H72" s="11" t="s">
        <v>46</v>
      </c>
      <c r="I72" s="165" t="s">
        <v>45</v>
      </c>
    </row>
    <row r="73" spans="1:9">
      <c r="A73" s="160"/>
      <c r="B73" s="160"/>
      <c r="C73" s="160"/>
      <c r="D73" s="160"/>
      <c r="E73" s="160"/>
      <c r="F73" s="160"/>
      <c r="G73" s="160"/>
      <c r="H73" s="160"/>
      <c r="I73" s="160"/>
    </row>
    <row r="74" spans="1:9">
      <c r="A74" s="9" t="s">
        <v>179</v>
      </c>
      <c r="B74" s="9" t="s">
        <v>180</v>
      </c>
      <c r="C74" s="9" t="s">
        <v>36</v>
      </c>
      <c r="D74" s="9" t="s">
        <v>31</v>
      </c>
      <c r="E74" s="160"/>
      <c r="F74" s="160"/>
      <c r="G74" s="160"/>
      <c r="H74" s="160"/>
      <c r="I74" s="160"/>
    </row>
    <row r="75" spans="1:9">
      <c r="A75" s="99">
        <f>(12*$B$56*$B$57)/($B$71^3)</f>
        <v>10550.559704652065</v>
      </c>
      <c r="B75" s="99">
        <f>(6*$B$56*$B$57)/($B$71^2)</f>
        <v>8545.9533607681733</v>
      </c>
      <c r="C75" s="98">
        <f>(-12*$B$56*$B$57)/($B$71^3)</f>
        <v>-10550.559704652065</v>
      </c>
      <c r="D75" s="99">
        <f>(6*$B$56*$B$57)/($B$71^2)</f>
        <v>8545.9533607681733</v>
      </c>
      <c r="E75" s="9" t="s">
        <v>179</v>
      </c>
      <c r="F75" s="160"/>
      <c r="G75" s="160"/>
      <c r="H75" s="160"/>
      <c r="I75" s="160"/>
    </row>
    <row r="76" spans="1:9">
      <c r="A76" s="99">
        <f>(6*$B$56*$B$57)/($B$71^2)</f>
        <v>8545.9533607681733</v>
      </c>
      <c r="B76" s="99">
        <f>(4*$B$56*$B$57)/($B$71^1)</f>
        <v>9229.6296296296296</v>
      </c>
      <c r="C76" s="98">
        <f>(-6*$B$56*$B$57)/($B$71^2)</f>
        <v>-8545.9533607681733</v>
      </c>
      <c r="D76" s="99">
        <f>(2*$B$56*$B$57)/($B$71^1)</f>
        <v>4614.8148148148148</v>
      </c>
      <c r="E76" s="9" t="s">
        <v>180</v>
      </c>
      <c r="F76" s="160"/>
      <c r="G76" s="160"/>
      <c r="H76" s="160"/>
      <c r="I76" s="160"/>
    </row>
    <row r="77" spans="1:9">
      <c r="A77" s="98">
        <f>(-12*$B$56*$B$57)/($B$71^3)</f>
        <v>-10550.559704652065</v>
      </c>
      <c r="B77" s="98">
        <f>(-6*$B$56*$B$57)/($B$71^2)</f>
        <v>-8545.9533607681733</v>
      </c>
      <c r="C77" s="98">
        <f t="shared" ref="C77" si="1">(12*$B$56*$B$57)/($B$71^3)</f>
        <v>10550.559704652065</v>
      </c>
      <c r="D77" s="98">
        <f>(-6*$B$56*$B$57)/($B$71^2)</f>
        <v>-8545.9533607681733</v>
      </c>
      <c r="E77" s="9" t="s">
        <v>36</v>
      </c>
      <c r="F77" s="160"/>
      <c r="G77" s="160"/>
      <c r="H77" s="160"/>
      <c r="I77" s="160"/>
    </row>
    <row r="78" spans="1:9">
      <c r="A78" s="99">
        <f>(6*$B$56*$B$57)/($B$71^2)</f>
        <v>8545.9533607681733</v>
      </c>
      <c r="B78" s="99">
        <f>(2*$B$56*$B$57)/($B$71^1)</f>
        <v>4614.8148148148148</v>
      </c>
      <c r="C78" s="98">
        <f>(-6*$B$56*$B$57)/($B$71^2)</f>
        <v>-8545.9533607681733</v>
      </c>
      <c r="D78" s="99">
        <f>(4*$B$56*$B$57)/($B$71^1)</f>
        <v>9229.6296296296296</v>
      </c>
      <c r="E78" s="9" t="s">
        <v>31</v>
      </c>
      <c r="F78" s="160"/>
      <c r="G78" s="160"/>
      <c r="H78" s="160"/>
      <c r="I78" s="160"/>
    </row>
    <row r="80" spans="1:9">
      <c r="A80" s="220" t="s">
        <v>49</v>
      </c>
      <c r="B80" s="220"/>
      <c r="C80" s="160"/>
      <c r="D80" s="160"/>
      <c r="E80" s="160"/>
      <c r="F80" s="160"/>
      <c r="G80" s="160"/>
      <c r="H80" s="160"/>
      <c r="I80" s="160"/>
    </row>
    <row r="81" spans="1:9">
      <c r="A81" s="160"/>
      <c r="B81" s="160"/>
      <c r="C81" s="160"/>
      <c r="D81" s="160"/>
      <c r="E81" s="160"/>
      <c r="F81" s="214" t="s">
        <v>83</v>
      </c>
      <c r="G81" s="214"/>
      <c r="H81" s="214"/>
      <c r="I81" s="214"/>
    </row>
    <row r="82" spans="1:9">
      <c r="A82" s="160" t="s">
        <v>17</v>
      </c>
      <c r="B82" s="8">
        <f>C28</f>
        <v>200000000</v>
      </c>
      <c r="C82" s="160" t="str">
        <f>C69</f>
        <v>kN/m^2</v>
      </c>
      <c r="D82" s="160"/>
      <c r="E82" s="160"/>
      <c r="F82" s="165" t="s">
        <v>42</v>
      </c>
      <c r="G82" s="165" t="s">
        <v>43</v>
      </c>
      <c r="H82" s="11" t="s">
        <v>44</v>
      </c>
      <c r="I82" s="165" t="s">
        <v>43</v>
      </c>
    </row>
    <row r="83" spans="1:9">
      <c r="A83" s="160" t="s">
        <v>21</v>
      </c>
      <c r="B83" s="8">
        <f>H29</f>
        <v>1.8689999999999999E-5</v>
      </c>
      <c r="C83" s="160" t="str">
        <f t="shared" ref="C83:C84" si="2">C70</f>
        <v>m^4</v>
      </c>
      <c r="D83" s="160"/>
      <c r="E83" s="160"/>
      <c r="F83" s="165" t="s">
        <v>43</v>
      </c>
      <c r="G83" s="165" t="s">
        <v>45</v>
      </c>
      <c r="H83" s="11" t="s">
        <v>46</v>
      </c>
      <c r="I83" s="165" t="s">
        <v>47</v>
      </c>
    </row>
    <row r="84" spans="1:9">
      <c r="A84" s="160" t="s">
        <v>3</v>
      </c>
      <c r="B84" s="160">
        <f>C17</f>
        <v>5.4</v>
      </c>
      <c r="C84" s="160" t="str">
        <f t="shared" si="2"/>
        <v>kN</v>
      </c>
      <c r="D84" s="160"/>
      <c r="E84" s="160"/>
      <c r="F84" s="11" t="s">
        <v>44</v>
      </c>
      <c r="G84" s="11" t="s">
        <v>46</v>
      </c>
      <c r="H84" s="165" t="s">
        <v>42</v>
      </c>
      <c r="I84" s="11" t="s">
        <v>46</v>
      </c>
    </row>
    <row r="85" spans="1:9">
      <c r="A85" s="160" t="s">
        <v>41</v>
      </c>
      <c r="B85" s="8">
        <f>B82*B83</f>
        <v>3738</v>
      </c>
      <c r="C85" s="160" t="str">
        <f>C72</f>
        <v>kNm^2</v>
      </c>
      <c r="D85" s="160"/>
      <c r="E85" s="160"/>
      <c r="F85" s="165" t="s">
        <v>43</v>
      </c>
      <c r="G85" s="165" t="s">
        <v>47</v>
      </c>
      <c r="H85" s="11" t="s">
        <v>46</v>
      </c>
      <c r="I85" s="165" t="s">
        <v>45</v>
      </c>
    </row>
    <row r="86" spans="1:9">
      <c r="A86" s="160"/>
      <c r="B86" s="160"/>
      <c r="C86" s="160"/>
      <c r="D86" s="160"/>
      <c r="E86" s="160"/>
      <c r="F86" s="160"/>
      <c r="G86" s="160"/>
      <c r="H86" s="160"/>
      <c r="I86" s="160"/>
    </row>
    <row r="87" spans="1:9">
      <c r="A87" s="9" t="s">
        <v>36</v>
      </c>
      <c r="B87" s="9" t="s">
        <v>31</v>
      </c>
      <c r="C87" s="9" t="s">
        <v>34</v>
      </c>
      <c r="D87" s="9" t="s">
        <v>32</v>
      </c>
      <c r="E87" s="160"/>
      <c r="F87" s="160"/>
      <c r="G87" s="160"/>
      <c r="H87" s="160"/>
      <c r="I87" s="160"/>
    </row>
    <row r="88" spans="1:9">
      <c r="A88" s="98">
        <f>(12*$B$56*$B$57)/($B$58^3)</f>
        <v>284.86511202560581</v>
      </c>
      <c r="B88" s="98">
        <f>(6*$B$56*$B$57)/($B$58^2)</f>
        <v>769.13580246913568</v>
      </c>
      <c r="C88" s="98">
        <f>(-12*$B$56*$B$57)/($B$58^3)</f>
        <v>-284.86511202560581</v>
      </c>
      <c r="D88" s="98">
        <f>(6*$B$56*$B$57)/($B$58^2)</f>
        <v>769.13580246913568</v>
      </c>
      <c r="E88" s="9" t="s">
        <v>36</v>
      </c>
      <c r="F88" s="160"/>
      <c r="G88" s="160"/>
      <c r="H88" s="160"/>
      <c r="I88" s="160"/>
    </row>
    <row r="89" spans="1:9">
      <c r="A89" s="98">
        <f>(6*$B$56*$B$57)/($B$58^2)</f>
        <v>769.13580246913568</v>
      </c>
      <c r="B89" s="99">
        <f>(4*$B$56*$B$57)/($B$58^1)</f>
        <v>2768.8888888888887</v>
      </c>
      <c r="C89" s="98">
        <f>(-6*$B$56*$B$57)/($B$58^2)</f>
        <v>-769.13580246913568</v>
      </c>
      <c r="D89" s="99">
        <f>(2*$B$56*$B$57)/($B$58^1)</f>
        <v>1384.4444444444443</v>
      </c>
      <c r="E89" s="9" t="s">
        <v>31</v>
      </c>
      <c r="F89" s="160"/>
      <c r="G89" s="160"/>
      <c r="H89" s="160"/>
      <c r="I89" s="160"/>
    </row>
    <row r="90" spans="1:9">
      <c r="A90" s="98">
        <f>(-12*$B$56*$B$57)/($B$58^3)</f>
        <v>-284.86511202560581</v>
      </c>
      <c r="B90" s="98">
        <f>(-6*$B$56*$B$57)/($B$58^2)</f>
        <v>-769.13580246913568</v>
      </c>
      <c r="C90" s="98">
        <f>(12*$B$56*$B$57)/($B$58^3)</f>
        <v>284.86511202560581</v>
      </c>
      <c r="D90" s="98">
        <f>(-6*$B$56*$B$57)/($B$58^2)</f>
        <v>-769.13580246913568</v>
      </c>
      <c r="E90" s="9" t="s">
        <v>34</v>
      </c>
      <c r="F90" s="160"/>
      <c r="G90" s="160"/>
      <c r="H90" s="160"/>
      <c r="I90" s="160"/>
    </row>
    <row r="91" spans="1:9">
      <c r="A91" s="98">
        <f>(6*$B$56*$B$57)/($B$58^2)</f>
        <v>769.13580246913568</v>
      </c>
      <c r="B91" s="99">
        <f>(2*$B$56*$B$57)/($B$58^1)</f>
        <v>1384.4444444444443</v>
      </c>
      <c r="C91" s="98">
        <f>(-6*$B$56*$B$57)/($B$58^2)</f>
        <v>-769.13580246913568</v>
      </c>
      <c r="D91" s="99">
        <f>(4*$B$56*$B$57)/($B$58^1)</f>
        <v>2768.8888888888887</v>
      </c>
      <c r="E91" s="9" t="s">
        <v>32</v>
      </c>
      <c r="F91" s="160"/>
      <c r="G91" s="160"/>
      <c r="H91" s="160"/>
      <c r="I91" s="160"/>
    </row>
    <row r="100" spans="1:8" s="95" customFormat="1">
      <c r="A100" s="94" t="s">
        <v>50</v>
      </c>
      <c r="D100" s="96" t="s">
        <v>51</v>
      </c>
    </row>
    <row r="101" spans="1:8" s="160" customFormat="1"/>
    <row r="102" spans="1:8" s="160" customFormat="1">
      <c r="A102" s="9" t="s">
        <v>52</v>
      </c>
      <c r="H102" s="9"/>
    </row>
    <row r="103" spans="1:8" s="160" customFormat="1">
      <c r="C103" s="9" t="s">
        <v>179</v>
      </c>
      <c r="D103" s="9" t="s">
        <v>180</v>
      </c>
      <c r="E103" s="9" t="s">
        <v>31</v>
      </c>
      <c r="F103" s="9" t="s">
        <v>32</v>
      </c>
    </row>
    <row r="104" spans="1:8" s="160" customFormat="1">
      <c r="A104" s="160" t="s">
        <v>158</v>
      </c>
      <c r="B104" s="160" t="s">
        <v>4</v>
      </c>
      <c r="C104" s="12">
        <f>C64</f>
        <v>284.86511202560581</v>
      </c>
      <c r="D104" s="12">
        <f>D64</f>
        <v>-769.13580246913568</v>
      </c>
      <c r="E104" s="12">
        <v>0</v>
      </c>
      <c r="F104" s="12">
        <v>0</v>
      </c>
      <c r="G104" s="9" t="s">
        <v>179</v>
      </c>
    </row>
    <row r="105" spans="1:8" s="160" customFormat="1">
      <c r="C105" s="12">
        <f>C65</f>
        <v>-769.13580246913568</v>
      </c>
      <c r="D105" s="12">
        <f>D65</f>
        <v>2768.8888888888887</v>
      </c>
      <c r="E105" s="12">
        <v>0</v>
      </c>
      <c r="F105" s="12">
        <v>0</v>
      </c>
      <c r="G105" s="9" t="s">
        <v>180</v>
      </c>
    </row>
    <row r="106" spans="1:8" s="160" customFormat="1">
      <c r="C106" s="12">
        <v>0</v>
      </c>
      <c r="D106" s="12">
        <v>0</v>
      </c>
      <c r="E106" s="12">
        <v>0</v>
      </c>
      <c r="F106" s="12">
        <v>0</v>
      </c>
      <c r="G106" s="9" t="s">
        <v>31</v>
      </c>
    </row>
    <row r="107" spans="1:8" s="160" customFormat="1">
      <c r="C107" s="12">
        <v>0</v>
      </c>
      <c r="D107" s="12">
        <v>0</v>
      </c>
      <c r="E107" s="12">
        <v>0</v>
      </c>
      <c r="F107" s="12">
        <v>0</v>
      </c>
      <c r="G107" s="9" t="s">
        <v>32</v>
      </c>
    </row>
    <row r="108" spans="1:8" s="160" customFormat="1"/>
    <row r="109" spans="1:8" s="160" customFormat="1">
      <c r="A109" s="9" t="s">
        <v>53</v>
      </c>
    </row>
    <row r="110" spans="1:8" s="160" customFormat="1">
      <c r="C110" s="9" t="s">
        <v>179</v>
      </c>
      <c r="D110" s="9" t="s">
        <v>180</v>
      </c>
      <c r="E110" s="9" t="s">
        <v>31</v>
      </c>
      <c r="F110" s="9" t="s">
        <v>32</v>
      </c>
    </row>
    <row r="111" spans="1:8" s="160" customFormat="1">
      <c r="A111" s="160" t="s">
        <v>159</v>
      </c>
      <c r="B111" s="160" t="s">
        <v>4</v>
      </c>
      <c r="C111" s="12">
        <f>A75</f>
        <v>10550.559704652065</v>
      </c>
      <c r="D111" s="12">
        <f>B75</f>
        <v>8545.9533607681733</v>
      </c>
      <c r="E111" s="12">
        <f>D75</f>
        <v>8545.9533607681733</v>
      </c>
      <c r="F111" s="12">
        <v>0</v>
      </c>
      <c r="G111" s="9" t="s">
        <v>179</v>
      </c>
    </row>
    <row r="112" spans="1:8" s="160" customFormat="1">
      <c r="C112" s="12">
        <f>A78</f>
        <v>8545.9533607681733</v>
      </c>
      <c r="D112" s="12">
        <f>B76</f>
        <v>9229.6296296296296</v>
      </c>
      <c r="E112" s="12">
        <f>D76</f>
        <v>4614.8148148148148</v>
      </c>
      <c r="F112" s="12">
        <v>0</v>
      </c>
      <c r="G112" s="9" t="s">
        <v>180</v>
      </c>
    </row>
    <row r="113" spans="1:8" s="160" customFormat="1">
      <c r="C113" s="12">
        <f>A78</f>
        <v>8545.9533607681733</v>
      </c>
      <c r="D113" s="12">
        <f>B78</f>
        <v>4614.8148148148148</v>
      </c>
      <c r="E113" s="12">
        <f>D78</f>
        <v>9229.6296296296296</v>
      </c>
      <c r="F113" s="12">
        <v>0</v>
      </c>
      <c r="G113" s="9" t="s">
        <v>31</v>
      </c>
    </row>
    <row r="114" spans="1:8" s="160" customFormat="1">
      <c r="C114" s="12">
        <v>0</v>
      </c>
      <c r="D114" s="12">
        <v>0</v>
      </c>
      <c r="E114" s="12">
        <v>0</v>
      </c>
      <c r="F114" s="12">
        <v>0</v>
      </c>
      <c r="G114" s="9" t="s">
        <v>32</v>
      </c>
    </row>
    <row r="115" spans="1:8" s="160" customFormat="1">
      <c r="C115" s="9"/>
      <c r="D115" s="174"/>
      <c r="E115" s="174"/>
      <c r="F115" s="9"/>
      <c r="G115" s="9"/>
    </row>
    <row r="116" spans="1:8" s="160" customFormat="1"/>
    <row r="117" spans="1:8" s="160" customFormat="1">
      <c r="A117" s="9" t="s">
        <v>54</v>
      </c>
    </row>
    <row r="118" spans="1:8" s="160" customFormat="1">
      <c r="C118" s="9" t="s">
        <v>179</v>
      </c>
      <c r="D118" s="9" t="s">
        <v>180</v>
      </c>
      <c r="E118" s="9" t="s">
        <v>31</v>
      </c>
      <c r="F118" s="9" t="s">
        <v>32</v>
      </c>
    </row>
    <row r="119" spans="1:8" s="160" customFormat="1">
      <c r="A119" s="160" t="s">
        <v>160</v>
      </c>
      <c r="B119" s="160" t="s">
        <v>4</v>
      </c>
      <c r="C119" s="12">
        <v>0</v>
      </c>
      <c r="D119" s="12">
        <v>0</v>
      </c>
      <c r="E119" s="12">
        <v>0</v>
      </c>
      <c r="F119" s="12">
        <v>0</v>
      </c>
      <c r="G119" s="9" t="s">
        <v>179</v>
      </c>
    </row>
    <row r="120" spans="1:8" s="160" customFormat="1">
      <c r="C120" s="12">
        <v>0</v>
      </c>
      <c r="D120" s="12">
        <v>0</v>
      </c>
      <c r="E120" s="12">
        <v>0</v>
      </c>
      <c r="F120" s="12">
        <v>0</v>
      </c>
      <c r="G120" s="9" t="s">
        <v>180</v>
      </c>
    </row>
    <row r="121" spans="1:8" s="160" customFormat="1">
      <c r="C121" s="12">
        <v>0</v>
      </c>
      <c r="D121" s="12">
        <v>0</v>
      </c>
      <c r="E121" s="12">
        <f>B89</f>
        <v>2768.8888888888887</v>
      </c>
      <c r="F121" s="12">
        <f>D89</f>
        <v>1384.4444444444443</v>
      </c>
      <c r="G121" s="9" t="s">
        <v>31</v>
      </c>
    </row>
    <row r="122" spans="1:8" s="160" customFormat="1">
      <c r="C122" s="12">
        <v>0</v>
      </c>
      <c r="D122" s="12">
        <v>0</v>
      </c>
      <c r="E122" s="12">
        <f>B91</f>
        <v>1384.4444444444443</v>
      </c>
      <c r="F122" s="12">
        <f>D91</f>
        <v>2768.8888888888887</v>
      </c>
      <c r="G122" s="9" t="s">
        <v>32</v>
      </c>
    </row>
    <row r="123" spans="1:8" s="160" customFormat="1">
      <c r="C123" s="9"/>
      <c r="D123" s="174"/>
      <c r="E123" s="174"/>
      <c r="F123" s="174"/>
      <c r="G123" s="9"/>
    </row>
    <row r="124" spans="1:8" s="160" customFormat="1"/>
    <row r="125" spans="1:8" s="160" customFormat="1">
      <c r="A125" s="38" t="s">
        <v>55</v>
      </c>
    </row>
    <row r="126" spans="1:8" s="160" customFormat="1">
      <c r="C126" s="9" t="s">
        <v>179</v>
      </c>
      <c r="D126" s="9" t="s">
        <v>208</v>
      </c>
      <c r="E126" s="9" t="s">
        <v>209</v>
      </c>
      <c r="F126" s="9" t="s">
        <v>31</v>
      </c>
      <c r="G126" s="9" t="s">
        <v>32</v>
      </c>
    </row>
    <row r="127" spans="1:8" s="160" customFormat="1">
      <c r="A127" s="160" t="s">
        <v>161</v>
      </c>
      <c r="B127" s="160" t="s">
        <v>4</v>
      </c>
      <c r="C127" s="12">
        <f>C104+C111+C119</f>
        <v>10835.424816677671</v>
      </c>
      <c r="D127" s="12">
        <f>D104</f>
        <v>-769.13580246913568</v>
      </c>
      <c r="E127" s="12">
        <f>D111</f>
        <v>8545.9533607681733</v>
      </c>
      <c r="F127" s="12">
        <f>E111</f>
        <v>8545.9533607681733</v>
      </c>
      <c r="G127" s="13">
        <v>0</v>
      </c>
      <c r="H127" s="9" t="s">
        <v>179</v>
      </c>
    </row>
    <row r="128" spans="1:8" s="160" customFormat="1">
      <c r="C128" s="12">
        <f>C105</f>
        <v>-769.13580246913568</v>
      </c>
      <c r="D128" s="12">
        <f>D105</f>
        <v>2768.8888888888887</v>
      </c>
      <c r="E128" s="12">
        <v>0</v>
      </c>
      <c r="F128" s="12">
        <v>0</v>
      </c>
      <c r="G128" s="13">
        <v>0</v>
      </c>
      <c r="H128" s="9" t="s">
        <v>208</v>
      </c>
    </row>
    <row r="129" spans="1:8" s="160" customFormat="1">
      <c r="C129" s="12">
        <f>C112</f>
        <v>8545.9533607681733</v>
      </c>
      <c r="D129" s="12">
        <v>0</v>
      </c>
      <c r="E129" s="12">
        <f>D112</f>
        <v>9229.6296296296296</v>
      </c>
      <c r="F129" s="12">
        <f>E112</f>
        <v>4614.8148148148148</v>
      </c>
      <c r="G129" s="13">
        <v>0</v>
      </c>
      <c r="H129" s="9" t="s">
        <v>209</v>
      </c>
    </row>
    <row r="130" spans="1:8" s="160" customFormat="1">
      <c r="C130" s="12">
        <f>C112</f>
        <v>8545.9533607681733</v>
      </c>
      <c r="D130" s="12">
        <v>0</v>
      </c>
      <c r="E130" s="12">
        <f>D113</f>
        <v>4614.8148148148148</v>
      </c>
      <c r="F130" s="12">
        <f>E113+E121</f>
        <v>11998.518518518518</v>
      </c>
      <c r="G130" s="12">
        <f>F121</f>
        <v>1384.4444444444443</v>
      </c>
      <c r="H130" s="9" t="s">
        <v>31</v>
      </c>
    </row>
    <row r="131" spans="1:8" s="160" customFormat="1">
      <c r="C131" s="12">
        <v>0</v>
      </c>
      <c r="D131" s="12">
        <v>0</v>
      </c>
      <c r="E131" s="12">
        <v>0</v>
      </c>
      <c r="F131" s="12">
        <f>E122</f>
        <v>1384.4444444444443</v>
      </c>
      <c r="G131" s="12">
        <f>F122</f>
        <v>2768.8888888888887</v>
      </c>
      <c r="H131" s="9" t="s">
        <v>32</v>
      </c>
    </row>
    <row r="138" spans="1:8" s="95" customFormat="1">
      <c r="A138" s="94" t="s">
        <v>56</v>
      </c>
      <c r="D138" s="96" t="s">
        <v>57</v>
      </c>
    </row>
    <row r="139" spans="1:8" s="160" customFormat="1">
      <c r="A139" s="9" t="s">
        <v>52</v>
      </c>
      <c r="B139" s="63" t="s">
        <v>85</v>
      </c>
    </row>
    <row r="140" spans="1:8" s="160" customFormat="1">
      <c r="A140" s="55"/>
    </row>
    <row r="141" spans="1:8" s="160" customFormat="1">
      <c r="B141" s="9"/>
      <c r="C141" s="9"/>
    </row>
    <row r="142" spans="1:8" s="160" customFormat="1">
      <c r="A142" s="199" t="s">
        <v>58</v>
      </c>
      <c r="B142" s="213" t="s">
        <v>4</v>
      </c>
      <c r="C142" s="14">
        <f>-0.5*C15*C17</f>
        <v>-68.850000000000009</v>
      </c>
      <c r="D142" s="160" t="s">
        <v>37</v>
      </c>
    </row>
    <row r="143" spans="1:8" s="160" customFormat="1">
      <c r="A143" s="199"/>
      <c r="B143" s="213"/>
      <c r="C143" s="113">
        <f>-1/12*F23*C17^2</f>
        <v>-61.965000000000011</v>
      </c>
      <c r="D143" s="114" t="s">
        <v>30</v>
      </c>
    </row>
    <row r="144" spans="1:8" s="160" customFormat="1">
      <c r="A144" s="199"/>
      <c r="B144" s="213"/>
      <c r="C144" s="14">
        <f>-0.5*C15*C17</f>
        <v>-68.850000000000009</v>
      </c>
      <c r="D144" s="160" t="s">
        <v>179</v>
      </c>
    </row>
    <row r="145" spans="1:12" s="160" customFormat="1">
      <c r="A145" s="199"/>
      <c r="B145" s="213"/>
      <c r="C145" s="113">
        <f>1/12*F23*C17^2</f>
        <v>61.965000000000011</v>
      </c>
      <c r="D145" s="114" t="s">
        <v>180</v>
      </c>
    </row>
    <row r="146" spans="1:12" s="160" customFormat="1">
      <c r="C146" s="175"/>
      <c r="L146" s="175"/>
    </row>
    <row r="147" spans="1:12" s="160" customFormat="1">
      <c r="A147" s="9" t="s">
        <v>53</v>
      </c>
      <c r="B147" s="55" t="s">
        <v>86</v>
      </c>
    </row>
    <row r="148" spans="1:12" s="160" customFormat="1">
      <c r="A148" s="199" t="s">
        <v>59</v>
      </c>
      <c r="B148" s="213" t="s">
        <v>4</v>
      </c>
      <c r="C148" s="14">
        <f>-0.5*F24*C19</f>
        <v>-28.916999999999998</v>
      </c>
      <c r="D148" s="160" t="s">
        <v>179</v>
      </c>
      <c r="G148" s="165"/>
    </row>
    <row r="149" spans="1:12" s="160" customFormat="1">
      <c r="A149" s="199"/>
      <c r="B149" s="213"/>
      <c r="C149" s="115">
        <f>-1/12*F24*C19^2</f>
        <v>-7.8075900000000003</v>
      </c>
      <c r="D149" s="114" t="s">
        <v>180</v>
      </c>
    </row>
    <row r="150" spans="1:12" s="160" customFormat="1">
      <c r="A150" s="199"/>
      <c r="B150" s="213"/>
      <c r="C150" s="14">
        <f>-0.5*F24*C19</f>
        <v>-28.916999999999998</v>
      </c>
      <c r="D150" s="160" t="s">
        <v>36</v>
      </c>
    </row>
    <row r="151" spans="1:12" s="160" customFormat="1">
      <c r="A151" s="199"/>
      <c r="B151" s="213"/>
      <c r="C151" s="115">
        <f>1/12*F24*C19^2</f>
        <v>7.8075900000000003</v>
      </c>
      <c r="D151" s="114" t="s">
        <v>31</v>
      </c>
    </row>
    <row r="152" spans="1:12" s="160" customFormat="1">
      <c r="C152" s="175"/>
    </row>
    <row r="153" spans="1:12" s="160" customFormat="1">
      <c r="A153" s="9" t="s">
        <v>54</v>
      </c>
      <c r="B153" s="55" t="s">
        <v>85</v>
      </c>
    </row>
    <row r="154" spans="1:12" s="160" customFormat="1">
      <c r="A154" s="199" t="s">
        <v>60</v>
      </c>
      <c r="B154" s="213" t="s">
        <v>4</v>
      </c>
      <c r="C154" s="14">
        <f>-0.5*F25*C17-(C16*H16^2)*(3*H15+H16)/(C17^3)</f>
        <v>-111.89</v>
      </c>
      <c r="D154" s="160" t="s">
        <v>36</v>
      </c>
    </row>
    <row r="155" spans="1:12" s="160" customFormat="1">
      <c r="A155" s="199"/>
      <c r="B155" s="213"/>
      <c r="C155" s="113">
        <f>-1/12*F25*C17^2-(C16*H15*H16^2)/(C17^2)</f>
        <v>-107.676</v>
      </c>
      <c r="D155" s="114" t="s">
        <v>31</v>
      </c>
    </row>
    <row r="156" spans="1:12" s="160" customFormat="1">
      <c r="A156" s="199"/>
      <c r="B156" s="213"/>
      <c r="C156" s="14">
        <f>-0.5*F25*C17-(C16*H15^2)*(H15+3*H16)/(C17^3)</f>
        <v>-111.89</v>
      </c>
      <c r="D156" s="160" t="s">
        <v>34</v>
      </c>
    </row>
    <row r="157" spans="1:12" s="160" customFormat="1">
      <c r="A157" s="199"/>
      <c r="B157" s="213"/>
      <c r="C157" s="14">
        <f>1/12*F25*C17^2+(C16*H15^2*H16)/(C17^2)</f>
        <v>107.676</v>
      </c>
      <c r="D157" s="160" t="s">
        <v>32</v>
      </c>
    </row>
    <row r="158" spans="1:12" s="160" customFormat="1">
      <c r="C158" s="175"/>
    </row>
    <row r="159" spans="1:12" s="160" customFormat="1">
      <c r="A159" s="9" t="s">
        <v>171</v>
      </c>
      <c r="B159" s="175"/>
    </row>
    <row r="160" spans="1:12" s="160" customFormat="1">
      <c r="A160" s="199" t="s">
        <v>61</v>
      </c>
      <c r="B160" s="213" t="s">
        <v>4</v>
      </c>
      <c r="C160" s="14">
        <f>+C144+C148-C16</f>
        <v>-128.767</v>
      </c>
      <c r="D160" s="160" t="s">
        <v>179</v>
      </c>
    </row>
    <row r="161" spans="1:11" s="160" customFormat="1">
      <c r="A161" s="199"/>
      <c r="B161" s="213"/>
      <c r="C161" s="14">
        <f>C145</f>
        <v>61.965000000000011</v>
      </c>
      <c r="D161" s="160" t="s">
        <v>208</v>
      </c>
    </row>
    <row r="162" spans="1:11" s="160" customFormat="1">
      <c r="A162" s="199"/>
      <c r="B162" s="213"/>
      <c r="C162" s="14">
        <f>C149</f>
        <v>-7.8075900000000003</v>
      </c>
      <c r="D162" s="160" t="s">
        <v>209</v>
      </c>
    </row>
    <row r="163" spans="1:11" s="160" customFormat="1">
      <c r="A163" s="199"/>
      <c r="B163" s="213"/>
      <c r="C163" s="14">
        <f>+C151+C155</f>
        <v>-99.868409999999997</v>
      </c>
      <c r="D163" s="160" t="s">
        <v>31</v>
      </c>
    </row>
    <row r="164" spans="1:11" s="160" customFormat="1">
      <c r="A164" s="199"/>
      <c r="B164" s="213"/>
      <c r="C164" s="14">
        <f>+C157</f>
        <v>107.676</v>
      </c>
      <c r="D164" s="160" t="s">
        <v>32</v>
      </c>
    </row>
    <row r="166" spans="1:11" s="95" customFormat="1">
      <c r="A166" s="94" t="s">
        <v>62</v>
      </c>
      <c r="D166" s="96" t="s">
        <v>63</v>
      </c>
    </row>
    <row r="167" spans="1:11">
      <c r="A167" s="116"/>
      <c r="B167" s="116"/>
      <c r="C167" s="116"/>
      <c r="D167" s="116"/>
      <c r="E167" s="116"/>
      <c r="F167" s="116"/>
      <c r="G167" s="116"/>
      <c r="H167" s="116"/>
      <c r="I167" s="116"/>
    </row>
    <row r="168" spans="1:11">
      <c r="A168" s="118">
        <v>0</v>
      </c>
      <c r="B168" s="234" t="s">
        <v>65</v>
      </c>
      <c r="C168" s="121">
        <f>C160</f>
        <v>-128.767</v>
      </c>
      <c r="D168" s="234" t="s">
        <v>4</v>
      </c>
      <c r="E168" s="124">
        <f>C127</f>
        <v>10835.424816677671</v>
      </c>
      <c r="F168" s="125">
        <f t="shared" ref="F168:I172" si="3">D127</f>
        <v>-769.13580246913568</v>
      </c>
      <c r="G168" s="125">
        <f t="shared" si="3"/>
        <v>8545.9533607681733</v>
      </c>
      <c r="H168" s="125">
        <f t="shared" si="3"/>
        <v>8545.9533607681733</v>
      </c>
      <c r="I168" s="126">
        <f t="shared" si="3"/>
        <v>0</v>
      </c>
      <c r="J168" s="235" t="s">
        <v>66</v>
      </c>
      <c r="K168" s="17" t="s">
        <v>179</v>
      </c>
    </row>
    <row r="169" spans="1:11">
      <c r="A169" s="166">
        <v>0</v>
      </c>
      <c r="B169" s="234"/>
      <c r="C169" s="122">
        <f>C161</f>
        <v>61.965000000000011</v>
      </c>
      <c r="D169" s="234"/>
      <c r="E169" s="127">
        <f t="shared" ref="E169:E172" si="4">C128</f>
        <v>-769.13580246913568</v>
      </c>
      <c r="F169" s="128">
        <f t="shared" si="3"/>
        <v>2768.8888888888887</v>
      </c>
      <c r="G169" s="128">
        <f t="shared" si="3"/>
        <v>0</v>
      </c>
      <c r="H169" s="128">
        <f t="shared" si="3"/>
        <v>0</v>
      </c>
      <c r="I169" s="129">
        <f t="shared" si="3"/>
        <v>0</v>
      </c>
      <c r="J169" s="235"/>
      <c r="K169" s="163" t="s">
        <v>210</v>
      </c>
    </row>
    <row r="170" spans="1:11">
      <c r="A170" s="166">
        <v>0</v>
      </c>
      <c r="B170" s="234"/>
      <c r="C170" s="122">
        <f>C162</f>
        <v>-7.8075900000000003</v>
      </c>
      <c r="D170" s="234"/>
      <c r="E170" s="127">
        <f t="shared" si="4"/>
        <v>8545.9533607681733</v>
      </c>
      <c r="F170" s="128">
        <f t="shared" si="3"/>
        <v>0</v>
      </c>
      <c r="G170" s="128">
        <f t="shared" si="3"/>
        <v>9229.6296296296296</v>
      </c>
      <c r="H170" s="128">
        <f t="shared" si="3"/>
        <v>4614.8148148148148</v>
      </c>
      <c r="I170" s="129">
        <f t="shared" si="3"/>
        <v>0</v>
      </c>
      <c r="J170" s="235"/>
      <c r="K170" s="163" t="s">
        <v>211</v>
      </c>
    </row>
    <row r="171" spans="1:11">
      <c r="A171" s="166">
        <v>0</v>
      </c>
      <c r="B171" s="234"/>
      <c r="C171" s="122">
        <f>C163</f>
        <v>-99.868409999999997</v>
      </c>
      <c r="D171" s="234"/>
      <c r="E171" s="127">
        <f t="shared" si="4"/>
        <v>8545.9533607681733</v>
      </c>
      <c r="F171" s="128">
        <f t="shared" si="3"/>
        <v>0</v>
      </c>
      <c r="G171" s="128">
        <f t="shared" si="3"/>
        <v>4614.8148148148148</v>
      </c>
      <c r="H171" s="128">
        <f t="shared" si="3"/>
        <v>11998.518518518518</v>
      </c>
      <c r="I171" s="129">
        <f t="shared" si="3"/>
        <v>1384.4444444444443</v>
      </c>
      <c r="J171" s="235"/>
      <c r="K171" s="163" t="s">
        <v>31</v>
      </c>
    </row>
    <row r="172" spans="1:11">
      <c r="A172" s="120">
        <v>0</v>
      </c>
      <c r="B172" s="234"/>
      <c r="C172" s="123">
        <f>C164</f>
        <v>107.676</v>
      </c>
      <c r="D172" s="234"/>
      <c r="E172" s="130">
        <f t="shared" si="4"/>
        <v>0</v>
      </c>
      <c r="F172" s="131">
        <f t="shared" si="3"/>
        <v>0</v>
      </c>
      <c r="G172" s="131">
        <f t="shared" si="3"/>
        <v>0</v>
      </c>
      <c r="H172" s="131">
        <f t="shared" si="3"/>
        <v>1384.4444444444443</v>
      </c>
      <c r="I172" s="132">
        <f t="shared" si="3"/>
        <v>2768.8888888888887</v>
      </c>
      <c r="J172" s="235"/>
      <c r="K172" s="27" t="s">
        <v>32</v>
      </c>
    </row>
    <row r="173" spans="1:11">
      <c r="A173" s="117"/>
      <c r="B173" s="117"/>
      <c r="C173" s="117"/>
      <c r="D173" s="117"/>
      <c r="E173" s="117"/>
      <c r="F173" s="117"/>
      <c r="G173" s="117"/>
      <c r="H173" s="117"/>
      <c r="I173" s="117"/>
    </row>
    <row r="174" spans="1:11" s="160" customFormat="1">
      <c r="A174" s="55" t="s">
        <v>67</v>
      </c>
    </row>
    <row r="176" spans="1:11">
      <c r="A176" s="17" t="s">
        <v>179</v>
      </c>
      <c r="B176" s="236" t="s">
        <v>4</v>
      </c>
      <c r="C176" s="176">
        <f t="array" ref="C176:G180">MINVERSE(E168:I172)</f>
        <v>1.4707993062131816E-3</v>
      </c>
      <c r="D176" s="177">
        <v>4.0855536283699489E-4</v>
      </c>
      <c r="E176" s="177">
        <v>-1.0126585916472519E-3</v>
      </c>
      <c r="F176" s="177">
        <v>-6.9838523561879459E-4</v>
      </c>
      <c r="G176" s="178">
        <v>3.491926178093973E-4</v>
      </c>
      <c r="H176" s="235" t="s">
        <v>66</v>
      </c>
      <c r="I176" s="121">
        <f>C168+A168</f>
        <v>-128.767</v>
      </c>
    </row>
    <row r="177" spans="1:12">
      <c r="A177" s="163" t="s">
        <v>210</v>
      </c>
      <c r="B177" s="236"/>
      <c r="C177" s="179">
        <v>4.0855536283699494E-4</v>
      </c>
      <c r="D177" s="180">
        <v>4.7464329902240413E-4</v>
      </c>
      <c r="E177" s="180">
        <v>-2.8129405323534779E-4</v>
      </c>
      <c r="F177" s="180">
        <v>-1.9399589878299852E-4</v>
      </c>
      <c r="G177" s="181">
        <v>9.6997949391499261E-5</v>
      </c>
      <c r="H177" s="235"/>
      <c r="I177" s="121">
        <f t="shared" ref="I177:I180" si="5">C169+A169</f>
        <v>61.965000000000011</v>
      </c>
    </row>
    <row r="178" spans="1:12">
      <c r="A178" s="163" t="s">
        <v>211</v>
      </c>
      <c r="B178" s="236"/>
      <c r="C178" s="179">
        <v>-1.0126585916472519E-3</v>
      </c>
      <c r="D178" s="180">
        <v>-2.8129405323534774E-4</v>
      </c>
      <c r="E178" s="180">
        <v>8.3335249342209961E-4</v>
      </c>
      <c r="F178" s="180">
        <v>4.2528212033206189E-4</v>
      </c>
      <c r="G178" s="181">
        <v>-2.1264106016603094E-4</v>
      </c>
      <c r="H178" s="235"/>
      <c r="I178" s="121">
        <f t="shared" si="5"/>
        <v>-7.8075900000000003</v>
      </c>
    </row>
    <row r="179" spans="1:12">
      <c r="A179" s="163" t="s">
        <v>31</v>
      </c>
      <c r="B179" s="236"/>
      <c r="C179" s="179">
        <v>-6.9838523561879448E-4</v>
      </c>
      <c r="D179" s="180">
        <v>-1.9399589878299847E-4</v>
      </c>
      <c r="E179" s="180">
        <v>4.2528212033206189E-4</v>
      </c>
      <c r="F179" s="180">
        <v>4.4274175122253239E-4</v>
      </c>
      <c r="G179" s="181">
        <v>-2.213708756112662E-4</v>
      </c>
      <c r="H179" s="235"/>
      <c r="I179" s="121">
        <f t="shared" si="5"/>
        <v>-99.868409999999997</v>
      </c>
    </row>
    <row r="180" spans="1:12">
      <c r="A180" s="27" t="s">
        <v>32</v>
      </c>
      <c r="B180" s="236"/>
      <c r="C180" s="182">
        <v>3.4919261780939724E-4</v>
      </c>
      <c r="D180" s="183">
        <v>9.6997949391499247E-5</v>
      </c>
      <c r="E180" s="183">
        <v>-2.1264106016603097E-4</v>
      </c>
      <c r="F180" s="183">
        <v>-2.213708756112662E-4</v>
      </c>
      <c r="G180" s="184">
        <v>4.7184113603998307E-4</v>
      </c>
      <c r="H180" s="235"/>
      <c r="I180" s="121">
        <f t="shared" si="5"/>
        <v>107.676</v>
      </c>
    </row>
    <row r="182" spans="1:12">
      <c r="A182" s="17" t="s">
        <v>179</v>
      </c>
      <c r="B182" s="237" t="s">
        <v>4</v>
      </c>
      <c r="C182" s="185">
        <f t="array" ref="C182:C186">MMULT(C176:G180,I176:I180)</f>
        <v>-4.8821570747430175E-2</v>
      </c>
      <c r="D182" t="s">
        <v>178</v>
      </c>
      <c r="F182" s="188"/>
      <c r="G182" s="188"/>
      <c r="H182" s="188"/>
      <c r="I182" s="188"/>
      <c r="J182" s="188"/>
      <c r="L182" s="189"/>
    </row>
    <row r="183" spans="1:12">
      <c r="A183" s="163" t="s">
        <v>210</v>
      </c>
      <c r="B183" s="237"/>
      <c r="C183" s="186">
        <v>8.8174654112497877E-3</v>
      </c>
      <c r="D183" t="s">
        <v>178</v>
      </c>
      <c r="F183" s="188"/>
      <c r="G183" s="188"/>
      <c r="H183" s="188"/>
      <c r="I183" s="188"/>
      <c r="J183" s="188"/>
    </row>
    <row r="184" spans="1:12">
      <c r="A184" s="163" t="s">
        <v>211</v>
      </c>
      <c r="B184" s="237"/>
      <c r="C184" s="186">
        <v>4.1091560314366657E-2</v>
      </c>
      <c r="D184" t="s">
        <v>178</v>
      </c>
      <c r="F184" s="188"/>
      <c r="G184" s="188"/>
      <c r="H184" s="188"/>
      <c r="I184" s="188"/>
      <c r="J184" s="188"/>
    </row>
    <row r="185" spans="1:12">
      <c r="A185" s="163" t="s">
        <v>31</v>
      </c>
      <c r="B185" s="237"/>
      <c r="C185" s="186">
        <v>6.5353421994248269E-3</v>
      </c>
      <c r="D185" t="s">
        <v>178</v>
      </c>
      <c r="F185" s="188"/>
      <c r="G185" s="188"/>
      <c r="H185" s="188"/>
      <c r="I185" s="188"/>
      <c r="J185" s="188"/>
    </row>
    <row r="186" spans="1:12">
      <c r="A186" s="27" t="s">
        <v>32</v>
      </c>
      <c r="B186" s="237"/>
      <c r="C186" s="187">
        <v>3.562012986336946E-2</v>
      </c>
      <c r="D186" t="s">
        <v>178</v>
      </c>
      <c r="F186" s="188"/>
      <c r="G186" s="188"/>
      <c r="H186" s="188"/>
      <c r="I186" s="188"/>
      <c r="J186" s="188"/>
    </row>
    <row r="188" spans="1:12" s="95" customFormat="1">
      <c r="A188" s="94" t="s">
        <v>69</v>
      </c>
      <c r="C188" s="94" t="s">
        <v>70</v>
      </c>
      <c r="D188" s="96"/>
    </row>
    <row r="190" spans="1:12">
      <c r="A190" s="199" t="s">
        <v>71</v>
      </c>
      <c r="B190" s="199" t="s">
        <v>4</v>
      </c>
      <c r="C190" s="18">
        <v>0</v>
      </c>
      <c r="D190" s="160" t="s">
        <v>37</v>
      </c>
    </row>
    <row r="191" spans="1:12">
      <c r="A191" s="199"/>
      <c r="B191" s="199"/>
      <c r="C191" s="23">
        <v>0</v>
      </c>
      <c r="D191" s="160" t="s">
        <v>30</v>
      </c>
    </row>
    <row r="192" spans="1:12">
      <c r="A192" s="199"/>
      <c r="B192" s="199"/>
      <c r="C192" s="23">
        <f>C182</f>
        <v>-4.8821570747430175E-2</v>
      </c>
      <c r="D192" s="160" t="s">
        <v>179</v>
      </c>
    </row>
    <row r="193" spans="1:4">
      <c r="A193" s="199"/>
      <c r="B193" s="199"/>
      <c r="C193" s="28">
        <f>C183</f>
        <v>8.8174654112497877E-3</v>
      </c>
      <c r="D193" s="160" t="s">
        <v>212</v>
      </c>
    </row>
    <row r="194" spans="1:4">
      <c r="A194" s="160"/>
      <c r="B194" s="160"/>
      <c r="C194" s="175"/>
      <c r="D194" s="160"/>
    </row>
    <row r="195" spans="1:4">
      <c r="A195" s="199" t="s">
        <v>72</v>
      </c>
      <c r="B195" s="199" t="s">
        <v>4</v>
      </c>
      <c r="C195" s="18">
        <f>C182</f>
        <v>-4.8821570747430175E-2</v>
      </c>
      <c r="D195" s="160" t="s">
        <v>179</v>
      </c>
    </row>
    <row r="196" spans="1:4">
      <c r="A196" s="199"/>
      <c r="B196" s="199"/>
      <c r="C196" s="23">
        <f>C184</f>
        <v>4.1091560314366657E-2</v>
      </c>
      <c r="D196" s="160" t="s">
        <v>211</v>
      </c>
    </row>
    <row r="197" spans="1:4">
      <c r="A197" s="199"/>
      <c r="B197" s="199"/>
      <c r="C197" s="23">
        <v>0</v>
      </c>
      <c r="D197" s="160" t="s">
        <v>36</v>
      </c>
    </row>
    <row r="198" spans="1:4">
      <c r="A198" s="199"/>
      <c r="B198" s="199"/>
      <c r="C198" s="28">
        <f>C185</f>
        <v>6.5353421994248269E-3</v>
      </c>
      <c r="D198" s="160" t="s">
        <v>31</v>
      </c>
    </row>
    <row r="199" spans="1:4">
      <c r="A199" s="160"/>
      <c r="B199" s="160"/>
      <c r="C199" s="175"/>
      <c r="D199" s="160"/>
    </row>
    <row r="200" spans="1:4">
      <c r="A200" s="199" t="s">
        <v>73</v>
      </c>
      <c r="B200" s="199" t="s">
        <v>4</v>
      </c>
      <c r="C200" s="17">
        <v>0</v>
      </c>
      <c r="D200" s="160" t="s">
        <v>36</v>
      </c>
    </row>
    <row r="201" spans="1:4">
      <c r="A201" s="199"/>
      <c r="B201" s="199"/>
      <c r="C201" s="23">
        <f>C185</f>
        <v>6.5353421994248269E-3</v>
      </c>
      <c r="D201" s="160" t="s">
        <v>31</v>
      </c>
    </row>
    <row r="202" spans="1:4">
      <c r="A202" s="199"/>
      <c r="B202" s="199"/>
      <c r="C202" s="163">
        <v>0</v>
      </c>
      <c r="D202" s="160" t="s">
        <v>34</v>
      </c>
    </row>
    <row r="203" spans="1:4">
      <c r="A203" s="199"/>
      <c r="B203" s="199"/>
      <c r="C203" s="28">
        <f>C186</f>
        <v>3.562012986336946E-2</v>
      </c>
      <c r="D203" s="160" t="s">
        <v>32</v>
      </c>
    </row>
    <row r="205" spans="1:4" s="95" customFormat="1">
      <c r="A205" s="94" t="s">
        <v>74</v>
      </c>
      <c r="C205" s="94" t="s">
        <v>75</v>
      </c>
      <c r="D205" s="96"/>
    </row>
    <row r="206" spans="1:4" s="160" customFormat="1"/>
    <row r="207" spans="1:4" s="160" customFormat="1">
      <c r="A207" s="212" t="s">
        <v>76</v>
      </c>
      <c r="B207" s="199" t="s">
        <v>77</v>
      </c>
    </row>
    <row r="208" spans="1:4" s="160" customFormat="1">
      <c r="A208" s="212"/>
      <c r="B208" s="199"/>
    </row>
    <row r="209" spans="1:13" s="160" customFormat="1">
      <c r="A209" s="212"/>
      <c r="B209" s="199"/>
    </row>
    <row r="210" spans="1:13" s="160" customFormat="1">
      <c r="A210" s="212"/>
      <c r="B210" s="199"/>
    </row>
    <row r="211" spans="1:13" s="160" customFormat="1">
      <c r="A211" s="164"/>
    </row>
    <row r="212" spans="1:13" s="160" customFormat="1">
      <c r="A212" s="9" t="s">
        <v>52</v>
      </c>
    </row>
    <row r="213" spans="1:13" s="160" customFormat="1">
      <c r="A213" s="163" t="s">
        <v>96</v>
      </c>
      <c r="B213" s="208" t="s">
        <v>4</v>
      </c>
      <c r="C213" s="41">
        <f t="shared" ref="C213:F216" si="6">A62</f>
        <v>284.86511202560581</v>
      </c>
      <c r="D213" s="41">
        <f t="shared" si="6"/>
        <v>769.13580246913568</v>
      </c>
      <c r="E213" s="41">
        <f t="shared" si="6"/>
        <v>-284.86511202560581</v>
      </c>
      <c r="F213" s="41">
        <f t="shared" si="6"/>
        <v>769.13580246913568</v>
      </c>
      <c r="G213" s="208" t="s">
        <v>66</v>
      </c>
      <c r="H213" s="165">
        <f>C190</f>
        <v>0</v>
      </c>
      <c r="I213" s="208" t="s">
        <v>79</v>
      </c>
      <c r="J213" s="201">
        <f>C142</f>
        <v>-68.850000000000009</v>
      </c>
      <c r="K213" s="202"/>
      <c r="L213" s="221"/>
      <c r="M213" s="170"/>
    </row>
    <row r="214" spans="1:13" s="160" customFormat="1">
      <c r="A214" s="163" t="s">
        <v>162</v>
      </c>
      <c r="B214" s="208"/>
      <c r="C214" s="41">
        <f t="shared" si="6"/>
        <v>769.13580246913568</v>
      </c>
      <c r="D214" s="41">
        <f t="shared" si="6"/>
        <v>2768.8888888888887</v>
      </c>
      <c r="E214" s="41">
        <f t="shared" si="6"/>
        <v>-769.13580246913568</v>
      </c>
      <c r="F214" s="41">
        <f t="shared" si="6"/>
        <v>1384.4444444444443</v>
      </c>
      <c r="G214" s="208"/>
      <c r="H214" s="14">
        <f t="shared" ref="H214:H215" si="7">C191</f>
        <v>0</v>
      </c>
      <c r="I214" s="208"/>
      <c r="J214" s="201">
        <f>C143</f>
        <v>-61.965000000000011</v>
      </c>
      <c r="K214" s="202"/>
      <c r="L214" s="221"/>
      <c r="M214" s="170"/>
    </row>
    <row r="215" spans="1:13" s="160" customFormat="1">
      <c r="A215" s="163" t="s">
        <v>181</v>
      </c>
      <c r="B215" s="208"/>
      <c r="C215" s="41">
        <f t="shared" si="6"/>
        <v>-284.86511202560581</v>
      </c>
      <c r="D215" s="41">
        <f t="shared" si="6"/>
        <v>-769.13580246913568</v>
      </c>
      <c r="E215" s="41">
        <f t="shared" si="6"/>
        <v>284.86511202560581</v>
      </c>
      <c r="F215" s="41">
        <f t="shared" si="6"/>
        <v>-769.13580246913568</v>
      </c>
      <c r="G215" s="208"/>
      <c r="H215" s="165">
        <f t="shared" si="7"/>
        <v>-4.8821570747430175E-2</v>
      </c>
      <c r="I215" s="208"/>
      <c r="J215" s="201">
        <f>C144</f>
        <v>-68.850000000000009</v>
      </c>
      <c r="K215" s="202"/>
      <c r="L215" s="221"/>
      <c r="M215" s="170"/>
    </row>
    <row r="216" spans="1:13" s="160" customFormat="1">
      <c r="A216" s="163" t="s">
        <v>182</v>
      </c>
      <c r="B216" s="208"/>
      <c r="C216" s="41">
        <f t="shared" si="6"/>
        <v>769.13580246913568</v>
      </c>
      <c r="D216" s="41">
        <f t="shared" si="6"/>
        <v>1384.4444444444443</v>
      </c>
      <c r="E216" s="41">
        <f t="shared" si="6"/>
        <v>-769.13580246913568</v>
      </c>
      <c r="F216" s="41">
        <f t="shared" si="6"/>
        <v>2768.8888888888887</v>
      </c>
      <c r="G216" s="208"/>
      <c r="H216" s="14">
        <f>C193</f>
        <v>8.8174654112497877E-3</v>
      </c>
      <c r="I216" s="208"/>
      <c r="J216" s="201">
        <f>C145</f>
        <v>61.965000000000011</v>
      </c>
      <c r="K216" s="202"/>
      <c r="L216" s="221"/>
      <c r="M216" s="170"/>
    </row>
    <row r="217" spans="1:13" s="160" customFormat="1" ht="15.75" thickBot="1"/>
    <row r="218" spans="1:13" s="160" customFormat="1" ht="15.75" thickBot="1">
      <c r="A218" s="163" t="s">
        <v>96</v>
      </c>
      <c r="B218" s="208" t="s">
        <v>4</v>
      </c>
      <c r="C218" s="14">
        <f t="array" ref="C218:C221">MMULT(C213:F216,H213:H216)</f>
        <v>20.689390555058189</v>
      </c>
      <c r="D218" s="208" t="s">
        <v>79</v>
      </c>
      <c r="E218" s="14">
        <f>J213</f>
        <v>-68.850000000000009</v>
      </c>
      <c r="F218" s="211" t="s">
        <v>4</v>
      </c>
      <c r="G218" s="64">
        <f>C218-E218-M213</f>
        <v>89.539390555058191</v>
      </c>
      <c r="H218" s="57" t="s">
        <v>13</v>
      </c>
    </row>
    <row r="219" spans="1:13" s="160" customFormat="1" ht="15.75" thickBot="1">
      <c r="A219" s="163" t="s">
        <v>162</v>
      </c>
      <c r="B219" s="208"/>
      <c r="C219" s="14">
        <v>49.757708997314204</v>
      </c>
      <c r="D219" s="208"/>
      <c r="E219" s="14">
        <f t="shared" ref="E219:E221" si="8">J214</f>
        <v>-61.965000000000011</v>
      </c>
      <c r="F219" s="211"/>
      <c r="G219" s="64">
        <f t="shared" ref="G219:G221" si="9">C219-E219-M214</f>
        <v>111.72270899731421</v>
      </c>
      <c r="H219" s="47" t="s">
        <v>80</v>
      </c>
    </row>
    <row r="220" spans="1:13" s="160" customFormat="1" ht="15.75" thickBot="1">
      <c r="A220" s="163" t="s">
        <v>181</v>
      </c>
      <c r="B220" s="208"/>
      <c r="C220" s="14">
        <v>-20.689390555058189</v>
      </c>
      <c r="D220" s="208"/>
      <c r="E220" s="14">
        <f t="shared" si="8"/>
        <v>-68.850000000000009</v>
      </c>
      <c r="F220" s="211"/>
      <c r="G220" s="64">
        <f t="shared" si="9"/>
        <v>48.160609444941819</v>
      </c>
      <c r="H220" s="47" t="s">
        <v>13</v>
      </c>
    </row>
    <row r="221" spans="1:13" s="160" customFormat="1" ht="15.75" thickBot="1">
      <c r="A221" s="163" t="s">
        <v>182</v>
      </c>
      <c r="B221" s="208"/>
      <c r="C221" s="14">
        <v>61.965000000000018</v>
      </c>
      <c r="D221" s="208"/>
      <c r="E221" s="14">
        <f t="shared" si="8"/>
        <v>61.965000000000011</v>
      </c>
      <c r="F221" s="211"/>
      <c r="G221" s="64">
        <f t="shared" si="9"/>
        <v>7.1054273576010019E-15</v>
      </c>
      <c r="H221" s="51" t="s">
        <v>80</v>
      </c>
    </row>
    <row r="223" spans="1:13">
      <c r="A223" s="9" t="s">
        <v>53</v>
      </c>
    </row>
    <row r="224" spans="1:13">
      <c r="A224" s="163" t="s">
        <v>181</v>
      </c>
      <c r="B224" s="208" t="s">
        <v>4</v>
      </c>
      <c r="C224" s="41">
        <f t="shared" ref="C224:F227" si="10">A75</f>
        <v>10550.559704652065</v>
      </c>
      <c r="D224" s="41">
        <f t="shared" si="10"/>
        <v>8545.9533607681733</v>
      </c>
      <c r="E224" s="41">
        <f t="shared" si="10"/>
        <v>-10550.559704652065</v>
      </c>
      <c r="F224" s="41">
        <f t="shared" si="10"/>
        <v>8545.9533607681733</v>
      </c>
      <c r="G224" s="208" t="s">
        <v>66</v>
      </c>
      <c r="H224" s="165">
        <f>C195</f>
        <v>-4.8821570747430175E-2</v>
      </c>
      <c r="I224" s="208" t="s">
        <v>79</v>
      </c>
      <c r="J224" s="201">
        <f>C148</f>
        <v>-28.916999999999998</v>
      </c>
      <c r="K224" s="202"/>
    </row>
    <row r="225" spans="1:11">
      <c r="A225" s="163" t="s">
        <v>182</v>
      </c>
      <c r="B225" s="208"/>
      <c r="C225" s="41">
        <f t="shared" si="10"/>
        <v>8545.9533607681733</v>
      </c>
      <c r="D225" s="41">
        <f t="shared" si="10"/>
        <v>9229.6296296296296</v>
      </c>
      <c r="E225" s="41">
        <f t="shared" si="10"/>
        <v>-8545.9533607681733</v>
      </c>
      <c r="F225" s="41">
        <f t="shared" si="10"/>
        <v>4614.8148148148148</v>
      </c>
      <c r="G225" s="208"/>
      <c r="H225" s="14">
        <f t="shared" ref="H225:H227" si="11">C196</f>
        <v>4.1091560314366657E-2</v>
      </c>
      <c r="I225" s="208"/>
      <c r="J225" s="201">
        <f>C149</f>
        <v>-7.8075900000000003</v>
      </c>
      <c r="K225" s="202"/>
    </row>
    <row r="226" spans="1:11">
      <c r="A226" s="163" t="s">
        <v>103</v>
      </c>
      <c r="B226" s="208"/>
      <c r="C226" s="41">
        <f t="shared" si="10"/>
        <v>-10550.559704652065</v>
      </c>
      <c r="D226" s="41">
        <f t="shared" si="10"/>
        <v>-8545.9533607681733</v>
      </c>
      <c r="E226" s="41">
        <f t="shared" si="10"/>
        <v>10550.559704652065</v>
      </c>
      <c r="F226" s="41">
        <f t="shared" si="10"/>
        <v>-8545.9533607681733</v>
      </c>
      <c r="G226" s="208"/>
      <c r="H226" s="165">
        <f t="shared" si="11"/>
        <v>0</v>
      </c>
      <c r="I226" s="208"/>
      <c r="J226" s="201">
        <f>C150</f>
        <v>-28.916999999999998</v>
      </c>
      <c r="K226" s="202"/>
    </row>
    <row r="227" spans="1:11">
      <c r="A227" s="163" t="s">
        <v>163</v>
      </c>
      <c r="B227" s="208"/>
      <c r="C227" s="41">
        <f t="shared" si="10"/>
        <v>8545.9533607681733</v>
      </c>
      <c r="D227" s="41">
        <f t="shared" si="10"/>
        <v>4614.8148148148148</v>
      </c>
      <c r="E227" s="41">
        <f t="shared" si="10"/>
        <v>-8545.9533607681733</v>
      </c>
      <c r="F227" s="41">
        <f t="shared" si="10"/>
        <v>9229.6296296296296</v>
      </c>
      <c r="G227" s="208"/>
      <c r="H227" s="14">
        <f t="shared" si="11"/>
        <v>6.5353421994248269E-3</v>
      </c>
      <c r="I227" s="208"/>
      <c r="J227" s="201">
        <f>C151</f>
        <v>7.8075900000000003</v>
      </c>
      <c r="K227" s="202"/>
    </row>
    <row r="228" spans="1:11" ht="15.75" thickBot="1">
      <c r="A228" s="160"/>
      <c r="B228" s="160"/>
      <c r="C228" s="160"/>
      <c r="D228" s="160"/>
      <c r="E228" s="160"/>
      <c r="F228" s="160"/>
      <c r="G228" s="160"/>
      <c r="H228" s="160"/>
      <c r="I228" s="160"/>
      <c r="J228" s="160"/>
      <c r="K228" s="160"/>
    </row>
    <row r="229" spans="1:11">
      <c r="A229" s="163" t="s">
        <v>181</v>
      </c>
      <c r="B229" s="208" t="s">
        <v>4</v>
      </c>
      <c r="C229" s="14">
        <f t="array" ref="C229:C232">MMULT(C224:F227,H224:H227)</f>
        <v>-108.0776094449423</v>
      </c>
      <c r="D229" s="208" t="s">
        <v>79</v>
      </c>
      <c r="E229" s="14">
        <f>J224</f>
        <v>-28.916999999999998</v>
      </c>
      <c r="F229" s="211" t="s">
        <v>4</v>
      </c>
      <c r="G229" s="64">
        <f>C229-E229</f>
        <v>-79.160609444942295</v>
      </c>
      <c r="H229" s="57" t="s">
        <v>13</v>
      </c>
      <c r="I229" s="160"/>
      <c r="J229" s="160"/>
      <c r="K229" s="160"/>
    </row>
    <row r="230" spans="1:11">
      <c r="A230" s="163" t="s">
        <v>182</v>
      </c>
      <c r="B230" s="208"/>
      <c r="C230" s="14">
        <v>-7.8075900000003529</v>
      </c>
      <c r="D230" s="208"/>
      <c r="E230" s="14">
        <f t="shared" ref="E230:E232" si="12">J225</f>
        <v>-7.8075900000000003</v>
      </c>
      <c r="F230" s="211"/>
      <c r="G230" s="65">
        <f t="shared" ref="G230:G232" si="13">C230-E230</f>
        <v>-3.5260683262094972E-13</v>
      </c>
      <c r="H230" s="47" t="s">
        <v>80</v>
      </c>
      <c r="I230" s="160"/>
      <c r="J230" s="160"/>
      <c r="K230" s="160"/>
    </row>
    <row r="231" spans="1:11">
      <c r="A231" s="163" t="s">
        <v>103</v>
      </c>
      <c r="B231" s="208"/>
      <c r="C231" s="14">
        <v>108.0776094449423</v>
      </c>
      <c r="D231" s="208"/>
      <c r="E231" s="14">
        <f t="shared" si="12"/>
        <v>-28.916999999999998</v>
      </c>
      <c r="F231" s="211"/>
      <c r="G231" s="65">
        <f t="shared" si="13"/>
        <v>136.99460944494228</v>
      </c>
      <c r="H231" s="47" t="s">
        <v>13</v>
      </c>
      <c r="I231" s="160"/>
      <c r="J231" s="160"/>
      <c r="K231" s="160"/>
    </row>
    <row r="232" spans="1:11" ht="15.75" thickBot="1">
      <c r="A232" s="163" t="s">
        <v>163</v>
      </c>
      <c r="B232" s="208"/>
      <c r="C232" s="14">
        <v>-167.27813730080601</v>
      </c>
      <c r="D232" s="208"/>
      <c r="E232" s="14">
        <f t="shared" si="12"/>
        <v>7.8075900000000003</v>
      </c>
      <c r="F232" s="211"/>
      <c r="G232" s="66">
        <f t="shared" si="13"/>
        <v>-175.08572730080601</v>
      </c>
      <c r="H232" s="51" t="s">
        <v>80</v>
      </c>
      <c r="I232" s="160"/>
      <c r="J232" s="160"/>
      <c r="K232" s="160"/>
    </row>
    <row r="234" spans="1:11">
      <c r="A234" s="9" t="s">
        <v>54</v>
      </c>
    </row>
    <row r="235" spans="1:11">
      <c r="A235" s="163" t="s">
        <v>103</v>
      </c>
      <c r="B235" s="208" t="s">
        <v>4</v>
      </c>
      <c r="C235" s="41">
        <f t="shared" ref="C235:F238" si="14">A88</f>
        <v>284.86511202560581</v>
      </c>
      <c r="D235" s="41">
        <f t="shared" si="14"/>
        <v>769.13580246913568</v>
      </c>
      <c r="E235" s="41">
        <f t="shared" si="14"/>
        <v>-284.86511202560581</v>
      </c>
      <c r="F235" s="41">
        <f t="shared" si="14"/>
        <v>769.13580246913568</v>
      </c>
      <c r="G235" s="208" t="s">
        <v>66</v>
      </c>
      <c r="H235" s="165">
        <f>C200</f>
        <v>0</v>
      </c>
      <c r="I235" s="208" t="s">
        <v>79</v>
      </c>
      <c r="J235" s="201">
        <f>C154</f>
        <v>-111.89</v>
      </c>
      <c r="K235" s="202"/>
    </row>
    <row r="236" spans="1:11">
      <c r="A236" s="163" t="s">
        <v>163</v>
      </c>
      <c r="B236" s="208"/>
      <c r="C236" s="41">
        <f t="shared" si="14"/>
        <v>769.13580246913568</v>
      </c>
      <c r="D236" s="41">
        <f t="shared" si="14"/>
        <v>2768.8888888888887</v>
      </c>
      <c r="E236" s="41">
        <f t="shared" si="14"/>
        <v>-769.13580246913568</v>
      </c>
      <c r="F236" s="41">
        <f t="shared" si="14"/>
        <v>1384.4444444444443</v>
      </c>
      <c r="G236" s="208"/>
      <c r="H236" s="165">
        <f t="shared" ref="H236:H238" si="15">C201</f>
        <v>6.5353421994248269E-3</v>
      </c>
      <c r="I236" s="208"/>
      <c r="J236" s="201">
        <f>C155</f>
        <v>-107.676</v>
      </c>
      <c r="K236" s="202"/>
    </row>
    <row r="237" spans="1:11">
      <c r="A237" s="163" t="s">
        <v>104</v>
      </c>
      <c r="B237" s="208"/>
      <c r="C237" s="41">
        <f t="shared" si="14"/>
        <v>-284.86511202560581</v>
      </c>
      <c r="D237" s="41">
        <f t="shared" si="14"/>
        <v>-769.13580246913568</v>
      </c>
      <c r="E237" s="41">
        <f t="shared" si="14"/>
        <v>284.86511202560581</v>
      </c>
      <c r="F237" s="41">
        <f t="shared" si="14"/>
        <v>-769.13580246913568</v>
      </c>
      <c r="G237" s="208"/>
      <c r="H237" s="165">
        <f t="shared" si="15"/>
        <v>0</v>
      </c>
      <c r="I237" s="208"/>
      <c r="J237" s="201">
        <f>C156</f>
        <v>-111.89</v>
      </c>
      <c r="K237" s="202"/>
    </row>
    <row r="238" spans="1:11">
      <c r="A238" s="163" t="s">
        <v>164</v>
      </c>
      <c r="B238" s="208"/>
      <c r="C238" s="41">
        <f t="shared" si="14"/>
        <v>769.13580246913568</v>
      </c>
      <c r="D238" s="41">
        <f t="shared" si="14"/>
        <v>1384.4444444444443</v>
      </c>
      <c r="E238" s="41">
        <f t="shared" si="14"/>
        <v>-769.13580246913568</v>
      </c>
      <c r="F238" s="41">
        <f t="shared" si="14"/>
        <v>2768.8888888888887</v>
      </c>
      <c r="G238" s="208"/>
      <c r="H238" s="165">
        <f t="shared" si="15"/>
        <v>3.562012986336946E-2</v>
      </c>
      <c r="I238" s="208"/>
      <c r="J238" s="201">
        <f>C157</f>
        <v>107.676</v>
      </c>
      <c r="K238" s="202"/>
    </row>
    <row r="239" spans="1:11" ht="15.75" thickBot="1">
      <c r="A239" s="160"/>
      <c r="B239" s="160"/>
      <c r="C239" s="160"/>
      <c r="D239" s="160"/>
      <c r="E239" s="160"/>
      <c r="F239" s="160"/>
      <c r="G239" s="160"/>
      <c r="H239" s="160"/>
      <c r="I239" s="160"/>
      <c r="J239" s="160"/>
      <c r="K239" s="160"/>
    </row>
    <row r="240" spans="1:11">
      <c r="A240" s="163" t="s">
        <v>103</v>
      </c>
      <c r="B240" s="208" t="s">
        <v>4</v>
      </c>
      <c r="C240" s="14">
        <f t="array" ref="C240:C243">MMULT(C235:F238,H235:H238)</f>
        <v>32.423282833482517</v>
      </c>
      <c r="D240" s="208" t="s">
        <v>79</v>
      </c>
      <c r="E240" s="14">
        <f>J235</f>
        <v>-111.89</v>
      </c>
      <c r="F240" s="211" t="s">
        <v>4</v>
      </c>
      <c r="G240" s="64">
        <f>C240-E240</f>
        <v>144.3132828334825</v>
      </c>
      <c r="H240" s="57" t="s">
        <v>13</v>
      </c>
      <c r="I240" s="160"/>
      <c r="J240" s="160"/>
      <c r="K240" s="160"/>
    </row>
    <row r="241" spans="1:11">
      <c r="A241" s="163" t="s">
        <v>163</v>
      </c>
      <c r="B241" s="208"/>
      <c r="C241" s="14">
        <v>67.409727300805571</v>
      </c>
      <c r="D241" s="208"/>
      <c r="E241" s="14">
        <f t="shared" ref="E241:E243" si="16">J236</f>
        <v>-107.676</v>
      </c>
      <c r="F241" s="211"/>
      <c r="G241" s="65">
        <f t="shared" ref="G241:G243" si="17">C241-E241</f>
        <v>175.08572730080556</v>
      </c>
      <c r="H241" s="47" t="s">
        <v>80</v>
      </c>
      <c r="I241" s="160"/>
      <c r="J241" s="160"/>
      <c r="K241" s="160"/>
    </row>
    <row r="242" spans="1:11">
      <c r="A242" s="163" t="s">
        <v>104</v>
      </c>
      <c r="B242" s="208"/>
      <c r="C242" s="14">
        <v>-32.423282833482517</v>
      </c>
      <c r="D242" s="208"/>
      <c r="E242" s="14">
        <f t="shared" si="16"/>
        <v>-111.89</v>
      </c>
      <c r="F242" s="211"/>
      <c r="G242" s="65">
        <f t="shared" si="17"/>
        <v>79.466717166517483</v>
      </c>
      <c r="H242" s="47" t="s">
        <v>13</v>
      </c>
      <c r="I242" s="160"/>
      <c r="J242" s="160"/>
      <c r="K242" s="160"/>
    </row>
    <row r="243" spans="1:11" ht="15.75" thickBot="1">
      <c r="A243" s="163" t="s">
        <v>164</v>
      </c>
      <c r="B243" s="208"/>
      <c r="C243" s="14">
        <v>107.67600000000002</v>
      </c>
      <c r="D243" s="208"/>
      <c r="E243" s="14">
        <f t="shared" si="16"/>
        <v>107.676</v>
      </c>
      <c r="F243" s="211"/>
      <c r="G243" s="66">
        <f t="shared" si="17"/>
        <v>0</v>
      </c>
      <c r="H243" s="51" t="s">
        <v>80</v>
      </c>
      <c r="I243" s="160"/>
      <c r="J243" s="160"/>
      <c r="K243" s="160"/>
    </row>
    <row r="244" spans="1:11" ht="15.75" thickBot="1"/>
    <row r="245" spans="1:11">
      <c r="A245" s="203" t="s">
        <v>87</v>
      </c>
      <c r="B245" s="204"/>
      <c r="C245" s="204"/>
      <c r="D245" s="204"/>
      <c r="E245" s="204"/>
      <c r="F245" s="205"/>
    </row>
    <row r="246" spans="1:11" ht="15.75" thickBot="1">
      <c r="A246" s="206" t="s">
        <v>166</v>
      </c>
      <c r="B246" s="199"/>
      <c r="C246" s="199"/>
      <c r="D246" s="160" t="s">
        <v>4</v>
      </c>
      <c r="E246" s="160">
        <v>0</v>
      </c>
      <c r="F246" s="47"/>
    </row>
    <row r="247" spans="1:11" ht="15.75" thickBot="1">
      <c r="A247" s="58">
        <f>G218+G220+G229+G231+G240+G242</f>
        <v>419.31399999999996</v>
      </c>
      <c r="B247" s="49" t="s">
        <v>79</v>
      </c>
      <c r="C247" s="59">
        <f>F23*C17+F24*C19+F25*C17+C16</f>
        <v>419.31400000000002</v>
      </c>
      <c r="D247" s="49" t="s">
        <v>4</v>
      </c>
      <c r="E247" s="146">
        <f>A247-C247</f>
        <v>0</v>
      </c>
      <c r="F247" s="89" t="str">
        <f>IF(E247=0,"OKE","NOT OKE")</f>
        <v>OKE</v>
      </c>
    </row>
    <row r="249" spans="1:11" s="95" customFormat="1">
      <c r="A249" s="94" t="s">
        <v>89</v>
      </c>
      <c r="C249" s="94" t="s">
        <v>88</v>
      </c>
      <c r="D249" s="96"/>
    </row>
    <row r="250" spans="1:11" s="160" customFormat="1"/>
    <row r="251" spans="1:11" s="160" customFormat="1">
      <c r="B251" s="160" t="s">
        <v>26</v>
      </c>
      <c r="D251" s="199" t="s">
        <v>176</v>
      </c>
      <c r="E251" s="199"/>
      <c r="G251" s="199" t="s">
        <v>27</v>
      </c>
      <c r="H251" s="199"/>
      <c r="J251" s="55" t="s">
        <v>28</v>
      </c>
    </row>
    <row r="252" spans="1:11" s="160" customFormat="1">
      <c r="B252" s="62">
        <f>G219</f>
        <v>111.72270899731421</v>
      </c>
      <c r="D252" s="62">
        <f>G221</f>
        <v>7.1054273576010019E-15</v>
      </c>
      <c r="E252" s="62">
        <f>G230</f>
        <v>-3.5260683262094972E-13</v>
      </c>
      <c r="G252" s="62">
        <f>G232</f>
        <v>-175.08572730080601</v>
      </c>
      <c r="H252" s="62">
        <f>G241</f>
        <v>175.08572730080556</v>
      </c>
      <c r="J252" s="209">
        <f>G243</f>
        <v>0</v>
      </c>
      <c r="K252" s="209"/>
    </row>
    <row r="253" spans="1:11" s="160" customFormat="1"/>
    <row r="254" spans="1:11" s="160" customFormat="1"/>
    <row r="255" spans="1:11" s="160" customFormat="1">
      <c r="B255" s="60"/>
      <c r="E255" s="55"/>
      <c r="G255" s="55"/>
    </row>
    <row r="256" spans="1:11" s="160" customFormat="1">
      <c r="B256" s="199">
        <v>1</v>
      </c>
      <c r="C256" s="199"/>
      <c r="D256" s="199"/>
      <c r="E256" s="199">
        <v>2</v>
      </c>
      <c r="F256" s="199"/>
      <c r="G256" s="199"/>
      <c r="H256" s="199">
        <v>3</v>
      </c>
      <c r="I256" s="199"/>
    </row>
    <row r="257" spans="1:12" s="160" customFormat="1"/>
    <row r="258" spans="1:12" s="160" customFormat="1">
      <c r="D258" s="62"/>
    </row>
    <row r="259" spans="1:12" s="160" customFormat="1">
      <c r="B259" s="161">
        <f>G218</f>
        <v>89.539390555058191</v>
      </c>
      <c r="D259" s="161">
        <f>G220</f>
        <v>48.160609444941819</v>
      </c>
      <c r="E259" s="161">
        <f>G229</f>
        <v>-79.160609444942295</v>
      </c>
      <c r="G259" s="161">
        <f>G231</f>
        <v>136.99460944494228</v>
      </c>
      <c r="H259" s="161">
        <f>G240</f>
        <v>144.3132828334825</v>
      </c>
      <c r="J259" s="210">
        <f>G242</f>
        <v>79.466717166517483</v>
      </c>
      <c r="K259" s="210"/>
    </row>
    <row r="260" spans="1:12" s="160" customFormat="1">
      <c r="B260" s="160" t="s">
        <v>92</v>
      </c>
      <c r="D260" s="199" t="s">
        <v>183</v>
      </c>
      <c r="E260" s="199"/>
      <c r="G260" s="199" t="s">
        <v>93</v>
      </c>
      <c r="H260" s="199"/>
      <c r="J260" s="160" t="s">
        <v>94</v>
      </c>
    </row>
    <row r="261" spans="1:12" s="160" customFormat="1">
      <c r="D261" s="200">
        <f>SUM(D259:E259)</f>
        <v>-31.000000000000476</v>
      </c>
      <c r="E261" s="200"/>
      <c r="G261" s="200">
        <f>SUM(G259:H259)</f>
        <v>281.30789227842479</v>
      </c>
      <c r="H261" s="200"/>
    </row>
    <row r="263" spans="1:12" s="95" customFormat="1">
      <c r="A263" s="94" t="s">
        <v>90</v>
      </c>
      <c r="C263" s="94" t="s">
        <v>91</v>
      </c>
      <c r="D263" s="96"/>
    </row>
    <row r="264" spans="1:12" s="160" customFormat="1">
      <c r="A264" s="224" t="s">
        <v>125</v>
      </c>
      <c r="B264" s="224"/>
      <c r="C264" s="168" t="s">
        <v>201</v>
      </c>
      <c r="D264" s="168" t="s">
        <v>213</v>
      </c>
      <c r="G264" s="224" t="s">
        <v>102</v>
      </c>
      <c r="H264" s="224"/>
      <c r="I264" s="224"/>
      <c r="J264" s="168" t="s">
        <v>201</v>
      </c>
      <c r="K264" s="224" t="s">
        <v>213</v>
      </c>
      <c r="L264" s="224"/>
    </row>
    <row r="265" spans="1:12" s="160" customFormat="1">
      <c r="A265" s="165" t="s">
        <v>96</v>
      </c>
      <c r="B265" s="67">
        <f>B259</f>
        <v>89.539390555058191</v>
      </c>
      <c r="C265" s="168">
        <v>89.893100000000004</v>
      </c>
      <c r="D265" s="167">
        <f>ABS((B265-C265)/B265)</f>
        <v>3.9503222296818725E-3</v>
      </c>
      <c r="G265" s="165" t="s">
        <v>78</v>
      </c>
      <c r="H265" s="232">
        <f>G219</f>
        <v>111.72270899731421</v>
      </c>
      <c r="I265" s="232"/>
      <c r="J265" s="168">
        <v>113.87609999999999</v>
      </c>
      <c r="K265" s="222">
        <f>ABS((H265-J265)/H265)</f>
        <v>1.9274425244535976E-2</v>
      </c>
      <c r="L265" s="222"/>
    </row>
    <row r="266" spans="1:12" s="160" customFormat="1">
      <c r="A266" s="165" t="s">
        <v>184</v>
      </c>
      <c r="B266" s="67">
        <f>D259</f>
        <v>48.160609444941819</v>
      </c>
      <c r="C266" s="168">
        <v>47.761800000000001</v>
      </c>
      <c r="D266" s="167">
        <f t="shared" ref="D266:D270" si="18">ABS((B266-C266)/B266)</f>
        <v>8.2808222225207815E-3</v>
      </c>
      <c r="G266" s="165" t="s">
        <v>186</v>
      </c>
      <c r="H266" s="233">
        <f>D252</f>
        <v>7.1054273576010019E-15</v>
      </c>
      <c r="I266" s="233"/>
      <c r="J266" s="168">
        <v>0</v>
      </c>
      <c r="K266" s="222">
        <v>0</v>
      </c>
      <c r="L266" s="222"/>
    </row>
    <row r="267" spans="1:12" s="160" customFormat="1">
      <c r="A267" s="165" t="s">
        <v>185</v>
      </c>
      <c r="B267" s="67">
        <f>E259</f>
        <v>-79.160609444942295</v>
      </c>
      <c r="C267" s="168">
        <v>-78.768199999999993</v>
      </c>
      <c r="D267" s="167">
        <f t="shared" si="18"/>
        <v>4.9571301647851835E-3</v>
      </c>
      <c r="G267" s="165" t="s">
        <v>187</v>
      </c>
      <c r="H267" s="233">
        <f>E252</f>
        <v>-3.5260683262094972E-13</v>
      </c>
      <c r="I267" s="233"/>
      <c r="J267" s="168">
        <v>0</v>
      </c>
      <c r="K267" s="222">
        <v>0</v>
      </c>
      <c r="L267" s="222"/>
    </row>
    <row r="268" spans="1:12" s="160" customFormat="1">
      <c r="A268" s="165" t="s">
        <v>97</v>
      </c>
      <c r="B268" s="67">
        <f>G259</f>
        <v>136.99460944494228</v>
      </c>
      <c r="C268" s="168">
        <v>136.5958</v>
      </c>
      <c r="D268" s="167">
        <f t="shared" si="18"/>
        <v>2.9111323909614688E-3</v>
      </c>
      <c r="G268" s="165" t="s">
        <v>105</v>
      </c>
      <c r="H268" s="233">
        <f>G252</f>
        <v>-175.08572730080601</v>
      </c>
      <c r="I268" s="233"/>
      <c r="J268" s="168">
        <v>-174.43969999999999</v>
      </c>
      <c r="K268" s="222">
        <f t="shared" ref="K268:K269" si="19">ABS((H268-J268)/H268)</f>
        <v>3.689777063872936E-3</v>
      </c>
      <c r="L268" s="222"/>
    </row>
    <row r="269" spans="1:12" s="160" customFormat="1">
      <c r="A269" s="165" t="s">
        <v>98</v>
      </c>
      <c r="B269" s="67">
        <f>H259</f>
        <v>144.3132828334825</v>
      </c>
      <c r="C269" s="168">
        <v>144.19399999999999</v>
      </c>
      <c r="D269" s="167">
        <f t="shared" si="18"/>
        <v>8.2655477819149157E-4</v>
      </c>
      <c r="G269" s="165" t="s">
        <v>106</v>
      </c>
      <c r="H269" s="233">
        <f>H252</f>
        <v>175.08572730080556</v>
      </c>
      <c r="I269" s="233"/>
      <c r="J269" s="168">
        <v>174.43969999999999</v>
      </c>
      <c r="K269" s="222">
        <f t="shared" si="19"/>
        <v>3.6897770638703482E-3</v>
      </c>
      <c r="L269" s="222"/>
    </row>
    <row r="270" spans="1:12" s="160" customFormat="1">
      <c r="A270" s="165" t="s">
        <v>104</v>
      </c>
      <c r="B270" s="67">
        <f>J259</f>
        <v>79.466717166517483</v>
      </c>
      <c r="C270" s="168">
        <v>79.586399999999998</v>
      </c>
      <c r="D270" s="167">
        <f t="shared" si="18"/>
        <v>1.5060749676084689E-3</v>
      </c>
      <c r="G270" s="165" t="s">
        <v>188</v>
      </c>
      <c r="H270" s="233">
        <f>J252</f>
        <v>0</v>
      </c>
      <c r="I270" s="233"/>
      <c r="J270" s="168">
        <v>0</v>
      </c>
      <c r="K270" s="222">
        <v>0</v>
      </c>
      <c r="L270" s="222"/>
    </row>
    <row r="278" spans="1:6" s="95" customFormat="1">
      <c r="A278" s="94" t="s">
        <v>90</v>
      </c>
      <c r="C278" s="94" t="s">
        <v>109</v>
      </c>
      <c r="D278" s="96"/>
    </row>
    <row r="279" spans="1:6" s="160" customFormat="1">
      <c r="A279" s="199" t="s">
        <v>125</v>
      </c>
      <c r="B279" s="199"/>
      <c r="C279" s="160" t="s">
        <v>126</v>
      </c>
    </row>
    <row r="280" spans="1:6" s="160" customFormat="1">
      <c r="A280" s="160" t="s">
        <v>110</v>
      </c>
      <c r="B280" s="192">
        <v>0</v>
      </c>
      <c r="C280" s="160">
        <f>0</f>
        <v>0</v>
      </c>
      <c r="E280" s="165" t="s">
        <v>126</v>
      </c>
      <c r="F280" s="165" t="s">
        <v>125</v>
      </c>
    </row>
    <row r="281" spans="1:6" s="160" customFormat="1">
      <c r="A281" s="199" t="s">
        <v>111</v>
      </c>
      <c r="B281" s="160" t="s">
        <v>112</v>
      </c>
      <c r="C281" s="199">
        <f>C280</f>
        <v>0</v>
      </c>
      <c r="E281" s="165">
        <f>C280</f>
        <v>0</v>
      </c>
      <c r="F281" s="71">
        <f>B280</f>
        <v>0</v>
      </c>
    </row>
    <row r="282" spans="1:6" s="160" customFormat="1">
      <c r="A282" s="199"/>
      <c r="B282" s="161">
        <f>B265</f>
        <v>89.539390555058191</v>
      </c>
      <c r="C282" s="199"/>
      <c r="E282" s="165">
        <f>C281</f>
        <v>0</v>
      </c>
      <c r="F282" s="67">
        <f>B282</f>
        <v>89.539390555058191</v>
      </c>
    </row>
    <row r="283" spans="1:6" s="160" customFormat="1">
      <c r="A283" s="199" t="s">
        <v>189</v>
      </c>
      <c r="B283" s="160" t="s">
        <v>191</v>
      </c>
      <c r="C283" s="199">
        <f>C17</f>
        <v>5.4</v>
      </c>
      <c r="E283" s="165">
        <f>C283</f>
        <v>5.4</v>
      </c>
      <c r="F283" s="67">
        <f>B284</f>
        <v>-48.160609444941826</v>
      </c>
    </row>
    <row r="284" spans="1:6" s="160" customFormat="1">
      <c r="A284" s="199"/>
      <c r="B284" s="161">
        <f>B282-F23*C17</f>
        <v>-48.160609444941826</v>
      </c>
      <c r="C284" s="199"/>
      <c r="E284" s="165">
        <f>C285</f>
        <v>5.4</v>
      </c>
      <c r="F284" s="67">
        <f>B286</f>
        <v>-79.16060944494231</v>
      </c>
    </row>
    <row r="285" spans="1:6" s="160" customFormat="1">
      <c r="A285" s="199" t="s">
        <v>190</v>
      </c>
      <c r="B285" s="160" t="s">
        <v>192</v>
      </c>
      <c r="C285" s="199">
        <f>C283</f>
        <v>5.4</v>
      </c>
      <c r="E285" s="165">
        <f>C287</f>
        <v>7.0200000000000005</v>
      </c>
      <c r="F285" s="67">
        <f>B288</f>
        <v>-136.99460944494231</v>
      </c>
    </row>
    <row r="286" spans="1:6" s="160" customFormat="1">
      <c r="A286" s="199"/>
      <c r="B286" s="161">
        <f>B284+SUM(B266:B267)</f>
        <v>-79.16060944494231</v>
      </c>
      <c r="C286" s="199"/>
      <c r="D286" s="4" t="s">
        <v>127</v>
      </c>
      <c r="E286" s="165">
        <f>C289</f>
        <v>7.0200000000000005</v>
      </c>
      <c r="F286" s="67">
        <f>B290</f>
        <v>144.31328283348248</v>
      </c>
    </row>
    <row r="287" spans="1:6" s="160" customFormat="1">
      <c r="A287" s="199" t="s">
        <v>113</v>
      </c>
      <c r="B287" s="160" t="s">
        <v>193</v>
      </c>
      <c r="C287" s="199">
        <f>C285+C19</f>
        <v>7.0200000000000005</v>
      </c>
      <c r="E287" s="165">
        <f>C291</f>
        <v>12.420000000000002</v>
      </c>
      <c r="F287" s="67">
        <f>B292</f>
        <v>-79.466717166517526</v>
      </c>
    </row>
    <row r="288" spans="1:6" s="160" customFormat="1">
      <c r="A288" s="199"/>
      <c r="B288" s="161">
        <f>B286-F24*C19</f>
        <v>-136.99460944494231</v>
      </c>
      <c r="C288" s="199"/>
      <c r="E288" s="165">
        <f>C293</f>
        <v>12.420000000000002</v>
      </c>
      <c r="F288" s="71">
        <f>F281</f>
        <v>0</v>
      </c>
    </row>
    <row r="289" spans="1:3" s="160" customFormat="1">
      <c r="A289" s="199" t="s">
        <v>115</v>
      </c>
      <c r="B289" s="160" t="s">
        <v>116</v>
      </c>
      <c r="C289" s="199">
        <f>C287</f>
        <v>7.0200000000000005</v>
      </c>
    </row>
    <row r="290" spans="1:3" s="160" customFormat="1">
      <c r="A290" s="199"/>
      <c r="B290" s="161">
        <f>B288+SUM(B268:B269)</f>
        <v>144.31328283348248</v>
      </c>
      <c r="C290" s="199"/>
    </row>
    <row r="291" spans="1:3" s="160" customFormat="1">
      <c r="A291" s="199" t="s">
        <v>117</v>
      </c>
      <c r="B291" s="169" t="s">
        <v>194</v>
      </c>
      <c r="C291" s="199">
        <f>C289+C17</f>
        <v>12.420000000000002</v>
      </c>
    </row>
    <row r="292" spans="1:3" s="160" customFormat="1">
      <c r="A292" s="199"/>
      <c r="B292" s="161">
        <f>B290-F25*C17-C16</f>
        <v>-79.466717166517526</v>
      </c>
      <c r="C292" s="199"/>
    </row>
    <row r="293" spans="1:3" s="160" customFormat="1">
      <c r="A293" s="199" t="s">
        <v>119</v>
      </c>
      <c r="B293" s="160" t="s">
        <v>121</v>
      </c>
      <c r="C293" s="199">
        <f>C291</f>
        <v>12.420000000000002</v>
      </c>
    </row>
    <row r="294" spans="1:3" s="160" customFormat="1">
      <c r="A294" s="199"/>
      <c r="B294" s="161">
        <f>B292+B270</f>
        <v>0</v>
      </c>
      <c r="C294" s="199"/>
    </row>
    <row r="295" spans="1:3" s="160" customFormat="1">
      <c r="B295" s="165" t="str">
        <f>IF(B294=0,"OKE", "NOT OKE")</f>
        <v>OKE</v>
      </c>
    </row>
    <row r="296" spans="1:3" s="160" customFormat="1"/>
    <row r="297" spans="1:3" s="160" customFormat="1"/>
    <row r="298" spans="1:3" s="160" customFormat="1"/>
    <row r="299" spans="1:3" s="160" customFormat="1"/>
    <row r="300" spans="1:3" s="160" customFormat="1"/>
    <row r="301" spans="1:3" s="160" customFormat="1"/>
    <row r="302" spans="1:3" s="160" customFormat="1"/>
    <row r="303" spans="1:3" s="160" customFormat="1"/>
    <row r="304" spans="1:3" s="160" customFormat="1"/>
    <row r="305" spans="1:10" s="160" customFormat="1"/>
    <row r="306" spans="1:10" s="160" customFormat="1"/>
    <row r="307" spans="1:10" s="160" customFormat="1"/>
    <row r="308" spans="1:10" s="160" customFormat="1"/>
    <row r="309" spans="1:10" s="160" customFormat="1"/>
    <row r="310" spans="1:10" s="160" customFormat="1"/>
    <row r="311" spans="1:10" s="95" customFormat="1">
      <c r="A311" s="94" t="s">
        <v>128</v>
      </c>
      <c r="C311" s="94" t="s">
        <v>129</v>
      </c>
      <c r="D311" s="96"/>
    </row>
    <row r="312" spans="1:10" s="160" customFormat="1" ht="15.75" thickBot="1"/>
    <row r="313" spans="1:10" s="160" customFormat="1">
      <c r="A313" s="78" t="s">
        <v>52</v>
      </c>
      <c r="B313" s="79"/>
      <c r="C313" s="79"/>
      <c r="D313" s="79"/>
      <c r="E313" s="79"/>
      <c r="F313" s="79"/>
      <c r="G313" s="79"/>
      <c r="H313" s="79"/>
      <c r="I313" s="79"/>
      <c r="J313" s="57"/>
    </row>
    <row r="314" spans="1:10" s="160" customFormat="1">
      <c r="A314" s="162" t="s">
        <v>130</v>
      </c>
      <c r="B314" s="4" t="s">
        <v>131</v>
      </c>
      <c r="J314" s="47"/>
    </row>
    <row r="315" spans="1:10" s="160" customFormat="1">
      <c r="A315" s="162"/>
      <c r="B315" s="193">
        <f>-H265</f>
        <v>-111.72270899731421</v>
      </c>
      <c r="J315" s="47"/>
    </row>
    <row r="316" spans="1:10" s="160" customFormat="1">
      <c r="A316" s="162" t="s">
        <v>195</v>
      </c>
      <c r="B316" s="160" t="s">
        <v>105</v>
      </c>
      <c r="J316" s="47"/>
    </row>
    <row r="317" spans="1:10" s="160" customFormat="1">
      <c r="A317" s="162"/>
      <c r="B317" s="194">
        <f>H266</f>
        <v>7.1054273576010019E-15</v>
      </c>
      <c r="J317" s="47"/>
    </row>
    <row r="318" spans="1:10" s="160" customFormat="1">
      <c r="A318" s="162"/>
      <c r="J318" s="47"/>
    </row>
    <row r="319" spans="1:10" s="160" customFormat="1">
      <c r="A319" s="91" t="s">
        <v>133</v>
      </c>
      <c r="J319" s="47"/>
    </row>
    <row r="320" spans="1:10" s="160" customFormat="1" ht="15.75" thickBot="1">
      <c r="A320" s="162" t="s">
        <v>134</v>
      </c>
      <c r="B320" s="160" t="s">
        <v>196</v>
      </c>
      <c r="J320" s="47"/>
    </row>
    <row r="321" spans="1:10" s="160" customFormat="1" ht="15.75" thickBot="1">
      <c r="A321" s="52" t="s">
        <v>134</v>
      </c>
      <c r="B321" s="77">
        <f>B265/F23</f>
        <v>3.5113486492179682</v>
      </c>
      <c r="C321" s="54" t="s">
        <v>6</v>
      </c>
      <c r="J321" s="47"/>
    </row>
    <row r="322" spans="1:10" s="160" customFormat="1">
      <c r="A322" s="162" t="s">
        <v>135</v>
      </c>
      <c r="B322" s="160" t="s">
        <v>138</v>
      </c>
      <c r="C322" s="160" t="s">
        <v>66</v>
      </c>
      <c r="D322" s="160" t="s">
        <v>79</v>
      </c>
      <c r="E322" s="160">
        <v>0.5</v>
      </c>
      <c r="F322" s="160" t="s">
        <v>1</v>
      </c>
      <c r="G322" s="160" t="s">
        <v>137</v>
      </c>
      <c r="H322" s="160" t="s">
        <v>79</v>
      </c>
      <c r="I322" s="160" t="s">
        <v>78</v>
      </c>
      <c r="J322" s="47"/>
    </row>
    <row r="323" spans="1:10" s="160" customFormat="1" ht="15.75" thickBot="1">
      <c r="A323" s="162"/>
      <c r="B323" s="161">
        <f>B265</f>
        <v>89.539390555058191</v>
      </c>
      <c r="C323" s="175">
        <f>B321</f>
        <v>3.5113486492179682</v>
      </c>
      <c r="D323" s="160" t="s">
        <v>79</v>
      </c>
      <c r="E323" s="160">
        <f>E322</f>
        <v>0.5</v>
      </c>
      <c r="F323" s="160">
        <f>F23</f>
        <v>25.5</v>
      </c>
      <c r="G323" s="175">
        <f>C323^2</f>
        <v>12.32956933636485</v>
      </c>
      <c r="H323" s="160" t="s">
        <v>79</v>
      </c>
      <c r="I323" s="230">
        <f>B315</f>
        <v>-111.72270899731421</v>
      </c>
      <c r="J323" s="198"/>
    </row>
    <row r="324" spans="1:10" s="160" customFormat="1" ht="15.75" thickBot="1">
      <c r="A324" s="52" t="s">
        <v>135</v>
      </c>
      <c r="B324" s="76">
        <f>B323*C323-E323*F323*G323+I323</f>
        <v>45.479300041337666</v>
      </c>
      <c r="C324" s="54" t="s">
        <v>139</v>
      </c>
      <c r="D324" s="49"/>
      <c r="E324" s="49"/>
      <c r="F324" s="49"/>
      <c r="G324" s="49"/>
      <c r="H324" s="49"/>
      <c r="I324" s="49"/>
      <c r="J324" s="51"/>
    </row>
    <row r="325" spans="1:10" s="160" customFormat="1" ht="15.75" thickBot="1"/>
    <row r="326" spans="1:10" s="160" customFormat="1">
      <c r="A326" s="78" t="s">
        <v>140</v>
      </c>
      <c r="B326" s="79"/>
      <c r="C326" s="79"/>
      <c r="D326" s="79"/>
      <c r="E326" s="79"/>
      <c r="F326" s="79"/>
      <c r="G326" s="79"/>
      <c r="H326" s="79"/>
      <c r="I326" s="79"/>
      <c r="J326" s="57"/>
    </row>
    <row r="327" spans="1:10" s="160" customFormat="1" ht="15.75" thickBot="1">
      <c r="A327" s="147" t="s">
        <v>197</v>
      </c>
      <c r="B327" s="49"/>
      <c r="C327" s="49"/>
      <c r="D327" s="49"/>
      <c r="E327" s="49"/>
      <c r="F327" s="49"/>
      <c r="G327" s="49"/>
      <c r="H327" s="49"/>
      <c r="I327" s="49"/>
      <c r="J327" s="51"/>
    </row>
    <row r="328" spans="1:10" s="160" customFormat="1" ht="15.75" thickBot="1"/>
    <row r="329" spans="1:10" s="160" customFormat="1">
      <c r="A329" s="78" t="s">
        <v>147</v>
      </c>
      <c r="B329" s="79"/>
      <c r="C329" s="79"/>
      <c r="D329" s="79"/>
      <c r="E329" s="79"/>
      <c r="F329" s="79"/>
      <c r="G329" s="79"/>
      <c r="H329" s="79"/>
      <c r="I329" s="79"/>
      <c r="J329" s="57"/>
    </row>
    <row r="330" spans="1:10" s="160" customFormat="1">
      <c r="A330" s="162" t="s">
        <v>132</v>
      </c>
      <c r="B330" s="4" t="s">
        <v>142</v>
      </c>
      <c r="J330" s="47"/>
    </row>
    <row r="331" spans="1:10" s="160" customFormat="1">
      <c r="A331" s="162"/>
      <c r="B331" s="194">
        <f>-H269</f>
        <v>-175.08572730080556</v>
      </c>
      <c r="J331" s="47"/>
    </row>
    <row r="332" spans="1:10" s="160" customFormat="1">
      <c r="A332" s="162" t="s">
        <v>143</v>
      </c>
      <c r="B332" s="160" t="s">
        <v>107</v>
      </c>
      <c r="J332" s="47"/>
    </row>
    <row r="333" spans="1:10" s="160" customFormat="1">
      <c r="A333" s="162"/>
      <c r="B333" s="194">
        <f>H270</f>
        <v>0</v>
      </c>
      <c r="J333" s="47"/>
    </row>
    <row r="334" spans="1:10" s="160" customFormat="1">
      <c r="A334" s="162"/>
      <c r="J334" s="47"/>
    </row>
    <row r="335" spans="1:10" s="160" customFormat="1">
      <c r="A335" s="91" t="s">
        <v>133</v>
      </c>
      <c r="J335" s="47"/>
    </row>
    <row r="336" spans="1:10" s="160" customFormat="1" ht="15.75" thickBot="1">
      <c r="A336" s="162" t="s">
        <v>134</v>
      </c>
      <c r="B336" s="169" t="s">
        <v>214</v>
      </c>
      <c r="J336" s="47"/>
    </row>
    <row r="337" spans="1:10" s="160" customFormat="1" ht="15.75" thickBot="1">
      <c r="A337" s="52" t="s">
        <v>134</v>
      </c>
      <c r="B337" s="77">
        <f>B270/F25</f>
        <v>2.2259584640481092</v>
      </c>
      <c r="C337" s="54" t="s">
        <v>6</v>
      </c>
      <c r="D337" s="175"/>
      <c r="J337" s="47"/>
    </row>
    <row r="338" spans="1:10" s="160" customFormat="1">
      <c r="A338" s="162" t="s">
        <v>135</v>
      </c>
      <c r="B338" s="160" t="s">
        <v>144</v>
      </c>
      <c r="C338" s="160" t="s">
        <v>66</v>
      </c>
      <c r="D338" s="160" t="s">
        <v>79</v>
      </c>
      <c r="E338" s="160">
        <v>0.5</v>
      </c>
      <c r="F338" s="160" t="s">
        <v>199</v>
      </c>
      <c r="G338" s="160" t="s">
        <v>137</v>
      </c>
      <c r="H338" s="160" t="s">
        <v>79</v>
      </c>
      <c r="I338" s="169" t="s">
        <v>188</v>
      </c>
      <c r="J338" s="47"/>
    </row>
    <row r="339" spans="1:10" s="160" customFormat="1" ht="15.75" thickBot="1">
      <c r="A339" s="162"/>
      <c r="B339" s="161">
        <f>B270</f>
        <v>79.466717166517483</v>
      </c>
      <c r="C339" s="175">
        <f>B337</f>
        <v>2.2259584640481092</v>
      </c>
      <c r="D339" s="160" t="s">
        <v>79</v>
      </c>
      <c r="E339" s="160">
        <f>E338</f>
        <v>0.5</v>
      </c>
      <c r="F339" s="160">
        <f>F25</f>
        <v>35.699999999999996</v>
      </c>
      <c r="G339" s="175">
        <f>C339^2</f>
        <v>4.9548910836674169</v>
      </c>
      <c r="H339" s="160" t="s">
        <v>79</v>
      </c>
      <c r="I339" s="231">
        <f>H270</f>
        <v>0</v>
      </c>
      <c r="J339" s="196"/>
    </row>
    <row r="340" spans="1:10" s="160" customFormat="1" ht="15.75" thickBot="1">
      <c r="A340" s="52" t="s">
        <v>135</v>
      </c>
      <c r="B340" s="76">
        <f>B339*C339-E339*F339*G339-I339</f>
        <v>88.444805843463385</v>
      </c>
      <c r="C340" s="54" t="s">
        <v>139</v>
      </c>
      <c r="D340" s="49"/>
      <c r="E340" s="49"/>
      <c r="F340" s="49"/>
      <c r="G340" s="49"/>
      <c r="H340" s="49"/>
      <c r="I340" s="49"/>
      <c r="J340" s="51"/>
    </row>
    <row r="341" spans="1:10" s="160" customFormat="1"/>
    <row r="342" spans="1:10" s="160" customFormat="1"/>
    <row r="343" spans="1:10" s="160" customFormat="1">
      <c r="A343" s="165" t="s">
        <v>126</v>
      </c>
      <c r="B343" s="165" t="s">
        <v>102</v>
      </c>
    </row>
    <row r="344" spans="1:10" s="160" customFormat="1">
      <c r="A344" s="165">
        <f>0</f>
        <v>0</v>
      </c>
      <c r="B344" s="81">
        <f>B315</f>
        <v>-111.72270899731421</v>
      </c>
    </row>
    <row r="345" spans="1:10" s="160" customFormat="1">
      <c r="A345" s="165">
        <v>1</v>
      </c>
      <c r="B345" s="81">
        <f>$B$265*A345-0.5*$F$23*A345^2+$I$323</f>
        <v>-34.933318442256024</v>
      </c>
    </row>
    <row r="346" spans="1:10" s="160" customFormat="1">
      <c r="A346" s="165">
        <v>2</v>
      </c>
      <c r="B346" s="190">
        <f>$B$265*A346-0.5*$F$23*A346^2+$I$323</f>
        <v>16.356072112802167</v>
      </c>
    </row>
    <row r="347" spans="1:10" s="160" customFormat="1">
      <c r="A347" s="165">
        <v>3</v>
      </c>
      <c r="B347" s="190">
        <f>$B$265*A347-0.5*$F$23*A347^2+$I$323</f>
        <v>42.145462667860386</v>
      </c>
    </row>
    <row r="348" spans="1:10" s="160" customFormat="1">
      <c r="A348" s="14">
        <f>B321</f>
        <v>3.5113486492179682</v>
      </c>
      <c r="B348" s="82">
        <f>B324</f>
        <v>45.479300041337666</v>
      </c>
    </row>
    <row r="349" spans="1:10" s="160" customFormat="1">
      <c r="A349" s="14">
        <v>4</v>
      </c>
      <c r="B349" s="190">
        <f>$B$265*A349-0.5*$F$23*A349^2+$I$323</f>
        <v>42.434853222918548</v>
      </c>
    </row>
    <row r="350" spans="1:10" s="160" customFormat="1">
      <c r="A350" s="14">
        <v>5</v>
      </c>
      <c r="B350" s="190">
        <f>$B$265*A350-0.5*$F$23*A350^2+$I$323</f>
        <v>17.22424377797671</v>
      </c>
    </row>
    <row r="351" spans="1:10" s="160" customFormat="1">
      <c r="A351" s="165">
        <f>C17</f>
        <v>5.4</v>
      </c>
      <c r="B351" s="82">
        <f>H266</f>
        <v>7.1054273576010019E-15</v>
      </c>
    </row>
    <row r="352" spans="1:10" s="160" customFormat="1">
      <c r="A352" s="165">
        <f>A351</f>
        <v>5.4</v>
      </c>
      <c r="B352" s="82">
        <f>H267</f>
        <v>-3.5260683262094972E-13</v>
      </c>
    </row>
    <row r="353" spans="1:2" s="160" customFormat="1">
      <c r="A353" s="165">
        <v>6</v>
      </c>
      <c r="B353" s="82">
        <f>$B$267*(A353-$A$352)-0.5*$F$24*(A353-$A$352)^2-$H$267</f>
        <v>-53.922365666964986</v>
      </c>
    </row>
    <row r="354" spans="1:2" s="160" customFormat="1">
      <c r="A354" s="165">
        <v>7</v>
      </c>
      <c r="B354" s="82">
        <f>$B$267*(A354-$A$352)-0.5*$F$24*(A354-$A$352)^2-$H$267</f>
        <v>-172.35297511190726</v>
      </c>
    </row>
    <row r="355" spans="1:2" s="160" customFormat="1">
      <c r="A355" s="14">
        <f>A352+C19</f>
        <v>7.0200000000000005</v>
      </c>
      <c r="B355" s="82">
        <f>H268</f>
        <v>-175.08572730080601</v>
      </c>
    </row>
    <row r="356" spans="1:2" s="160" customFormat="1">
      <c r="A356" s="14">
        <f>A355</f>
        <v>7.0200000000000005</v>
      </c>
      <c r="B356" s="82">
        <f>-H269</f>
        <v>-175.08572730080556</v>
      </c>
    </row>
    <row r="357" spans="1:2" s="160" customFormat="1">
      <c r="A357" s="14">
        <v>8</v>
      </c>
      <c r="B357" s="191">
        <f>$B$339*($A$364-A357)-0.5*$F$339*($A$364-A357)^2-$I$339</f>
        <v>2.5181498760072145</v>
      </c>
    </row>
    <row r="358" spans="1:2" s="160" customFormat="1">
      <c r="A358" s="14">
        <v>9</v>
      </c>
      <c r="B358" s="191">
        <f>$B$339*($A$364-A358)-0.5*$F$339*($A$364-A358)^2-$I$339</f>
        <v>62.995432709489734</v>
      </c>
    </row>
    <row r="359" spans="1:2" s="160" customFormat="1">
      <c r="A359" s="14">
        <v>10</v>
      </c>
      <c r="B359" s="191">
        <f>$B$339*($A$364-A359)-0.5*$F$339*($A$364-A359)^2-$I$339</f>
        <v>87.772715542972321</v>
      </c>
    </row>
    <row r="360" spans="1:2" s="160" customFormat="1">
      <c r="A360" s="14">
        <f>A363-B337</f>
        <v>10.194041535951893</v>
      </c>
      <c r="B360" s="191">
        <f>B340</f>
        <v>88.444805843463385</v>
      </c>
    </row>
    <row r="361" spans="1:2" s="169" customFormat="1">
      <c r="A361" s="14">
        <v>11</v>
      </c>
      <c r="B361" s="191">
        <f>$B$339*($A$364-A361)-0.5*$F$339*($A$364-A361)^2-$I$339</f>
        <v>76.849998376454877</v>
      </c>
    </row>
    <row r="362" spans="1:2" s="160" customFormat="1">
      <c r="A362" s="14">
        <v>12</v>
      </c>
      <c r="B362" s="191">
        <f>$B$339*($A$364-A362)-0.5*$F$339*($A$364-A362)^2-$I$339</f>
        <v>30.227281209937452</v>
      </c>
    </row>
    <row r="363" spans="1:2" s="160" customFormat="1">
      <c r="A363" s="14">
        <f>A356+C17</f>
        <v>12.420000000000002</v>
      </c>
      <c r="B363" s="82">
        <f>H270</f>
        <v>0</v>
      </c>
    </row>
    <row r="364" spans="1:2" s="160" customFormat="1">
      <c r="A364" s="14">
        <f>A363</f>
        <v>12.420000000000002</v>
      </c>
      <c r="B364" s="82">
        <v>0</v>
      </c>
    </row>
    <row r="365" spans="1:2" s="160" customFormat="1"/>
    <row r="366" spans="1:2" s="160" customFormat="1"/>
    <row r="367" spans="1:2" s="160" customFormat="1"/>
    <row r="368" spans="1:2" s="160" customFormat="1"/>
    <row r="369" s="160" customFormat="1"/>
    <row r="370" s="160" customFormat="1"/>
    <row r="371" s="160" customFormat="1"/>
  </sheetData>
  <mergeCells count="109">
    <mergeCell ref="K265:L265"/>
    <mergeCell ref="K266:L266"/>
    <mergeCell ref="K267:L267"/>
    <mergeCell ref="K268:L268"/>
    <mergeCell ref="K269:L269"/>
    <mergeCell ref="K270:L270"/>
    <mergeCell ref="F55:I55"/>
    <mergeCell ref="A67:B67"/>
    <mergeCell ref="F68:I68"/>
    <mergeCell ref="A80:B80"/>
    <mergeCell ref="F81:I81"/>
    <mergeCell ref="A142:A145"/>
    <mergeCell ref="B142:B145"/>
    <mergeCell ref="K27:K29"/>
    <mergeCell ref="B42:C42"/>
    <mergeCell ref="G42:H42"/>
    <mergeCell ref="B50:C50"/>
    <mergeCell ref="G50:H50"/>
    <mergeCell ref="A54:B54"/>
    <mergeCell ref="B168:B172"/>
    <mergeCell ref="D168:D172"/>
    <mergeCell ref="J168:J172"/>
    <mergeCell ref="B176:B180"/>
    <mergeCell ref="H176:H180"/>
    <mergeCell ref="B182:B186"/>
    <mergeCell ref="A148:A151"/>
    <mergeCell ref="B148:B151"/>
    <mergeCell ref="A154:A157"/>
    <mergeCell ref="B154:B157"/>
    <mergeCell ref="A160:A164"/>
    <mergeCell ref="B160:B164"/>
    <mergeCell ref="A207:A210"/>
    <mergeCell ref="B207:B210"/>
    <mergeCell ref="B213:B216"/>
    <mergeCell ref="G213:G216"/>
    <mergeCell ref="I213:I216"/>
    <mergeCell ref="J213:K213"/>
    <mergeCell ref="A190:A193"/>
    <mergeCell ref="B190:B193"/>
    <mergeCell ref="A195:A198"/>
    <mergeCell ref="B195:B198"/>
    <mergeCell ref="A200:A203"/>
    <mergeCell ref="B200:B203"/>
    <mergeCell ref="B224:B227"/>
    <mergeCell ref="G224:G227"/>
    <mergeCell ref="I224:I227"/>
    <mergeCell ref="J224:K224"/>
    <mergeCell ref="J225:K225"/>
    <mergeCell ref="J226:K226"/>
    <mergeCell ref="J227:K227"/>
    <mergeCell ref="L213:L216"/>
    <mergeCell ref="J214:K214"/>
    <mergeCell ref="J215:K215"/>
    <mergeCell ref="J216:K216"/>
    <mergeCell ref="B218:B221"/>
    <mergeCell ref="D218:D221"/>
    <mergeCell ref="F218:F221"/>
    <mergeCell ref="J235:K235"/>
    <mergeCell ref="J236:K236"/>
    <mergeCell ref="J237:K237"/>
    <mergeCell ref="J238:K238"/>
    <mergeCell ref="B240:B243"/>
    <mergeCell ref="D240:D243"/>
    <mergeCell ref="F240:F243"/>
    <mergeCell ref="B229:B232"/>
    <mergeCell ref="D229:D232"/>
    <mergeCell ref="F229:F232"/>
    <mergeCell ref="B235:B238"/>
    <mergeCell ref="G235:G238"/>
    <mergeCell ref="I235:I238"/>
    <mergeCell ref="J259:K259"/>
    <mergeCell ref="D260:E260"/>
    <mergeCell ref="G260:H260"/>
    <mergeCell ref="D261:E261"/>
    <mergeCell ref="G261:H261"/>
    <mergeCell ref="A264:B264"/>
    <mergeCell ref="G264:I264"/>
    <mergeCell ref="A245:F245"/>
    <mergeCell ref="A246:C246"/>
    <mergeCell ref="D251:E251"/>
    <mergeCell ref="G251:H251"/>
    <mergeCell ref="J252:K252"/>
    <mergeCell ref="B256:D256"/>
    <mergeCell ref="E256:G256"/>
    <mergeCell ref="H256:I256"/>
    <mergeCell ref="K264:L264"/>
    <mergeCell ref="A279:B279"/>
    <mergeCell ref="A281:A282"/>
    <mergeCell ref="C281:C282"/>
    <mergeCell ref="A283:A284"/>
    <mergeCell ref="C283:C284"/>
    <mergeCell ref="A285:A286"/>
    <mergeCell ref="C285:C286"/>
    <mergeCell ref="H265:I265"/>
    <mergeCell ref="H266:I266"/>
    <mergeCell ref="H267:I267"/>
    <mergeCell ref="H268:I268"/>
    <mergeCell ref="H269:I269"/>
    <mergeCell ref="H270:I270"/>
    <mergeCell ref="A293:A294"/>
    <mergeCell ref="C293:C294"/>
    <mergeCell ref="I323:J323"/>
    <mergeCell ref="I339:J339"/>
    <mergeCell ref="A287:A288"/>
    <mergeCell ref="C287:C288"/>
    <mergeCell ref="A289:A290"/>
    <mergeCell ref="C289:C290"/>
    <mergeCell ref="A291:A292"/>
    <mergeCell ref="C291:C292"/>
  </mergeCells>
  <conditionalFormatting sqref="F247">
    <cfRule type="containsText" dxfId="2" priority="3" operator="containsText" text="OKE">
      <formula>NOT(ISERROR(SEARCH("OKE",F247)))</formula>
    </cfRule>
  </conditionalFormatting>
  <conditionalFormatting sqref="G229:G232 G240:G243 G218:G22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drawing r:id="rId1"/>
  <legacyDrawing r:id="rId2"/>
  <oleObjects>
    <oleObject progId="Equation.3" shapeId="3073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2:N346"/>
  <sheetViews>
    <sheetView topLeftCell="A233" zoomScale="70" zoomScaleNormal="70" workbookViewId="0">
      <selection activeCell="E44" sqref="E44"/>
    </sheetView>
  </sheetViews>
  <sheetFormatPr defaultRowHeight="15"/>
  <cols>
    <col min="1" max="1" width="9.5703125" customWidth="1"/>
    <col min="2" max="2" width="16.5703125" bestFit="1" customWidth="1"/>
    <col min="3" max="3" width="12.42578125" customWidth="1"/>
    <col min="4" max="4" width="12.85546875" customWidth="1"/>
    <col min="5" max="5" width="13.140625" customWidth="1"/>
    <col min="6" max="7" width="14.140625" customWidth="1"/>
    <col min="8" max="8" width="12.7109375" customWidth="1"/>
    <col min="9" max="9" width="9" customWidth="1"/>
    <col min="10" max="10" width="9.140625" customWidth="1"/>
    <col min="11" max="11" width="7" customWidth="1"/>
  </cols>
  <sheetData>
    <row r="2" spans="1:10" ht="15.75" thickBot="1"/>
    <row r="3" spans="1:10" ht="15.75" thickBot="1">
      <c r="I3" s="92" t="s">
        <v>167</v>
      </c>
      <c r="J3" s="80" t="s">
        <v>168</v>
      </c>
    </row>
    <row r="4" spans="1:10" ht="15.75" thickBot="1">
      <c r="I4" s="44" t="s">
        <v>82</v>
      </c>
      <c r="J4" s="45">
        <f>'1A'!I3</f>
        <v>11</v>
      </c>
    </row>
    <row r="14" spans="1:10" s="3" customFormat="1">
      <c r="A14" s="93" t="s">
        <v>0</v>
      </c>
    </row>
    <row r="15" spans="1:10" s="103" customFormat="1">
      <c r="A15" s="103" t="s">
        <v>1</v>
      </c>
      <c r="B15" s="4" t="s">
        <v>4</v>
      </c>
      <c r="C15" s="43">
        <f>20+0.5*J4</f>
        <v>25.5</v>
      </c>
      <c r="D15" s="103" t="s">
        <v>5</v>
      </c>
      <c r="F15" s="103" t="s">
        <v>172</v>
      </c>
      <c r="G15" s="103" t="s">
        <v>4</v>
      </c>
      <c r="H15" s="103">
        <f>C17/2</f>
        <v>2.7</v>
      </c>
    </row>
    <row r="16" spans="1:10" s="103" customFormat="1">
      <c r="A16" s="103" t="s">
        <v>2</v>
      </c>
      <c r="B16" s="4" t="s">
        <v>4</v>
      </c>
      <c r="C16" s="43">
        <f>20+J4</f>
        <v>31</v>
      </c>
      <c r="D16" s="103" t="s">
        <v>13</v>
      </c>
      <c r="F16" s="103" t="s">
        <v>173</v>
      </c>
      <c r="G16" s="103" t="s">
        <v>4</v>
      </c>
      <c r="H16" s="103">
        <f>H15</f>
        <v>2.7</v>
      </c>
    </row>
    <row r="17" spans="1:11" s="103" customFormat="1">
      <c r="A17" s="103" t="s">
        <v>3</v>
      </c>
      <c r="B17" s="4" t="s">
        <v>4</v>
      </c>
      <c r="C17" s="43">
        <v>5.4</v>
      </c>
      <c r="D17" s="103" t="s">
        <v>6</v>
      </c>
    </row>
    <row r="18" spans="1:11" s="103" customFormat="1">
      <c r="A18" s="103" t="s">
        <v>175</v>
      </c>
      <c r="B18" s="103" t="s">
        <v>4</v>
      </c>
      <c r="C18" s="43">
        <f>C17/2</f>
        <v>2.7</v>
      </c>
      <c r="D18" s="103" t="s">
        <v>6</v>
      </c>
    </row>
    <row r="19" spans="1:11" s="103" customFormat="1">
      <c r="A19" s="103" t="s">
        <v>174</v>
      </c>
      <c r="B19" s="103" t="s">
        <v>4</v>
      </c>
      <c r="C19" s="43">
        <f>0.3*C17</f>
        <v>1.62</v>
      </c>
      <c r="D19" s="103" t="s">
        <v>6</v>
      </c>
    </row>
    <row r="20" spans="1:11" s="3" customFormat="1">
      <c r="A20" s="93" t="s">
        <v>15</v>
      </c>
    </row>
    <row r="21" spans="1:11" s="103" customFormat="1">
      <c r="A21" s="103" t="s">
        <v>8</v>
      </c>
      <c r="B21" s="103" t="s">
        <v>4</v>
      </c>
      <c r="C21" s="5">
        <f>C16</f>
        <v>31</v>
      </c>
      <c r="D21" s="103" t="s">
        <v>13</v>
      </c>
    </row>
    <row r="22" spans="1:11" s="103" customFormat="1">
      <c r="A22" s="103" t="s">
        <v>9</v>
      </c>
      <c r="B22" s="103" t="s">
        <v>4</v>
      </c>
      <c r="C22" s="5">
        <f>C16</f>
        <v>31</v>
      </c>
      <c r="D22" s="103" t="s">
        <v>13</v>
      </c>
    </row>
    <row r="23" spans="1:11" s="103" customFormat="1">
      <c r="A23" s="103" t="s">
        <v>11</v>
      </c>
      <c r="B23" s="103" t="s">
        <v>4</v>
      </c>
      <c r="D23" s="103" t="s">
        <v>1</v>
      </c>
      <c r="E23" s="103" t="s">
        <v>4</v>
      </c>
      <c r="F23" s="7">
        <f>C15</f>
        <v>25.5</v>
      </c>
      <c r="G23" s="103" t="s">
        <v>5</v>
      </c>
    </row>
    <row r="24" spans="1:11" s="103" customFormat="1">
      <c r="A24" s="103" t="s">
        <v>12</v>
      </c>
      <c r="B24" s="103" t="s">
        <v>4</v>
      </c>
      <c r="C24" s="103">
        <v>1.4</v>
      </c>
      <c r="D24" s="103" t="s">
        <v>1</v>
      </c>
      <c r="E24" s="103" t="s">
        <v>4</v>
      </c>
      <c r="F24" s="5">
        <f>C15*1.4</f>
        <v>35.699999999999996</v>
      </c>
      <c r="G24" s="103" t="s">
        <v>5</v>
      </c>
    </row>
    <row r="25" spans="1:11" s="103" customFormat="1">
      <c r="A25" s="103" t="s">
        <v>14</v>
      </c>
      <c r="B25" s="103" t="s">
        <v>4</v>
      </c>
      <c r="C25" s="103">
        <v>1.4</v>
      </c>
      <c r="D25" s="103" t="s">
        <v>1</v>
      </c>
      <c r="E25" s="103" t="s">
        <v>4</v>
      </c>
      <c r="F25" s="5">
        <f>F24</f>
        <v>35.699999999999996</v>
      </c>
      <c r="G25" s="103" t="str">
        <f>G24</f>
        <v>kN/m</v>
      </c>
    </row>
    <row r="26" spans="1:11" s="3" customFormat="1" ht="15.75" thickBot="1">
      <c r="A26" s="93" t="s">
        <v>16</v>
      </c>
      <c r="K26" s="109"/>
    </row>
    <row r="27" spans="1:11" s="103" customFormat="1" ht="15.75" thickBot="1">
      <c r="A27" s="103" t="s">
        <v>17</v>
      </c>
      <c r="B27" s="103" t="s">
        <v>4</v>
      </c>
      <c r="C27" s="103">
        <v>200000</v>
      </c>
      <c r="D27" s="103" t="s">
        <v>19</v>
      </c>
      <c r="F27" s="52" t="s">
        <v>18</v>
      </c>
      <c r="G27" s="53" t="s">
        <v>4</v>
      </c>
      <c r="H27" s="53" t="s">
        <v>169</v>
      </c>
      <c r="I27" s="54" t="s">
        <v>84</v>
      </c>
      <c r="K27" s="217" t="s">
        <v>170</v>
      </c>
    </row>
    <row r="28" spans="1:11" s="103" customFormat="1">
      <c r="B28" s="103" t="s">
        <v>4</v>
      </c>
      <c r="C28" s="8">
        <f>C27*10^3</f>
        <v>200000000</v>
      </c>
      <c r="D28" s="103" t="s">
        <v>20</v>
      </c>
      <c r="F28" s="105" t="s">
        <v>21</v>
      </c>
      <c r="G28" s="106" t="s">
        <v>4</v>
      </c>
      <c r="H28" s="106">
        <v>1869</v>
      </c>
      <c r="I28" s="47" t="s">
        <v>23</v>
      </c>
      <c r="K28" s="218"/>
    </row>
    <row r="29" spans="1:11" s="103" customFormat="1" ht="15.75" thickBot="1">
      <c r="F29" s="48"/>
      <c r="G29" s="49" t="s">
        <v>4</v>
      </c>
      <c r="H29" s="50">
        <f>H28*(10^-2)^4</f>
        <v>1.8689999999999999E-5</v>
      </c>
      <c r="I29" s="51" t="s">
        <v>22</v>
      </c>
      <c r="K29" s="219"/>
    </row>
    <row r="30" spans="1:11" s="103" customFormat="1"/>
    <row r="31" spans="1:11" s="103" customFormat="1"/>
    <row r="32" spans="1:11" s="103" customFormat="1"/>
    <row r="33" spans="1:14" s="103" customFormat="1"/>
    <row r="34" spans="1:14" s="95" customFormat="1">
      <c r="A34" s="94" t="s">
        <v>24</v>
      </c>
      <c r="C34" s="94" t="s">
        <v>25</v>
      </c>
    </row>
    <row r="35" spans="1:14" s="87" customFormat="1">
      <c r="A35" s="88" t="s">
        <v>156</v>
      </c>
      <c r="B35" s="86"/>
      <c r="C35" s="85"/>
      <c r="D35" s="86"/>
      <c r="E35" s="86"/>
    </row>
    <row r="36" spans="1:14" s="87" customFormat="1">
      <c r="A36" s="85"/>
      <c r="B36" s="86"/>
      <c r="C36" s="85"/>
      <c r="D36" s="86"/>
      <c r="E36" s="86"/>
    </row>
    <row r="37" spans="1:14" s="103" customFormat="1">
      <c r="A37" s="60" t="s">
        <v>37</v>
      </c>
      <c r="D37" s="110" t="s">
        <v>179</v>
      </c>
      <c r="F37" s="110" t="s">
        <v>36</v>
      </c>
      <c r="I37" s="110" t="s">
        <v>34</v>
      </c>
    </row>
    <row r="38" spans="1:14" s="103" customFormat="1"/>
    <row r="39" spans="1:14" s="103" customFormat="1"/>
    <row r="40" spans="1:14" s="103" customFormat="1">
      <c r="A40" s="60"/>
      <c r="B40" s="55" t="s">
        <v>30</v>
      </c>
      <c r="D40" s="60" t="s">
        <v>31</v>
      </c>
      <c r="F40" s="60" t="s">
        <v>32</v>
      </c>
      <c r="I40" s="60" t="s">
        <v>32</v>
      </c>
    </row>
    <row r="41" spans="1:14" s="103" customFormat="1">
      <c r="K41" s="16"/>
      <c r="L41" s="83"/>
      <c r="M41" s="83"/>
      <c r="N41" s="83"/>
    </row>
    <row r="42" spans="1:14" s="103" customFormat="1">
      <c r="A42" s="103" t="s">
        <v>26</v>
      </c>
      <c r="B42" s="199" t="s">
        <v>153</v>
      </c>
      <c r="C42" s="199"/>
      <c r="D42" s="103" t="s">
        <v>176</v>
      </c>
      <c r="E42" s="103" t="s">
        <v>154</v>
      </c>
      <c r="F42" s="103" t="s">
        <v>27</v>
      </c>
      <c r="G42" s="199" t="s">
        <v>155</v>
      </c>
      <c r="H42" s="199"/>
      <c r="I42" s="103" t="s">
        <v>28</v>
      </c>
      <c r="K42" s="16"/>
      <c r="L42" s="84"/>
      <c r="M42" s="84"/>
      <c r="N42" s="84"/>
    </row>
    <row r="43" spans="1:14" s="103" customFormat="1">
      <c r="K43" s="16"/>
      <c r="L43" s="16"/>
      <c r="M43" s="16"/>
      <c r="N43" s="16"/>
    </row>
    <row r="44" spans="1:14" s="103" customFormat="1">
      <c r="D44" s="110" t="s">
        <v>179</v>
      </c>
      <c r="K44" s="16"/>
      <c r="L44" s="16"/>
      <c r="M44" s="16"/>
      <c r="N44" s="16"/>
    </row>
    <row r="45" spans="1:14" s="103" customFormat="1">
      <c r="A45" s="88" t="s">
        <v>157</v>
      </c>
      <c r="K45" s="16"/>
      <c r="L45" s="16"/>
      <c r="M45" s="16"/>
      <c r="N45" s="16"/>
    </row>
    <row r="46" spans="1:14" s="103" customFormat="1"/>
    <row r="47" spans="1:14" s="103" customFormat="1"/>
    <row r="48" spans="1:14" s="103" customFormat="1">
      <c r="A48" s="60"/>
      <c r="B48" s="55"/>
      <c r="C48" s="55" t="s">
        <v>205</v>
      </c>
      <c r="D48" s="110" t="s">
        <v>206</v>
      </c>
      <c r="F48" s="60" t="s">
        <v>31</v>
      </c>
      <c r="I48" s="60" t="s">
        <v>32</v>
      </c>
    </row>
    <row r="49" spans="1:9" s="103" customFormat="1">
      <c r="I49" s="60"/>
    </row>
    <row r="50" spans="1:9" s="103" customFormat="1">
      <c r="A50" s="103" t="s">
        <v>26</v>
      </c>
      <c r="B50" s="199" t="s">
        <v>153</v>
      </c>
      <c r="C50" s="199"/>
      <c r="D50" s="103" t="s">
        <v>176</v>
      </c>
      <c r="E50" s="103" t="s">
        <v>154</v>
      </c>
      <c r="F50" s="103" t="s">
        <v>27</v>
      </c>
      <c r="G50" s="199" t="s">
        <v>155</v>
      </c>
      <c r="H50" s="199"/>
      <c r="I50" s="103" t="s">
        <v>28</v>
      </c>
    </row>
    <row r="51" spans="1:9" s="103" customFormat="1"/>
    <row r="52" spans="1:9" s="95" customFormat="1">
      <c r="A52" s="94" t="s">
        <v>38</v>
      </c>
      <c r="B52" s="97"/>
      <c r="C52" s="94" t="s">
        <v>39</v>
      </c>
    </row>
    <row r="53" spans="1:9" s="103" customFormat="1"/>
    <row r="54" spans="1:9" s="103" customFormat="1">
      <c r="A54" s="220" t="s">
        <v>40</v>
      </c>
      <c r="B54" s="220"/>
    </row>
    <row r="55" spans="1:9">
      <c r="A55" s="103"/>
      <c r="B55" s="103"/>
      <c r="C55" s="103"/>
      <c r="D55" s="103"/>
      <c r="E55" s="103"/>
      <c r="F55" s="214" t="s">
        <v>83</v>
      </c>
      <c r="G55" s="214"/>
      <c r="H55" s="214"/>
      <c r="I55" s="214"/>
    </row>
    <row r="56" spans="1:9">
      <c r="A56" s="103" t="s">
        <v>17</v>
      </c>
      <c r="B56" s="8">
        <f>C28</f>
        <v>200000000</v>
      </c>
      <c r="C56" s="103" t="str">
        <f>D28</f>
        <v>kN/m^2</v>
      </c>
      <c r="D56" s="103"/>
      <c r="E56" s="103"/>
      <c r="F56" s="100" t="s">
        <v>42</v>
      </c>
      <c r="G56" s="100" t="s">
        <v>43</v>
      </c>
      <c r="H56" s="11" t="s">
        <v>44</v>
      </c>
      <c r="I56" s="100" t="s">
        <v>43</v>
      </c>
    </row>
    <row r="57" spans="1:9">
      <c r="A57" s="103" t="s">
        <v>21</v>
      </c>
      <c r="B57" s="8">
        <f>H29</f>
        <v>1.8689999999999999E-5</v>
      </c>
      <c r="C57" s="103" t="str">
        <f>I29</f>
        <v>m^4</v>
      </c>
      <c r="D57" s="103"/>
      <c r="E57" s="103"/>
      <c r="F57" s="100" t="s">
        <v>43</v>
      </c>
      <c r="G57" s="100" t="s">
        <v>45</v>
      </c>
      <c r="H57" s="11" t="s">
        <v>46</v>
      </c>
      <c r="I57" s="100" t="s">
        <v>47</v>
      </c>
    </row>
    <row r="58" spans="1:9">
      <c r="A58" s="103" t="s">
        <v>3</v>
      </c>
      <c r="B58" s="103">
        <f>'1B'!C17</f>
        <v>5.4</v>
      </c>
      <c r="C58" s="103" t="str">
        <f>D16</f>
        <v>kN</v>
      </c>
      <c r="D58" s="103"/>
      <c r="E58" s="103"/>
      <c r="F58" s="11" t="s">
        <v>44</v>
      </c>
      <c r="G58" s="11" t="s">
        <v>46</v>
      </c>
      <c r="H58" s="100" t="s">
        <v>42</v>
      </c>
      <c r="I58" s="11" t="s">
        <v>46</v>
      </c>
    </row>
    <row r="59" spans="1:9">
      <c r="A59" s="103" t="s">
        <v>41</v>
      </c>
      <c r="B59" s="8">
        <f>B56*B57</f>
        <v>3738</v>
      </c>
      <c r="C59" s="103" t="s">
        <v>177</v>
      </c>
      <c r="D59" s="103"/>
      <c r="E59" s="103"/>
      <c r="F59" s="100" t="s">
        <v>43</v>
      </c>
      <c r="G59" s="100" t="s">
        <v>47</v>
      </c>
      <c r="H59" s="11" t="s">
        <v>46</v>
      </c>
      <c r="I59" s="100" t="s">
        <v>45</v>
      </c>
    </row>
    <row r="60" spans="1:9">
      <c r="A60" s="103"/>
      <c r="B60" s="103"/>
      <c r="C60" s="103"/>
      <c r="D60" s="103"/>
      <c r="E60" s="103"/>
      <c r="F60" s="103"/>
      <c r="G60" s="103"/>
      <c r="H60" s="103"/>
      <c r="I60" s="103"/>
    </row>
    <row r="61" spans="1:9">
      <c r="A61" s="9" t="s">
        <v>37</v>
      </c>
      <c r="B61" s="9" t="s">
        <v>30</v>
      </c>
      <c r="C61" s="9" t="s">
        <v>179</v>
      </c>
      <c r="D61" s="9" t="s">
        <v>180</v>
      </c>
      <c r="E61" s="103"/>
      <c r="F61" s="103"/>
      <c r="G61" s="103"/>
      <c r="H61" s="103"/>
      <c r="I61" s="103"/>
    </row>
    <row r="62" spans="1:9">
      <c r="A62" s="98">
        <f>(12*$B$56*$B$57)/($B$58^3)</f>
        <v>284.86511202560581</v>
      </c>
      <c r="B62" s="98">
        <f>(6*$B$56*$B$57)/($B$58^2)</f>
        <v>769.13580246913568</v>
      </c>
      <c r="C62" s="98">
        <f>(-12*$B$56*$B$57)/($B$58^3)</f>
        <v>-284.86511202560581</v>
      </c>
      <c r="D62" s="98">
        <f>(6*$B$56*$B$57)/($B$58^2)</f>
        <v>769.13580246913568</v>
      </c>
      <c r="E62" s="9" t="s">
        <v>37</v>
      </c>
      <c r="F62" s="103"/>
      <c r="G62" s="103"/>
      <c r="H62" s="103"/>
      <c r="I62" s="103"/>
    </row>
    <row r="63" spans="1:9">
      <c r="A63" s="98">
        <f>(6*$B$56*$B$57)/($B$58^2)</f>
        <v>769.13580246913568</v>
      </c>
      <c r="B63" s="98">
        <f>(4*$B$56*$B$57)/($B$58^1)</f>
        <v>2768.8888888888887</v>
      </c>
      <c r="C63" s="98">
        <f>(-6*$B$56*$B$57)/($B$58^2)</f>
        <v>-769.13580246913568</v>
      </c>
      <c r="D63" s="98">
        <f>(2*$B$56*$B$57)/($B$58^1)</f>
        <v>1384.4444444444443</v>
      </c>
      <c r="E63" s="9" t="s">
        <v>30</v>
      </c>
      <c r="F63" s="103"/>
      <c r="G63" s="103"/>
      <c r="H63" s="103"/>
      <c r="I63" s="103"/>
    </row>
    <row r="64" spans="1:9">
      <c r="A64" s="98">
        <f>(-12*$B$56*$B$57)/($B$58^3)</f>
        <v>-284.86511202560581</v>
      </c>
      <c r="B64" s="98">
        <f>(-6*$B$56*$B$57)/($B$58^2)</f>
        <v>-769.13580246913568</v>
      </c>
      <c r="C64" s="98">
        <f>(12*$B$56*$B$57)/($B$58^3)</f>
        <v>284.86511202560581</v>
      </c>
      <c r="D64" s="98">
        <f>(-6*$B$56*$B$57)/($B$58^2)</f>
        <v>-769.13580246913568</v>
      </c>
      <c r="E64" s="9" t="s">
        <v>179</v>
      </c>
      <c r="F64" s="103"/>
      <c r="G64" s="103"/>
      <c r="H64" s="103"/>
      <c r="I64" s="103"/>
    </row>
    <row r="65" spans="1:9">
      <c r="A65" s="98">
        <f>(6*$B$56*$B$57)/($B$58^2)</f>
        <v>769.13580246913568</v>
      </c>
      <c r="B65" s="98">
        <f>(2*$B$56*$B$57)/($B$58^1)</f>
        <v>1384.4444444444443</v>
      </c>
      <c r="C65" s="98">
        <f>(-6*$B$56*$B$57)/($B$58^2)</f>
        <v>-769.13580246913568</v>
      </c>
      <c r="D65" s="99">
        <f>(4*$B$56*$B$57)/($B$58^1)</f>
        <v>2768.8888888888887</v>
      </c>
      <c r="E65" s="9" t="s">
        <v>180</v>
      </c>
      <c r="F65" s="103"/>
      <c r="G65" s="103"/>
      <c r="H65" s="103"/>
      <c r="I65" s="103"/>
    </row>
    <row r="67" spans="1:9">
      <c r="A67" s="220" t="s">
        <v>48</v>
      </c>
      <c r="B67" s="220"/>
      <c r="C67" s="103"/>
      <c r="D67" s="103"/>
      <c r="E67" s="103"/>
      <c r="F67" s="103"/>
      <c r="G67" s="103"/>
      <c r="H67" s="103"/>
      <c r="I67" s="103"/>
    </row>
    <row r="68" spans="1:9">
      <c r="A68" s="103"/>
      <c r="B68" s="103"/>
      <c r="C68" s="103"/>
      <c r="D68" s="103"/>
      <c r="E68" s="103"/>
      <c r="F68" s="214" t="s">
        <v>83</v>
      </c>
      <c r="G68" s="214"/>
      <c r="H68" s="214"/>
      <c r="I68" s="214"/>
    </row>
    <row r="69" spans="1:9">
      <c r="A69" s="103" t="s">
        <v>17</v>
      </c>
      <c r="B69" s="8">
        <f>C28</f>
        <v>200000000</v>
      </c>
      <c r="C69" s="103" t="str">
        <f>C56</f>
        <v>kN/m^2</v>
      </c>
      <c r="D69" s="103"/>
      <c r="E69" s="103"/>
      <c r="F69" s="100" t="s">
        <v>42</v>
      </c>
      <c r="G69" s="100" t="s">
        <v>43</v>
      </c>
      <c r="H69" s="11" t="s">
        <v>44</v>
      </c>
      <c r="I69" s="100" t="s">
        <v>43</v>
      </c>
    </row>
    <row r="70" spans="1:9">
      <c r="A70" s="103" t="s">
        <v>21</v>
      </c>
      <c r="B70" s="8">
        <f>H29</f>
        <v>1.8689999999999999E-5</v>
      </c>
      <c r="C70" s="103" t="str">
        <f t="shared" ref="C70:C72" si="0">C57</f>
        <v>m^4</v>
      </c>
      <c r="D70" s="103"/>
      <c r="E70" s="103"/>
      <c r="F70" s="100" t="s">
        <v>43</v>
      </c>
      <c r="G70" s="100" t="s">
        <v>45</v>
      </c>
      <c r="H70" s="11" t="s">
        <v>46</v>
      </c>
      <c r="I70" s="100" t="s">
        <v>47</v>
      </c>
    </row>
    <row r="71" spans="1:9">
      <c r="A71" s="103" t="s">
        <v>3</v>
      </c>
      <c r="B71" s="103">
        <f>C19</f>
        <v>1.62</v>
      </c>
      <c r="C71" s="103" t="str">
        <f t="shared" si="0"/>
        <v>kN</v>
      </c>
      <c r="D71" s="103"/>
      <c r="E71" s="103"/>
      <c r="F71" s="11" t="s">
        <v>44</v>
      </c>
      <c r="G71" s="11" t="s">
        <v>46</v>
      </c>
      <c r="H71" s="100" t="s">
        <v>42</v>
      </c>
      <c r="I71" s="11" t="s">
        <v>46</v>
      </c>
    </row>
    <row r="72" spans="1:9">
      <c r="A72" s="103" t="s">
        <v>41</v>
      </c>
      <c r="B72" s="8">
        <f>B69*B70</f>
        <v>3738</v>
      </c>
      <c r="C72" s="103" t="str">
        <f t="shared" si="0"/>
        <v>kNm^2</v>
      </c>
      <c r="D72" s="103"/>
      <c r="E72" s="103"/>
      <c r="F72" s="100" t="s">
        <v>43</v>
      </c>
      <c r="G72" s="100" t="s">
        <v>47</v>
      </c>
      <c r="H72" s="11" t="s">
        <v>46</v>
      </c>
      <c r="I72" s="100" t="s">
        <v>45</v>
      </c>
    </row>
    <row r="73" spans="1:9">
      <c r="A73" s="103"/>
      <c r="B73" s="103"/>
      <c r="C73" s="103"/>
      <c r="D73" s="103"/>
      <c r="E73" s="103"/>
      <c r="F73" s="103"/>
      <c r="G73" s="103"/>
      <c r="H73" s="103"/>
      <c r="I73" s="103"/>
    </row>
    <row r="74" spans="1:9">
      <c r="A74" s="9" t="s">
        <v>179</v>
      </c>
      <c r="B74" s="9" t="s">
        <v>180</v>
      </c>
      <c r="C74" s="9" t="s">
        <v>36</v>
      </c>
      <c r="D74" s="9" t="s">
        <v>31</v>
      </c>
      <c r="E74" s="103"/>
      <c r="F74" s="103"/>
      <c r="G74" s="103"/>
      <c r="H74" s="103"/>
      <c r="I74" s="103"/>
    </row>
    <row r="75" spans="1:9">
      <c r="A75" s="98">
        <f>(12*$B$56*$B$57)/($B$71^3)</f>
        <v>10550.559704652065</v>
      </c>
      <c r="B75" s="98">
        <f>(6*$B$56*$B$57)/($B$71^2)</f>
        <v>8545.9533607681733</v>
      </c>
      <c r="C75" s="98">
        <f>(-12*$B$56*$B$57)/($B$71^3)</f>
        <v>-10550.559704652065</v>
      </c>
      <c r="D75" s="98">
        <f>(6*$B$56*$B$57)/($B$71^2)</f>
        <v>8545.9533607681733</v>
      </c>
      <c r="E75" s="9" t="s">
        <v>179</v>
      </c>
      <c r="F75" s="103"/>
      <c r="G75" s="103"/>
      <c r="H75" s="103"/>
      <c r="I75" s="103"/>
    </row>
    <row r="76" spans="1:9">
      <c r="A76" s="98">
        <f>(6*$B$56*$B$57)/($B$71^2)</f>
        <v>8545.9533607681733</v>
      </c>
      <c r="B76" s="99">
        <f>(4*$B$56*$B$57)/($B$71^1)</f>
        <v>9229.6296296296296</v>
      </c>
      <c r="C76" s="98">
        <f>(-6*$B$56*$B$57)/($B$71^2)</f>
        <v>-8545.9533607681733</v>
      </c>
      <c r="D76" s="99">
        <f>(2*$B$56*$B$57)/($B$71^1)</f>
        <v>4614.8148148148148</v>
      </c>
      <c r="E76" s="9" t="s">
        <v>180</v>
      </c>
      <c r="F76" s="103"/>
      <c r="G76" s="103"/>
      <c r="H76" s="103"/>
      <c r="I76" s="103"/>
    </row>
    <row r="77" spans="1:9">
      <c r="A77" s="98">
        <f>(-12*$B$56*$B$57)/($B$71^3)</f>
        <v>-10550.559704652065</v>
      </c>
      <c r="B77" s="98">
        <f>(-6*$B$56*$B$57)/($B$71^2)</f>
        <v>-8545.9533607681733</v>
      </c>
      <c r="C77" s="98">
        <f t="shared" ref="C77" si="1">(12*$B$56*$B$57)/($B$71^3)</f>
        <v>10550.559704652065</v>
      </c>
      <c r="D77" s="98">
        <f>(-6*$B$56*$B$57)/($B$71^2)</f>
        <v>-8545.9533607681733</v>
      </c>
      <c r="E77" s="9" t="s">
        <v>36</v>
      </c>
      <c r="F77" s="103"/>
      <c r="G77" s="103"/>
      <c r="H77" s="103"/>
      <c r="I77" s="103"/>
    </row>
    <row r="78" spans="1:9">
      <c r="A78" s="98">
        <f>(6*$B$56*$B$57)/($B$71^2)</f>
        <v>8545.9533607681733</v>
      </c>
      <c r="B78" s="99">
        <f>(2*$B$56*$B$57)/($B$71^1)</f>
        <v>4614.8148148148148</v>
      </c>
      <c r="C78" s="98">
        <f>(-6*$B$56*$B$57)/($B$71^2)</f>
        <v>-8545.9533607681733</v>
      </c>
      <c r="D78" s="99">
        <f>(4*$B$56*$B$57)/($B$71^1)</f>
        <v>9229.6296296296296</v>
      </c>
      <c r="E78" s="9" t="s">
        <v>31</v>
      </c>
      <c r="F78" s="103"/>
      <c r="G78" s="103"/>
      <c r="H78" s="103"/>
      <c r="I78" s="103"/>
    </row>
    <row r="80" spans="1:9">
      <c r="A80" s="220" t="s">
        <v>49</v>
      </c>
      <c r="B80" s="220"/>
      <c r="C80" s="103"/>
      <c r="D80" s="103"/>
      <c r="E80" s="103"/>
      <c r="F80" s="103"/>
      <c r="G80" s="103"/>
      <c r="H80" s="103"/>
      <c r="I80" s="103"/>
    </row>
    <row r="81" spans="1:9">
      <c r="A81" s="103"/>
      <c r="B81" s="103"/>
      <c r="C81" s="103"/>
      <c r="D81" s="103"/>
      <c r="E81" s="103"/>
      <c r="F81" s="214" t="s">
        <v>83</v>
      </c>
      <c r="G81" s="214"/>
      <c r="H81" s="214"/>
      <c r="I81" s="214"/>
    </row>
    <row r="82" spans="1:9">
      <c r="A82" s="103" t="s">
        <v>17</v>
      </c>
      <c r="B82" s="8">
        <f>C28</f>
        <v>200000000</v>
      </c>
      <c r="C82" s="103" t="str">
        <f>C69</f>
        <v>kN/m^2</v>
      </c>
      <c r="D82" s="103"/>
      <c r="E82" s="103"/>
      <c r="F82" s="100" t="s">
        <v>42</v>
      </c>
      <c r="G82" s="100" t="s">
        <v>43</v>
      </c>
      <c r="H82" s="11" t="s">
        <v>44</v>
      </c>
      <c r="I82" s="100" t="s">
        <v>43</v>
      </c>
    </row>
    <row r="83" spans="1:9">
      <c r="A83" s="103" t="s">
        <v>21</v>
      </c>
      <c r="B83" s="8">
        <f>H29</f>
        <v>1.8689999999999999E-5</v>
      </c>
      <c r="C83" s="103" t="str">
        <f t="shared" ref="C83:C84" si="2">C70</f>
        <v>m^4</v>
      </c>
      <c r="D83" s="103"/>
      <c r="E83" s="103"/>
      <c r="F83" s="100" t="s">
        <v>43</v>
      </c>
      <c r="G83" s="100" t="s">
        <v>45</v>
      </c>
      <c r="H83" s="11" t="s">
        <v>46</v>
      </c>
      <c r="I83" s="100" t="s">
        <v>47</v>
      </c>
    </row>
    <row r="84" spans="1:9">
      <c r="A84" s="103" t="s">
        <v>3</v>
      </c>
      <c r="B84" s="103">
        <f>C17</f>
        <v>5.4</v>
      </c>
      <c r="C84" s="103" t="str">
        <f t="shared" si="2"/>
        <v>kN</v>
      </c>
      <c r="D84" s="103"/>
      <c r="E84" s="103"/>
      <c r="F84" s="11" t="s">
        <v>44</v>
      </c>
      <c r="G84" s="11" t="s">
        <v>46</v>
      </c>
      <c r="H84" s="100" t="s">
        <v>42</v>
      </c>
      <c r="I84" s="11" t="s">
        <v>46</v>
      </c>
    </row>
    <row r="85" spans="1:9">
      <c r="A85" s="103" t="s">
        <v>41</v>
      </c>
      <c r="B85" s="8">
        <f>B82*B83</f>
        <v>3738</v>
      </c>
      <c r="C85" s="103" t="str">
        <f>C72</f>
        <v>kNm^2</v>
      </c>
      <c r="D85" s="103"/>
      <c r="E85" s="103"/>
      <c r="F85" s="100" t="s">
        <v>43</v>
      </c>
      <c r="G85" s="100" t="s">
        <v>47</v>
      </c>
      <c r="H85" s="11" t="s">
        <v>46</v>
      </c>
      <c r="I85" s="100" t="s">
        <v>45</v>
      </c>
    </row>
    <row r="86" spans="1:9">
      <c r="A86" s="103"/>
      <c r="B86" s="103"/>
      <c r="C86" s="103"/>
      <c r="D86" s="103"/>
      <c r="E86" s="103"/>
      <c r="F86" s="103"/>
      <c r="G86" s="103"/>
      <c r="H86" s="103"/>
      <c r="I86" s="103"/>
    </row>
    <row r="87" spans="1:9">
      <c r="A87" s="9" t="s">
        <v>36</v>
      </c>
      <c r="B87" s="9" t="s">
        <v>31</v>
      </c>
      <c r="C87" s="9" t="s">
        <v>34</v>
      </c>
      <c r="D87" s="9" t="s">
        <v>32</v>
      </c>
      <c r="E87" s="103"/>
      <c r="F87" s="103"/>
      <c r="G87" s="103"/>
      <c r="H87" s="103"/>
      <c r="I87" s="103"/>
    </row>
    <row r="88" spans="1:9">
      <c r="A88" s="98">
        <f>(12*$B$56*$B$57)/($B$58^3)</f>
        <v>284.86511202560581</v>
      </c>
      <c r="B88" s="98">
        <f>(6*$B$56*$B$57)/($B$58^2)</f>
        <v>769.13580246913568</v>
      </c>
      <c r="C88" s="98">
        <f>(-12*$B$56*$B$57)/($B$58^3)</f>
        <v>-284.86511202560581</v>
      </c>
      <c r="D88" s="98">
        <f>(6*$B$56*$B$57)/($B$58^2)</f>
        <v>769.13580246913568</v>
      </c>
      <c r="E88" s="9" t="s">
        <v>36</v>
      </c>
      <c r="F88" s="103"/>
      <c r="G88" s="103"/>
      <c r="H88" s="103"/>
      <c r="I88" s="103"/>
    </row>
    <row r="89" spans="1:9">
      <c r="A89" s="98">
        <f>(6*$B$56*$B$57)/($B$58^2)</f>
        <v>769.13580246913568</v>
      </c>
      <c r="B89" s="99">
        <f>(4*$B$56*$B$57)/($B$58^1)</f>
        <v>2768.8888888888887</v>
      </c>
      <c r="C89" s="98">
        <f>(-6*$B$56*$B$57)/($B$58^2)</f>
        <v>-769.13580246913568</v>
      </c>
      <c r="D89" s="99">
        <f>(2*$B$56*$B$57)/($B$58^1)</f>
        <v>1384.4444444444443</v>
      </c>
      <c r="E89" s="9" t="s">
        <v>31</v>
      </c>
      <c r="F89" s="103"/>
      <c r="G89" s="103"/>
      <c r="H89" s="103"/>
      <c r="I89" s="103"/>
    </row>
    <row r="90" spans="1:9">
      <c r="A90" s="98">
        <f>(-12*$B$56*$B$57)/($B$58^3)</f>
        <v>-284.86511202560581</v>
      </c>
      <c r="B90" s="98">
        <f>(-6*$B$56*$B$57)/($B$58^2)</f>
        <v>-769.13580246913568</v>
      </c>
      <c r="C90" s="98">
        <f>(12*$B$56*$B$57)/($B$58^3)</f>
        <v>284.86511202560581</v>
      </c>
      <c r="D90" s="98">
        <f>(-6*$B$56*$B$57)/($B$58^2)</f>
        <v>-769.13580246913568</v>
      </c>
      <c r="E90" s="9" t="s">
        <v>34</v>
      </c>
      <c r="F90" s="103"/>
      <c r="G90" s="103"/>
      <c r="H90" s="103"/>
      <c r="I90" s="103"/>
    </row>
    <row r="91" spans="1:9">
      <c r="A91" s="98">
        <f>(6*$B$56*$B$57)/($B$58^2)</f>
        <v>769.13580246913568</v>
      </c>
      <c r="B91" s="99">
        <f>(2*$B$56*$B$57)/($B$58^1)</f>
        <v>1384.4444444444443</v>
      </c>
      <c r="C91" s="98">
        <f>(-6*$B$56*$B$57)/($B$58^2)</f>
        <v>-769.13580246913568</v>
      </c>
      <c r="D91" s="99">
        <f>(4*$B$56*$B$57)/($B$58^1)</f>
        <v>2768.8888888888887</v>
      </c>
      <c r="E91" s="9" t="s">
        <v>32</v>
      </c>
      <c r="F91" s="103"/>
      <c r="G91" s="103"/>
      <c r="H91" s="103"/>
      <c r="I91" s="103"/>
    </row>
    <row r="100" spans="1:8" s="95" customFormat="1">
      <c r="A100" s="94" t="s">
        <v>50</v>
      </c>
      <c r="D100" s="96" t="s">
        <v>51</v>
      </c>
    </row>
    <row r="101" spans="1:8" s="103" customFormat="1"/>
    <row r="102" spans="1:8" s="103" customFormat="1">
      <c r="A102" s="9" t="s">
        <v>52</v>
      </c>
      <c r="H102" s="9"/>
    </row>
    <row r="103" spans="1:8" s="103" customFormat="1">
      <c r="C103" s="9" t="s">
        <v>180</v>
      </c>
      <c r="D103" s="9" t="s">
        <v>31</v>
      </c>
      <c r="E103" s="9" t="s">
        <v>32</v>
      </c>
      <c r="F103" s="83"/>
    </row>
    <row r="104" spans="1:8" s="103" customFormat="1">
      <c r="A104" s="103" t="s">
        <v>158</v>
      </c>
      <c r="B104" s="103" t="s">
        <v>4</v>
      </c>
      <c r="C104" s="12">
        <f>D65</f>
        <v>2768.8888888888887</v>
      </c>
      <c r="D104" s="12">
        <v>0</v>
      </c>
      <c r="E104" s="12">
        <v>0</v>
      </c>
      <c r="F104" s="9" t="s">
        <v>180</v>
      </c>
    </row>
    <row r="105" spans="1:8" s="103" customFormat="1">
      <c r="C105" s="12">
        <v>0</v>
      </c>
      <c r="D105" s="12">
        <v>0</v>
      </c>
      <c r="E105" s="12">
        <v>0</v>
      </c>
      <c r="F105" s="9" t="s">
        <v>31</v>
      </c>
    </row>
    <row r="106" spans="1:8" s="103" customFormat="1">
      <c r="C106" s="12">
        <v>0</v>
      </c>
      <c r="D106" s="12">
        <v>0</v>
      </c>
      <c r="E106" s="12">
        <v>0</v>
      </c>
      <c r="F106" s="9" t="s">
        <v>32</v>
      </c>
    </row>
    <row r="107" spans="1:8" s="103" customFormat="1"/>
    <row r="108" spans="1:8" s="103" customFormat="1">
      <c r="A108" s="9" t="s">
        <v>53</v>
      </c>
    </row>
    <row r="109" spans="1:8" s="103" customFormat="1">
      <c r="C109" s="9" t="s">
        <v>180</v>
      </c>
      <c r="D109" s="9" t="s">
        <v>31</v>
      </c>
      <c r="E109" s="9" t="s">
        <v>32</v>
      </c>
      <c r="F109" s="83"/>
      <c r="G109" s="16"/>
    </row>
    <row r="110" spans="1:8" s="103" customFormat="1">
      <c r="A110" s="103" t="s">
        <v>159</v>
      </c>
      <c r="B110" s="103" t="s">
        <v>4</v>
      </c>
      <c r="C110" s="12">
        <f>B76</f>
        <v>9229.6296296296296</v>
      </c>
      <c r="D110" s="12">
        <f>D76</f>
        <v>4614.8148148148148</v>
      </c>
      <c r="E110" s="12">
        <v>0</v>
      </c>
      <c r="F110" s="9" t="s">
        <v>180</v>
      </c>
      <c r="G110" s="83"/>
    </row>
    <row r="111" spans="1:8" s="103" customFormat="1">
      <c r="C111" s="12">
        <f>B78</f>
        <v>4614.8148148148148</v>
      </c>
      <c r="D111" s="12">
        <f>D78</f>
        <v>9229.6296296296296</v>
      </c>
      <c r="E111" s="12">
        <v>0</v>
      </c>
      <c r="F111" s="9" t="s">
        <v>31</v>
      </c>
      <c r="G111" s="83"/>
    </row>
    <row r="112" spans="1:8" s="103" customFormat="1">
      <c r="C112" s="12">
        <v>0</v>
      </c>
      <c r="D112" s="12">
        <v>0</v>
      </c>
      <c r="E112" s="12">
        <v>0</v>
      </c>
      <c r="F112" s="9" t="s">
        <v>32</v>
      </c>
      <c r="G112" s="83"/>
    </row>
    <row r="113" spans="1:7" s="103" customFormat="1">
      <c r="C113" s="83"/>
      <c r="D113" s="112"/>
      <c r="E113" s="112"/>
      <c r="F113" s="83"/>
      <c r="G113" s="83"/>
    </row>
    <row r="114" spans="1:7" s="103" customFormat="1"/>
    <row r="115" spans="1:7" s="103" customFormat="1">
      <c r="A115" s="9" t="s">
        <v>54</v>
      </c>
    </row>
    <row r="116" spans="1:7" s="103" customFormat="1">
      <c r="C116" s="9" t="s">
        <v>180</v>
      </c>
      <c r="D116" s="9" t="s">
        <v>31</v>
      </c>
      <c r="E116" s="9" t="s">
        <v>32</v>
      </c>
    </row>
    <row r="117" spans="1:7" s="103" customFormat="1">
      <c r="A117" s="103" t="s">
        <v>160</v>
      </c>
      <c r="B117" s="103" t="s">
        <v>4</v>
      </c>
      <c r="C117" s="12">
        <v>0</v>
      </c>
      <c r="D117" s="12">
        <v>0</v>
      </c>
      <c r="E117" s="12">
        <v>0</v>
      </c>
      <c r="F117" s="9" t="s">
        <v>180</v>
      </c>
      <c r="G117" s="83"/>
    </row>
    <row r="118" spans="1:7" s="103" customFormat="1">
      <c r="C118" s="12">
        <v>0</v>
      </c>
      <c r="D118" s="12">
        <f>B89</f>
        <v>2768.8888888888887</v>
      </c>
      <c r="E118" s="12">
        <f>D89</f>
        <v>1384.4444444444443</v>
      </c>
      <c r="F118" s="9" t="s">
        <v>31</v>
      </c>
      <c r="G118" s="83"/>
    </row>
    <row r="119" spans="1:7" s="103" customFormat="1">
      <c r="C119" s="12">
        <v>0</v>
      </c>
      <c r="D119" s="12">
        <f>B91</f>
        <v>1384.4444444444443</v>
      </c>
      <c r="E119" s="12">
        <f>D91</f>
        <v>2768.8888888888887</v>
      </c>
      <c r="F119" s="9" t="s">
        <v>32</v>
      </c>
      <c r="G119" s="83"/>
    </row>
    <row r="120" spans="1:7" s="103" customFormat="1">
      <c r="C120" s="83"/>
      <c r="D120" s="112"/>
      <c r="E120" s="112"/>
      <c r="F120" s="112"/>
      <c r="G120" s="83"/>
    </row>
    <row r="121" spans="1:7" s="103" customFormat="1"/>
    <row r="122" spans="1:7" s="103" customFormat="1">
      <c r="A122" s="38" t="s">
        <v>55</v>
      </c>
    </row>
    <row r="123" spans="1:7" s="103" customFormat="1">
      <c r="C123" s="9" t="s">
        <v>180</v>
      </c>
      <c r="D123" s="9" t="s">
        <v>31</v>
      </c>
      <c r="E123" s="9" t="s">
        <v>32</v>
      </c>
      <c r="F123" s="9"/>
    </row>
    <row r="124" spans="1:7" s="103" customFormat="1">
      <c r="A124" s="103" t="s">
        <v>161</v>
      </c>
      <c r="B124" s="103" t="s">
        <v>4</v>
      </c>
      <c r="C124" s="12">
        <f t="shared" ref="C124:E126" si="3">C104+C110+C117</f>
        <v>11998.518518518518</v>
      </c>
      <c r="D124" s="12">
        <f t="shared" si="3"/>
        <v>4614.8148148148148</v>
      </c>
      <c r="E124" s="12">
        <f t="shared" si="3"/>
        <v>0</v>
      </c>
      <c r="F124" s="9" t="s">
        <v>180</v>
      </c>
    </row>
    <row r="125" spans="1:7" s="103" customFormat="1">
      <c r="C125" s="12">
        <f t="shared" si="3"/>
        <v>4614.8148148148148</v>
      </c>
      <c r="D125" s="12">
        <f t="shared" si="3"/>
        <v>11998.518518518518</v>
      </c>
      <c r="E125" s="12">
        <f t="shared" si="3"/>
        <v>1384.4444444444443</v>
      </c>
      <c r="F125" s="9" t="s">
        <v>31</v>
      </c>
    </row>
    <row r="126" spans="1:7" s="103" customFormat="1">
      <c r="C126" s="12">
        <f t="shared" si="3"/>
        <v>0</v>
      </c>
      <c r="D126" s="12">
        <f t="shared" si="3"/>
        <v>1384.4444444444443</v>
      </c>
      <c r="E126" s="12">
        <f t="shared" si="3"/>
        <v>2768.8888888888887</v>
      </c>
      <c r="F126" s="9" t="s">
        <v>32</v>
      </c>
    </row>
    <row r="133" spans="1:12" s="95" customFormat="1">
      <c r="A133" s="94" t="s">
        <v>56</v>
      </c>
      <c r="D133" s="96" t="s">
        <v>57</v>
      </c>
    </row>
    <row r="134" spans="1:12" s="103" customFormat="1">
      <c r="A134" s="9" t="s">
        <v>52</v>
      </c>
      <c r="B134" s="63" t="s">
        <v>85</v>
      </c>
    </row>
    <row r="135" spans="1:12" s="103" customFormat="1">
      <c r="A135" s="55"/>
    </row>
    <row r="136" spans="1:12" s="103" customFormat="1">
      <c r="B136" s="9"/>
      <c r="C136" s="9"/>
    </row>
    <row r="137" spans="1:12" s="103" customFormat="1">
      <c r="A137" s="199" t="s">
        <v>58</v>
      </c>
      <c r="B137" s="213" t="s">
        <v>4</v>
      </c>
      <c r="C137" s="14">
        <f>-0.5*C15*C17</f>
        <v>-68.850000000000009</v>
      </c>
      <c r="D137" s="103" t="s">
        <v>37</v>
      </c>
    </row>
    <row r="138" spans="1:12" s="103" customFormat="1">
      <c r="A138" s="199"/>
      <c r="B138" s="213"/>
      <c r="C138" s="113">
        <f>-1/12*F23*C17^2</f>
        <v>-61.965000000000011</v>
      </c>
      <c r="D138" s="114" t="s">
        <v>30</v>
      </c>
    </row>
    <row r="139" spans="1:12" s="103" customFormat="1">
      <c r="A139" s="199"/>
      <c r="B139" s="213"/>
      <c r="C139" s="14">
        <f>-0.5*C15*C17</f>
        <v>-68.850000000000009</v>
      </c>
      <c r="D139" s="103" t="s">
        <v>179</v>
      </c>
    </row>
    <row r="140" spans="1:12" s="103" customFormat="1">
      <c r="A140" s="199"/>
      <c r="B140" s="213"/>
      <c r="C140" s="113">
        <f>1/12*F23*C17^2</f>
        <v>61.965000000000011</v>
      </c>
      <c r="D140" s="114" t="s">
        <v>180</v>
      </c>
    </row>
    <row r="141" spans="1:12" s="103" customFormat="1">
      <c r="C141" s="56"/>
      <c r="G141" s="106"/>
      <c r="L141" s="56"/>
    </row>
    <row r="142" spans="1:12" s="103" customFormat="1">
      <c r="A142" s="9" t="s">
        <v>53</v>
      </c>
      <c r="B142" s="55" t="s">
        <v>86</v>
      </c>
    </row>
    <row r="143" spans="1:12" s="103" customFormat="1">
      <c r="A143" s="199" t="s">
        <v>59</v>
      </c>
      <c r="B143" s="213" t="s">
        <v>4</v>
      </c>
      <c r="C143" s="14">
        <f>-0.5*F24*C19</f>
        <v>-28.916999999999998</v>
      </c>
      <c r="D143" s="103" t="s">
        <v>179</v>
      </c>
      <c r="G143" s="100"/>
      <c r="H143" s="16"/>
    </row>
    <row r="144" spans="1:12" s="103" customFormat="1">
      <c r="A144" s="199"/>
      <c r="B144" s="213"/>
      <c r="C144" s="115">
        <f>-1/12*F24*C19^2</f>
        <v>-7.8075900000000003</v>
      </c>
      <c r="D144" s="114" t="s">
        <v>180</v>
      </c>
    </row>
    <row r="145" spans="1:9" s="103" customFormat="1">
      <c r="A145" s="199"/>
      <c r="B145" s="213"/>
      <c r="C145" s="14">
        <f>-0.5*F24*C19</f>
        <v>-28.916999999999998</v>
      </c>
      <c r="D145" s="103" t="s">
        <v>36</v>
      </c>
    </row>
    <row r="146" spans="1:9" s="103" customFormat="1">
      <c r="A146" s="199"/>
      <c r="B146" s="213"/>
      <c r="C146" s="115">
        <f>1/12*F24*C19^2</f>
        <v>7.8075900000000003</v>
      </c>
      <c r="D146" s="114" t="s">
        <v>31</v>
      </c>
    </row>
    <row r="147" spans="1:9" s="103" customFormat="1">
      <c r="C147" s="56"/>
    </row>
    <row r="148" spans="1:9" s="103" customFormat="1">
      <c r="A148" s="9" t="s">
        <v>54</v>
      </c>
      <c r="B148" s="55" t="s">
        <v>85</v>
      </c>
    </row>
    <row r="149" spans="1:9" s="103" customFormat="1">
      <c r="A149" s="199" t="s">
        <v>60</v>
      </c>
      <c r="B149" s="213" t="s">
        <v>4</v>
      </c>
      <c r="C149" s="14">
        <f>-0.5*F25*C17-(C16*H16^2)*(3*H15+H16)/(C17^3)</f>
        <v>-111.89</v>
      </c>
      <c r="D149" s="103" t="s">
        <v>36</v>
      </c>
    </row>
    <row r="150" spans="1:9" s="103" customFormat="1">
      <c r="A150" s="199"/>
      <c r="B150" s="213"/>
      <c r="C150" s="113">
        <f>-1/12*F25*C17^2-(C16*H15*H16^2)/(C17^2)</f>
        <v>-107.676</v>
      </c>
      <c r="D150" s="114" t="s">
        <v>31</v>
      </c>
    </row>
    <row r="151" spans="1:9" s="103" customFormat="1">
      <c r="A151" s="199"/>
      <c r="B151" s="213"/>
      <c r="C151" s="14">
        <f>-0.5*F25*C17-(C16*H15^2)*(H15+3*H16)/(C17^3)</f>
        <v>-111.89</v>
      </c>
      <c r="D151" s="103" t="s">
        <v>34</v>
      </c>
    </row>
    <row r="152" spans="1:9" s="103" customFormat="1">
      <c r="A152" s="199"/>
      <c r="B152" s="213"/>
      <c r="C152" s="14">
        <f>1/12*F25*C17^2+(C16*H15^2*H16)/(C17^2)</f>
        <v>107.676</v>
      </c>
      <c r="D152" s="103" t="s">
        <v>32</v>
      </c>
    </row>
    <row r="153" spans="1:9" s="103" customFormat="1">
      <c r="B153" s="106"/>
      <c r="C153" s="56"/>
    </row>
    <row r="154" spans="1:9" s="103" customFormat="1">
      <c r="A154" s="9" t="s">
        <v>171</v>
      </c>
      <c r="B154" s="56"/>
    </row>
    <row r="155" spans="1:9" s="103" customFormat="1">
      <c r="A155" s="199" t="s">
        <v>61</v>
      </c>
      <c r="B155" s="213" t="s">
        <v>4</v>
      </c>
      <c r="C155" s="14">
        <f>+C138</f>
        <v>-61.965000000000011</v>
      </c>
      <c r="D155" s="103" t="s">
        <v>180</v>
      </c>
    </row>
    <row r="156" spans="1:9" s="103" customFormat="1">
      <c r="A156" s="199"/>
      <c r="B156" s="213"/>
      <c r="C156" s="14">
        <f>+C140+C144</f>
        <v>54.157410000000013</v>
      </c>
      <c r="D156" s="103" t="s">
        <v>31</v>
      </c>
    </row>
    <row r="157" spans="1:9" s="103" customFormat="1">
      <c r="A157" s="199"/>
      <c r="B157" s="213"/>
      <c r="C157" s="14">
        <f>+C146+C150</f>
        <v>-99.868409999999997</v>
      </c>
      <c r="D157" s="103" t="s">
        <v>32</v>
      </c>
    </row>
    <row r="159" spans="1:9" s="95" customFormat="1">
      <c r="A159" s="94" t="s">
        <v>62</v>
      </c>
      <c r="D159" s="96" t="s">
        <v>63</v>
      </c>
    </row>
    <row r="160" spans="1:9">
      <c r="A160" s="116"/>
      <c r="B160" s="116"/>
      <c r="C160" s="116"/>
      <c r="D160" s="116"/>
      <c r="E160" s="116"/>
      <c r="F160" s="116"/>
      <c r="G160" s="116"/>
      <c r="H160" s="116"/>
      <c r="I160" s="116"/>
    </row>
    <row r="161" spans="1:9">
      <c r="A161" s="118">
        <v>0</v>
      </c>
      <c r="B161" s="234" t="s">
        <v>65</v>
      </c>
      <c r="C161" s="121">
        <f>C155</f>
        <v>-61.965000000000011</v>
      </c>
      <c r="D161" s="234" t="s">
        <v>4</v>
      </c>
      <c r="E161" s="124">
        <f>C124</f>
        <v>11998.518518518518</v>
      </c>
      <c r="F161" s="125">
        <f t="shared" ref="F161:G161" si="4">D124</f>
        <v>4614.8148148148148</v>
      </c>
      <c r="G161" s="126">
        <f t="shared" si="4"/>
        <v>0</v>
      </c>
      <c r="H161" s="237" t="s">
        <v>66</v>
      </c>
      <c r="I161" s="17" t="s">
        <v>180</v>
      </c>
    </row>
    <row r="162" spans="1:9">
      <c r="A162" s="119">
        <v>0</v>
      </c>
      <c r="B162" s="234"/>
      <c r="C162" s="122">
        <f t="shared" ref="C162:C163" si="5">C156</f>
        <v>54.157410000000013</v>
      </c>
      <c r="D162" s="234"/>
      <c r="E162" s="127">
        <f t="shared" ref="E162:E163" si="6">C125</f>
        <v>4614.8148148148148</v>
      </c>
      <c r="F162" s="128">
        <f t="shared" ref="F162:F163" si="7">D125</f>
        <v>11998.518518518518</v>
      </c>
      <c r="G162" s="129">
        <f t="shared" ref="G162:G163" si="8">E125</f>
        <v>1384.4444444444443</v>
      </c>
      <c r="H162" s="237"/>
      <c r="I162" s="107" t="s">
        <v>31</v>
      </c>
    </row>
    <row r="163" spans="1:9">
      <c r="A163" s="120">
        <v>0</v>
      </c>
      <c r="B163" s="234"/>
      <c r="C163" s="123">
        <f t="shared" si="5"/>
        <v>-99.868409999999997</v>
      </c>
      <c r="D163" s="234"/>
      <c r="E163" s="130">
        <f t="shared" si="6"/>
        <v>0</v>
      </c>
      <c r="F163" s="131">
        <f t="shared" si="7"/>
        <v>1384.4444444444443</v>
      </c>
      <c r="G163" s="132">
        <f t="shared" si="8"/>
        <v>2768.8888888888887</v>
      </c>
      <c r="H163" s="237"/>
      <c r="I163" s="27" t="s">
        <v>32</v>
      </c>
    </row>
    <row r="164" spans="1:9">
      <c r="A164" s="117"/>
      <c r="B164" s="117"/>
      <c r="C164" s="117"/>
      <c r="D164" s="117"/>
      <c r="E164" s="117"/>
      <c r="F164" s="117"/>
      <c r="G164" s="117"/>
      <c r="H164" s="117"/>
      <c r="I164" s="117"/>
    </row>
    <row r="165" spans="1:9" s="103" customFormat="1">
      <c r="A165" s="55" t="s">
        <v>67</v>
      </c>
    </row>
    <row r="167" spans="1:9">
      <c r="A167" s="17" t="s">
        <v>30</v>
      </c>
      <c r="B167" s="237" t="s">
        <v>4</v>
      </c>
      <c r="C167" s="133">
        <f t="array" ref="C167:E169">MINVERSE(E161:G163)</f>
        <v>9.8863850354654454E-5</v>
      </c>
      <c r="D167" s="134">
        <v>-4.0352591981491614E-5</v>
      </c>
      <c r="E167" s="135">
        <v>2.0176295990745807E-5</v>
      </c>
      <c r="F167" s="237" t="s">
        <v>66</v>
      </c>
      <c r="G167" s="121">
        <f>C161</f>
        <v>-61.965000000000011</v>
      </c>
    </row>
    <row r="168" spans="1:9">
      <c r="A168" s="107" t="s">
        <v>31</v>
      </c>
      <c r="B168" s="237"/>
      <c r="C168" s="136">
        <v>-4.0352591981491621E-5</v>
      </c>
      <c r="D168" s="137">
        <v>1.049167391518782E-4</v>
      </c>
      <c r="E168" s="138">
        <v>-5.2458369575939098E-5</v>
      </c>
      <c r="F168" s="237"/>
      <c r="G168" s="122">
        <f t="shared" ref="G168:G169" si="9">C162</f>
        <v>54.157410000000013</v>
      </c>
    </row>
    <row r="169" spans="1:9">
      <c r="A169" s="27" t="s">
        <v>32</v>
      </c>
      <c r="B169" s="237"/>
      <c r="C169" s="139">
        <v>2.017629599074581E-5</v>
      </c>
      <c r="D169" s="140">
        <v>-5.2458369575939105E-5</v>
      </c>
      <c r="E169" s="141">
        <v>3.8738488302231949E-4</v>
      </c>
      <c r="F169" s="237"/>
      <c r="G169" s="123">
        <f t="shared" si="9"/>
        <v>-99.868409999999997</v>
      </c>
    </row>
    <row r="171" spans="1:9">
      <c r="A171" s="17" t="s">
        <v>30</v>
      </c>
      <c r="B171" s="237" t="s">
        <v>4</v>
      </c>
      <c r="C171" s="142">
        <f t="array" ref="C171:C173">MMULT(C167:E169,G167:G169)</f>
        <v>-1.0326464956015677E-2</v>
      </c>
      <c r="D171" t="s">
        <v>178</v>
      </c>
    </row>
    <row r="172" spans="1:9">
      <c r="A172" s="107" t="s">
        <v>31</v>
      </c>
      <c r="B172" s="237"/>
      <c r="C172" s="143">
        <v>1.3421401180985861E-2</v>
      </c>
      <c r="D172" t="s">
        <v>178</v>
      </c>
    </row>
    <row r="173" spans="1:9">
      <c r="A173" s="27" t="s">
        <v>32</v>
      </c>
      <c r="B173" s="237"/>
      <c r="C173" s="144">
        <v>-4.2778745935597266E-2</v>
      </c>
      <c r="D173" t="s">
        <v>178</v>
      </c>
    </row>
    <row r="175" spans="1:9" s="95" customFormat="1">
      <c r="A175" s="94" t="s">
        <v>69</v>
      </c>
      <c r="C175" s="94" t="s">
        <v>70</v>
      </c>
      <c r="D175" s="96"/>
    </row>
    <row r="177" spans="1:4">
      <c r="A177" s="199" t="s">
        <v>71</v>
      </c>
      <c r="B177" s="199" t="s">
        <v>4</v>
      </c>
      <c r="C177" s="17">
        <v>0</v>
      </c>
      <c r="D177" s="103" t="s">
        <v>37</v>
      </c>
    </row>
    <row r="178" spans="1:4">
      <c r="A178" s="199"/>
      <c r="B178" s="199"/>
      <c r="C178" s="23">
        <f>C171</f>
        <v>-1.0326464956015677E-2</v>
      </c>
      <c r="D178" s="103" t="s">
        <v>30</v>
      </c>
    </row>
    <row r="179" spans="1:4">
      <c r="A179" s="199"/>
      <c r="B179" s="199"/>
      <c r="C179" s="107">
        <v>0</v>
      </c>
      <c r="D179" s="103" t="s">
        <v>179</v>
      </c>
    </row>
    <row r="180" spans="1:4">
      <c r="A180" s="199"/>
      <c r="B180" s="199"/>
      <c r="C180" s="28">
        <f>C172</f>
        <v>1.3421401180985861E-2</v>
      </c>
      <c r="D180" s="103" t="s">
        <v>180</v>
      </c>
    </row>
    <row r="181" spans="1:4">
      <c r="A181" s="103"/>
      <c r="B181" s="103"/>
      <c r="C181" s="56"/>
      <c r="D181" s="103"/>
    </row>
    <row r="182" spans="1:4">
      <c r="A182" s="199" t="s">
        <v>72</v>
      </c>
      <c r="B182" s="199" t="s">
        <v>4</v>
      </c>
      <c r="C182" s="17">
        <v>0</v>
      </c>
      <c r="D182" s="103" t="s">
        <v>179</v>
      </c>
    </row>
    <row r="183" spans="1:4">
      <c r="A183" s="199"/>
      <c r="B183" s="199"/>
      <c r="C183" s="23">
        <f>C172</f>
        <v>1.3421401180985861E-2</v>
      </c>
      <c r="D183" s="103" t="s">
        <v>180</v>
      </c>
    </row>
    <row r="184" spans="1:4">
      <c r="A184" s="199"/>
      <c r="B184" s="199"/>
      <c r="C184" s="107">
        <v>0</v>
      </c>
      <c r="D184" s="103" t="s">
        <v>36</v>
      </c>
    </row>
    <row r="185" spans="1:4">
      <c r="A185" s="199"/>
      <c r="B185" s="199"/>
      <c r="C185" s="28">
        <f>C173</f>
        <v>-4.2778745935597266E-2</v>
      </c>
      <c r="D185" s="103" t="s">
        <v>31</v>
      </c>
    </row>
    <row r="186" spans="1:4">
      <c r="A186" s="103"/>
      <c r="B186" s="103"/>
      <c r="C186" s="56"/>
      <c r="D186" s="103"/>
    </row>
    <row r="187" spans="1:4">
      <c r="A187" s="199" t="s">
        <v>73</v>
      </c>
      <c r="B187" s="199" t="s">
        <v>4</v>
      </c>
      <c r="C187" s="17">
        <v>0</v>
      </c>
      <c r="D187" s="103" t="s">
        <v>36</v>
      </c>
    </row>
    <row r="188" spans="1:4">
      <c r="A188" s="199"/>
      <c r="B188" s="199"/>
      <c r="C188" s="23">
        <f>C173</f>
        <v>-4.2778745935597266E-2</v>
      </c>
      <c r="D188" s="103" t="s">
        <v>31</v>
      </c>
    </row>
    <row r="189" spans="1:4">
      <c r="A189" s="199"/>
      <c r="B189" s="199"/>
      <c r="C189" s="107">
        <v>0</v>
      </c>
      <c r="D189" s="103" t="s">
        <v>34</v>
      </c>
    </row>
    <row r="190" spans="1:4">
      <c r="A190" s="199"/>
      <c r="B190" s="199"/>
      <c r="C190" s="145">
        <v>0</v>
      </c>
      <c r="D190" s="103" t="s">
        <v>32</v>
      </c>
    </row>
    <row r="192" spans="1:4" s="95" customFormat="1">
      <c r="A192" s="94" t="s">
        <v>74</v>
      </c>
      <c r="C192" s="94" t="s">
        <v>75</v>
      </c>
      <c r="D192" s="96"/>
    </row>
    <row r="193" spans="1:11" s="103" customFormat="1"/>
    <row r="194" spans="1:11" s="103" customFormat="1" ht="14.45" customHeight="1">
      <c r="A194" s="212" t="s">
        <v>76</v>
      </c>
      <c r="B194" s="199" t="s">
        <v>77</v>
      </c>
    </row>
    <row r="195" spans="1:11" s="103" customFormat="1">
      <c r="A195" s="212"/>
      <c r="B195" s="199"/>
    </row>
    <row r="196" spans="1:11" s="103" customFormat="1">
      <c r="A196" s="212"/>
      <c r="B196" s="199"/>
    </row>
    <row r="197" spans="1:11" s="103" customFormat="1">
      <c r="A197" s="212"/>
      <c r="B197" s="199"/>
    </row>
    <row r="198" spans="1:11" s="103" customFormat="1">
      <c r="A198" s="108"/>
    </row>
    <row r="199" spans="1:11" s="103" customFormat="1">
      <c r="A199" s="9" t="s">
        <v>52</v>
      </c>
    </row>
    <row r="200" spans="1:11" s="103" customFormat="1">
      <c r="A200" s="107" t="s">
        <v>96</v>
      </c>
      <c r="B200" s="208" t="s">
        <v>4</v>
      </c>
      <c r="C200" s="41">
        <f>A62</f>
        <v>284.86511202560581</v>
      </c>
      <c r="D200" s="41">
        <f t="shared" ref="D200:F200" si="10">B62</f>
        <v>769.13580246913568</v>
      </c>
      <c r="E200" s="41">
        <f t="shared" si="10"/>
        <v>-284.86511202560581</v>
      </c>
      <c r="F200" s="41">
        <f t="shared" si="10"/>
        <v>769.13580246913568</v>
      </c>
      <c r="G200" s="208" t="s">
        <v>66</v>
      </c>
      <c r="H200" s="100">
        <f>C177</f>
        <v>0</v>
      </c>
      <c r="I200" s="208" t="s">
        <v>79</v>
      </c>
      <c r="J200" s="201">
        <f>C137</f>
        <v>-68.850000000000009</v>
      </c>
      <c r="K200" s="202"/>
    </row>
    <row r="201" spans="1:11" s="103" customFormat="1">
      <c r="A201" s="107" t="s">
        <v>162</v>
      </c>
      <c r="B201" s="208"/>
      <c r="C201" s="41">
        <f t="shared" ref="C201:C203" si="11">A63</f>
        <v>769.13580246913568</v>
      </c>
      <c r="D201" s="41">
        <f t="shared" ref="D201:D203" si="12">B63</f>
        <v>2768.8888888888887</v>
      </c>
      <c r="E201" s="41">
        <f t="shared" ref="E201:E203" si="13">C63</f>
        <v>-769.13580246913568</v>
      </c>
      <c r="F201" s="41">
        <f t="shared" ref="F201:F203" si="14">D63</f>
        <v>1384.4444444444443</v>
      </c>
      <c r="G201" s="208"/>
      <c r="H201" s="14">
        <f t="shared" ref="H201:H203" si="15">C178</f>
        <v>-1.0326464956015677E-2</v>
      </c>
      <c r="I201" s="208"/>
      <c r="J201" s="201">
        <f t="shared" ref="J201:J203" si="16">C138</f>
        <v>-61.965000000000011</v>
      </c>
      <c r="K201" s="202"/>
    </row>
    <row r="202" spans="1:11" s="103" customFormat="1">
      <c r="A202" s="107" t="s">
        <v>181</v>
      </c>
      <c r="B202" s="208"/>
      <c r="C202" s="41">
        <f t="shared" si="11"/>
        <v>-284.86511202560581</v>
      </c>
      <c r="D202" s="41">
        <f t="shared" si="12"/>
        <v>-769.13580246913568</v>
      </c>
      <c r="E202" s="41">
        <f t="shared" si="13"/>
        <v>284.86511202560581</v>
      </c>
      <c r="F202" s="41">
        <f t="shared" si="14"/>
        <v>-769.13580246913568</v>
      </c>
      <c r="G202" s="208"/>
      <c r="H202" s="100">
        <f t="shared" si="15"/>
        <v>0</v>
      </c>
      <c r="I202" s="208"/>
      <c r="J202" s="201">
        <f t="shared" si="16"/>
        <v>-68.850000000000009</v>
      </c>
      <c r="K202" s="202"/>
    </row>
    <row r="203" spans="1:11" s="103" customFormat="1">
      <c r="A203" s="107" t="s">
        <v>182</v>
      </c>
      <c r="B203" s="208"/>
      <c r="C203" s="41">
        <f t="shared" si="11"/>
        <v>769.13580246913568</v>
      </c>
      <c r="D203" s="41">
        <f t="shared" si="12"/>
        <v>1384.4444444444443</v>
      </c>
      <c r="E203" s="41">
        <f t="shared" si="13"/>
        <v>-769.13580246913568</v>
      </c>
      <c r="F203" s="41">
        <f t="shared" si="14"/>
        <v>2768.8888888888887</v>
      </c>
      <c r="G203" s="208"/>
      <c r="H203" s="14">
        <f t="shared" si="15"/>
        <v>1.3421401180985861E-2</v>
      </c>
      <c r="I203" s="208"/>
      <c r="J203" s="201">
        <f t="shared" si="16"/>
        <v>61.965000000000011</v>
      </c>
      <c r="K203" s="202"/>
    </row>
    <row r="204" spans="1:11" s="103" customFormat="1" ht="15.75" thickBot="1"/>
    <row r="205" spans="1:11" s="103" customFormat="1">
      <c r="A205" s="107" t="s">
        <v>96</v>
      </c>
      <c r="B205" s="208" t="s">
        <v>4</v>
      </c>
      <c r="C205" s="14">
        <f t="array" ref="C205:C208">MMULT(C200:F203,H200:H203)</f>
        <v>2.3804262569832408</v>
      </c>
      <c r="D205" s="208" t="s">
        <v>79</v>
      </c>
      <c r="E205" s="14">
        <f>J200</f>
        <v>-68.850000000000009</v>
      </c>
      <c r="F205" s="211" t="s">
        <v>4</v>
      </c>
      <c r="G205" s="64">
        <f>C205-E205</f>
        <v>71.23042625698325</v>
      </c>
      <c r="H205" s="57" t="s">
        <v>13</v>
      </c>
    </row>
    <row r="206" spans="1:11" s="103" customFormat="1">
      <c r="A206" s="107" t="s">
        <v>162</v>
      </c>
      <c r="B206" s="208"/>
      <c r="C206" s="14">
        <v>-10.011649776536316</v>
      </c>
      <c r="D206" s="208"/>
      <c r="E206" s="14">
        <f t="shared" ref="E206:E208" si="17">J201</f>
        <v>-61.965000000000011</v>
      </c>
      <c r="F206" s="211"/>
      <c r="G206" s="65">
        <f t="shared" ref="G206:G208" si="18">C206-E206</f>
        <v>51.953350223463694</v>
      </c>
      <c r="H206" s="47" t="s">
        <v>80</v>
      </c>
    </row>
    <row r="207" spans="1:11" s="103" customFormat="1">
      <c r="A207" s="107" t="s">
        <v>181</v>
      </c>
      <c r="B207" s="208"/>
      <c r="C207" s="14">
        <v>-2.3804262569832408</v>
      </c>
      <c r="D207" s="208"/>
      <c r="E207" s="14">
        <f t="shared" si="17"/>
        <v>-68.850000000000009</v>
      </c>
      <c r="F207" s="211"/>
      <c r="G207" s="65">
        <f t="shared" si="18"/>
        <v>66.469573743016767</v>
      </c>
      <c r="H207" s="47" t="s">
        <v>13</v>
      </c>
    </row>
    <row r="208" spans="1:11" s="103" customFormat="1" ht="15.75" thickBot="1">
      <c r="A208" s="107" t="s">
        <v>182</v>
      </c>
      <c r="B208" s="208"/>
      <c r="C208" s="14">
        <v>22.865951564245812</v>
      </c>
      <c r="D208" s="208"/>
      <c r="E208" s="14">
        <f t="shared" si="17"/>
        <v>61.965000000000011</v>
      </c>
      <c r="F208" s="211"/>
      <c r="G208" s="66">
        <f t="shared" si="18"/>
        <v>-39.099048435754199</v>
      </c>
      <c r="H208" s="51" t="s">
        <v>80</v>
      </c>
    </row>
    <row r="210" spans="1:11">
      <c r="A210" s="9" t="s">
        <v>53</v>
      </c>
    </row>
    <row r="211" spans="1:11">
      <c r="A211" s="107" t="s">
        <v>181</v>
      </c>
      <c r="B211" s="208" t="s">
        <v>4</v>
      </c>
      <c r="C211" s="41">
        <f>A75</f>
        <v>10550.559704652065</v>
      </c>
      <c r="D211" s="41">
        <f t="shared" ref="D211:F211" si="19">B75</f>
        <v>8545.9533607681733</v>
      </c>
      <c r="E211" s="41">
        <f t="shared" si="19"/>
        <v>-10550.559704652065</v>
      </c>
      <c r="F211" s="41">
        <f t="shared" si="19"/>
        <v>8545.9533607681733</v>
      </c>
      <c r="G211" s="208" t="s">
        <v>66</v>
      </c>
      <c r="H211" s="100">
        <f>C182</f>
        <v>0</v>
      </c>
      <c r="I211" s="208" t="s">
        <v>79</v>
      </c>
      <c r="J211" s="201">
        <f>C143</f>
        <v>-28.916999999999998</v>
      </c>
      <c r="K211" s="202"/>
    </row>
    <row r="212" spans="1:11">
      <c r="A212" s="107" t="s">
        <v>182</v>
      </c>
      <c r="B212" s="208"/>
      <c r="C212" s="41">
        <f t="shared" ref="C212:C214" si="20">A76</f>
        <v>8545.9533607681733</v>
      </c>
      <c r="D212" s="41">
        <f t="shared" ref="D212:D214" si="21">B76</f>
        <v>9229.6296296296296</v>
      </c>
      <c r="E212" s="41">
        <f t="shared" ref="E212:E214" si="22">C76</f>
        <v>-8545.9533607681733</v>
      </c>
      <c r="F212" s="41">
        <f t="shared" ref="F212:F214" si="23">D76</f>
        <v>4614.8148148148148</v>
      </c>
      <c r="G212" s="208"/>
      <c r="H212" s="14">
        <f t="shared" ref="H212:H214" si="24">C183</f>
        <v>1.3421401180985861E-2</v>
      </c>
      <c r="I212" s="208"/>
      <c r="J212" s="201">
        <f t="shared" ref="J212:J214" si="25">C144</f>
        <v>-7.8075900000000003</v>
      </c>
      <c r="K212" s="202"/>
    </row>
    <row r="213" spans="1:11">
      <c r="A213" s="107" t="s">
        <v>103</v>
      </c>
      <c r="B213" s="208"/>
      <c r="C213" s="41">
        <f t="shared" si="20"/>
        <v>-10550.559704652065</v>
      </c>
      <c r="D213" s="41">
        <f t="shared" si="21"/>
        <v>-8545.9533607681733</v>
      </c>
      <c r="E213" s="41">
        <f t="shared" si="22"/>
        <v>10550.559704652065</v>
      </c>
      <c r="F213" s="41">
        <f t="shared" si="23"/>
        <v>-8545.9533607681733</v>
      </c>
      <c r="G213" s="208"/>
      <c r="H213" s="100">
        <f t="shared" si="24"/>
        <v>0</v>
      </c>
      <c r="I213" s="208"/>
      <c r="J213" s="201">
        <f t="shared" si="25"/>
        <v>-28.916999999999998</v>
      </c>
      <c r="K213" s="202"/>
    </row>
    <row r="214" spans="1:11">
      <c r="A214" s="107" t="s">
        <v>163</v>
      </c>
      <c r="B214" s="208"/>
      <c r="C214" s="41">
        <f t="shared" si="20"/>
        <v>8545.9533607681733</v>
      </c>
      <c r="D214" s="41">
        <f t="shared" si="21"/>
        <v>4614.8148148148148</v>
      </c>
      <c r="E214" s="41">
        <f t="shared" si="22"/>
        <v>-8545.9533607681733</v>
      </c>
      <c r="F214" s="41">
        <f t="shared" si="23"/>
        <v>9229.6296296296296</v>
      </c>
      <c r="G214" s="208"/>
      <c r="H214" s="14">
        <f t="shared" si="24"/>
        <v>-4.2778745935597266E-2</v>
      </c>
      <c r="I214" s="208"/>
      <c r="J214" s="201">
        <f t="shared" si="25"/>
        <v>7.8075900000000003</v>
      </c>
      <c r="K214" s="202"/>
    </row>
    <row r="215" spans="1:11" ht="15.75" thickBot="1">
      <c r="A215" s="103"/>
      <c r="B215" s="103"/>
      <c r="C215" s="103"/>
      <c r="D215" s="103"/>
      <c r="E215" s="103"/>
      <c r="F215" s="103"/>
      <c r="G215" s="103"/>
      <c r="H215" s="103"/>
      <c r="I215" s="103"/>
      <c r="J215" s="103"/>
      <c r="K215" s="103"/>
    </row>
    <row r="216" spans="1:11">
      <c r="A216" s="107" t="s">
        <v>181</v>
      </c>
      <c r="B216" s="208" t="s">
        <v>4</v>
      </c>
      <c r="C216" s="14">
        <f t="array" ref="C216:C219">MMULT(C211:F214,H211:H214)</f>
        <v>-250.88649906890123</v>
      </c>
      <c r="D216" s="208" t="s">
        <v>79</v>
      </c>
      <c r="E216" s="14">
        <f>J211</f>
        <v>-28.916999999999998</v>
      </c>
      <c r="F216" s="211" t="s">
        <v>4</v>
      </c>
      <c r="G216" s="64">
        <f>C216-E216</f>
        <v>-221.96949906890123</v>
      </c>
      <c r="H216" s="57" t="s">
        <v>13</v>
      </c>
      <c r="I216" s="103"/>
      <c r="J216" s="103"/>
      <c r="K216" s="103"/>
    </row>
    <row r="217" spans="1:11">
      <c r="A217" s="107" t="s">
        <v>182</v>
      </c>
      <c r="B217" s="208"/>
      <c r="C217" s="14">
        <v>-73.541428491620096</v>
      </c>
      <c r="D217" s="208"/>
      <c r="E217" s="14">
        <f t="shared" ref="E217:E219" si="26">J212</f>
        <v>-7.8075900000000003</v>
      </c>
      <c r="F217" s="211"/>
      <c r="G217" s="65">
        <f t="shared" ref="G217:G219" si="27">C217-E217</f>
        <v>-65.733838491620091</v>
      </c>
      <c r="H217" s="47" t="s">
        <v>80</v>
      </c>
      <c r="I217" s="103"/>
      <c r="J217" s="103"/>
      <c r="K217" s="103"/>
    </row>
    <row r="218" spans="1:11">
      <c r="A218" s="107" t="s">
        <v>103</v>
      </c>
      <c r="B218" s="208"/>
      <c r="C218" s="14">
        <v>250.88649906890123</v>
      </c>
      <c r="D218" s="208"/>
      <c r="E218" s="14">
        <f t="shared" si="26"/>
        <v>-28.916999999999998</v>
      </c>
      <c r="F218" s="211"/>
      <c r="G218" s="65">
        <f t="shared" si="27"/>
        <v>279.8034990689012</v>
      </c>
      <c r="H218" s="47" t="s">
        <v>13</v>
      </c>
      <c r="I218" s="103"/>
      <c r="J218" s="103"/>
      <c r="K218" s="103"/>
    </row>
    <row r="219" spans="1:11" ht="15.75" thickBot="1">
      <c r="A219" s="107" t="s">
        <v>163</v>
      </c>
      <c r="B219" s="208"/>
      <c r="C219" s="14">
        <v>-332.8947</v>
      </c>
      <c r="D219" s="208"/>
      <c r="E219" s="14">
        <f t="shared" si="26"/>
        <v>7.8075900000000003</v>
      </c>
      <c r="F219" s="211"/>
      <c r="G219" s="66">
        <f t="shared" si="27"/>
        <v>-340.70229</v>
      </c>
      <c r="H219" s="51" t="s">
        <v>80</v>
      </c>
      <c r="I219" s="103"/>
      <c r="J219" s="103"/>
      <c r="K219" s="103"/>
    </row>
    <row r="221" spans="1:11">
      <c r="A221" s="9" t="s">
        <v>54</v>
      </c>
    </row>
    <row r="222" spans="1:11">
      <c r="A222" s="107" t="s">
        <v>103</v>
      </c>
      <c r="B222" s="208" t="s">
        <v>4</v>
      </c>
      <c r="C222" s="41">
        <f>A88</f>
        <v>284.86511202560581</v>
      </c>
      <c r="D222" s="41">
        <f t="shared" ref="D222:F222" si="28">B88</f>
        <v>769.13580246913568</v>
      </c>
      <c r="E222" s="41">
        <f t="shared" si="28"/>
        <v>-284.86511202560581</v>
      </c>
      <c r="F222" s="41">
        <f t="shared" si="28"/>
        <v>769.13580246913568</v>
      </c>
      <c r="G222" s="208" t="s">
        <v>66</v>
      </c>
      <c r="H222" s="100">
        <f>C187</f>
        <v>0</v>
      </c>
      <c r="I222" s="208" t="s">
        <v>79</v>
      </c>
      <c r="J222" s="201">
        <f>C149</f>
        <v>-111.89</v>
      </c>
      <c r="K222" s="202"/>
    </row>
    <row r="223" spans="1:11">
      <c r="A223" s="107" t="s">
        <v>163</v>
      </c>
      <c r="B223" s="208"/>
      <c r="C223" s="41">
        <f t="shared" ref="C223:C225" si="29">A89</f>
        <v>769.13580246913568</v>
      </c>
      <c r="D223" s="41">
        <f t="shared" ref="D223:D225" si="30">B89</f>
        <v>2768.8888888888887</v>
      </c>
      <c r="E223" s="41">
        <f t="shared" ref="E223:E225" si="31">C89</f>
        <v>-769.13580246913568</v>
      </c>
      <c r="F223" s="41">
        <f t="shared" ref="F223:F225" si="32">D89</f>
        <v>1384.4444444444443</v>
      </c>
      <c r="G223" s="208"/>
      <c r="H223" s="100">
        <f t="shared" ref="H223:H225" si="33">C188</f>
        <v>-4.2778745935597266E-2</v>
      </c>
      <c r="I223" s="208"/>
      <c r="J223" s="201">
        <f t="shared" ref="J223:J225" si="34">C150</f>
        <v>-107.676</v>
      </c>
      <c r="K223" s="202"/>
    </row>
    <row r="224" spans="1:11">
      <c r="A224" s="107" t="s">
        <v>104</v>
      </c>
      <c r="B224" s="208"/>
      <c r="C224" s="41">
        <f t="shared" si="29"/>
        <v>-284.86511202560581</v>
      </c>
      <c r="D224" s="41">
        <f t="shared" si="30"/>
        <v>-769.13580246913568</v>
      </c>
      <c r="E224" s="41">
        <f t="shared" si="31"/>
        <v>284.86511202560581</v>
      </c>
      <c r="F224" s="41">
        <f t="shared" si="32"/>
        <v>-769.13580246913568</v>
      </c>
      <c r="G224" s="208"/>
      <c r="H224" s="100">
        <f t="shared" si="33"/>
        <v>0</v>
      </c>
      <c r="I224" s="208"/>
      <c r="J224" s="201">
        <f t="shared" si="34"/>
        <v>-111.89</v>
      </c>
      <c r="K224" s="202"/>
    </row>
    <row r="225" spans="1:11">
      <c r="A225" s="107" t="s">
        <v>164</v>
      </c>
      <c r="B225" s="208"/>
      <c r="C225" s="41">
        <f t="shared" si="29"/>
        <v>769.13580246913568</v>
      </c>
      <c r="D225" s="41">
        <f t="shared" si="30"/>
        <v>1384.4444444444443</v>
      </c>
      <c r="E225" s="41">
        <f t="shared" si="31"/>
        <v>-769.13580246913568</v>
      </c>
      <c r="F225" s="41">
        <f t="shared" si="32"/>
        <v>2768.8888888888887</v>
      </c>
      <c r="G225" s="208"/>
      <c r="H225" s="100">
        <f t="shared" si="33"/>
        <v>0</v>
      </c>
      <c r="I225" s="208"/>
      <c r="J225" s="201">
        <f t="shared" si="34"/>
        <v>107.676</v>
      </c>
      <c r="K225" s="202"/>
    </row>
    <row r="226" spans="1:11" ht="15.75" thickBot="1">
      <c r="A226" s="103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</row>
    <row r="227" spans="1:11">
      <c r="A227" s="107" t="s">
        <v>103</v>
      </c>
      <c r="B227" s="208" t="s">
        <v>4</v>
      </c>
      <c r="C227" s="14">
        <f t="array" ref="C227:C230">MMULT(C222:F225,H222:H225)</f>
        <v>-32.90266508379888</v>
      </c>
      <c r="D227" s="208" t="s">
        <v>79</v>
      </c>
      <c r="E227" s="14">
        <f>J222</f>
        <v>-111.89</v>
      </c>
      <c r="F227" s="211" t="s">
        <v>4</v>
      </c>
      <c r="G227" s="64">
        <f>C227-E227</f>
        <v>78.987334916201121</v>
      </c>
      <c r="H227" s="57" t="s">
        <v>13</v>
      </c>
      <c r="I227" s="103"/>
      <c r="J227" s="103"/>
      <c r="K227" s="103"/>
    </row>
    <row r="228" spans="1:11">
      <c r="A228" s="107" t="s">
        <v>163</v>
      </c>
      <c r="B228" s="208"/>
      <c r="C228" s="14">
        <v>-118.44959430167597</v>
      </c>
      <c r="D228" s="208"/>
      <c r="E228" s="14">
        <f t="shared" ref="E228:E230" si="35">J223</f>
        <v>-107.676</v>
      </c>
      <c r="F228" s="211"/>
      <c r="G228" s="65">
        <f t="shared" ref="G228:G230" si="36">C228-E228</f>
        <v>-10.773594301675971</v>
      </c>
      <c r="H228" s="47" t="s">
        <v>80</v>
      </c>
      <c r="I228" s="103"/>
      <c r="J228" s="103"/>
      <c r="K228" s="103"/>
    </row>
    <row r="229" spans="1:11">
      <c r="A229" s="107" t="s">
        <v>104</v>
      </c>
      <c r="B229" s="208"/>
      <c r="C229" s="14">
        <v>32.90266508379888</v>
      </c>
      <c r="D229" s="208"/>
      <c r="E229" s="14">
        <f t="shared" si="35"/>
        <v>-111.89</v>
      </c>
      <c r="F229" s="211"/>
      <c r="G229" s="65">
        <f t="shared" si="36"/>
        <v>144.79266508379888</v>
      </c>
      <c r="H229" s="47" t="s">
        <v>13</v>
      </c>
      <c r="I229" s="103"/>
      <c r="J229" s="103"/>
      <c r="K229" s="103"/>
    </row>
    <row r="230" spans="1:11" ht="15.75" thickBot="1">
      <c r="A230" s="107" t="s">
        <v>164</v>
      </c>
      <c r="B230" s="208"/>
      <c r="C230" s="14">
        <v>-59.224797150837986</v>
      </c>
      <c r="D230" s="208"/>
      <c r="E230" s="14">
        <f t="shared" si="35"/>
        <v>107.676</v>
      </c>
      <c r="F230" s="211"/>
      <c r="G230" s="66">
        <f t="shared" si="36"/>
        <v>-166.900797150838</v>
      </c>
      <c r="H230" s="51" t="s">
        <v>80</v>
      </c>
      <c r="I230" s="103"/>
      <c r="J230" s="103"/>
      <c r="K230" s="103"/>
    </row>
    <row r="231" spans="1:11" ht="15.75" thickBot="1"/>
    <row r="232" spans="1:11">
      <c r="A232" s="203" t="s">
        <v>87</v>
      </c>
      <c r="B232" s="204"/>
      <c r="C232" s="204"/>
      <c r="D232" s="204"/>
      <c r="E232" s="204"/>
      <c r="F232" s="205"/>
    </row>
    <row r="233" spans="1:11" ht="15.75" thickBot="1">
      <c r="A233" s="206" t="s">
        <v>166</v>
      </c>
      <c r="B233" s="207"/>
      <c r="C233" s="207"/>
      <c r="D233" s="106" t="s">
        <v>4</v>
      </c>
      <c r="E233" s="106">
        <v>0</v>
      </c>
      <c r="F233" s="47"/>
    </row>
    <row r="234" spans="1:11" ht="15.75" thickBot="1">
      <c r="A234" s="58">
        <f>G205+G207+G216+G218+G227+G229</f>
        <v>419.31399999999996</v>
      </c>
      <c r="B234" s="49" t="s">
        <v>79</v>
      </c>
      <c r="C234" s="59">
        <f>F23*C17+F24*C19+F25*C17+C16</f>
        <v>419.31400000000002</v>
      </c>
      <c r="D234" s="49" t="s">
        <v>4</v>
      </c>
      <c r="E234" s="146">
        <f>A234-C234</f>
        <v>0</v>
      </c>
      <c r="F234" s="89" t="str">
        <f>IF(E234=0,"OKE","NOT OKE")</f>
        <v>OKE</v>
      </c>
    </row>
    <row r="236" spans="1:11" s="95" customFormat="1">
      <c r="A236" s="94" t="s">
        <v>89</v>
      </c>
      <c r="C236" s="94" t="s">
        <v>88</v>
      </c>
      <c r="D236" s="96"/>
    </row>
    <row r="237" spans="1:11" s="103" customFormat="1"/>
    <row r="238" spans="1:11" s="103" customFormat="1">
      <c r="B238" s="103" t="s">
        <v>26</v>
      </c>
      <c r="D238" s="199" t="s">
        <v>176</v>
      </c>
      <c r="E238" s="199"/>
      <c r="G238" s="199" t="s">
        <v>27</v>
      </c>
      <c r="H238" s="199"/>
      <c r="J238" s="55" t="s">
        <v>28</v>
      </c>
    </row>
    <row r="239" spans="1:11" s="103" customFormat="1">
      <c r="B239" s="62">
        <f>G206</f>
        <v>51.953350223463694</v>
      </c>
      <c r="D239" s="62">
        <f>G208</f>
        <v>-39.099048435754199</v>
      </c>
      <c r="E239" s="62">
        <f>G217</f>
        <v>-65.733838491620091</v>
      </c>
      <c r="G239" s="62">
        <f>G219</f>
        <v>-340.70229</v>
      </c>
      <c r="H239" s="62">
        <f>G228</f>
        <v>-10.773594301675971</v>
      </c>
      <c r="J239" s="209">
        <f>G230</f>
        <v>-166.900797150838</v>
      </c>
      <c r="K239" s="209"/>
    </row>
    <row r="240" spans="1:11" s="103" customFormat="1"/>
    <row r="241" spans="1:11" s="103" customFormat="1"/>
    <row r="242" spans="1:11" s="103" customFormat="1">
      <c r="B242" s="60"/>
      <c r="E242" s="55"/>
      <c r="G242" s="55"/>
    </row>
    <row r="243" spans="1:11" s="103" customFormat="1">
      <c r="B243" s="199">
        <v>1</v>
      </c>
      <c r="C243" s="199"/>
      <c r="D243" s="199"/>
      <c r="E243" s="199">
        <v>2</v>
      </c>
      <c r="F243" s="199"/>
      <c r="G243" s="199"/>
      <c r="H243" s="199">
        <v>3</v>
      </c>
      <c r="I243" s="199"/>
    </row>
    <row r="244" spans="1:11" s="103" customFormat="1"/>
    <row r="245" spans="1:11" s="103" customFormat="1">
      <c r="D245" s="62"/>
    </row>
    <row r="246" spans="1:11" s="103" customFormat="1">
      <c r="B246" s="104">
        <f>G205</f>
        <v>71.23042625698325</v>
      </c>
      <c r="D246" s="104">
        <f>G207</f>
        <v>66.469573743016767</v>
      </c>
      <c r="E246" s="104">
        <f>G216</f>
        <v>-221.96949906890123</v>
      </c>
      <c r="G246" s="104">
        <f>G218</f>
        <v>279.8034990689012</v>
      </c>
      <c r="H246" s="104">
        <f>G227</f>
        <v>78.987334916201121</v>
      </c>
      <c r="J246" s="210">
        <f>G229</f>
        <v>144.79266508379888</v>
      </c>
      <c r="K246" s="210"/>
    </row>
    <row r="247" spans="1:11" s="103" customFormat="1">
      <c r="B247" s="103" t="s">
        <v>92</v>
      </c>
      <c r="D247" s="199" t="s">
        <v>183</v>
      </c>
      <c r="E247" s="199"/>
      <c r="G247" s="199" t="s">
        <v>93</v>
      </c>
      <c r="H247" s="199"/>
      <c r="J247" s="103" t="s">
        <v>94</v>
      </c>
    </row>
    <row r="248" spans="1:11" s="103" customFormat="1">
      <c r="D248" s="200">
        <f>SUM(D246:E246)</f>
        <v>-155.49992532588448</v>
      </c>
      <c r="E248" s="200"/>
      <c r="G248" s="200">
        <f>SUM(G246:H246)</f>
        <v>358.79083398510232</v>
      </c>
      <c r="H248" s="200"/>
    </row>
    <row r="250" spans="1:11" s="95" customFormat="1">
      <c r="A250" s="94" t="s">
        <v>90</v>
      </c>
      <c r="C250" s="94" t="s">
        <v>91</v>
      </c>
      <c r="D250" s="96"/>
    </row>
    <row r="251" spans="1:11" s="103" customFormat="1">
      <c r="A251" s="224" t="s">
        <v>125</v>
      </c>
      <c r="B251" s="224"/>
      <c r="D251" s="224" t="s">
        <v>102</v>
      </c>
      <c r="E251" s="224"/>
      <c r="F251" s="224"/>
    </row>
    <row r="252" spans="1:11" s="103" customFormat="1">
      <c r="A252" s="100" t="s">
        <v>96</v>
      </c>
      <c r="B252" s="90">
        <f>B246</f>
        <v>71.23042625698325</v>
      </c>
      <c r="D252" s="68" t="s">
        <v>78</v>
      </c>
      <c r="E252" s="240">
        <f>G206</f>
        <v>51.953350223463694</v>
      </c>
      <c r="F252" s="240"/>
    </row>
    <row r="253" spans="1:11" s="103" customFormat="1">
      <c r="A253" s="100" t="s">
        <v>184</v>
      </c>
      <c r="B253" s="90">
        <f>D246</f>
        <v>66.469573743016767</v>
      </c>
      <c r="D253" s="68" t="s">
        <v>186</v>
      </c>
      <c r="E253" s="239">
        <f>D239</f>
        <v>-39.099048435754199</v>
      </c>
      <c r="F253" s="239"/>
    </row>
    <row r="254" spans="1:11" s="103" customFormat="1">
      <c r="A254" s="100" t="s">
        <v>185</v>
      </c>
      <c r="B254" s="90">
        <f>E246</f>
        <v>-221.96949906890123</v>
      </c>
      <c r="D254" s="68" t="s">
        <v>187</v>
      </c>
      <c r="E254" s="239">
        <f>E239</f>
        <v>-65.733838491620091</v>
      </c>
      <c r="F254" s="239"/>
    </row>
    <row r="255" spans="1:11" s="103" customFormat="1">
      <c r="A255" s="100" t="s">
        <v>97</v>
      </c>
      <c r="B255" s="90">
        <f>G246</f>
        <v>279.8034990689012</v>
      </c>
      <c r="D255" s="68" t="s">
        <v>105</v>
      </c>
      <c r="E255" s="239">
        <f>G239</f>
        <v>-340.70229</v>
      </c>
      <c r="F255" s="239"/>
    </row>
    <row r="256" spans="1:11" s="103" customFormat="1">
      <c r="A256" s="100" t="s">
        <v>98</v>
      </c>
      <c r="B256" s="90">
        <f>H246</f>
        <v>78.987334916201121</v>
      </c>
      <c r="D256" s="68" t="s">
        <v>106</v>
      </c>
      <c r="E256" s="239">
        <f>H239</f>
        <v>-10.773594301675971</v>
      </c>
      <c r="F256" s="239"/>
    </row>
    <row r="257" spans="1:6" s="103" customFormat="1">
      <c r="A257" s="100" t="s">
        <v>104</v>
      </c>
      <c r="B257" s="90">
        <f>J246</f>
        <v>144.79266508379888</v>
      </c>
      <c r="D257" s="68" t="s">
        <v>188</v>
      </c>
      <c r="E257" s="239">
        <f>J239</f>
        <v>-166.900797150838</v>
      </c>
      <c r="F257" s="239"/>
    </row>
    <row r="265" spans="1:6" s="95" customFormat="1">
      <c r="A265" s="94" t="s">
        <v>90</v>
      </c>
      <c r="C265" s="94" t="s">
        <v>109</v>
      </c>
      <c r="D265" s="96"/>
    </row>
    <row r="266" spans="1:6" s="103" customFormat="1">
      <c r="A266" s="199" t="s">
        <v>125</v>
      </c>
      <c r="B266" s="199"/>
      <c r="C266" s="103" t="s">
        <v>126</v>
      </c>
    </row>
    <row r="267" spans="1:6" s="103" customFormat="1">
      <c r="A267" s="103" t="s">
        <v>110</v>
      </c>
      <c r="B267" s="70">
        <v>0</v>
      </c>
      <c r="C267" s="103">
        <f>0</f>
        <v>0</v>
      </c>
      <c r="E267" s="100" t="s">
        <v>126</v>
      </c>
      <c r="F267" s="100" t="s">
        <v>125</v>
      </c>
    </row>
    <row r="268" spans="1:6" s="103" customFormat="1">
      <c r="A268" s="199" t="s">
        <v>111</v>
      </c>
      <c r="B268" s="103" t="s">
        <v>112</v>
      </c>
      <c r="C268" s="199">
        <f>C267</f>
        <v>0</v>
      </c>
      <c r="E268" s="100">
        <f>C267</f>
        <v>0</v>
      </c>
      <c r="F268" s="71">
        <f>B267</f>
        <v>0</v>
      </c>
    </row>
    <row r="269" spans="1:6" s="103" customFormat="1">
      <c r="A269" s="199"/>
      <c r="B269" s="69">
        <f>B252</f>
        <v>71.23042625698325</v>
      </c>
      <c r="C269" s="199"/>
      <c r="E269" s="100">
        <f>C268</f>
        <v>0</v>
      </c>
      <c r="F269" s="67">
        <f>B269</f>
        <v>71.23042625698325</v>
      </c>
    </row>
    <row r="270" spans="1:6" s="103" customFormat="1">
      <c r="A270" s="199" t="s">
        <v>189</v>
      </c>
      <c r="B270" s="103" t="s">
        <v>191</v>
      </c>
      <c r="C270" s="238">
        <f>C17</f>
        <v>5.4</v>
      </c>
      <c r="E270" s="100">
        <f>C270</f>
        <v>5.4</v>
      </c>
      <c r="F270" s="67">
        <f>B271</f>
        <v>-66.469573743016767</v>
      </c>
    </row>
    <row r="271" spans="1:6" s="103" customFormat="1">
      <c r="A271" s="199"/>
      <c r="B271" s="69">
        <f>B269-F23*C17</f>
        <v>-66.469573743016767</v>
      </c>
      <c r="C271" s="238"/>
      <c r="E271" s="100">
        <f>C272</f>
        <v>5.4</v>
      </c>
      <c r="F271" s="67">
        <f>B273</f>
        <v>-221.96949906890126</v>
      </c>
    </row>
    <row r="272" spans="1:6" s="103" customFormat="1">
      <c r="A272" s="199" t="s">
        <v>190</v>
      </c>
      <c r="B272" s="103" t="s">
        <v>192</v>
      </c>
      <c r="C272" s="238">
        <f>C270</f>
        <v>5.4</v>
      </c>
      <c r="E272" s="100">
        <f>C274</f>
        <v>7.0200000000000005</v>
      </c>
      <c r="F272" s="67">
        <f>B275</f>
        <v>-279.80349906890126</v>
      </c>
    </row>
    <row r="273" spans="1:6" s="103" customFormat="1">
      <c r="A273" s="199"/>
      <c r="B273" s="69">
        <f>B271+SUM(B253:B254)</f>
        <v>-221.96949906890126</v>
      </c>
      <c r="C273" s="238"/>
      <c r="D273" s="4" t="s">
        <v>127</v>
      </c>
      <c r="E273" s="100">
        <f>C276</f>
        <v>7.0200000000000005</v>
      </c>
      <c r="F273" s="67">
        <f>B277</f>
        <v>78.987334916201064</v>
      </c>
    </row>
    <row r="274" spans="1:6" s="103" customFormat="1">
      <c r="A274" s="199" t="s">
        <v>113</v>
      </c>
      <c r="B274" s="103" t="s">
        <v>193</v>
      </c>
      <c r="C274" s="238">
        <f>C272+C19</f>
        <v>7.0200000000000005</v>
      </c>
      <c r="E274" s="100">
        <f>C278</f>
        <v>12.420000000000002</v>
      </c>
      <c r="F274" s="67">
        <f>B279</f>
        <v>-144.79266508379894</v>
      </c>
    </row>
    <row r="275" spans="1:6" s="103" customFormat="1">
      <c r="A275" s="199"/>
      <c r="B275" s="69">
        <f>B273-F24*C19</f>
        <v>-279.80349906890126</v>
      </c>
      <c r="C275" s="238"/>
      <c r="E275" s="100">
        <f>C280</f>
        <v>12.420000000000002</v>
      </c>
      <c r="F275" s="71">
        <f>F268</f>
        <v>0</v>
      </c>
    </row>
    <row r="276" spans="1:6" s="103" customFormat="1">
      <c r="A276" s="199" t="s">
        <v>115</v>
      </c>
      <c r="B276" s="103" t="s">
        <v>116</v>
      </c>
      <c r="C276" s="238">
        <f>C274</f>
        <v>7.0200000000000005</v>
      </c>
    </row>
    <row r="277" spans="1:6" s="103" customFormat="1">
      <c r="A277" s="199"/>
      <c r="B277" s="69">
        <f>B275+SUM(B255:B256)</f>
        <v>78.987334916201064</v>
      </c>
      <c r="C277" s="238"/>
    </row>
    <row r="278" spans="1:6" s="103" customFormat="1">
      <c r="A278" s="199" t="s">
        <v>117</v>
      </c>
      <c r="B278" s="103" t="s">
        <v>194</v>
      </c>
      <c r="C278" s="238">
        <f>C276+C17</f>
        <v>12.420000000000002</v>
      </c>
    </row>
    <row r="279" spans="1:6" s="103" customFormat="1">
      <c r="A279" s="199"/>
      <c r="B279" s="69">
        <f>B277-F25*C17-C16</f>
        <v>-144.79266508379894</v>
      </c>
      <c r="C279" s="238"/>
    </row>
    <row r="280" spans="1:6" s="103" customFormat="1">
      <c r="A280" s="199" t="s">
        <v>119</v>
      </c>
      <c r="B280" s="103" t="s">
        <v>121</v>
      </c>
      <c r="C280" s="238">
        <f>C278</f>
        <v>12.420000000000002</v>
      </c>
    </row>
    <row r="281" spans="1:6" s="103" customFormat="1">
      <c r="A281" s="199"/>
      <c r="B281" s="69">
        <f>B279+B257</f>
        <v>0</v>
      </c>
      <c r="C281" s="238"/>
    </row>
    <row r="282" spans="1:6" s="103" customFormat="1">
      <c r="B282" s="100" t="str">
        <f>IF(B281=0,"OKE", "NOT OKE")</f>
        <v>OKE</v>
      </c>
    </row>
    <row r="283" spans="1:6" s="103" customFormat="1"/>
    <row r="284" spans="1:6" s="103" customFormat="1"/>
    <row r="285" spans="1:6" s="103" customFormat="1"/>
    <row r="286" spans="1:6" s="103" customFormat="1"/>
    <row r="287" spans="1:6" s="103" customFormat="1"/>
    <row r="288" spans="1:6" s="103" customFormat="1"/>
    <row r="289" spans="1:10" s="103" customFormat="1"/>
    <row r="290" spans="1:10" s="103" customFormat="1"/>
    <row r="291" spans="1:10" s="103" customFormat="1"/>
    <row r="292" spans="1:10" s="103" customFormat="1"/>
    <row r="293" spans="1:10" s="103" customFormat="1"/>
    <row r="294" spans="1:10" s="103" customFormat="1"/>
    <row r="295" spans="1:10" s="103" customFormat="1"/>
    <row r="296" spans="1:10" s="103" customFormat="1"/>
    <row r="297" spans="1:10" s="103" customFormat="1"/>
    <row r="298" spans="1:10" s="95" customFormat="1">
      <c r="A298" s="94" t="s">
        <v>128</v>
      </c>
      <c r="C298" s="94" t="s">
        <v>129</v>
      </c>
      <c r="D298" s="96"/>
    </row>
    <row r="299" spans="1:10" s="103" customFormat="1" ht="15.75" thickBot="1"/>
    <row r="300" spans="1:10" s="103" customFormat="1">
      <c r="A300" s="78" t="s">
        <v>52</v>
      </c>
      <c r="B300" s="79"/>
      <c r="C300" s="79"/>
      <c r="D300" s="79"/>
      <c r="E300" s="79"/>
      <c r="F300" s="79"/>
      <c r="G300" s="79"/>
      <c r="H300" s="79"/>
      <c r="I300" s="79"/>
      <c r="J300" s="57"/>
    </row>
    <row r="301" spans="1:10" s="103" customFormat="1">
      <c r="A301" s="105" t="s">
        <v>130</v>
      </c>
      <c r="B301" s="72" t="s">
        <v>131</v>
      </c>
      <c r="C301" s="106"/>
      <c r="D301" s="106"/>
      <c r="E301" s="106"/>
      <c r="F301" s="106"/>
      <c r="G301" s="106"/>
      <c r="H301" s="106"/>
      <c r="I301" s="106"/>
      <c r="J301" s="47"/>
    </row>
    <row r="302" spans="1:10" s="103" customFormat="1">
      <c r="A302" s="105"/>
      <c r="B302" s="101">
        <f>-E252</f>
        <v>-51.953350223463694</v>
      </c>
      <c r="C302" s="106"/>
      <c r="D302" s="106"/>
      <c r="E302" s="106"/>
      <c r="F302" s="106"/>
      <c r="G302" s="106"/>
      <c r="H302" s="106"/>
      <c r="I302" s="106"/>
      <c r="J302" s="47"/>
    </row>
    <row r="303" spans="1:10" s="103" customFormat="1">
      <c r="A303" s="105" t="s">
        <v>195</v>
      </c>
      <c r="B303" s="106" t="s">
        <v>105</v>
      </c>
      <c r="C303" s="106"/>
      <c r="D303" s="106"/>
      <c r="E303" s="106"/>
      <c r="F303" s="106"/>
      <c r="G303" s="106"/>
      <c r="H303" s="106"/>
      <c r="I303" s="106"/>
      <c r="J303" s="47"/>
    </row>
    <row r="304" spans="1:10" s="103" customFormat="1">
      <c r="A304" s="105"/>
      <c r="B304" s="102">
        <f>E253</f>
        <v>-39.099048435754199</v>
      </c>
      <c r="C304" s="106"/>
      <c r="D304" s="106"/>
      <c r="E304" s="106"/>
      <c r="F304" s="106"/>
      <c r="G304" s="106"/>
      <c r="H304" s="106"/>
      <c r="I304" s="106"/>
      <c r="J304" s="47"/>
    </row>
    <row r="305" spans="1:10" s="103" customFormat="1">
      <c r="A305" s="105"/>
      <c r="B305" s="106"/>
      <c r="C305" s="106"/>
      <c r="D305" s="106"/>
      <c r="E305" s="106"/>
      <c r="F305" s="106"/>
      <c r="G305" s="106"/>
      <c r="H305" s="106"/>
      <c r="I305" s="106"/>
      <c r="J305" s="47"/>
    </row>
    <row r="306" spans="1:10" s="103" customFormat="1">
      <c r="A306" s="91" t="s">
        <v>133</v>
      </c>
      <c r="B306" s="106"/>
      <c r="C306" s="106"/>
      <c r="D306" s="106"/>
      <c r="E306" s="106"/>
      <c r="F306" s="106"/>
      <c r="G306" s="106"/>
      <c r="H306" s="106"/>
      <c r="I306" s="106"/>
      <c r="J306" s="47"/>
    </row>
    <row r="307" spans="1:10" s="103" customFormat="1" ht="15.75" thickBot="1">
      <c r="A307" s="105" t="s">
        <v>134</v>
      </c>
      <c r="B307" s="106" t="s">
        <v>196</v>
      </c>
      <c r="C307" s="106"/>
      <c r="D307" s="106"/>
      <c r="E307" s="106"/>
      <c r="F307" s="106"/>
      <c r="G307" s="106"/>
      <c r="H307" s="106"/>
      <c r="I307" s="106"/>
      <c r="J307" s="47"/>
    </row>
    <row r="308" spans="1:10" s="103" customFormat="1" ht="15.75" thickBot="1">
      <c r="A308" s="52" t="s">
        <v>134</v>
      </c>
      <c r="B308" s="77">
        <f>B252/F23</f>
        <v>2.7933500492934606</v>
      </c>
      <c r="C308" s="54" t="s">
        <v>6</v>
      </c>
      <c r="D308" s="106"/>
      <c r="E308" s="106"/>
      <c r="F308" s="106"/>
      <c r="G308" s="106"/>
      <c r="H308" s="106"/>
      <c r="I308" s="106"/>
      <c r="J308" s="47"/>
    </row>
    <row r="309" spans="1:10" s="103" customFormat="1">
      <c r="A309" s="105" t="s">
        <v>135</v>
      </c>
      <c r="B309" s="106" t="s">
        <v>138</v>
      </c>
      <c r="C309" s="106" t="s">
        <v>66</v>
      </c>
      <c r="D309" s="106" t="s">
        <v>79</v>
      </c>
      <c r="E309" s="106">
        <v>0.5</v>
      </c>
      <c r="F309" s="106" t="s">
        <v>1</v>
      </c>
      <c r="G309" s="106" t="s">
        <v>137</v>
      </c>
      <c r="H309" s="106" t="s">
        <v>79</v>
      </c>
      <c r="I309" s="106" t="s">
        <v>78</v>
      </c>
      <c r="J309" s="47"/>
    </row>
    <row r="310" spans="1:10" s="103" customFormat="1" ht="15.75" thickBot="1">
      <c r="A310" s="105"/>
      <c r="B310" s="75">
        <f>B252</f>
        <v>71.23042625698325</v>
      </c>
      <c r="C310" s="56">
        <f>B308</f>
        <v>2.7933500492934606</v>
      </c>
      <c r="D310" s="106" t="s">
        <v>79</v>
      </c>
      <c r="E310" s="106">
        <f>E309</f>
        <v>0.5</v>
      </c>
      <c r="F310" s="106">
        <f>F23</f>
        <v>25.5</v>
      </c>
      <c r="G310" s="56">
        <f>C310^2</f>
        <v>7.8028044978877791</v>
      </c>
      <c r="H310" s="106" t="s">
        <v>79</v>
      </c>
      <c r="I310" s="197">
        <f>B302</f>
        <v>-51.953350223463694</v>
      </c>
      <c r="J310" s="198"/>
    </row>
    <row r="311" spans="1:10" s="103" customFormat="1" ht="15.75" thickBot="1">
      <c r="A311" s="52" t="s">
        <v>135</v>
      </c>
      <c r="B311" s="76">
        <f>B310*C310-E310*F310*G310-I310</f>
        <v>151.43910757153287</v>
      </c>
      <c r="C311" s="54" t="s">
        <v>139</v>
      </c>
      <c r="D311" s="49"/>
      <c r="E311" s="49"/>
      <c r="F311" s="49"/>
      <c r="G311" s="49"/>
      <c r="H311" s="49"/>
      <c r="I311" s="49"/>
      <c r="J311" s="51"/>
    </row>
    <row r="312" spans="1:10" s="103" customFormat="1" ht="15.75" thickBot="1"/>
    <row r="313" spans="1:10" s="103" customFormat="1">
      <c r="A313" s="78" t="s">
        <v>140</v>
      </c>
      <c r="B313" s="79"/>
      <c r="C313" s="79"/>
      <c r="D313" s="79"/>
      <c r="E313" s="79"/>
      <c r="F313" s="79"/>
      <c r="G313" s="79"/>
      <c r="H313" s="79"/>
      <c r="I313" s="79"/>
      <c r="J313" s="57"/>
    </row>
    <row r="314" spans="1:10" s="103" customFormat="1" ht="15.75" thickBot="1">
      <c r="A314" s="147" t="s">
        <v>197</v>
      </c>
      <c r="B314" s="49"/>
      <c r="C314" s="49"/>
      <c r="D314" s="49"/>
      <c r="E314" s="49"/>
      <c r="F314" s="49"/>
      <c r="G314" s="49"/>
      <c r="H314" s="49"/>
      <c r="I314" s="49"/>
      <c r="J314" s="51"/>
    </row>
    <row r="315" spans="1:10" s="103" customFormat="1" ht="15.75" thickBot="1"/>
    <row r="316" spans="1:10" s="103" customFormat="1">
      <c r="A316" s="78" t="s">
        <v>147</v>
      </c>
      <c r="B316" s="79"/>
      <c r="C316" s="79"/>
      <c r="D316" s="79"/>
      <c r="E316" s="79"/>
      <c r="F316" s="79"/>
      <c r="G316" s="79"/>
      <c r="H316" s="79"/>
      <c r="I316" s="79"/>
      <c r="J316" s="57"/>
    </row>
    <row r="317" spans="1:10" s="103" customFormat="1">
      <c r="A317" s="105" t="s">
        <v>132</v>
      </c>
      <c r="B317" s="72" t="s">
        <v>142</v>
      </c>
      <c r="C317" s="106"/>
      <c r="D317" s="106"/>
      <c r="E317" s="106"/>
      <c r="F317" s="106"/>
      <c r="G317" s="106"/>
      <c r="H317" s="106"/>
      <c r="I317" s="106"/>
      <c r="J317" s="47"/>
    </row>
    <row r="318" spans="1:10" s="103" customFormat="1">
      <c r="A318" s="105"/>
      <c r="B318" s="102">
        <f>-E256</f>
        <v>10.773594301675971</v>
      </c>
      <c r="C318" s="106"/>
      <c r="D318" s="106"/>
      <c r="E318" s="106"/>
      <c r="F318" s="106"/>
      <c r="G318" s="106"/>
      <c r="H318" s="106"/>
      <c r="I318" s="106"/>
      <c r="J318" s="47"/>
    </row>
    <row r="319" spans="1:10" s="103" customFormat="1">
      <c r="A319" s="105" t="s">
        <v>143</v>
      </c>
      <c r="B319" s="106" t="s">
        <v>107</v>
      </c>
      <c r="C319" s="106"/>
      <c r="D319" s="106"/>
      <c r="E319" s="106"/>
      <c r="F319" s="106"/>
      <c r="G319" s="106"/>
      <c r="H319" s="106"/>
      <c r="I319" s="106"/>
      <c r="J319" s="47"/>
    </row>
    <row r="320" spans="1:10" s="103" customFormat="1">
      <c r="A320" s="105"/>
      <c r="B320" s="102">
        <f>E257</f>
        <v>-166.900797150838</v>
      </c>
      <c r="C320" s="106"/>
      <c r="D320" s="106"/>
      <c r="E320" s="106"/>
      <c r="F320" s="106"/>
      <c r="G320" s="106"/>
      <c r="H320" s="106"/>
      <c r="I320" s="106"/>
      <c r="J320" s="47"/>
    </row>
    <row r="321" spans="1:10" s="103" customFormat="1">
      <c r="A321" s="105"/>
      <c r="B321" s="106"/>
      <c r="C321" s="106"/>
      <c r="D321" s="106"/>
      <c r="E321" s="106"/>
      <c r="F321" s="106"/>
      <c r="G321" s="106"/>
      <c r="H321" s="106"/>
      <c r="I321" s="106"/>
      <c r="J321" s="47"/>
    </row>
    <row r="322" spans="1:10" s="103" customFormat="1">
      <c r="A322" s="91" t="s">
        <v>133</v>
      </c>
      <c r="B322" s="106"/>
      <c r="C322" s="106"/>
      <c r="D322" s="106"/>
      <c r="E322" s="106"/>
      <c r="F322" s="106"/>
      <c r="G322" s="106"/>
      <c r="H322" s="106"/>
      <c r="I322" s="106"/>
      <c r="J322" s="47"/>
    </row>
    <row r="323" spans="1:10" s="103" customFormat="1" ht="15.75" thickBot="1">
      <c r="A323" s="105" t="s">
        <v>134</v>
      </c>
      <c r="B323" s="106" t="s">
        <v>198</v>
      </c>
      <c r="C323" s="106"/>
      <c r="D323" s="106"/>
      <c r="E323" s="106"/>
      <c r="F323" s="106"/>
      <c r="G323" s="106"/>
      <c r="H323" s="106"/>
      <c r="I323" s="106"/>
      <c r="J323" s="47"/>
    </row>
    <row r="324" spans="1:10" s="103" customFormat="1" ht="15.75" thickBot="1">
      <c r="A324" s="52" t="s">
        <v>134</v>
      </c>
      <c r="B324" s="77">
        <f>B256/F25</f>
        <v>2.2125303898095554</v>
      </c>
      <c r="C324" s="54" t="s">
        <v>6</v>
      </c>
      <c r="D324" s="106"/>
      <c r="E324" s="106"/>
      <c r="F324" s="106"/>
      <c r="G324" s="106"/>
      <c r="H324" s="106"/>
      <c r="I324" s="106"/>
      <c r="J324" s="47"/>
    </row>
    <row r="325" spans="1:10" s="103" customFormat="1">
      <c r="A325" s="105" t="s">
        <v>135</v>
      </c>
      <c r="B325" s="106" t="s">
        <v>144</v>
      </c>
      <c r="C325" s="106" t="s">
        <v>66</v>
      </c>
      <c r="D325" s="106" t="s">
        <v>79</v>
      </c>
      <c r="E325" s="106">
        <v>0.5</v>
      </c>
      <c r="F325" s="106" t="s">
        <v>199</v>
      </c>
      <c r="G325" s="106" t="s">
        <v>137</v>
      </c>
      <c r="H325" s="106" t="s">
        <v>79</v>
      </c>
      <c r="I325" s="106" t="s">
        <v>108</v>
      </c>
      <c r="J325" s="47"/>
    </row>
    <row r="326" spans="1:10" s="103" customFormat="1" ht="15.75" thickBot="1">
      <c r="A326" s="105"/>
      <c r="B326" s="75">
        <f>B256</f>
        <v>78.987334916201121</v>
      </c>
      <c r="C326" s="56">
        <f>B324</f>
        <v>2.2125303898095554</v>
      </c>
      <c r="D326" s="106" t="s">
        <v>79</v>
      </c>
      <c r="E326" s="106">
        <f>E325</f>
        <v>0.5</v>
      </c>
      <c r="F326" s="106">
        <f>F25</f>
        <v>35.699999999999996</v>
      </c>
      <c r="G326" s="56">
        <f>C326^2</f>
        <v>4.8952907258308231</v>
      </c>
      <c r="H326" s="106" t="s">
        <v>79</v>
      </c>
      <c r="I326" s="195">
        <f>B320</f>
        <v>-166.900797150838</v>
      </c>
      <c r="J326" s="196"/>
    </row>
    <row r="327" spans="1:10" s="103" customFormat="1" ht="15.75" thickBot="1">
      <c r="A327" s="52" t="s">
        <v>135</v>
      </c>
      <c r="B327" s="76">
        <f>B326*C326-E326*F326*G326-I326</f>
        <v>254.28173660691817</v>
      </c>
      <c r="C327" s="54" t="s">
        <v>139</v>
      </c>
      <c r="D327" s="49"/>
      <c r="E327" s="49"/>
      <c r="F327" s="49"/>
      <c r="G327" s="49"/>
      <c r="H327" s="49"/>
      <c r="I327" s="49"/>
      <c r="J327" s="51"/>
    </row>
    <row r="328" spans="1:10" s="103" customFormat="1"/>
    <row r="329" spans="1:10" s="103" customFormat="1"/>
    <row r="330" spans="1:10" s="103" customFormat="1">
      <c r="A330" s="100" t="s">
        <v>126</v>
      </c>
      <c r="B330" s="100" t="s">
        <v>102</v>
      </c>
    </row>
    <row r="331" spans="1:10" s="103" customFormat="1">
      <c r="A331" s="100">
        <f>0</f>
        <v>0</v>
      </c>
      <c r="B331" s="81">
        <f>B302</f>
        <v>-51.953350223463694</v>
      </c>
    </row>
    <row r="332" spans="1:10" s="103" customFormat="1">
      <c r="A332" s="14">
        <f>B308</f>
        <v>2.7933500492934606</v>
      </c>
      <c r="B332" s="82">
        <f>B311</f>
        <v>151.43910757153287</v>
      </c>
    </row>
    <row r="333" spans="1:10" s="103" customFormat="1">
      <c r="A333" s="100">
        <f>C17</f>
        <v>5.4</v>
      </c>
      <c r="B333" s="82">
        <f>E253</f>
        <v>-39.099048435754199</v>
      </c>
    </row>
    <row r="334" spans="1:10" s="103" customFormat="1">
      <c r="A334" s="100">
        <f>A333</f>
        <v>5.4</v>
      </c>
      <c r="B334" s="82">
        <f>E254</f>
        <v>-65.733838491620091</v>
      </c>
    </row>
    <row r="335" spans="1:10" s="103" customFormat="1">
      <c r="A335" s="14">
        <f>A334+C19</f>
        <v>7.0200000000000005</v>
      </c>
      <c r="B335" s="82">
        <f>E255</f>
        <v>-340.70229</v>
      </c>
    </row>
    <row r="336" spans="1:10" s="103" customFormat="1">
      <c r="A336" s="14">
        <f>A335</f>
        <v>7.0200000000000005</v>
      </c>
      <c r="B336" s="82">
        <f>E256</f>
        <v>-10.773594301675971</v>
      </c>
    </row>
    <row r="337" spans="1:2" s="103" customFormat="1">
      <c r="A337" s="14">
        <f>A336+B324</f>
        <v>9.2325303898095559</v>
      </c>
      <c r="B337" s="82">
        <f>B327</f>
        <v>254.28173660691817</v>
      </c>
    </row>
    <row r="338" spans="1:2" s="103" customFormat="1">
      <c r="A338" s="14">
        <f>A336+C17</f>
        <v>12.420000000000002</v>
      </c>
      <c r="B338" s="82">
        <f>E257</f>
        <v>-166.900797150838</v>
      </c>
    </row>
    <row r="339" spans="1:2" s="103" customFormat="1">
      <c r="A339" s="14">
        <f>A338</f>
        <v>12.420000000000002</v>
      </c>
      <c r="B339" s="82">
        <v>0</v>
      </c>
    </row>
    <row r="340" spans="1:2" s="103" customFormat="1"/>
    <row r="341" spans="1:2" s="103" customFormat="1"/>
    <row r="342" spans="1:2" s="103" customFormat="1"/>
    <row r="343" spans="1:2" s="103" customFormat="1"/>
    <row r="344" spans="1:2" s="103" customFormat="1"/>
    <row r="345" spans="1:2" s="103" customFormat="1"/>
    <row r="346" spans="1:2" s="103" customFormat="1"/>
  </sheetData>
  <mergeCells count="101">
    <mergeCell ref="F55:I55"/>
    <mergeCell ref="A67:B67"/>
    <mergeCell ref="F68:I68"/>
    <mergeCell ref="A80:B80"/>
    <mergeCell ref="F81:I81"/>
    <mergeCell ref="A137:A140"/>
    <mergeCell ref="B137:B140"/>
    <mergeCell ref="K27:K29"/>
    <mergeCell ref="B42:C42"/>
    <mergeCell ref="G42:H42"/>
    <mergeCell ref="B50:C50"/>
    <mergeCell ref="G50:H50"/>
    <mergeCell ref="A54:B54"/>
    <mergeCell ref="B161:B163"/>
    <mergeCell ref="D161:D163"/>
    <mergeCell ref="H161:H163"/>
    <mergeCell ref="B167:B169"/>
    <mergeCell ref="F167:F169"/>
    <mergeCell ref="B171:B173"/>
    <mergeCell ref="A143:A146"/>
    <mergeCell ref="B143:B146"/>
    <mergeCell ref="A149:A152"/>
    <mergeCell ref="B149:B152"/>
    <mergeCell ref="A155:A157"/>
    <mergeCell ref="B155:B157"/>
    <mergeCell ref="J200:K200"/>
    <mergeCell ref="J201:K201"/>
    <mergeCell ref="J202:K202"/>
    <mergeCell ref="J203:K203"/>
    <mergeCell ref="A177:A180"/>
    <mergeCell ref="B177:B180"/>
    <mergeCell ref="A182:A185"/>
    <mergeCell ref="B182:B185"/>
    <mergeCell ref="A187:A190"/>
    <mergeCell ref="B187:B190"/>
    <mergeCell ref="B205:B208"/>
    <mergeCell ref="F205:F208"/>
    <mergeCell ref="D205:D208"/>
    <mergeCell ref="B211:B214"/>
    <mergeCell ref="G211:G214"/>
    <mergeCell ref="I211:I214"/>
    <mergeCell ref="A194:A197"/>
    <mergeCell ref="B194:B197"/>
    <mergeCell ref="B200:B203"/>
    <mergeCell ref="G200:G203"/>
    <mergeCell ref="I200:I203"/>
    <mergeCell ref="J222:K222"/>
    <mergeCell ref="J223:K223"/>
    <mergeCell ref="J224:K224"/>
    <mergeCell ref="J225:K225"/>
    <mergeCell ref="J211:K211"/>
    <mergeCell ref="J212:K212"/>
    <mergeCell ref="J213:K213"/>
    <mergeCell ref="J214:K214"/>
    <mergeCell ref="B216:B219"/>
    <mergeCell ref="D216:D219"/>
    <mergeCell ref="F216:F219"/>
    <mergeCell ref="B227:B230"/>
    <mergeCell ref="D227:D230"/>
    <mergeCell ref="F227:F230"/>
    <mergeCell ref="A232:F232"/>
    <mergeCell ref="A233:C233"/>
    <mergeCell ref="D238:E238"/>
    <mergeCell ref="B222:B225"/>
    <mergeCell ref="G222:G225"/>
    <mergeCell ref="I222:I225"/>
    <mergeCell ref="G238:H238"/>
    <mergeCell ref="J239:K239"/>
    <mergeCell ref="J246:K246"/>
    <mergeCell ref="D247:E247"/>
    <mergeCell ref="G247:H247"/>
    <mergeCell ref="D248:E248"/>
    <mergeCell ref="G248:H248"/>
    <mergeCell ref="B243:D243"/>
    <mergeCell ref="E243:G243"/>
    <mergeCell ref="H243:I243"/>
    <mergeCell ref="E256:F256"/>
    <mergeCell ref="E257:F257"/>
    <mergeCell ref="A266:B266"/>
    <mergeCell ref="A268:A269"/>
    <mergeCell ref="C268:C269"/>
    <mergeCell ref="A270:A271"/>
    <mergeCell ref="C270:C271"/>
    <mergeCell ref="A251:B251"/>
    <mergeCell ref="D251:F251"/>
    <mergeCell ref="E252:F252"/>
    <mergeCell ref="E253:F253"/>
    <mergeCell ref="E254:F254"/>
    <mergeCell ref="E255:F255"/>
    <mergeCell ref="I326:J326"/>
    <mergeCell ref="A278:A279"/>
    <mergeCell ref="C278:C279"/>
    <mergeCell ref="A280:A281"/>
    <mergeCell ref="C280:C281"/>
    <mergeCell ref="I310:J310"/>
    <mergeCell ref="A272:A273"/>
    <mergeCell ref="C272:C273"/>
    <mergeCell ref="A274:A275"/>
    <mergeCell ref="C274:C275"/>
    <mergeCell ref="A276:A277"/>
    <mergeCell ref="C276:C277"/>
  </mergeCells>
  <conditionalFormatting sqref="G205:G208 G216:G219 G227:G230">
    <cfRule type="cellIs" dxfId="7" priority="6" operator="greaterThan">
      <formula>0</formula>
    </cfRule>
    <cfRule type="cellIs" dxfId="6" priority="7" operator="lessThan">
      <formula>0</formula>
    </cfRule>
  </conditionalFormatting>
  <conditionalFormatting sqref="F234">
    <cfRule type="containsText" dxfId="5" priority="1" operator="containsText" text="OKE">
      <formula>NOT(ISERROR(SEARCH("OKE",F234)))</formula>
    </cfRule>
  </conditionalFormatting>
  <pageMargins left="0.7" right="0.7" top="0.75" bottom="0.75" header="0.3" footer="0.3"/>
  <pageSetup paperSize="9" orientation="landscape" horizontalDpi="4294967293" verticalDpi="0" r:id="rId1"/>
  <drawing r:id="rId2"/>
  <legacyDrawing r:id="rId3"/>
  <oleObjects>
    <oleObject progId="Equation.3" shapeId="2086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1A</vt:lpstr>
      <vt:lpstr>1B new</vt:lpstr>
      <vt:lpstr>1B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Faried Sulistya</dc:creator>
  <cp:lastModifiedBy>Al-Gis</cp:lastModifiedBy>
  <cp:lastPrinted>2023-11-11T06:03:27Z</cp:lastPrinted>
  <dcterms:created xsi:type="dcterms:W3CDTF">2023-10-03T12:26:36Z</dcterms:created>
  <dcterms:modified xsi:type="dcterms:W3CDTF">2023-11-16T05:02:29Z</dcterms:modified>
</cp:coreProperties>
</file>