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drawings/drawing6.xml" ContentType="application/vnd.openxmlformats-officedocument.drawing+xml"/>
  <Override PartName="/xl/tables/table13.xml" ContentType="application/vnd.openxmlformats-officedocument.spreadsheetml.table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onan\Downloads\"/>
    </mc:Choice>
  </mc:AlternateContent>
  <xr:revisionPtr revIDLastSave="0" documentId="13_ncr:1_{76E92D05-52D4-47C6-8E91-D8198AF82CA1}" xr6:coauthVersionLast="47" xr6:coauthVersionMax="47" xr10:uidLastSave="{00000000-0000-0000-0000-000000000000}"/>
  <bookViews>
    <workbookView xWindow="51480" yWindow="5175" windowWidth="29040" windowHeight="15720" firstSheet="5" activeTab="5" xr2:uid="{00000000-000D-0000-FFFF-FFFF00000000}"/>
  </bookViews>
  <sheets>
    <sheet name="Voldis" sheetId="2" state="hidden" r:id="rId1"/>
    <sheet name="Serca Old" sheetId="4" state="hidden" r:id="rId2"/>
    <sheet name="Serca2" sheetId="5" state="hidden" r:id="rId3"/>
    <sheet name="Serca3 V1" sheetId="6" state="hidden" r:id="rId4"/>
    <sheet name="Serca - Mina RIP" sheetId="7" state="hidden" r:id="rId5"/>
    <sheet name="Serca+Cath" sheetId="10" r:id="rId6"/>
    <sheet name="Behemoth" sheetId="13" state="hidden" r:id="rId7"/>
    <sheet name="SHAZA" sheetId="14" state="hidden" r:id="rId8"/>
    <sheet name="3Man Equalizer" sheetId="15" state="hidden" r:id="rId9"/>
    <sheet name="Money" sheetId="16" state="hidden" r:id="rId10"/>
    <sheet name="Clownium" sheetId="17" state="hidden" r:id="rId11"/>
    <sheet name="3Man Equalizer (Wish)" sheetId="18" state="hidden" r:id="rId12"/>
    <sheet name="Marcel" sheetId="20" r:id="rId13"/>
    <sheet name="Charlie" sheetId="21" state="hidden" r:id="rId14"/>
    <sheet name="Alx" sheetId="22" state="hidden" r:id="rId15"/>
    <sheet name="Delay" sheetId="23" r:id="rId16"/>
    <sheet name="Ghonty" sheetId="24" r:id="rId17"/>
    <sheet name="Mina" sheetId="25" state="hidden" r:id="rId18"/>
    <sheet name="Vierazy" sheetId="26" r:id="rId19"/>
    <sheet name="Faal" sheetId="27" r:id="rId20"/>
    <sheet name="Nonna" sheetId="28" r:id="rId21"/>
    <sheet name="Mawino" sheetId="29" r:id="rId22"/>
    <sheet name="Debt and Taxes" sheetId="30" state="hidden" r:id="rId23"/>
    <sheet name="PugReview" sheetId="31" state="hidden" r:id="rId24"/>
    <sheet name="Sophster" sheetId="32" state="hidden" r:id="rId25"/>
    <sheet name="Bendy" sheetId="33" state="hidden" r:id="rId26"/>
    <sheet name="Wish" sheetId="34" r:id="rId27"/>
    <sheet name="chars" sheetId="35" r:id="rId28"/>
    <sheet name="DATES" sheetId="36" state="hidden" r:id="rId29"/>
    <sheet name="data" sheetId="37" state="hidden" r:id="rId30"/>
  </sheets>
  <definedNames>
    <definedName name="_xlnm._FilterDatabase" localSheetId="28" hidden="1">DATES!$P$3:$W$26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36" l="1"/>
  <c r="I37" i="36"/>
  <c r="H37" i="36"/>
  <c r="G37" i="36"/>
  <c r="F37" i="36"/>
  <c r="E37" i="36"/>
  <c r="D37" i="36"/>
  <c r="C37" i="36"/>
  <c r="J36" i="36"/>
  <c r="I36" i="36"/>
  <c r="H36" i="36"/>
  <c r="G36" i="36"/>
  <c r="F36" i="36"/>
  <c r="E36" i="36"/>
  <c r="D36" i="36"/>
  <c r="C36" i="36"/>
  <c r="J34" i="36"/>
  <c r="I34" i="36"/>
  <c r="H34" i="36"/>
  <c r="G34" i="36"/>
  <c r="F34" i="36"/>
  <c r="E34" i="36"/>
  <c r="D34" i="36"/>
  <c r="C34" i="36"/>
  <c r="J33" i="36"/>
  <c r="I33" i="36"/>
  <c r="H33" i="36"/>
  <c r="G33" i="36"/>
  <c r="F33" i="36"/>
  <c r="E33" i="36"/>
  <c r="D33" i="36"/>
  <c r="C33" i="36"/>
  <c r="J31" i="36"/>
  <c r="I31" i="36"/>
  <c r="H31" i="36"/>
  <c r="G31" i="36"/>
  <c r="F31" i="36"/>
  <c r="E31" i="36"/>
  <c r="D31" i="36"/>
  <c r="C31" i="36"/>
  <c r="J30" i="36"/>
  <c r="I30" i="36"/>
  <c r="H30" i="36"/>
  <c r="G30" i="36"/>
  <c r="F30" i="36"/>
  <c r="E30" i="36"/>
  <c r="D30" i="36"/>
  <c r="C30" i="36"/>
  <c r="J27" i="36"/>
  <c r="I27" i="36"/>
  <c r="H27" i="36"/>
  <c r="G27" i="36"/>
  <c r="F27" i="36"/>
  <c r="E27" i="36"/>
  <c r="D27" i="36"/>
  <c r="C27" i="36"/>
  <c r="Q26" i="36"/>
  <c r="J26" i="36"/>
  <c r="I26" i="36"/>
  <c r="H26" i="36"/>
  <c r="G26" i="36"/>
  <c r="F26" i="36"/>
  <c r="E26" i="36"/>
  <c r="D26" i="36"/>
  <c r="C26" i="36"/>
  <c r="Q25" i="36"/>
  <c r="Q24" i="36"/>
  <c r="J24" i="36"/>
  <c r="I24" i="36"/>
  <c r="H24" i="36"/>
  <c r="G24" i="36"/>
  <c r="F24" i="36"/>
  <c r="E24" i="36"/>
  <c r="D24" i="36"/>
  <c r="C24" i="36"/>
  <c r="Q23" i="36"/>
  <c r="J23" i="36"/>
  <c r="I23" i="36"/>
  <c r="H23" i="36"/>
  <c r="G23" i="36"/>
  <c r="F23" i="36"/>
  <c r="E23" i="36"/>
  <c r="D23" i="36"/>
  <c r="C23" i="36"/>
  <c r="Q22" i="36"/>
  <c r="Q21" i="36"/>
  <c r="J21" i="36"/>
  <c r="H21" i="36"/>
  <c r="G21" i="36"/>
  <c r="E21" i="36"/>
  <c r="D21" i="36"/>
  <c r="C21" i="36"/>
  <c r="Q20" i="36"/>
  <c r="J20" i="36"/>
  <c r="H20" i="36"/>
  <c r="G20" i="36"/>
  <c r="E20" i="36"/>
  <c r="D20" i="36"/>
  <c r="C20" i="36"/>
  <c r="Q19" i="36"/>
  <c r="Q18" i="36"/>
  <c r="J18" i="36"/>
  <c r="I18" i="36"/>
  <c r="H18" i="36"/>
  <c r="E18" i="36"/>
  <c r="D18" i="36"/>
  <c r="C18" i="36"/>
  <c r="Q17" i="36"/>
  <c r="J17" i="36"/>
  <c r="I17" i="36"/>
  <c r="H17" i="36"/>
  <c r="G17" i="36"/>
  <c r="E17" i="36"/>
  <c r="D17" i="36"/>
  <c r="C17" i="36"/>
  <c r="Q16" i="36"/>
  <c r="Q15" i="36"/>
  <c r="J15" i="36"/>
  <c r="I15" i="36"/>
  <c r="H15" i="36"/>
  <c r="G15" i="36"/>
  <c r="E15" i="36"/>
  <c r="D15" i="36"/>
  <c r="C15" i="36"/>
  <c r="Q14" i="36"/>
  <c r="J14" i="36"/>
  <c r="I14" i="36"/>
  <c r="H14" i="36"/>
  <c r="G14" i="36"/>
  <c r="E14" i="36"/>
  <c r="D14" i="36"/>
  <c r="C14" i="36"/>
  <c r="Q13" i="36"/>
  <c r="Q12" i="36"/>
  <c r="Q11" i="36"/>
  <c r="J11" i="36"/>
  <c r="H11" i="36"/>
  <c r="G11" i="36"/>
  <c r="E11" i="36"/>
  <c r="D11" i="36"/>
  <c r="C11" i="36"/>
  <c r="Q10" i="36"/>
  <c r="J10" i="36"/>
  <c r="H10" i="36"/>
  <c r="G10" i="36"/>
  <c r="E10" i="36"/>
  <c r="D10" i="36"/>
  <c r="C10" i="36"/>
  <c r="Q9" i="36"/>
  <c r="Q8" i="36"/>
  <c r="J8" i="36"/>
  <c r="H8" i="36"/>
  <c r="G8" i="36"/>
  <c r="E8" i="36"/>
  <c r="D8" i="36"/>
  <c r="C8" i="36"/>
  <c r="Q7" i="36"/>
  <c r="J7" i="36"/>
  <c r="I7" i="36"/>
  <c r="H7" i="36"/>
  <c r="G7" i="36"/>
  <c r="D7" i="36"/>
  <c r="C7" i="36"/>
  <c r="Q6" i="36"/>
  <c r="Q5" i="36"/>
  <c r="J5" i="36"/>
  <c r="I5" i="36"/>
  <c r="H5" i="36"/>
  <c r="D5" i="36"/>
  <c r="C5" i="36"/>
  <c r="Q4" i="36"/>
  <c r="J4" i="36"/>
  <c r="I4" i="36"/>
  <c r="H4" i="36"/>
  <c r="G4" i="36"/>
  <c r="D4" i="36"/>
  <c r="C4" i="36"/>
  <c r="B6" i="30"/>
  <c r="B2" i="30" s="1"/>
  <c r="D2" i="30"/>
  <c r="C2" i="30"/>
  <c r="D39" i="18"/>
  <c r="C39" i="18"/>
  <c r="B39" i="18"/>
  <c r="D38" i="18"/>
  <c r="D40" i="18" s="1"/>
  <c r="C38" i="18"/>
  <c r="C40" i="18" s="1"/>
  <c r="B38" i="18"/>
  <c r="B40" i="18" s="1"/>
  <c r="H16" i="18" s="1"/>
  <c r="H17" i="18" s="1"/>
  <c r="J19" i="18"/>
  <c r="I19" i="18"/>
  <c r="H19" i="18"/>
  <c r="F52" i="17"/>
  <c r="E52" i="17"/>
  <c r="D52" i="17"/>
  <c r="C52" i="17"/>
  <c r="F51" i="17"/>
  <c r="E51" i="17"/>
  <c r="D51" i="17"/>
  <c r="C51" i="17"/>
  <c r="F48" i="17"/>
  <c r="E48" i="17"/>
  <c r="D48" i="17"/>
  <c r="C48" i="17"/>
  <c r="F47" i="17"/>
  <c r="E47" i="17"/>
  <c r="D47" i="17"/>
  <c r="C47" i="17"/>
  <c r="F44" i="17"/>
  <c r="E44" i="17"/>
  <c r="D44" i="17"/>
  <c r="C44" i="17"/>
  <c r="F43" i="17"/>
  <c r="E43" i="17"/>
  <c r="D43" i="17"/>
  <c r="C43" i="17"/>
  <c r="F40" i="17"/>
  <c r="E40" i="17"/>
  <c r="D40" i="17"/>
  <c r="C40" i="17"/>
  <c r="F39" i="17"/>
  <c r="E39" i="17"/>
  <c r="D39" i="17"/>
  <c r="C39" i="17"/>
  <c r="F36" i="17"/>
  <c r="E36" i="17"/>
  <c r="D36" i="17"/>
  <c r="C36" i="17"/>
  <c r="F35" i="17"/>
  <c r="E35" i="17"/>
  <c r="D35" i="17"/>
  <c r="C35" i="17"/>
  <c r="F32" i="17"/>
  <c r="E32" i="17"/>
  <c r="D32" i="17"/>
  <c r="C32" i="17"/>
  <c r="F31" i="17"/>
  <c r="E31" i="17"/>
  <c r="D31" i="17"/>
  <c r="C31" i="17"/>
  <c r="F28" i="17"/>
  <c r="E28" i="17"/>
  <c r="D28" i="17"/>
  <c r="C28" i="17"/>
  <c r="F27" i="17"/>
  <c r="E27" i="17"/>
  <c r="D27" i="17"/>
  <c r="C27" i="17"/>
  <c r="D24" i="17"/>
  <c r="C24" i="17"/>
  <c r="D23" i="17"/>
  <c r="C23" i="17"/>
  <c r="D20" i="17"/>
  <c r="C20" i="17"/>
  <c r="D19" i="17"/>
  <c r="C19" i="17"/>
  <c r="D16" i="17"/>
  <c r="C16" i="17"/>
  <c r="D15" i="17"/>
  <c r="C15" i="17"/>
  <c r="D12" i="17"/>
  <c r="C12" i="17"/>
  <c r="D11" i="17"/>
  <c r="C11" i="17"/>
  <c r="D8" i="17"/>
  <c r="C8" i="17"/>
  <c r="D7" i="17"/>
  <c r="C7" i="17"/>
  <c r="D4" i="17"/>
  <c r="C4" i="17"/>
  <c r="D3" i="17"/>
  <c r="C3" i="17"/>
  <c r="F73" i="16"/>
  <c r="E73" i="16"/>
  <c r="D73" i="16"/>
  <c r="C73" i="16"/>
  <c r="E72" i="16"/>
  <c r="D72" i="16"/>
  <c r="C72" i="16"/>
  <c r="F69" i="16"/>
  <c r="E69" i="16"/>
  <c r="D69" i="16"/>
  <c r="C69" i="16"/>
  <c r="E68" i="16"/>
  <c r="D68" i="16"/>
  <c r="C68" i="16"/>
  <c r="F65" i="16"/>
  <c r="E65" i="16"/>
  <c r="D65" i="16"/>
  <c r="C65" i="16"/>
  <c r="E64" i="16"/>
  <c r="D64" i="16"/>
  <c r="C64" i="16"/>
  <c r="E58" i="16"/>
  <c r="D58" i="16"/>
  <c r="C58" i="16"/>
  <c r="E57" i="16"/>
  <c r="D57" i="16"/>
  <c r="C57" i="16"/>
  <c r="E54" i="16"/>
  <c r="D54" i="16"/>
  <c r="C54" i="16"/>
  <c r="E53" i="16"/>
  <c r="D53" i="16"/>
  <c r="C53" i="16"/>
  <c r="F50" i="16"/>
  <c r="E50" i="16"/>
  <c r="D50" i="16"/>
  <c r="C50" i="16"/>
  <c r="F49" i="16"/>
  <c r="E49" i="16"/>
  <c r="D49" i="16"/>
  <c r="C49" i="16"/>
  <c r="F46" i="16"/>
  <c r="E46" i="16"/>
  <c r="D46" i="16"/>
  <c r="C46" i="16"/>
  <c r="F45" i="16"/>
  <c r="E45" i="16"/>
  <c r="D45" i="16"/>
  <c r="C45" i="16"/>
  <c r="F42" i="16"/>
  <c r="E42" i="16"/>
  <c r="D42" i="16"/>
  <c r="C42" i="16"/>
  <c r="F41" i="16"/>
  <c r="E41" i="16"/>
  <c r="D41" i="16"/>
  <c r="C41" i="16"/>
  <c r="F38" i="16"/>
  <c r="E38" i="16"/>
  <c r="D38" i="16"/>
  <c r="C38" i="16"/>
  <c r="F37" i="16"/>
  <c r="E37" i="16"/>
  <c r="D37" i="16"/>
  <c r="C37" i="16"/>
  <c r="F31" i="16"/>
  <c r="E31" i="16"/>
  <c r="D31" i="16"/>
  <c r="C31" i="16"/>
  <c r="F30" i="16"/>
  <c r="E30" i="16"/>
  <c r="D30" i="16"/>
  <c r="C30" i="16"/>
  <c r="F27" i="16"/>
  <c r="E27" i="16"/>
  <c r="D27" i="16"/>
  <c r="C27" i="16"/>
  <c r="F26" i="16"/>
  <c r="E26" i="16"/>
  <c r="D26" i="16"/>
  <c r="C26" i="16"/>
  <c r="F23" i="16"/>
  <c r="E23" i="16"/>
  <c r="D23" i="16"/>
  <c r="C23" i="16"/>
  <c r="F22" i="16"/>
  <c r="E22" i="16"/>
  <c r="D22" i="16"/>
  <c r="C22" i="16"/>
  <c r="E16" i="16"/>
  <c r="D16" i="16"/>
  <c r="C16" i="16"/>
  <c r="E15" i="16"/>
  <c r="D15" i="16"/>
  <c r="C15" i="16"/>
  <c r="F12" i="16"/>
  <c r="E12" i="16"/>
  <c r="D12" i="16"/>
  <c r="C12" i="16"/>
  <c r="I11" i="16"/>
  <c r="F11" i="16"/>
  <c r="E11" i="16"/>
  <c r="D11" i="16"/>
  <c r="C11" i="16"/>
  <c r="E8" i="16"/>
  <c r="D8" i="16"/>
  <c r="C8" i="16"/>
  <c r="K7" i="16"/>
  <c r="J7" i="16"/>
  <c r="I7" i="16"/>
  <c r="E7" i="16"/>
  <c r="D7" i="16"/>
  <c r="C7" i="16"/>
  <c r="M4" i="16"/>
  <c r="L4" i="16"/>
  <c r="K4" i="16"/>
  <c r="J4" i="16"/>
  <c r="E4" i="16"/>
  <c r="D4" i="16"/>
  <c r="C4" i="16"/>
  <c r="M3" i="16"/>
  <c r="L3" i="16"/>
  <c r="K3" i="16"/>
  <c r="J3" i="16"/>
  <c r="E3" i="16"/>
  <c r="D3" i="16"/>
  <c r="C3" i="16"/>
  <c r="C40" i="15"/>
  <c r="B40" i="15"/>
  <c r="D39" i="15"/>
  <c r="C39" i="15"/>
  <c r="B39" i="15"/>
  <c r="D38" i="15"/>
  <c r="D40" i="15" s="1"/>
  <c r="H16" i="15" s="1"/>
  <c r="H17" i="15" s="1"/>
  <c r="C38" i="15"/>
  <c r="B38" i="15"/>
  <c r="J19" i="15"/>
  <c r="I19" i="15"/>
  <c r="H19" i="15"/>
  <c r="J54" i="14"/>
  <c r="I54" i="14"/>
  <c r="H54" i="14"/>
  <c r="G54" i="14"/>
  <c r="F54" i="14"/>
  <c r="E54" i="14"/>
  <c r="D54" i="14"/>
  <c r="C54" i="14"/>
  <c r="J53" i="14"/>
  <c r="I53" i="14"/>
  <c r="H53" i="14"/>
  <c r="G53" i="14"/>
  <c r="F53" i="14"/>
  <c r="E53" i="14"/>
  <c r="D53" i="14"/>
  <c r="C53" i="14"/>
  <c r="J50" i="14"/>
  <c r="I50" i="14"/>
  <c r="H50" i="14"/>
  <c r="G50" i="14"/>
  <c r="F50" i="14"/>
  <c r="E50" i="14"/>
  <c r="D50" i="14"/>
  <c r="C50" i="14"/>
  <c r="J49" i="14"/>
  <c r="I49" i="14"/>
  <c r="H49" i="14"/>
  <c r="G49" i="14"/>
  <c r="F49" i="14"/>
  <c r="E49" i="14"/>
  <c r="D49" i="14"/>
  <c r="C49" i="14"/>
  <c r="J46" i="14"/>
  <c r="I46" i="14"/>
  <c r="H46" i="14"/>
  <c r="G46" i="14"/>
  <c r="F46" i="14"/>
  <c r="E46" i="14"/>
  <c r="D46" i="14"/>
  <c r="C46" i="14"/>
  <c r="J45" i="14"/>
  <c r="I45" i="14"/>
  <c r="H45" i="14"/>
  <c r="G45" i="14"/>
  <c r="F45" i="14"/>
  <c r="E45" i="14"/>
  <c r="D45" i="14"/>
  <c r="C45" i="14"/>
  <c r="J42" i="14"/>
  <c r="I42" i="14"/>
  <c r="H42" i="14"/>
  <c r="G42" i="14"/>
  <c r="F42" i="14"/>
  <c r="E42" i="14"/>
  <c r="D42" i="14"/>
  <c r="C42" i="14"/>
  <c r="J41" i="14"/>
  <c r="I41" i="14"/>
  <c r="H41" i="14"/>
  <c r="G41" i="14"/>
  <c r="F41" i="14"/>
  <c r="E41" i="14"/>
  <c r="D41" i="14"/>
  <c r="C41" i="14"/>
  <c r="J38" i="14"/>
  <c r="I38" i="14"/>
  <c r="H38" i="14"/>
  <c r="G38" i="14"/>
  <c r="F38" i="14"/>
  <c r="E38" i="14"/>
  <c r="D38" i="14"/>
  <c r="C38" i="14"/>
  <c r="J37" i="14"/>
  <c r="I37" i="14"/>
  <c r="H37" i="14"/>
  <c r="G37" i="14"/>
  <c r="F37" i="14"/>
  <c r="E37" i="14"/>
  <c r="D37" i="14"/>
  <c r="C37" i="14"/>
  <c r="J34" i="14"/>
  <c r="I34" i="14"/>
  <c r="H34" i="14"/>
  <c r="G34" i="14"/>
  <c r="F34" i="14"/>
  <c r="E34" i="14"/>
  <c r="D34" i="14"/>
  <c r="C34" i="14"/>
  <c r="J33" i="14"/>
  <c r="I33" i="14"/>
  <c r="H33" i="14"/>
  <c r="G33" i="14"/>
  <c r="F33" i="14"/>
  <c r="E33" i="14"/>
  <c r="D33" i="14"/>
  <c r="C33" i="14"/>
  <c r="J30" i="14"/>
  <c r="I30" i="14"/>
  <c r="H30" i="14"/>
  <c r="G30" i="14"/>
  <c r="F30" i="14"/>
  <c r="E30" i="14"/>
  <c r="D30" i="14"/>
  <c r="C30" i="14"/>
  <c r="J29" i="14"/>
  <c r="I29" i="14"/>
  <c r="H29" i="14"/>
  <c r="G29" i="14"/>
  <c r="F29" i="14"/>
  <c r="E29" i="14"/>
  <c r="D29" i="14"/>
  <c r="C29" i="14"/>
  <c r="J26" i="14"/>
  <c r="I26" i="14"/>
  <c r="H26" i="14"/>
  <c r="G26" i="14"/>
  <c r="F26" i="14"/>
  <c r="E26" i="14"/>
  <c r="D26" i="14"/>
  <c r="C26" i="14"/>
  <c r="J25" i="14"/>
  <c r="I25" i="14"/>
  <c r="H25" i="14"/>
  <c r="G25" i="14"/>
  <c r="F25" i="14"/>
  <c r="E25" i="14"/>
  <c r="D25" i="14"/>
  <c r="C25" i="14"/>
  <c r="J22" i="14"/>
  <c r="I22" i="14"/>
  <c r="H22" i="14"/>
  <c r="G22" i="14"/>
  <c r="F22" i="14"/>
  <c r="E22" i="14"/>
  <c r="D22" i="14"/>
  <c r="C22" i="14"/>
  <c r="J21" i="14"/>
  <c r="I21" i="14"/>
  <c r="H21" i="14"/>
  <c r="G21" i="14"/>
  <c r="F21" i="14"/>
  <c r="E21" i="14"/>
  <c r="D21" i="14"/>
  <c r="C21" i="14"/>
  <c r="J18" i="14"/>
  <c r="I18" i="14"/>
  <c r="H18" i="14"/>
  <c r="G18" i="14"/>
  <c r="F18" i="14"/>
  <c r="E18" i="14"/>
  <c r="D18" i="14"/>
  <c r="C18" i="14"/>
  <c r="J17" i="14"/>
  <c r="I17" i="14"/>
  <c r="H17" i="14"/>
  <c r="G17" i="14"/>
  <c r="F17" i="14"/>
  <c r="E17" i="14"/>
  <c r="D17" i="14"/>
  <c r="C17" i="14"/>
  <c r="J14" i="14"/>
  <c r="I14" i="14"/>
  <c r="H14" i="14"/>
  <c r="G14" i="14"/>
  <c r="F14" i="14"/>
  <c r="E14" i="14"/>
  <c r="D14" i="14"/>
  <c r="C14" i="14"/>
  <c r="J13" i="14"/>
  <c r="I13" i="14"/>
  <c r="H13" i="14"/>
  <c r="G13" i="14"/>
  <c r="F13" i="14"/>
  <c r="E13" i="14"/>
  <c r="D13" i="14"/>
  <c r="C13" i="14"/>
  <c r="F44" i="10"/>
  <c r="E44" i="10"/>
  <c r="D44" i="10"/>
  <c r="C44" i="10"/>
  <c r="F43" i="10"/>
  <c r="E43" i="10"/>
  <c r="D43" i="10"/>
  <c r="C43" i="10"/>
  <c r="F40" i="10"/>
  <c r="E40" i="10"/>
  <c r="D40" i="10"/>
  <c r="C40" i="10"/>
  <c r="F39" i="10"/>
  <c r="E39" i="10"/>
  <c r="D39" i="10"/>
  <c r="C39" i="10"/>
  <c r="K36" i="10"/>
  <c r="J36" i="10"/>
  <c r="I36" i="10"/>
  <c r="H36" i="10"/>
  <c r="F36" i="10"/>
  <c r="E36" i="10"/>
  <c r="D36" i="10"/>
  <c r="C36" i="10"/>
  <c r="K35" i="10"/>
  <c r="J35" i="10"/>
  <c r="I35" i="10"/>
  <c r="H35" i="10"/>
  <c r="F35" i="10"/>
  <c r="E35" i="10"/>
  <c r="D35" i="10"/>
  <c r="C35" i="10"/>
  <c r="F32" i="10"/>
  <c r="E32" i="10"/>
  <c r="D32" i="10"/>
  <c r="F31" i="10"/>
  <c r="E31" i="10"/>
  <c r="D31" i="10"/>
  <c r="W28" i="10"/>
  <c r="V28" i="10"/>
  <c r="U28" i="10"/>
  <c r="T28" i="10"/>
  <c r="K28" i="10"/>
  <c r="J28" i="10"/>
  <c r="I28" i="10"/>
  <c r="F28" i="10"/>
  <c r="E28" i="10"/>
  <c r="D28" i="10"/>
  <c r="W27" i="10"/>
  <c r="V27" i="10"/>
  <c r="U27" i="10"/>
  <c r="T27" i="10"/>
  <c r="K27" i="10"/>
  <c r="J27" i="10"/>
  <c r="I27" i="10"/>
  <c r="F27" i="10"/>
  <c r="E27" i="10"/>
  <c r="D27" i="10"/>
  <c r="W24" i="10"/>
  <c r="V24" i="10"/>
  <c r="K24" i="10"/>
  <c r="J24" i="10"/>
  <c r="I24" i="10"/>
  <c r="F24" i="10"/>
  <c r="E24" i="10"/>
  <c r="D24" i="10"/>
  <c r="W23" i="10"/>
  <c r="V23" i="10"/>
  <c r="K23" i="10"/>
  <c r="J23" i="10"/>
  <c r="I23" i="10"/>
  <c r="F23" i="10"/>
  <c r="E23" i="10"/>
  <c r="D23" i="10"/>
  <c r="W20" i="10"/>
  <c r="V20" i="10"/>
  <c r="K20" i="10"/>
  <c r="J20" i="10"/>
  <c r="I20" i="10"/>
  <c r="F20" i="10"/>
  <c r="E20" i="10"/>
  <c r="D20" i="10"/>
  <c r="W19" i="10"/>
  <c r="V19" i="10"/>
  <c r="K19" i="10"/>
  <c r="J19" i="10"/>
  <c r="I19" i="10"/>
  <c r="F19" i="10"/>
  <c r="E19" i="10"/>
  <c r="D19" i="10"/>
  <c r="V16" i="10"/>
  <c r="U16" i="10"/>
  <c r="T16" i="10"/>
  <c r="J16" i="10"/>
  <c r="I16" i="10"/>
  <c r="H16" i="10"/>
  <c r="E16" i="10"/>
  <c r="D16" i="10"/>
  <c r="C16" i="10"/>
  <c r="V15" i="10"/>
  <c r="U15" i="10"/>
  <c r="T15" i="10"/>
  <c r="J15" i="10"/>
  <c r="I15" i="10"/>
  <c r="H15" i="10"/>
  <c r="E15" i="10"/>
  <c r="D15" i="10"/>
  <c r="C15" i="10"/>
  <c r="W12" i="10"/>
  <c r="U12" i="10"/>
  <c r="T12" i="10"/>
  <c r="Q12" i="10"/>
  <c r="P12" i="10"/>
  <c r="O12" i="10"/>
  <c r="N12" i="10"/>
  <c r="K12" i="10"/>
  <c r="I12" i="10"/>
  <c r="H12" i="10"/>
  <c r="F12" i="10"/>
  <c r="D12" i="10"/>
  <c r="C12" i="10"/>
  <c r="W11" i="10"/>
  <c r="U11" i="10"/>
  <c r="T11" i="10"/>
  <c r="Q11" i="10"/>
  <c r="P11" i="10"/>
  <c r="O11" i="10"/>
  <c r="N11" i="10"/>
  <c r="K11" i="10"/>
  <c r="I11" i="10"/>
  <c r="H11" i="10"/>
  <c r="F11" i="10"/>
  <c r="D11" i="10"/>
  <c r="C11" i="10"/>
  <c r="W8" i="10"/>
  <c r="V8" i="10"/>
  <c r="U8" i="10"/>
  <c r="T8" i="10"/>
  <c r="Q8" i="10"/>
  <c r="P8" i="10"/>
  <c r="O8" i="10"/>
  <c r="K8" i="10"/>
  <c r="J8" i="10"/>
  <c r="I8" i="10"/>
  <c r="H8" i="10"/>
  <c r="F8" i="10"/>
  <c r="E8" i="10"/>
  <c r="D8" i="10"/>
  <c r="C8" i="10"/>
  <c r="W7" i="10"/>
  <c r="V7" i="10"/>
  <c r="U7" i="10"/>
  <c r="T7" i="10"/>
  <c r="Q7" i="10"/>
  <c r="P7" i="10"/>
  <c r="O7" i="10"/>
  <c r="K7" i="10"/>
  <c r="J7" i="10"/>
  <c r="I7" i="10"/>
  <c r="H7" i="10"/>
  <c r="F7" i="10"/>
  <c r="E7" i="10"/>
  <c r="D7" i="10"/>
  <c r="C7" i="10"/>
  <c r="W4" i="10"/>
  <c r="V4" i="10"/>
  <c r="U4" i="10"/>
  <c r="T4" i="10"/>
  <c r="Q4" i="10"/>
  <c r="P4" i="10"/>
  <c r="O4" i="10"/>
  <c r="N4" i="10"/>
  <c r="K4" i="10"/>
  <c r="J4" i="10"/>
  <c r="I4" i="10"/>
  <c r="H4" i="10"/>
  <c r="F4" i="10"/>
  <c r="E4" i="10"/>
  <c r="D4" i="10"/>
  <c r="C4" i="10"/>
  <c r="W3" i="10"/>
  <c r="V3" i="10"/>
  <c r="U3" i="10"/>
  <c r="T3" i="10"/>
  <c r="Q3" i="10"/>
  <c r="P3" i="10"/>
  <c r="O3" i="10"/>
  <c r="N3" i="10"/>
  <c r="K3" i="10"/>
  <c r="J3" i="10"/>
  <c r="I3" i="10"/>
  <c r="H3" i="10"/>
  <c r="F3" i="10"/>
  <c r="E3" i="10"/>
  <c r="D3" i="10"/>
  <c r="C3" i="10"/>
  <c r="M26" i="7"/>
  <c r="L26" i="7"/>
  <c r="K26" i="7"/>
  <c r="F26" i="7"/>
  <c r="E26" i="7"/>
  <c r="D26" i="7"/>
  <c r="C26" i="7"/>
  <c r="M25" i="7"/>
  <c r="L25" i="7"/>
  <c r="K25" i="7"/>
  <c r="F25" i="7"/>
  <c r="E25" i="7"/>
  <c r="D25" i="7"/>
  <c r="C25" i="7"/>
  <c r="M22" i="7"/>
  <c r="L22" i="7"/>
  <c r="K22" i="7"/>
  <c r="F22" i="7"/>
  <c r="E22" i="7"/>
  <c r="D22" i="7"/>
  <c r="C22" i="7"/>
  <c r="M21" i="7"/>
  <c r="L21" i="7"/>
  <c r="K21" i="7"/>
  <c r="F21" i="7"/>
  <c r="E21" i="7"/>
  <c r="D21" i="7"/>
  <c r="C21" i="7"/>
  <c r="M18" i="7"/>
  <c r="L18" i="7"/>
  <c r="K18" i="7"/>
  <c r="F18" i="7"/>
  <c r="D18" i="7"/>
  <c r="C18" i="7"/>
  <c r="M17" i="7"/>
  <c r="L17" i="7"/>
  <c r="K17" i="7"/>
  <c r="F17" i="7"/>
  <c r="D17" i="7"/>
  <c r="C17" i="7"/>
  <c r="M14" i="7"/>
  <c r="L14" i="7"/>
  <c r="K14" i="7"/>
  <c r="J14" i="7"/>
  <c r="F14" i="7"/>
  <c r="E14" i="7"/>
  <c r="D14" i="7"/>
  <c r="C14" i="7"/>
  <c r="M13" i="7"/>
  <c r="L13" i="7"/>
  <c r="K13" i="7"/>
  <c r="J13" i="7"/>
  <c r="F13" i="7"/>
  <c r="E13" i="7"/>
  <c r="D13" i="7"/>
  <c r="C13" i="7"/>
  <c r="M10" i="7"/>
  <c r="L10" i="7"/>
  <c r="K10" i="7"/>
  <c r="J10" i="7"/>
  <c r="F10" i="7"/>
  <c r="E10" i="7"/>
  <c r="D10" i="7"/>
  <c r="C10" i="7"/>
  <c r="M9" i="7"/>
  <c r="L9" i="7"/>
  <c r="K9" i="7"/>
  <c r="J9" i="7"/>
  <c r="F9" i="7"/>
  <c r="E9" i="7"/>
  <c r="D9" i="7"/>
  <c r="C9" i="7"/>
  <c r="M6" i="7"/>
  <c r="L6" i="7"/>
  <c r="K6" i="7"/>
  <c r="J6" i="7"/>
  <c r="F6" i="7"/>
  <c r="E6" i="7"/>
  <c r="D6" i="7"/>
  <c r="C6" i="7"/>
  <c r="M5" i="7"/>
  <c r="L5" i="7"/>
  <c r="K5" i="7"/>
  <c r="J5" i="7"/>
  <c r="F5" i="7"/>
  <c r="E5" i="7"/>
  <c r="D5" i="7"/>
  <c r="C5" i="7"/>
  <c r="M26" i="6"/>
  <c r="L26" i="6"/>
  <c r="K26" i="6"/>
  <c r="F26" i="6"/>
  <c r="E26" i="6"/>
  <c r="D26" i="6"/>
  <c r="C26" i="6"/>
  <c r="M25" i="6"/>
  <c r="L25" i="6"/>
  <c r="K25" i="6"/>
  <c r="F25" i="6"/>
  <c r="E25" i="6"/>
  <c r="D25" i="6"/>
  <c r="C25" i="6"/>
  <c r="M22" i="6"/>
  <c r="L22" i="6"/>
  <c r="K22" i="6"/>
  <c r="F22" i="6"/>
  <c r="E22" i="6"/>
  <c r="D22" i="6"/>
  <c r="C22" i="6"/>
  <c r="M21" i="6"/>
  <c r="L21" i="6"/>
  <c r="K21" i="6"/>
  <c r="F21" i="6"/>
  <c r="E21" i="6"/>
  <c r="D21" i="6"/>
  <c r="C21" i="6"/>
  <c r="M18" i="6"/>
  <c r="L18" i="6"/>
  <c r="K18" i="6"/>
  <c r="F18" i="6"/>
  <c r="D18" i="6"/>
  <c r="C18" i="6"/>
  <c r="M17" i="6"/>
  <c r="L17" i="6"/>
  <c r="K17" i="6"/>
  <c r="F17" i="6"/>
  <c r="D17" i="6"/>
  <c r="C17" i="6"/>
  <c r="M14" i="6"/>
  <c r="L14" i="6"/>
  <c r="K14" i="6"/>
  <c r="J14" i="6"/>
  <c r="F14" i="6"/>
  <c r="E14" i="6"/>
  <c r="D14" i="6"/>
  <c r="C14" i="6"/>
  <c r="M13" i="6"/>
  <c r="L13" i="6"/>
  <c r="K13" i="6"/>
  <c r="J13" i="6"/>
  <c r="F13" i="6"/>
  <c r="E13" i="6"/>
  <c r="D13" i="6"/>
  <c r="C13" i="6"/>
  <c r="M10" i="6"/>
  <c r="L10" i="6"/>
  <c r="K10" i="6"/>
  <c r="J10" i="6"/>
  <c r="F10" i="6"/>
  <c r="E10" i="6"/>
  <c r="D10" i="6"/>
  <c r="C10" i="6"/>
  <c r="M9" i="6"/>
  <c r="L9" i="6"/>
  <c r="K9" i="6"/>
  <c r="J9" i="6"/>
  <c r="F9" i="6"/>
  <c r="E9" i="6"/>
  <c r="D9" i="6"/>
  <c r="C9" i="6"/>
  <c r="M6" i="6"/>
  <c r="L6" i="6"/>
  <c r="K6" i="6"/>
  <c r="J6" i="6"/>
  <c r="F6" i="6"/>
  <c r="E6" i="6"/>
  <c r="D6" i="6"/>
  <c r="C6" i="6"/>
  <c r="M5" i="6"/>
  <c r="L5" i="6"/>
  <c r="K5" i="6"/>
  <c r="J5" i="6"/>
  <c r="F5" i="6"/>
  <c r="E5" i="6"/>
  <c r="D5" i="6"/>
  <c r="C5" i="6"/>
  <c r="F30" i="5"/>
  <c r="E30" i="5"/>
  <c r="D30" i="5"/>
  <c r="C30" i="5"/>
  <c r="F29" i="5"/>
  <c r="E29" i="5"/>
  <c r="D29" i="5"/>
  <c r="C29" i="5"/>
  <c r="M26" i="5"/>
  <c r="L26" i="5"/>
  <c r="K26" i="5"/>
  <c r="J26" i="5"/>
  <c r="F26" i="5"/>
  <c r="E26" i="5"/>
  <c r="D26" i="5"/>
  <c r="C26" i="5"/>
  <c r="M25" i="5"/>
  <c r="L25" i="5"/>
  <c r="K25" i="5"/>
  <c r="J25" i="5"/>
  <c r="F25" i="5"/>
  <c r="E25" i="5"/>
  <c r="D25" i="5"/>
  <c r="C25" i="5"/>
  <c r="M22" i="5"/>
  <c r="L22" i="5"/>
  <c r="K22" i="5"/>
  <c r="F22" i="5"/>
  <c r="E22" i="5"/>
  <c r="D22" i="5"/>
  <c r="C22" i="5"/>
  <c r="M21" i="5"/>
  <c r="L21" i="5"/>
  <c r="K21" i="5"/>
  <c r="F21" i="5"/>
  <c r="E21" i="5"/>
  <c r="D21" i="5"/>
  <c r="C21" i="5"/>
  <c r="M18" i="5"/>
  <c r="L18" i="5"/>
  <c r="K18" i="5"/>
  <c r="F18" i="5"/>
  <c r="E18" i="5"/>
  <c r="D18" i="5"/>
  <c r="C18" i="5"/>
  <c r="M17" i="5"/>
  <c r="L17" i="5"/>
  <c r="K17" i="5"/>
  <c r="F17" i="5"/>
  <c r="E17" i="5"/>
  <c r="D17" i="5"/>
  <c r="C17" i="5"/>
  <c r="M14" i="5"/>
  <c r="K14" i="5"/>
  <c r="J14" i="5"/>
  <c r="F14" i="5"/>
  <c r="E14" i="5"/>
  <c r="D14" i="5"/>
  <c r="C14" i="5"/>
  <c r="M13" i="5"/>
  <c r="K13" i="5"/>
  <c r="J13" i="5"/>
  <c r="F13" i="5"/>
  <c r="E13" i="5"/>
  <c r="D13" i="5"/>
  <c r="C13" i="5"/>
  <c r="F10" i="5"/>
  <c r="E10" i="5"/>
  <c r="D10" i="5"/>
  <c r="C10" i="5"/>
  <c r="F9" i="5"/>
  <c r="E9" i="5"/>
  <c r="D9" i="5"/>
  <c r="C9" i="5"/>
  <c r="M6" i="5"/>
  <c r="L6" i="5"/>
  <c r="K6" i="5"/>
  <c r="J6" i="5"/>
  <c r="F6" i="5"/>
  <c r="E6" i="5"/>
  <c r="D6" i="5"/>
  <c r="C6" i="5"/>
  <c r="M5" i="5"/>
  <c r="L5" i="5"/>
  <c r="K5" i="5"/>
  <c r="J5" i="5"/>
  <c r="F5" i="5"/>
  <c r="E5" i="5"/>
  <c r="D5" i="5"/>
  <c r="C5" i="5"/>
  <c r="F30" i="4"/>
  <c r="E30" i="4"/>
  <c r="D30" i="4"/>
  <c r="C30" i="4"/>
  <c r="F29" i="4"/>
  <c r="E29" i="4"/>
  <c r="D29" i="4"/>
  <c r="C29" i="4"/>
  <c r="M26" i="4"/>
  <c r="L26" i="4"/>
  <c r="K26" i="4"/>
  <c r="J26" i="4"/>
  <c r="F26" i="4"/>
  <c r="E26" i="4"/>
  <c r="D26" i="4"/>
  <c r="C26" i="4"/>
  <c r="M25" i="4"/>
  <c r="L25" i="4"/>
  <c r="K25" i="4"/>
  <c r="J25" i="4"/>
  <c r="F25" i="4"/>
  <c r="E25" i="4"/>
  <c r="D25" i="4"/>
  <c r="C25" i="4"/>
  <c r="M22" i="4"/>
  <c r="L22" i="4"/>
  <c r="K22" i="4"/>
  <c r="F22" i="4"/>
  <c r="E22" i="4"/>
  <c r="D22" i="4"/>
  <c r="C22" i="4"/>
  <c r="M21" i="4"/>
  <c r="L21" i="4"/>
  <c r="K21" i="4"/>
  <c r="F21" i="4"/>
  <c r="E21" i="4"/>
  <c r="D21" i="4"/>
  <c r="C21" i="4"/>
  <c r="M18" i="4"/>
  <c r="L18" i="4"/>
  <c r="K18" i="4"/>
  <c r="F18" i="4"/>
  <c r="E18" i="4"/>
  <c r="D18" i="4"/>
  <c r="C18" i="4"/>
  <c r="M17" i="4"/>
  <c r="L17" i="4"/>
  <c r="K17" i="4"/>
  <c r="F17" i="4"/>
  <c r="E17" i="4"/>
  <c r="D17" i="4"/>
  <c r="C17" i="4"/>
  <c r="M14" i="4"/>
  <c r="K14" i="4"/>
  <c r="J14" i="4"/>
  <c r="F14" i="4"/>
  <c r="E14" i="4"/>
  <c r="D14" i="4"/>
  <c r="C14" i="4"/>
  <c r="M13" i="4"/>
  <c r="K13" i="4"/>
  <c r="J13" i="4"/>
  <c r="F13" i="4"/>
  <c r="E13" i="4"/>
  <c r="D13" i="4"/>
  <c r="C13" i="4"/>
  <c r="F10" i="4"/>
  <c r="E10" i="4"/>
  <c r="D10" i="4"/>
  <c r="C10" i="4"/>
  <c r="F9" i="4"/>
  <c r="E9" i="4"/>
  <c r="D9" i="4"/>
  <c r="C9" i="4"/>
  <c r="M6" i="4"/>
  <c r="L6" i="4"/>
  <c r="K6" i="4"/>
  <c r="J6" i="4"/>
  <c r="F6" i="4"/>
  <c r="E6" i="4"/>
  <c r="D6" i="4"/>
  <c r="C6" i="4"/>
  <c r="M5" i="4"/>
  <c r="L5" i="4"/>
  <c r="K5" i="4"/>
  <c r="J5" i="4"/>
  <c r="F5" i="4"/>
  <c r="E5" i="4"/>
  <c r="D5" i="4"/>
  <c r="C5" i="4"/>
  <c r="M40" i="2"/>
  <c r="L40" i="2"/>
  <c r="K40" i="2"/>
  <c r="J40" i="2"/>
  <c r="F40" i="2"/>
  <c r="E40" i="2"/>
  <c r="D40" i="2"/>
  <c r="C40" i="2"/>
  <c r="M39" i="2"/>
  <c r="L39" i="2"/>
  <c r="K39" i="2"/>
  <c r="J39" i="2"/>
  <c r="F39" i="2"/>
  <c r="E39" i="2"/>
  <c r="D39" i="2"/>
  <c r="C39" i="2"/>
  <c r="M36" i="2"/>
  <c r="L36" i="2"/>
  <c r="K36" i="2"/>
  <c r="J36" i="2"/>
  <c r="F36" i="2"/>
  <c r="E36" i="2"/>
  <c r="D36" i="2"/>
  <c r="C36" i="2"/>
  <c r="M35" i="2"/>
  <c r="L35" i="2"/>
  <c r="K35" i="2"/>
  <c r="J35" i="2"/>
  <c r="F35" i="2"/>
  <c r="E35" i="2"/>
  <c r="D35" i="2"/>
  <c r="C35" i="2"/>
  <c r="M32" i="2"/>
  <c r="L32" i="2"/>
  <c r="K32" i="2"/>
  <c r="J32" i="2"/>
  <c r="F32" i="2"/>
  <c r="E32" i="2"/>
  <c r="D32" i="2"/>
  <c r="C32" i="2"/>
  <c r="M31" i="2"/>
  <c r="L31" i="2"/>
  <c r="K31" i="2"/>
  <c r="J31" i="2"/>
  <c r="F31" i="2"/>
  <c r="E31" i="2"/>
  <c r="D31" i="2"/>
  <c r="C31" i="2"/>
  <c r="M28" i="2"/>
  <c r="L28" i="2"/>
  <c r="K28" i="2"/>
  <c r="J28" i="2"/>
  <c r="F28" i="2"/>
  <c r="E28" i="2"/>
  <c r="D28" i="2"/>
  <c r="C28" i="2"/>
  <c r="M27" i="2"/>
  <c r="L27" i="2"/>
  <c r="K27" i="2"/>
  <c r="J27" i="2"/>
  <c r="F27" i="2"/>
  <c r="E27" i="2"/>
  <c r="D27" i="2"/>
  <c r="C27" i="2"/>
  <c r="M24" i="2"/>
  <c r="L24" i="2"/>
  <c r="K24" i="2"/>
  <c r="J24" i="2"/>
  <c r="F24" i="2"/>
  <c r="E24" i="2"/>
  <c r="D24" i="2"/>
  <c r="C24" i="2"/>
  <c r="M23" i="2"/>
  <c r="L23" i="2"/>
  <c r="K23" i="2"/>
  <c r="J23" i="2"/>
  <c r="F23" i="2"/>
  <c r="E23" i="2"/>
  <c r="D23" i="2"/>
  <c r="C23" i="2"/>
  <c r="M20" i="2"/>
  <c r="L20" i="2"/>
  <c r="K20" i="2"/>
  <c r="J20" i="2"/>
  <c r="F20" i="2"/>
  <c r="E20" i="2"/>
  <c r="D20" i="2"/>
  <c r="C20" i="2"/>
  <c r="M19" i="2"/>
  <c r="L19" i="2"/>
  <c r="K19" i="2"/>
  <c r="J19" i="2"/>
  <c r="F19" i="2"/>
  <c r="E19" i="2"/>
  <c r="D19" i="2"/>
  <c r="C19" i="2"/>
  <c r="M16" i="2"/>
  <c r="L16" i="2"/>
  <c r="K16" i="2"/>
  <c r="J16" i="2"/>
  <c r="F16" i="2"/>
  <c r="E16" i="2"/>
  <c r="D16" i="2"/>
  <c r="C16" i="2"/>
  <c r="M15" i="2"/>
  <c r="L15" i="2"/>
  <c r="K15" i="2"/>
  <c r="J15" i="2"/>
  <c r="F15" i="2"/>
  <c r="E15" i="2"/>
  <c r="D15" i="2"/>
  <c r="C15" i="2"/>
  <c r="M12" i="2"/>
  <c r="L12" i="2"/>
  <c r="K12" i="2"/>
  <c r="J12" i="2"/>
  <c r="F12" i="2"/>
  <c r="E12" i="2"/>
  <c r="D12" i="2"/>
  <c r="C12" i="2"/>
  <c r="M11" i="2"/>
  <c r="L11" i="2"/>
  <c r="K11" i="2"/>
  <c r="J11" i="2"/>
  <c r="F11" i="2"/>
  <c r="E11" i="2"/>
  <c r="D11" i="2"/>
  <c r="C11" i="2"/>
  <c r="M8" i="2"/>
  <c r="L8" i="2"/>
  <c r="K8" i="2"/>
  <c r="J8" i="2"/>
  <c r="F8" i="2"/>
  <c r="E8" i="2"/>
  <c r="D8" i="2"/>
  <c r="C8" i="2"/>
  <c r="M7" i="2"/>
  <c r="L7" i="2"/>
  <c r="K7" i="2"/>
  <c r="J7" i="2"/>
  <c r="F7" i="2"/>
  <c r="E7" i="2"/>
  <c r="D7" i="2"/>
  <c r="C7" i="2"/>
  <c r="M4" i="2"/>
  <c r="L4" i="2"/>
  <c r="K4" i="2"/>
  <c r="J4" i="2"/>
  <c r="F4" i="2"/>
  <c r="E4" i="2"/>
  <c r="D4" i="2"/>
  <c r="C4" i="2"/>
  <c r="M3" i="2"/>
  <c r="L3" i="2"/>
  <c r="K3" i="2"/>
  <c r="J3" i="2"/>
  <c r="F3" i="2"/>
  <c r="E3" i="2"/>
  <c r="D3" i="2"/>
  <c r="C3" i="2"/>
  <c r="E28" i="35"/>
  <c r="G26" i="35"/>
  <c r="I24" i="35"/>
  <c r="K22" i="35"/>
  <c r="D21" i="35"/>
  <c r="F19" i="35"/>
  <c r="H17" i="35"/>
  <c r="J15" i="35"/>
  <c r="C14" i="35"/>
  <c r="E12" i="35"/>
  <c r="K10" i="35"/>
  <c r="F9" i="35"/>
  <c r="L7" i="35"/>
  <c r="G6" i="35"/>
  <c r="M4" i="35"/>
  <c r="H3" i="35"/>
  <c r="C2" i="35"/>
  <c r="K29" i="35"/>
  <c r="D28" i="35"/>
  <c r="F26" i="35"/>
  <c r="H24" i="35"/>
  <c r="J22" i="35"/>
  <c r="C21" i="35"/>
  <c r="E19" i="35"/>
  <c r="G17" i="35"/>
  <c r="I15" i="35"/>
  <c r="K13" i="35"/>
  <c r="D12" i="35"/>
  <c r="J10" i="35"/>
  <c r="E9" i="35"/>
  <c r="K7" i="35"/>
  <c r="F6" i="35"/>
  <c r="L4" i="35"/>
  <c r="G3" i="35"/>
  <c r="J29" i="35"/>
  <c r="C28" i="35"/>
  <c r="E26" i="35"/>
  <c r="G24" i="35"/>
  <c r="I22" i="35"/>
  <c r="K20" i="35"/>
  <c r="D19" i="35"/>
  <c r="F17" i="35"/>
  <c r="H15" i="35"/>
  <c r="J13" i="35"/>
  <c r="C12" i="35"/>
  <c r="I10" i="35"/>
  <c r="D9" i="35"/>
  <c r="J7" i="35"/>
  <c r="E6" i="35"/>
  <c r="K4" i="35"/>
  <c r="F3" i="35"/>
  <c r="I29" i="35"/>
  <c r="K27" i="35"/>
  <c r="D26" i="35"/>
  <c r="F24" i="35"/>
  <c r="H22" i="35"/>
  <c r="J20" i="35"/>
  <c r="C19" i="35"/>
  <c r="E17" i="35"/>
  <c r="G15" i="35"/>
  <c r="I13" i="35"/>
  <c r="M11" i="35"/>
  <c r="H10" i="35"/>
  <c r="C9" i="35"/>
  <c r="I7" i="35"/>
  <c r="D6" i="35"/>
  <c r="J4" i="35"/>
  <c r="E3" i="35"/>
  <c r="H29" i="35"/>
  <c r="J27" i="35"/>
  <c r="C26" i="35"/>
  <c r="E24" i="35"/>
  <c r="G22" i="35"/>
  <c r="I20" i="35"/>
  <c r="K18" i="35"/>
  <c r="D17" i="35"/>
  <c r="F15" i="35"/>
  <c r="H13" i="35"/>
  <c r="L11" i="35"/>
  <c r="G10" i="35"/>
  <c r="M8" i="35"/>
  <c r="H7" i="35"/>
  <c r="C6" i="35"/>
  <c r="I4" i="35"/>
  <c r="D3" i="35"/>
  <c r="G29" i="35"/>
  <c r="I27" i="35"/>
  <c r="K25" i="35"/>
  <c r="D24" i="35"/>
  <c r="F22" i="35"/>
  <c r="H20" i="35"/>
  <c r="J18" i="35"/>
  <c r="C17" i="35"/>
  <c r="E15" i="35"/>
  <c r="G13" i="35"/>
  <c r="K11" i="35"/>
  <c r="F10" i="35"/>
  <c r="L8" i="35"/>
  <c r="G7" i="35"/>
  <c r="M5" i="35"/>
  <c r="H4" i="35"/>
  <c r="C3" i="35"/>
  <c r="F29" i="35"/>
  <c r="H27" i="35"/>
  <c r="J25" i="35"/>
  <c r="C24" i="35"/>
  <c r="E22" i="35"/>
  <c r="G20" i="35"/>
  <c r="I18" i="35"/>
  <c r="K16" i="35"/>
  <c r="D15" i="35"/>
  <c r="F13" i="35"/>
  <c r="J11" i="35"/>
  <c r="E10" i="35"/>
  <c r="K8" i="35"/>
  <c r="F7" i="35"/>
  <c r="L5" i="35"/>
  <c r="G4" i="35"/>
  <c r="M2" i="35"/>
  <c r="E29" i="35"/>
  <c r="G27" i="35"/>
  <c r="I25" i="35"/>
  <c r="K23" i="35"/>
  <c r="D22" i="35"/>
  <c r="F20" i="35"/>
  <c r="H18" i="35"/>
  <c r="J16" i="35"/>
  <c r="C15" i="35"/>
  <c r="E13" i="35"/>
  <c r="I11" i="35"/>
  <c r="D10" i="35"/>
  <c r="J8" i="35"/>
  <c r="E7" i="35"/>
  <c r="K5" i="35"/>
  <c r="F4" i="35"/>
  <c r="L2" i="35"/>
  <c r="D29" i="35"/>
  <c r="F27" i="35"/>
  <c r="H25" i="35"/>
  <c r="J23" i="35"/>
  <c r="C22" i="35"/>
  <c r="E20" i="35"/>
  <c r="G18" i="35"/>
  <c r="I16" i="35"/>
  <c r="K14" i="35"/>
  <c r="D13" i="35"/>
  <c r="H11" i="35"/>
  <c r="C10" i="35"/>
  <c r="I8" i="35"/>
  <c r="D7" i="35"/>
  <c r="J5" i="35"/>
  <c r="E4" i="35"/>
  <c r="K2" i="35"/>
  <c r="C29" i="35"/>
  <c r="E27" i="35"/>
  <c r="G25" i="35"/>
  <c r="I23" i="35"/>
  <c r="K21" i="35"/>
  <c r="D20" i="35"/>
  <c r="F18" i="35"/>
  <c r="H16" i="35"/>
  <c r="J14" i="35"/>
  <c r="C13" i="35"/>
  <c r="G11" i="35"/>
  <c r="M9" i="35"/>
  <c r="H8" i="35"/>
  <c r="C7" i="35"/>
  <c r="I5" i="35"/>
  <c r="D4" i="35"/>
  <c r="J2" i="35"/>
  <c r="K28" i="35"/>
  <c r="D27" i="35"/>
  <c r="F25" i="35"/>
  <c r="H23" i="35"/>
  <c r="J21" i="35"/>
  <c r="C20" i="35"/>
  <c r="E18" i="35"/>
  <c r="G16" i="35"/>
  <c r="I14" i="35"/>
  <c r="K12" i="35"/>
  <c r="F11" i="35"/>
  <c r="L9" i="35"/>
  <c r="G8" i="35"/>
  <c r="M6" i="35"/>
  <c r="H5" i="35"/>
  <c r="C4" i="35"/>
  <c r="I2" i="35"/>
  <c r="J28" i="35"/>
  <c r="C27" i="35"/>
  <c r="E25" i="35"/>
  <c r="G23" i="35"/>
  <c r="I21" i="35"/>
  <c r="K19" i="35"/>
  <c r="D18" i="35"/>
  <c r="F16" i="35"/>
  <c r="H14" i="35"/>
  <c r="J12" i="35"/>
  <c r="E11" i="35"/>
  <c r="K9" i="35"/>
  <c r="F8" i="35"/>
  <c r="L6" i="35"/>
  <c r="G5" i="35"/>
  <c r="M3" i="35"/>
  <c r="H2" i="35"/>
  <c r="I28" i="35"/>
  <c r="K26" i="35"/>
  <c r="D25" i="35"/>
  <c r="F23" i="35"/>
  <c r="H21" i="35"/>
  <c r="J19" i="35"/>
  <c r="C18" i="35"/>
  <c r="E16" i="35"/>
  <c r="G14" i="35"/>
  <c r="I12" i="35"/>
  <c r="D11" i="35"/>
  <c r="J9" i="35"/>
  <c r="E8" i="35"/>
  <c r="K6" i="35"/>
  <c r="F5" i="35"/>
  <c r="L3" i="35"/>
  <c r="G2" i="35"/>
  <c r="H28" i="35"/>
  <c r="J26" i="35"/>
  <c r="C25" i="35"/>
  <c r="E23" i="35"/>
  <c r="G21" i="35"/>
  <c r="I19" i="35"/>
  <c r="K17" i="35"/>
  <c r="D16" i="35"/>
  <c r="F14" i="35"/>
  <c r="H12" i="35"/>
  <c r="C11" i="35"/>
  <c r="I9" i="35"/>
  <c r="D8" i="35"/>
  <c r="J6" i="35"/>
  <c r="E5" i="35"/>
  <c r="K3" i="35"/>
  <c r="F2" i="35"/>
  <c r="G28" i="35"/>
  <c r="I26" i="35"/>
  <c r="K24" i="35"/>
  <c r="D23" i="35"/>
  <c r="F21" i="35"/>
  <c r="H19" i="35"/>
  <c r="J17" i="35"/>
  <c r="C16" i="35"/>
  <c r="E14" i="35"/>
  <c r="G12" i="35"/>
  <c r="M10" i="35"/>
  <c r="H9" i="35"/>
  <c r="C8" i="35"/>
  <c r="I6" i="35"/>
  <c r="D5" i="35"/>
  <c r="J3" i="35"/>
  <c r="E2" i="35"/>
  <c r="F28" i="35"/>
  <c r="H26" i="35"/>
  <c r="J24" i="35"/>
  <c r="C23" i="35"/>
  <c r="E21" i="35"/>
  <c r="G19" i="35"/>
  <c r="I17" i="35"/>
  <c r="K15" i="35"/>
  <c r="D14" i="35"/>
  <c r="F12" i="35"/>
  <c r="L10" i="35"/>
  <c r="G9" i="35"/>
  <c r="M7" i="35"/>
  <c r="H6" i="35"/>
  <c r="C5" i="35"/>
  <c r="I3" i="35"/>
  <c r="D2" i="35"/>
  <c r="J20" i="15" l="1"/>
  <c r="I20" i="15"/>
  <c r="H20" i="15"/>
  <c r="J20" i="18"/>
  <c r="I20" i="18"/>
  <c r="H20" i="18"/>
  <c r="G9" i="18" l="1"/>
  <c r="G8" i="18"/>
  <c r="H3" i="18"/>
  <c r="I13" i="18"/>
  <c r="I12" i="18"/>
  <c r="I13" i="15"/>
  <c r="I12" i="15"/>
  <c r="G9" i="15"/>
  <c r="G8" i="15"/>
  <c r="H3" i="15"/>
  <c r="K9" i="15" l="1"/>
  <c r="I9" i="15"/>
  <c r="K8" i="15"/>
  <c r="I8" i="15"/>
  <c r="B43" i="18"/>
  <c r="D42" i="18"/>
  <c r="C42" i="18"/>
  <c r="B42" i="18"/>
  <c r="D43" i="18"/>
  <c r="C43" i="18"/>
  <c r="E43" i="15"/>
  <c r="D43" i="15"/>
  <c r="C43" i="15"/>
  <c r="B43" i="15"/>
  <c r="D42" i="15"/>
  <c r="C42" i="15"/>
  <c r="B42" i="15"/>
  <c r="G13" i="15"/>
  <c r="K13" i="15" s="1"/>
  <c r="G12" i="15"/>
  <c r="K12" i="15" s="1"/>
  <c r="E42" i="15" s="1"/>
  <c r="K8" i="18"/>
  <c r="I8" i="18"/>
  <c r="G13" i="18"/>
  <c r="K13" i="18" s="1"/>
  <c r="E43" i="18" s="1"/>
  <c r="G12" i="18"/>
  <c r="K12" i="18" s="1"/>
  <c r="E42" i="18" s="1"/>
  <c r="K9" i="18"/>
  <c r="I9" i="18"/>
  <c r="A43" i="18" l="1"/>
  <c r="A42" i="15"/>
  <c r="A43" i="15"/>
  <c r="A42" i="18"/>
</calcChain>
</file>

<file path=xl/sharedStrings.xml><?xml version="1.0" encoding="utf-8"?>
<sst xmlns="http://schemas.openxmlformats.org/spreadsheetml/2006/main" count="1698" uniqueCount="569">
  <si>
    <t>DONE</t>
  </si>
  <si>
    <t>Clown</t>
  </si>
  <si>
    <t>alx-Slyraze</t>
  </si>
  <si>
    <t>Delay-Chloster</t>
  </si>
  <si>
    <t>Marcel-Threeroundburst</t>
  </si>
  <si>
    <t>Azzi-Azzimusic</t>
  </si>
  <si>
    <t>alx-Jiujie</t>
  </si>
  <si>
    <t>Delay-Chloedeck</t>
  </si>
  <si>
    <t>Marcel-Dancíngdagger</t>
  </si>
  <si>
    <t>Azzi-Azzijin</t>
  </si>
  <si>
    <t>alx-Cearre</t>
  </si>
  <si>
    <t>Wish-Arcana</t>
  </si>
  <si>
    <t>Marcel-Lucidsingularity</t>
  </si>
  <si>
    <t>Azzi-Azzidance</t>
  </si>
  <si>
    <t>alx-Thaede</t>
  </si>
  <si>
    <t>Wish-Bnöts</t>
  </si>
  <si>
    <t>Marcel-Brutalmomentum</t>
  </si>
  <si>
    <t>Azzi-Wayjin</t>
  </si>
  <si>
    <t>Alex-Ligmabard</t>
  </si>
  <si>
    <t>Marcel-Searingslash</t>
  </si>
  <si>
    <t>Wish-Bnötssss</t>
  </si>
  <si>
    <t>Azzi-Azziko</t>
  </si>
  <si>
    <t>Wish-Bönötys</t>
  </si>
  <si>
    <t>Alex-Lucycast</t>
  </si>
  <si>
    <t>Marcel-Ninetailedstrike</t>
  </si>
  <si>
    <t>Azzi-Azzihood</t>
  </si>
  <si>
    <t>Wish-Bnötssssss</t>
  </si>
  <si>
    <t>Delay-Chloestrasza</t>
  </si>
  <si>
    <t>Alex-Juûzou</t>
  </si>
  <si>
    <t>alx-Melodicpri</t>
  </si>
  <si>
    <t>Delay-Chloetwo</t>
  </si>
  <si>
    <t>Wish-Bnötsss</t>
  </si>
  <si>
    <t>Azzi-Azzifire</t>
  </si>
  <si>
    <t>CLOWN BUS</t>
  </si>
  <si>
    <t>alx-Slyfool</t>
  </si>
  <si>
    <t>Delay-Chloenote</t>
  </si>
  <si>
    <t>Wish-Bnötsssssss</t>
  </si>
  <si>
    <t>Clown BUS</t>
  </si>
  <si>
    <t>alx-Slyred</t>
  </si>
  <si>
    <t>Delay-Chloepet</t>
  </si>
  <si>
    <t>Marcel-Íhatechaos</t>
  </si>
  <si>
    <t>alx</t>
  </si>
  <si>
    <t>delay</t>
  </si>
  <si>
    <t>marcel</t>
  </si>
  <si>
    <t>wish</t>
  </si>
  <si>
    <t>azzi</t>
  </si>
  <si>
    <t>Voldis HM</t>
  </si>
  <si>
    <t>Delay-Bighandguy</t>
  </si>
  <si>
    <t>Mina-Chou</t>
  </si>
  <si>
    <t>Kayangle HM</t>
  </si>
  <si>
    <t>Wish-Slayer</t>
  </si>
  <si>
    <t>Marcel-Radiantarc</t>
  </si>
  <si>
    <t>Azzi-Azzidad</t>
  </si>
  <si>
    <t>Azzi-Laoumi</t>
  </si>
  <si>
    <t>Mina-Mina</t>
  </si>
  <si>
    <t>Wish-GL</t>
  </si>
  <si>
    <t>Mina-Triomphe</t>
  </si>
  <si>
    <t>Wish-Scouter</t>
  </si>
  <si>
    <t>Delay-Chloescythe</t>
  </si>
  <si>
    <t>Azzi-Azzinora</t>
  </si>
  <si>
    <t>Wish-BAKER</t>
  </si>
  <si>
    <t>Alex-Pommepine</t>
  </si>
  <si>
    <t>Azzi-Azziartist</t>
  </si>
  <si>
    <t>Delay-Chloeburst</t>
  </si>
  <si>
    <t>Azzi-Azzimoon</t>
  </si>
  <si>
    <t>Wish-Paladin</t>
  </si>
  <si>
    <t>Delay-Chloestorm</t>
  </si>
  <si>
    <t>Wish-Destro</t>
  </si>
  <si>
    <t>Azzi-Azziladin</t>
  </si>
  <si>
    <t>Mina-Soble</t>
  </si>
  <si>
    <t>Wish-Artill</t>
  </si>
  <si>
    <t>Kayangle NM</t>
  </si>
  <si>
    <t>Delay-Chloebrush</t>
  </si>
  <si>
    <t>Alex-Soulpom</t>
  </si>
  <si>
    <t>Voldis NM</t>
  </si>
  <si>
    <t>Marcel-Quietintensity</t>
  </si>
  <si>
    <t>Marcel-Battlepresence</t>
  </si>
  <si>
    <t>Mina-Ame</t>
  </si>
  <si>
    <t>Wednesday</t>
  </si>
  <si>
    <t>Delay</t>
  </si>
  <si>
    <t>Marcel</t>
  </si>
  <si>
    <t>Faal</t>
  </si>
  <si>
    <t>Wish</t>
  </si>
  <si>
    <t>Ghonty</t>
  </si>
  <si>
    <t>Vierazy</t>
  </si>
  <si>
    <t>Mawino</t>
  </si>
  <si>
    <t>Itelin</t>
  </si>
  <si>
    <t>Phil</t>
  </si>
  <si>
    <t>Delay-Wildchloe</t>
  </si>
  <si>
    <t>Wish-G</t>
  </si>
  <si>
    <t>Ghonty-Giantditchfrog</t>
  </si>
  <si>
    <t>Kolax</t>
  </si>
  <si>
    <t>Nonna-Nonnâ</t>
  </si>
  <si>
    <t>Vierazy-Cardrazy</t>
  </si>
  <si>
    <t>Thursday</t>
  </si>
  <si>
    <t>G1-G2</t>
  </si>
  <si>
    <t>Paladin</t>
  </si>
  <si>
    <t>Chloenote</t>
  </si>
  <si>
    <t>Shinaia</t>
  </si>
  <si>
    <t>Faal-Faalmancer</t>
  </si>
  <si>
    <t>Ghonty-Ghonty</t>
  </si>
  <si>
    <t>Lune</t>
  </si>
  <si>
    <t>Rap</t>
  </si>
  <si>
    <t>Lilli</t>
  </si>
  <si>
    <t>Bard</t>
  </si>
  <si>
    <t>Gunlancer</t>
  </si>
  <si>
    <t>Enjin</t>
  </si>
  <si>
    <t>Friday</t>
  </si>
  <si>
    <t>Chloestrasza</t>
  </si>
  <si>
    <t>Delay-Ghontyfan</t>
  </si>
  <si>
    <t>Marcel-Umbralfang</t>
  </si>
  <si>
    <t>Ghonty-Ghontyg</t>
  </si>
  <si>
    <t>Mawino-Sabinalallian</t>
  </si>
  <si>
    <t>Mina-Pitshu</t>
  </si>
  <si>
    <t>Nonna-Nonna</t>
  </si>
  <si>
    <t>Holyrazy</t>
  </si>
  <si>
    <t>Valkyrazy</t>
  </si>
  <si>
    <t>Ghontyfan</t>
  </si>
  <si>
    <t>Marcel-Enjin</t>
  </si>
  <si>
    <t>Nonna-Nonnaa</t>
  </si>
  <si>
    <t>Ghonty-Dowongerj</t>
  </si>
  <si>
    <t>Mawino-Boobaowo</t>
  </si>
  <si>
    <t>Faal-Faals</t>
  </si>
  <si>
    <t>Vierazy-Holyrazy</t>
  </si>
  <si>
    <t>Faal-Faalkyrie</t>
  </si>
  <si>
    <t>Ghonty-Catpounce</t>
  </si>
  <si>
    <t>Vierazy-Valkyrazy</t>
  </si>
  <si>
    <t>Ghonty-Ghowonty</t>
  </si>
  <si>
    <t>Mawino-Letmeinnnnnn</t>
  </si>
  <si>
    <t>Mina-Owonyoung</t>
  </si>
  <si>
    <t>Vierazy-Vierazy</t>
  </si>
  <si>
    <t>G</t>
  </si>
  <si>
    <t>Mina</t>
  </si>
  <si>
    <t>Saturday</t>
  </si>
  <si>
    <t>Serca Nightmare</t>
  </si>
  <si>
    <t>Serca1 Prog</t>
  </si>
  <si>
    <t>Serca2 Prog</t>
  </si>
  <si>
    <t>Reclear</t>
  </si>
  <si>
    <t>Serca Hard</t>
  </si>
  <si>
    <t>Ghonty-Ghontycarpet</t>
  </si>
  <si>
    <t>Sorc</t>
  </si>
  <si>
    <t>Blade</t>
  </si>
  <si>
    <t>Serca Normal</t>
  </si>
  <si>
    <t>Vierazy-Wierazy</t>
  </si>
  <si>
    <t>Mawino-Mokokogl</t>
  </si>
  <si>
    <t>Nonna-Shinaia</t>
  </si>
  <si>
    <t>SE</t>
  </si>
  <si>
    <t>DPS</t>
  </si>
  <si>
    <t>Faals</t>
  </si>
  <si>
    <t>GS</t>
  </si>
  <si>
    <t>Pala</t>
  </si>
  <si>
    <t>Mawino-Boobmaxxing</t>
  </si>
  <si>
    <t>Sum</t>
  </si>
  <si>
    <t>Nonna-Nosha</t>
  </si>
  <si>
    <t>Mawino-Mawbu</t>
  </si>
  <si>
    <t>Ghonty-Ghowonterj</t>
  </si>
  <si>
    <t>Cathedral 3</t>
  </si>
  <si>
    <t>Breaker</t>
  </si>
  <si>
    <t>Paladinbased</t>
  </si>
  <si>
    <t>Cathedral 2</t>
  </si>
  <si>
    <t>Serca1</t>
  </si>
  <si>
    <t>Serca2</t>
  </si>
  <si>
    <t>Sunday</t>
  </si>
  <si>
    <t>Monday</t>
  </si>
  <si>
    <t>Tuesday</t>
  </si>
  <si>
    <t>Kpop</t>
  </si>
  <si>
    <t>Support</t>
  </si>
  <si>
    <t>Name</t>
  </si>
  <si>
    <t>Wed 5pm</t>
  </si>
  <si>
    <t>Wed 9pm</t>
  </si>
  <si>
    <t>Friday 520pm</t>
  </si>
  <si>
    <t>Party 1</t>
  </si>
  <si>
    <t>Party 2</t>
  </si>
  <si>
    <t>Marcel - Slayer</t>
  </si>
  <si>
    <t>Delay - Summoner</t>
  </si>
  <si>
    <t>Jutro - WD</t>
  </si>
  <si>
    <t>Painz - GS</t>
  </si>
  <si>
    <t>Marcel - Scouter</t>
  </si>
  <si>
    <t>Jutro - WD alt</t>
  </si>
  <si>
    <t>Viera - Breaker</t>
  </si>
  <si>
    <t>Wish - Breaker</t>
  </si>
  <si>
    <t>Gfanis - Sorc</t>
  </si>
  <si>
    <t>Kpop - Sorc alt</t>
  </si>
  <si>
    <t>Terry - SE</t>
  </si>
  <si>
    <t>Kpop - Sorc</t>
  </si>
  <si>
    <t>Mina - SE</t>
  </si>
  <si>
    <t>Faal - SE</t>
  </si>
  <si>
    <t>Terry - Arcana</t>
  </si>
  <si>
    <t>Mawino - Slayer</t>
  </si>
  <si>
    <t>Phil - GS</t>
  </si>
  <si>
    <t>Gfanis - Arcana</t>
  </si>
  <si>
    <t>Gfanis - Bard</t>
  </si>
  <si>
    <t>Terry - Bard</t>
  </si>
  <si>
    <t>Mina - Bard</t>
  </si>
  <si>
    <t>Marcel - Pala</t>
  </si>
  <si>
    <t>Faal - Bard</t>
  </si>
  <si>
    <t>Kolax - Pala</t>
  </si>
  <si>
    <t>Party 3</t>
  </si>
  <si>
    <t>Party 4</t>
  </si>
  <si>
    <t>Painz - SE</t>
  </si>
  <si>
    <t>Pachi - Slayer</t>
  </si>
  <si>
    <t>Pachi - GL</t>
  </si>
  <si>
    <t>Faal - Breaker</t>
  </si>
  <si>
    <t>Tristan - Slayer</t>
  </si>
  <si>
    <t>Kolax - Arcana</t>
  </si>
  <si>
    <t>Alx - GS</t>
  </si>
  <si>
    <t>Azzi - Destro</t>
  </si>
  <si>
    <t>Alx - WD</t>
  </si>
  <si>
    <t>Ghonty - Glaiv</t>
  </si>
  <si>
    <t>Delay - SF</t>
  </si>
  <si>
    <t>Kpop - Aero</t>
  </si>
  <si>
    <t>Mawino - SE</t>
  </si>
  <si>
    <t>Tristan - Breaker</t>
  </si>
  <si>
    <t>Mina - Blade</t>
  </si>
  <si>
    <t>Viera - Arcana</t>
  </si>
  <si>
    <t>Azzi - Pala</t>
  </si>
  <si>
    <t>Jutro - Artist</t>
  </si>
  <si>
    <t>Viera - Bard</t>
  </si>
  <si>
    <t>Delay - Bard</t>
  </si>
  <si>
    <t>Wish - Pala</t>
  </si>
  <si>
    <t>Mawino - Bard</t>
  </si>
  <si>
    <t>gfanis</t>
  </si>
  <si>
    <t>terry</t>
  </si>
  <si>
    <t>vierazy</t>
  </si>
  <si>
    <t>faal</t>
  </si>
  <si>
    <t>mina</t>
  </si>
  <si>
    <t>viera</t>
  </si>
  <si>
    <t>jutro</t>
  </si>
  <si>
    <t>pachi</t>
  </si>
  <si>
    <t>kolax</t>
  </si>
  <si>
    <t>painz (gluant)</t>
  </si>
  <si>
    <t>ghonty</t>
  </si>
  <si>
    <t>tristan</t>
  </si>
  <si>
    <t>phil</t>
  </si>
  <si>
    <t>kpop</t>
  </si>
  <si>
    <t>other sups?</t>
  </si>
  <si>
    <t>azzi maybe</t>
  </si>
  <si>
    <t>mina maybe</t>
  </si>
  <si>
    <t>terry bard</t>
  </si>
  <si>
    <t>faal artist</t>
  </si>
  <si>
    <t>Marcel - Glaiv</t>
  </si>
  <si>
    <t>Delay - Blade</t>
  </si>
  <si>
    <t>Wish - GL</t>
  </si>
  <si>
    <t>Terry - Pala</t>
  </si>
  <si>
    <t>Azzi - DPS</t>
  </si>
  <si>
    <t>Kpop - Arcana</t>
  </si>
  <si>
    <t>Faal - Artist</t>
  </si>
  <si>
    <t>Lilli - Pala</t>
  </si>
  <si>
    <t xml:space="preserve"> </t>
  </si>
  <si>
    <t>(ﾉ◕ヮ◕)ﾉ*:･ﾟ✧</t>
  </si>
  <si>
    <t>(✿◠‿◠)</t>
  </si>
  <si>
    <t>(◕‿◕✿)</t>
  </si>
  <si>
    <t>ʕっ• ᴥ • ʔっ</t>
  </si>
  <si>
    <t>Gates</t>
  </si>
  <si>
    <t>Alx</t>
  </si>
  <si>
    <t>Alex</t>
  </si>
  <si>
    <t>Azzi</t>
  </si>
  <si>
    <t>✌.ʕʘ‿ʘʔ.✌</t>
  </si>
  <si>
    <t>supportmonkey to the top</t>
  </si>
  <si>
    <t>supportmonkey more like monkey support rofl</t>
  </si>
  <si>
    <t>Brel HM</t>
  </si>
  <si>
    <t>G1-G6</t>
  </si>
  <si>
    <t>Derpy 1</t>
  </si>
  <si>
    <t>Derpy 2</t>
  </si>
  <si>
    <t>uwu 1 + Gronk</t>
  </si>
  <si>
    <t>G1-G4</t>
  </si>
  <si>
    <t>uwu 2</t>
  </si>
  <si>
    <t>uwu 3</t>
  </si>
  <si>
    <t>uwu 4</t>
  </si>
  <si>
    <t>Brel NM</t>
  </si>
  <si>
    <t>Alex-Nomadlance</t>
  </si>
  <si>
    <t>uwu 5</t>
  </si>
  <si>
    <t>uwu dab</t>
  </si>
  <si>
    <t>EXTRAS/IDK</t>
  </si>
  <si>
    <t>Gate 6</t>
  </si>
  <si>
    <t>Gate 4</t>
  </si>
  <si>
    <t>Gate 6 (9pm+)</t>
  </si>
  <si>
    <t>Gate 6 (5pm+)</t>
  </si>
  <si>
    <t>Gate 6 (730pm+)</t>
  </si>
  <si>
    <t xml:space="preserve">To use for yourself: File -&gt; Make copy. This will allow you to edit </t>
  </si>
  <si>
    <t>Bus split calculator for 3-man raids</t>
  </si>
  <si>
    <t>Missnum</t>
  </si>
  <si>
    <t>Instructions:</t>
  </si>
  <si>
    <r>
      <rPr>
        <sz val="10"/>
        <color theme="1"/>
        <rFont val="Arial"/>
      </rPr>
      <t xml:space="preserve">Enter the names of the drivers in the </t>
    </r>
    <r>
      <rPr>
        <sz val="10"/>
        <color rgb="FF3C78D8"/>
        <rFont val="Arial"/>
      </rPr>
      <t>BLUE name fields</t>
    </r>
    <r>
      <rPr>
        <sz val="10"/>
        <color theme="1"/>
        <rFont val="Arial"/>
      </rPr>
      <t>.</t>
    </r>
  </si>
  <si>
    <t>Listers:</t>
  </si>
  <si>
    <r>
      <rPr>
        <sz val="10"/>
        <color theme="1"/>
        <rFont val="Arial"/>
      </rPr>
      <t xml:space="preserve">Enter each payment from the buyers in the </t>
    </r>
    <r>
      <rPr>
        <sz val="10"/>
        <color rgb="FFF9CB9C"/>
        <rFont val="Arial"/>
      </rPr>
      <t>light ORANGE box</t>
    </r>
    <r>
      <rPr>
        <sz val="10"/>
        <color theme="1"/>
        <rFont val="Arial"/>
      </rPr>
      <t xml:space="preserve"> for the appropriate driver</t>
    </r>
  </si>
  <si>
    <r>
      <rPr>
        <sz val="10"/>
        <color theme="1"/>
        <rFont val="Arial"/>
      </rPr>
      <t>On no-bid lobbies, enter the value of a book in the</t>
    </r>
    <r>
      <rPr>
        <sz val="10"/>
        <color rgb="FFD9EAD3"/>
        <rFont val="Arial"/>
      </rPr>
      <t xml:space="preserve"> light GREEN line </t>
    </r>
    <r>
      <rPr>
        <sz val="10"/>
        <color theme="1"/>
        <rFont val="Arial"/>
      </rPr>
      <t>under the bidder's name.</t>
    </r>
  </si>
  <si>
    <t>IF 1</t>
  </si>
  <si>
    <r>
      <rPr>
        <sz val="10"/>
        <color theme="1"/>
        <rFont val="Arial"/>
      </rPr>
      <t>On no-bid lobbies, enter the price paid for a book in the</t>
    </r>
    <r>
      <rPr>
        <sz val="10"/>
        <color rgb="FFD9EAD3"/>
        <rFont val="Arial"/>
      </rPr>
      <t xml:space="preserve"> </t>
    </r>
    <r>
      <rPr>
        <sz val="10"/>
        <color rgb="FFF4CCCC"/>
        <rFont val="Arial"/>
      </rPr>
      <t>light RED line</t>
    </r>
    <r>
      <rPr>
        <sz val="10"/>
        <color rgb="FFD9EAD3"/>
        <rFont val="Arial"/>
      </rPr>
      <t xml:space="preserve"> </t>
    </r>
    <r>
      <rPr>
        <sz val="10"/>
        <color theme="1"/>
        <rFont val="Arial"/>
      </rPr>
      <t>under the bidder's name.</t>
    </r>
  </si>
  <si>
    <t>lists gem for</t>
  </si>
  <si>
    <t>at price</t>
  </si>
  <si>
    <t>At the bottom, you will see the rebalancing payments to be made.</t>
  </si>
  <si>
    <t>IF 2</t>
  </si>
  <si>
    <t xml:space="preserve">Driver 1 </t>
  </si>
  <si>
    <t xml:space="preserve">Driver 2 </t>
  </si>
  <si>
    <t xml:space="preserve">Driver 3 </t>
  </si>
  <si>
    <t>Total:</t>
  </si>
  <si>
    <t>Average:</t>
  </si>
  <si>
    <t>Adjusted</t>
  </si>
  <si>
    <t>Buyer payments:</t>
  </si>
  <si>
    <t>Book profits:</t>
  </si>
  <si>
    <t>Subtotals (net tax):</t>
  </si>
  <si>
    <t>Vykas HM</t>
  </si>
  <si>
    <t>Template</t>
  </si>
  <si>
    <t>TOTAL</t>
  </si>
  <si>
    <t>Vykas NM</t>
  </si>
  <si>
    <t>Argos Trio</t>
  </si>
  <si>
    <t>Auction</t>
  </si>
  <si>
    <t>Argos Trio 09.09</t>
  </si>
  <si>
    <t>Vykas Book</t>
  </si>
  <si>
    <t>EQUALIZER</t>
  </si>
  <si>
    <t>Argos Duo</t>
  </si>
  <si>
    <t>Delay-Chlöe</t>
  </si>
  <si>
    <t>alx-Slyglaive</t>
  </si>
  <si>
    <t>Valtan HM</t>
  </si>
  <si>
    <t>R1</t>
  </si>
  <si>
    <t>R2</t>
  </si>
  <si>
    <t>swift bard</t>
  </si>
  <si>
    <t>cglavier</t>
  </si>
  <si>
    <t>alx-Slyscythe</t>
  </si>
  <si>
    <t>spec bard</t>
  </si>
  <si>
    <t>igniter</t>
  </si>
  <si>
    <t>Artist</t>
  </si>
  <si>
    <t>scouter</t>
  </si>
  <si>
    <t>arcana</t>
  </si>
  <si>
    <t>atri</t>
  </si>
  <si>
    <t>summoner</t>
  </si>
  <si>
    <r>
      <rPr>
        <sz val="10"/>
        <color theme="1"/>
        <rFont val="Arial"/>
      </rPr>
      <t xml:space="preserve">Enter the names of the drivers in the </t>
    </r>
    <r>
      <rPr>
        <sz val="10"/>
        <color rgb="FF3C78D8"/>
        <rFont val="Arial"/>
      </rPr>
      <t>BLUE name fields</t>
    </r>
    <r>
      <rPr>
        <sz val="10"/>
        <color theme="1"/>
        <rFont val="Arial"/>
      </rPr>
      <t>.</t>
    </r>
  </si>
  <si>
    <r>
      <rPr>
        <sz val="10"/>
        <color theme="1"/>
        <rFont val="Arial"/>
      </rPr>
      <t xml:space="preserve">Enter each payment from the buyers in the </t>
    </r>
    <r>
      <rPr>
        <sz val="10"/>
        <color rgb="FFF9CB9C"/>
        <rFont val="Arial"/>
      </rPr>
      <t>light ORANGE box</t>
    </r>
    <r>
      <rPr>
        <sz val="10"/>
        <color theme="1"/>
        <rFont val="Arial"/>
      </rPr>
      <t xml:space="preserve"> for the appropriate driver</t>
    </r>
  </si>
  <si>
    <r>
      <rPr>
        <sz val="10"/>
        <color theme="1"/>
        <rFont val="Arial"/>
      </rPr>
      <t>On no-bid lobbies, enter the value of a book in the</t>
    </r>
    <r>
      <rPr>
        <sz val="10"/>
        <color rgb="FFD9EAD3"/>
        <rFont val="Arial"/>
      </rPr>
      <t xml:space="preserve"> light GREEN line </t>
    </r>
    <r>
      <rPr>
        <sz val="10"/>
        <color theme="1"/>
        <rFont val="Arial"/>
      </rPr>
      <t>under the bidder's name.</t>
    </r>
  </si>
  <si>
    <r>
      <rPr>
        <sz val="10"/>
        <color theme="1"/>
        <rFont val="Arial"/>
      </rPr>
      <t>On no-bid lobbies, enter the price paid for a book in the</t>
    </r>
    <r>
      <rPr>
        <sz val="10"/>
        <color rgb="FFD9EAD3"/>
        <rFont val="Arial"/>
      </rPr>
      <t xml:space="preserve"> </t>
    </r>
    <r>
      <rPr>
        <sz val="10"/>
        <color rgb="FFF4CCCC"/>
        <rFont val="Arial"/>
      </rPr>
      <t>light RED line</t>
    </r>
    <r>
      <rPr>
        <sz val="10"/>
        <color rgb="FFD9EAD3"/>
        <rFont val="Arial"/>
      </rPr>
      <t xml:space="preserve"> </t>
    </r>
    <r>
      <rPr>
        <sz val="10"/>
        <color theme="1"/>
        <rFont val="Arial"/>
      </rPr>
      <t>under the bidder's name.</t>
    </r>
  </si>
  <si>
    <t>Jutro</t>
  </si>
  <si>
    <t>Ninetailedstrike</t>
  </si>
  <si>
    <t>Lucidsingularity</t>
  </si>
  <si>
    <t>Íhatechaos</t>
  </si>
  <si>
    <t>Brutalmomentum</t>
  </si>
  <si>
    <t>Umbralfang</t>
  </si>
  <si>
    <t>Threeroundburst</t>
  </si>
  <si>
    <t>Dancíngdagger</t>
  </si>
  <si>
    <t>Lunarimpact</t>
  </si>
  <si>
    <t>Impactstrike</t>
  </si>
  <si>
    <t>Radiantarc</t>
  </si>
  <si>
    <t>Searingslash</t>
  </si>
  <si>
    <t>Astralwisp</t>
  </si>
  <si>
    <t>Ferociouswinds</t>
  </si>
  <si>
    <t>Felinegrace</t>
  </si>
  <si>
    <t>Battlepresence</t>
  </si>
  <si>
    <t>Quietintensity</t>
  </si>
  <si>
    <t>Primalsoul</t>
  </si>
  <si>
    <t>Class</t>
  </si>
  <si>
    <t>Glaivier</t>
  </si>
  <si>
    <t>Sorceress</t>
  </si>
  <si>
    <t>Striker</t>
  </si>
  <si>
    <t>Souleater</t>
  </si>
  <si>
    <t>Gunslinger</t>
  </si>
  <si>
    <t>Deathblade</t>
  </si>
  <si>
    <t>Reaper</t>
  </si>
  <si>
    <t>Wardancer</t>
  </si>
  <si>
    <t>Machinist</t>
  </si>
  <si>
    <t>Slayer</t>
  </si>
  <si>
    <t>Aeromancer</t>
  </si>
  <si>
    <t>Wildsoul</t>
  </si>
  <si>
    <t>Valk</t>
  </si>
  <si>
    <t>Item Level</t>
  </si>
  <si>
    <t>Vykas</t>
  </si>
  <si>
    <t>Valtan</t>
  </si>
  <si>
    <t>Argos</t>
  </si>
  <si>
    <t>Config</t>
  </si>
  <si>
    <t>Charlie</t>
  </si>
  <si>
    <t>Chawie</t>
  </si>
  <si>
    <t>Chawwie</t>
  </si>
  <si>
    <t>Chawiebonk</t>
  </si>
  <si>
    <t>Chawei</t>
  </si>
  <si>
    <t>Charwie</t>
  </si>
  <si>
    <t>Supportmonkey</t>
  </si>
  <si>
    <t>Chadwie</t>
  </si>
  <si>
    <t>Demonchawie</t>
  </si>
  <si>
    <t>Berserker</t>
  </si>
  <si>
    <t>Sole(fish)</t>
  </si>
  <si>
    <t>Shadowhunter</t>
  </si>
  <si>
    <t>deadge</t>
  </si>
  <si>
    <t>rotge</t>
  </si>
  <si>
    <t>ratge</t>
  </si>
  <si>
    <t>Slyred</t>
  </si>
  <si>
    <t>Cearre</t>
  </si>
  <si>
    <t>Jiujie</t>
  </si>
  <si>
    <t>Thaede</t>
  </si>
  <si>
    <t>Melodicpri</t>
  </si>
  <si>
    <t>Slyfool</t>
  </si>
  <si>
    <t>Slyscythe</t>
  </si>
  <si>
    <t>Slyglaive</t>
  </si>
  <si>
    <t>Slyraze</t>
  </si>
  <si>
    <t>Scyrra</t>
  </si>
  <si>
    <t>Slymint</t>
  </si>
  <si>
    <t>Slycloud</t>
  </si>
  <si>
    <t>Arcana</t>
  </si>
  <si>
    <t>Scrapper</t>
  </si>
  <si>
    <t>Soulfist</t>
  </si>
  <si>
    <t>Chloetwo</t>
  </si>
  <si>
    <t>Chloster</t>
  </si>
  <si>
    <t>Chloebrush</t>
  </si>
  <si>
    <t>Chloepet</t>
  </si>
  <si>
    <t>Chloeburst</t>
  </si>
  <si>
    <t>Chloestorm</t>
  </si>
  <si>
    <t>Chloescythe</t>
  </si>
  <si>
    <t>Bighandguy</t>
  </si>
  <si>
    <t>Wildchloe</t>
  </si>
  <si>
    <t>Guardianknight</t>
  </si>
  <si>
    <t>Summoner</t>
  </si>
  <si>
    <t>Ghowonty</t>
  </si>
  <si>
    <t>Giantditchfrog</t>
  </si>
  <si>
    <t>Dowongerj</t>
  </si>
  <si>
    <t>Catpounce</t>
  </si>
  <si>
    <t>Ghontyg</t>
  </si>
  <si>
    <t>Ghontycarpet</t>
  </si>
  <si>
    <t>Ghowonterj</t>
  </si>
  <si>
    <t>Triomphe</t>
  </si>
  <si>
    <t>Chou</t>
  </si>
  <si>
    <t>Soble</t>
  </si>
  <si>
    <t>Ame</t>
  </si>
  <si>
    <t>Owonyoung</t>
  </si>
  <si>
    <t>Pitshu</t>
  </si>
  <si>
    <t>Cardrazy</t>
  </si>
  <si>
    <t>Wierazy</t>
  </si>
  <si>
    <t>Cuhrazy</t>
  </si>
  <si>
    <t>Wildrazy</t>
  </si>
  <si>
    <t>Faalsoul</t>
  </si>
  <si>
    <t>Faalmancer</t>
  </si>
  <si>
    <t>Faalb</t>
  </si>
  <si>
    <t>Faaler</t>
  </si>
  <si>
    <t>Faalbreaker</t>
  </si>
  <si>
    <t>Faalkyrie</t>
  </si>
  <si>
    <t>Nonna</t>
  </si>
  <si>
    <t>Nonnaa</t>
  </si>
  <si>
    <t>Shenaya</t>
  </si>
  <si>
    <t>Nonaa</t>
  </si>
  <si>
    <t>Nosha</t>
  </si>
  <si>
    <t>Nonnâ</t>
  </si>
  <si>
    <t>Sabinalallian</t>
  </si>
  <si>
    <t>Boobmaxxing</t>
  </si>
  <si>
    <t>Mokokogl</t>
  </si>
  <si>
    <t>Mawbu</t>
  </si>
  <si>
    <t>Letmeinnnnnn</t>
  </si>
  <si>
    <t>Boobaowo</t>
  </si>
  <si>
    <t>Valkyrie</t>
  </si>
  <si>
    <t>Rating:</t>
  </si>
  <si>
    <t>Very good</t>
  </si>
  <si>
    <t>Reinvite ok</t>
  </si>
  <si>
    <t>Pretty meh</t>
  </si>
  <si>
    <t>Trashcan</t>
  </si>
  <si>
    <t>Rating</t>
  </si>
  <si>
    <t>Discord</t>
  </si>
  <si>
    <t>ID</t>
  </si>
  <si>
    <t>Type of Run</t>
  </si>
  <si>
    <t>Conclusion</t>
  </si>
  <si>
    <t>SyDxY#0648</t>
  </si>
  <si>
    <t>115876857315983364</t>
  </si>
  <si>
    <t>4man Vykas</t>
  </si>
  <si>
    <t>1500+ Sorc. Pretty Meh Damage. Run was still oneshot</t>
  </si>
  <si>
    <t>AYBARS#3515</t>
  </si>
  <si>
    <t>425748854604955678</t>
  </si>
  <si>
    <t>None</t>
  </si>
  <si>
    <t>Run never happened. Left after few minutes to join other group</t>
  </si>
  <si>
    <t>PoncaHan#1741</t>
  </si>
  <si>
    <t>455362155311792140</t>
  </si>
  <si>
    <t>Doesnt speak</t>
  </si>
  <si>
    <t>Glaedir#2535</t>
  </si>
  <si>
    <t>431853243455242240</t>
  </si>
  <si>
    <t>Good player, communicates. Sorc main (1495), many buses per week</t>
  </si>
  <si>
    <t>Rainz#6424</t>
  </si>
  <si>
    <t>899389585283481601</t>
  </si>
  <si>
    <t>Bard player. Expected nothing, still disappointed. Clueless emote</t>
  </si>
  <si>
    <t>getleft#0001</t>
  </si>
  <si>
    <t>318007070622351361</t>
  </si>
  <si>
    <t>Decent GS, communicates</t>
  </si>
  <si>
    <t>friend of getleft</t>
  </si>
  <si>
    <t>Good damage for Scrapper, was not on voice</t>
  </si>
  <si>
    <t>Rouzer#6890</t>
  </si>
  <si>
    <t>371010562701787156</t>
  </si>
  <si>
    <t>1462 sorc, decent damage, communicates</t>
  </si>
  <si>
    <t>Burakk#1942</t>
  </si>
  <si>
    <t>455280830638456833</t>
  </si>
  <si>
    <t>paladin, communicates</t>
  </si>
  <si>
    <t>Tora#4218</t>
  </si>
  <si>
    <t>934454145887383654</t>
  </si>
  <si>
    <t>4man Vykas&amp; Valtan</t>
  </si>
  <si>
    <t>1500+ Striker, communicates</t>
  </si>
  <si>
    <t>ZzzonkeY#8398</t>
  </si>
  <si>
    <t>355754878766940162</t>
  </si>
  <si>
    <t>Dua Argos</t>
  </si>
  <si>
    <t>High Ilvl alts, fast run, pay before p1</t>
  </si>
  <si>
    <t>Sophster</t>
  </si>
  <si>
    <t>Bimini</t>
  </si>
  <si>
    <t>Gottmik</t>
  </si>
  <si>
    <t>Dodie</t>
  </si>
  <si>
    <t>Ottolie</t>
  </si>
  <si>
    <t>Frogblush</t>
  </si>
  <si>
    <t>Boingobingo</t>
  </si>
  <si>
    <t>Honeybrain</t>
  </si>
  <si>
    <t>Moon</t>
  </si>
  <si>
    <t>Bendy</t>
  </si>
  <si>
    <t>Bendyowo</t>
  </si>
  <si>
    <t>Bondochad</t>
  </si>
  <si>
    <t>Bedni</t>
  </si>
  <si>
    <t>Bondo</t>
  </si>
  <si>
    <t>Bondopewpew</t>
  </si>
  <si>
    <t>Artillerist</t>
  </si>
  <si>
    <t>Sharpshooter</t>
  </si>
  <si>
    <t>Deadeye</t>
  </si>
  <si>
    <t>Destro</t>
  </si>
  <si>
    <t>Lilshit</t>
  </si>
  <si>
    <t>GL</t>
  </si>
  <si>
    <t>Artill</t>
  </si>
  <si>
    <t>Scouter</t>
  </si>
  <si>
    <t>BAKER</t>
  </si>
  <si>
    <t>Bonk</t>
  </si>
  <si>
    <t>striker</t>
  </si>
  <si>
    <t>BREAKER</t>
  </si>
  <si>
    <t>Pugs</t>
  </si>
  <si>
    <t>Simba</t>
  </si>
  <si>
    <t>Reverb</t>
  </si>
  <si>
    <t>Small Alex</t>
  </si>
  <si>
    <t>EnderFriend</t>
  </si>
  <si>
    <t>SimbaFriend?</t>
  </si>
  <si>
    <t>Simba?</t>
  </si>
  <si>
    <t>Azzijin</t>
  </si>
  <si>
    <t>WishWosh</t>
  </si>
  <si>
    <t>Louis</t>
  </si>
  <si>
    <t>Dan</t>
  </si>
  <si>
    <t>Gronk</t>
  </si>
  <si>
    <t>Noobmaster</t>
  </si>
  <si>
    <t>Mischaa</t>
  </si>
  <si>
    <t>Ikram</t>
  </si>
  <si>
    <t>Terry</t>
  </si>
  <si>
    <t>Painz</t>
  </si>
  <si>
    <t>Edwin</t>
  </si>
  <si>
    <t>Icecube</t>
  </si>
  <si>
    <t>Sophie</t>
  </si>
  <si>
    <t>UWU SQUAD CLASSES</t>
  </si>
  <si>
    <t>Charlie-Chawwie</t>
  </si>
  <si>
    <t>Wish-Bnötssssssss</t>
  </si>
  <si>
    <t>Total</t>
  </si>
  <si>
    <t>Sunday 16:00</t>
  </si>
  <si>
    <t>Charlie-Chawei</t>
  </si>
  <si>
    <t>hand-holding square :3</t>
  </si>
  <si>
    <t xml:space="preserve">Monday  </t>
  </si>
  <si>
    <t>Marcel-Lunarimpact</t>
  </si>
  <si>
    <t>Charlie-Chawiebonk</t>
  </si>
  <si>
    <t>Wish-sf</t>
  </si>
  <si>
    <t>^ cringe</t>
  </si>
  <si>
    <t>?</t>
  </si>
  <si>
    <t>no u</t>
  </si>
  <si>
    <t>supportmonkey supremacy</t>
  </si>
  <si>
    <t>Glavier</t>
  </si>
  <si>
    <t>Charlie-Charwie</t>
  </si>
  <si>
    <t>omg guys we're gonna be so good</t>
  </si>
  <si>
    <t>deadeye supremacy</t>
  </si>
  <si>
    <t>miku &gt; nino</t>
  </si>
  <si>
    <t>&lt;-- weeb detected, opinion ignored</t>
  </si>
  <si>
    <t>Destroyer</t>
  </si>
  <si>
    <t>we like fortnite</t>
  </si>
  <si>
    <t>good soup</t>
  </si>
  <si>
    <t>soup time</t>
  </si>
  <si>
    <t>i hecking love ai</t>
  </si>
  <si>
    <t>hey there demons, it's me, ya boi</t>
  </si>
  <si>
    <t>BORGIR</t>
  </si>
  <si>
    <t>&lt;-- this</t>
  </si>
  <si>
    <t>Machinest</t>
  </si>
  <si>
    <t>huh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</si>
</sst>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theme="1"/>
      <name val="Arial"/>
    </font>
    <font>
      <b/>
      <sz val="10"/>
      <color theme="1"/>
      <name val="Arial"/>
      <scheme val="minor"/>
    </font>
    <font>
      <b/>
      <sz val="10"/>
      <color theme="1"/>
      <name val="Caveat"/>
    </font>
    <font>
      <sz val="12"/>
      <color rgb="FF404040"/>
      <name val="&quot;Open Sans&quot;"/>
    </font>
    <font>
      <i/>
      <sz val="10"/>
      <color theme="1"/>
      <name val="Arial"/>
      <scheme val="minor"/>
    </font>
    <font>
      <sz val="10"/>
      <color rgb="FF000000"/>
      <name val="Arial"/>
    </font>
    <font>
      <sz val="10"/>
      <color rgb="FF3C78D8"/>
      <name val="Arial"/>
    </font>
    <font>
      <sz val="10"/>
      <color rgb="FFF9CB9C"/>
      <name val="Arial"/>
    </font>
    <font>
      <sz val="10"/>
      <color rgb="FFD9EAD3"/>
      <name val="Arial"/>
    </font>
    <font>
      <sz val="10"/>
      <color rgb="FFF4CCCC"/>
      <name val="Arial"/>
    </font>
  </fonts>
  <fills count="4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D0E0E3"/>
        <bgColor rgb="FFD0E0E3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00FF"/>
        <bgColor rgb="FFFF00FF"/>
      </patternFill>
    </fill>
    <fill>
      <patternFill patternType="solid">
        <fgColor rgb="FF00FFFF"/>
        <bgColor rgb="FF00FFFF"/>
      </patternFill>
    </fill>
    <fill>
      <patternFill patternType="solid">
        <fgColor rgb="FFB7B7B7"/>
        <bgColor rgb="FFB7B7B7"/>
      </patternFill>
    </fill>
    <fill>
      <patternFill patternType="solid">
        <fgColor rgb="FF990000"/>
        <bgColor rgb="FF990000"/>
      </patternFill>
    </fill>
    <fill>
      <patternFill patternType="solid">
        <fgColor rgb="FFF4C7C3"/>
        <bgColor rgb="FFF4C7C3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674EA7"/>
        <bgColor rgb="FF674EA7"/>
      </patternFill>
    </fill>
    <fill>
      <patternFill patternType="solid">
        <fgColor theme="6"/>
        <bgColor theme="6"/>
      </patternFill>
    </fill>
    <fill>
      <patternFill patternType="solid">
        <fgColor rgb="FF85200C"/>
        <bgColor rgb="FF85200C"/>
      </patternFill>
    </fill>
    <fill>
      <patternFill patternType="solid">
        <fgColor rgb="FFF7CB4D"/>
        <bgColor rgb="FFF7CB4D"/>
      </patternFill>
    </fill>
    <fill>
      <patternFill patternType="solid">
        <fgColor rgb="FFE06666"/>
        <bgColor rgb="FFE06666"/>
      </patternFill>
    </fill>
    <fill>
      <patternFill patternType="solid">
        <fgColor theme="7"/>
        <bgColor theme="7"/>
      </patternFill>
    </fill>
    <fill>
      <patternFill patternType="solid">
        <fgColor rgb="FFA3E855"/>
        <bgColor rgb="FFA3E855"/>
      </patternFill>
    </fill>
    <fill>
      <patternFill patternType="solid">
        <fgColor rgb="FF00FF00"/>
        <bgColor rgb="FF00FF00"/>
      </patternFill>
    </fill>
    <fill>
      <patternFill patternType="solid">
        <fgColor rgb="FFEA4335"/>
        <bgColor rgb="FFEA4335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FCE5CD"/>
        <bgColor rgb="FFFCE5CD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</fills>
  <borders count="49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258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 vertical="center"/>
    </xf>
    <xf numFmtId="0" fontId="1" fillId="0" borderId="2" xfId="0" applyFont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0" borderId="0" xfId="0" applyFont="1"/>
    <xf numFmtId="0" fontId="1" fillId="0" borderId="7" xfId="0" applyFont="1" applyBorder="1"/>
    <xf numFmtId="0" fontId="1" fillId="0" borderId="8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4" borderId="6" xfId="0" applyFont="1" applyFill="1" applyBorder="1"/>
    <xf numFmtId="0" fontId="1" fillId="4" borderId="9" xfId="0" applyFont="1" applyFill="1" applyBorder="1"/>
    <xf numFmtId="0" fontId="1" fillId="5" borderId="6" xfId="0" applyFont="1" applyFill="1" applyBorder="1"/>
    <xf numFmtId="0" fontId="1" fillId="5" borderId="9" xfId="0" applyFont="1" applyFill="1" applyBorder="1"/>
    <xf numFmtId="0" fontId="1" fillId="7" borderId="6" xfId="0" applyFont="1" applyFill="1" applyBorder="1"/>
    <xf numFmtId="0" fontId="1" fillId="7" borderId="9" xfId="0" applyFont="1" applyFill="1" applyBorder="1"/>
    <xf numFmtId="0" fontId="2" fillId="7" borderId="6" xfId="0" applyFont="1" applyFill="1" applyBorder="1"/>
    <xf numFmtId="0" fontId="2" fillId="7" borderId="9" xfId="0" applyFont="1" applyFill="1" applyBorder="1"/>
    <xf numFmtId="0" fontId="1" fillId="0" borderId="0" xfId="0" applyFont="1" applyAlignment="1">
      <alignment horizontal="right"/>
    </xf>
    <xf numFmtId="0" fontId="1" fillId="0" borderId="13" xfId="0" applyFont="1" applyBorder="1"/>
    <xf numFmtId="0" fontId="1" fillId="0" borderId="2" xfId="0" applyFont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15" xfId="0" applyFont="1" applyFill="1" applyBorder="1"/>
    <xf numFmtId="0" fontId="1" fillId="8" borderId="6" xfId="0" applyFont="1" applyFill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9" borderId="6" xfId="0" applyFont="1" applyFill="1" applyBorder="1"/>
    <xf numFmtId="0" fontId="1" fillId="8" borderId="9" xfId="0" applyFont="1" applyFill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9" borderId="9" xfId="0" applyFont="1" applyFill="1" applyBorder="1"/>
    <xf numFmtId="0" fontId="1" fillId="0" borderId="8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10" borderId="6" xfId="0" applyFont="1" applyFill="1" applyBorder="1"/>
    <xf numFmtId="0" fontId="1" fillId="10" borderId="9" xfId="0" applyFont="1" applyFill="1" applyBorder="1"/>
    <xf numFmtId="0" fontId="1" fillId="12" borderId="6" xfId="0" applyFont="1" applyFill="1" applyBorder="1"/>
    <xf numFmtId="0" fontId="1" fillId="13" borderId="6" xfId="0" applyFont="1" applyFill="1" applyBorder="1"/>
    <xf numFmtId="0" fontId="1" fillId="12" borderId="9" xfId="0" applyFont="1" applyFill="1" applyBorder="1"/>
    <xf numFmtId="0" fontId="1" fillId="13" borderId="9" xfId="0" applyFont="1" applyFill="1" applyBorder="1"/>
    <xf numFmtId="0" fontId="1" fillId="0" borderId="6" xfId="0" applyFont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" xfId="0" applyFont="1" applyBorder="1" applyAlignment="1">
      <alignment horizontal="right"/>
    </xf>
    <xf numFmtId="0" fontId="1" fillId="14" borderId="6" xfId="0" applyFont="1" applyFill="1" applyBorder="1"/>
    <xf numFmtId="0" fontId="1" fillId="14" borderId="9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5" borderId="18" xfId="0" applyFont="1" applyFill="1" applyBorder="1"/>
    <xf numFmtId="0" fontId="2" fillId="2" borderId="19" xfId="0" applyFont="1" applyFill="1" applyBorder="1"/>
    <xf numFmtId="0" fontId="2" fillId="2" borderId="20" xfId="0" applyFont="1" applyFill="1" applyBorder="1"/>
    <xf numFmtId="0" fontId="2" fillId="2" borderId="21" xfId="0" applyFont="1" applyFill="1" applyBorder="1"/>
    <xf numFmtId="0" fontId="1" fillId="15" borderId="22" xfId="0" applyFont="1" applyFill="1" applyBorder="1"/>
    <xf numFmtId="0" fontId="1" fillId="3" borderId="7" xfId="0" applyFont="1" applyFill="1" applyBorder="1" applyAlignment="1">
      <alignment horizontal="right"/>
    </xf>
    <xf numFmtId="0" fontId="1" fillId="17" borderId="7" xfId="0" applyFont="1" applyFill="1" applyBorder="1" applyAlignment="1">
      <alignment horizontal="right"/>
    </xf>
    <xf numFmtId="0" fontId="1" fillId="17" borderId="8" xfId="0" applyFont="1" applyFill="1" applyBorder="1" applyAlignment="1">
      <alignment horizontal="right"/>
    </xf>
    <xf numFmtId="0" fontId="5" fillId="15" borderId="24" xfId="0" applyFont="1" applyFill="1" applyBorder="1"/>
    <xf numFmtId="0" fontId="1" fillId="3" borderId="10" xfId="0" applyFont="1" applyFill="1" applyBorder="1" applyAlignment="1">
      <alignment horizontal="right"/>
    </xf>
    <xf numFmtId="0" fontId="1" fillId="17" borderId="10" xfId="0" applyFont="1" applyFill="1" applyBorder="1" applyAlignment="1">
      <alignment horizontal="right"/>
    </xf>
    <xf numFmtId="0" fontId="1" fillId="17" borderId="11" xfId="0" applyFont="1" applyFill="1" applyBorder="1" applyAlignment="1">
      <alignment horizontal="right"/>
    </xf>
    <xf numFmtId="0" fontId="1" fillId="3" borderId="0" xfId="0" applyFont="1" applyFill="1"/>
    <xf numFmtId="0" fontId="5" fillId="0" borderId="0" xfId="0" applyFont="1"/>
    <xf numFmtId="0" fontId="5" fillId="18" borderId="18" xfId="0" applyFont="1" applyFill="1" applyBorder="1"/>
    <xf numFmtId="0" fontId="5" fillId="8" borderId="18" xfId="0" applyFont="1" applyFill="1" applyBorder="1"/>
    <xf numFmtId="0" fontId="1" fillId="18" borderId="22" xfId="0" applyFont="1" applyFill="1" applyBorder="1"/>
    <xf numFmtId="0" fontId="1" fillId="8" borderId="22" xfId="0" applyFont="1" applyFill="1" applyBorder="1"/>
    <xf numFmtId="0" fontId="5" fillId="18" borderId="24" xfId="0" applyFont="1" applyFill="1" applyBorder="1"/>
    <xf numFmtId="0" fontId="5" fillId="8" borderId="24" xfId="0" applyFont="1" applyFill="1" applyBorder="1"/>
    <xf numFmtId="0" fontId="5" fillId="19" borderId="18" xfId="0" applyFont="1" applyFill="1" applyBorder="1"/>
    <xf numFmtId="0" fontId="1" fillId="19" borderId="22" xfId="0" applyFont="1" applyFill="1" applyBorder="1"/>
    <xf numFmtId="0" fontId="5" fillId="19" borderId="24" xfId="0" applyFont="1" applyFill="1" applyBorder="1"/>
    <xf numFmtId="0" fontId="1" fillId="13" borderId="0" xfId="0" applyFont="1" applyFill="1"/>
    <xf numFmtId="0" fontId="5" fillId="20" borderId="18" xfId="0" applyFont="1" applyFill="1" applyBorder="1"/>
    <xf numFmtId="0" fontId="1" fillId="20" borderId="22" xfId="0" applyFont="1" applyFill="1" applyBorder="1"/>
    <xf numFmtId="0" fontId="5" fillId="20" borderId="24" xfId="0" applyFont="1" applyFill="1" applyBorder="1"/>
    <xf numFmtId="0" fontId="5" fillId="14" borderId="18" xfId="0" applyFont="1" applyFill="1" applyBorder="1"/>
    <xf numFmtId="0" fontId="1" fillId="14" borderId="22" xfId="0" applyFont="1" applyFill="1" applyBorder="1"/>
    <xf numFmtId="0" fontId="5" fillId="14" borderId="24" xfId="0" applyFont="1" applyFill="1" applyBorder="1"/>
    <xf numFmtId="0" fontId="5" fillId="21" borderId="18" xfId="0" applyFont="1" applyFill="1" applyBorder="1"/>
    <xf numFmtId="0" fontId="1" fillId="21" borderId="22" xfId="0" applyFont="1" applyFill="1" applyBorder="1"/>
    <xf numFmtId="0" fontId="5" fillId="21" borderId="24" xfId="0" applyFont="1" applyFill="1" applyBorder="1"/>
    <xf numFmtId="0" fontId="5" fillId="2" borderId="18" xfId="0" applyFont="1" applyFill="1" applyBorder="1"/>
    <xf numFmtId="0" fontId="1" fillId="2" borderId="22" xfId="0" applyFont="1" applyFill="1" applyBorder="1"/>
    <xf numFmtId="0" fontId="5" fillId="2" borderId="24" xfId="0" applyFont="1" applyFill="1" applyBorder="1"/>
    <xf numFmtId="0" fontId="5" fillId="22" borderId="18" xfId="0" applyFont="1" applyFill="1" applyBorder="1"/>
    <xf numFmtId="0" fontId="1" fillId="22" borderId="22" xfId="0" applyFont="1" applyFill="1" applyBorder="1"/>
    <xf numFmtId="0" fontId="5" fillId="22" borderId="24" xfId="0" applyFont="1" applyFill="1" applyBorder="1"/>
    <xf numFmtId="0" fontId="4" fillId="21" borderId="27" xfId="0" applyFont="1" applyFill="1" applyBorder="1"/>
    <xf numFmtId="0" fontId="2" fillId="21" borderId="14" xfId="0" applyFont="1" applyFill="1" applyBorder="1"/>
    <xf numFmtId="0" fontId="2" fillId="21" borderId="11" xfId="0" applyFont="1" applyFill="1" applyBorder="1"/>
    <xf numFmtId="0" fontId="4" fillId="6" borderId="27" xfId="0" applyFont="1" applyFill="1" applyBorder="1"/>
    <xf numFmtId="0" fontId="2" fillId="6" borderId="14" xfId="0" applyFont="1" applyFill="1" applyBorder="1"/>
    <xf numFmtId="0" fontId="2" fillId="6" borderId="11" xfId="0" applyFont="1" applyFill="1" applyBorder="1"/>
    <xf numFmtId="0" fontId="5" fillId="24" borderId="18" xfId="0" applyFont="1" applyFill="1" applyBorder="1"/>
    <xf numFmtId="0" fontId="1" fillId="24" borderId="22" xfId="0" applyFont="1" applyFill="1" applyBorder="1"/>
    <xf numFmtId="0" fontId="5" fillId="24" borderId="24" xfId="0" applyFont="1" applyFill="1" applyBorder="1"/>
    <xf numFmtId="0" fontId="1" fillId="0" borderId="22" xfId="0" applyFont="1" applyBorder="1"/>
    <xf numFmtId="0" fontId="5" fillId="0" borderId="24" xfId="0" applyFont="1" applyBorder="1"/>
    <xf numFmtId="0" fontId="5" fillId="18" borderId="28" xfId="0" applyFont="1" applyFill="1" applyBorder="1"/>
    <xf numFmtId="0" fontId="2" fillId="2" borderId="29" xfId="0" applyFont="1" applyFill="1" applyBorder="1"/>
    <xf numFmtId="0" fontId="2" fillId="2" borderId="30" xfId="0" applyFont="1" applyFill="1" applyBorder="1"/>
    <xf numFmtId="0" fontId="2" fillId="2" borderId="31" xfId="0" applyFont="1" applyFill="1" applyBorder="1"/>
    <xf numFmtId="0" fontId="5" fillId="18" borderId="32" xfId="0" applyFont="1" applyFill="1" applyBorder="1"/>
    <xf numFmtId="0" fontId="2" fillId="2" borderId="33" xfId="0" applyFont="1" applyFill="1" applyBorder="1"/>
    <xf numFmtId="0" fontId="5" fillId="20" borderId="27" xfId="0" applyFont="1" applyFill="1" applyBorder="1"/>
    <xf numFmtId="0" fontId="5" fillId="28" borderId="32" xfId="0" applyFont="1" applyFill="1" applyBorder="1"/>
    <xf numFmtId="0" fontId="1" fillId="18" borderId="34" xfId="0" applyFont="1" applyFill="1" applyBorder="1"/>
    <xf numFmtId="0" fontId="1" fillId="17" borderId="35" xfId="0" applyFont="1" applyFill="1" applyBorder="1" applyAlignment="1">
      <alignment horizontal="right"/>
    </xf>
    <xf numFmtId="0" fontId="1" fillId="20" borderId="14" xfId="0" applyFont="1" applyFill="1" applyBorder="1"/>
    <xf numFmtId="0" fontId="1" fillId="28" borderId="22" xfId="0" applyFont="1" applyFill="1" applyBorder="1"/>
    <xf numFmtId="0" fontId="5" fillId="18" borderId="36" xfId="0" applyFont="1" applyFill="1" applyBorder="1"/>
    <xf numFmtId="0" fontId="1" fillId="17" borderId="37" xfId="0" applyFont="1" applyFill="1" applyBorder="1" applyAlignment="1">
      <alignment horizontal="right"/>
    </xf>
    <xf numFmtId="0" fontId="5" fillId="20" borderId="11" xfId="0" applyFont="1" applyFill="1" applyBorder="1"/>
    <xf numFmtId="0" fontId="5" fillId="28" borderId="24" xfId="0" applyFont="1" applyFill="1" applyBorder="1"/>
    <xf numFmtId="0" fontId="1" fillId="0" borderId="23" xfId="0" applyFont="1" applyBorder="1"/>
    <xf numFmtId="0" fontId="1" fillId="0" borderId="25" xfId="0" applyFont="1" applyBorder="1"/>
    <xf numFmtId="0" fontId="5" fillId="18" borderId="38" xfId="0" applyFont="1" applyFill="1" applyBorder="1"/>
    <xf numFmtId="0" fontId="2" fillId="2" borderId="39" xfId="0" applyFont="1" applyFill="1" applyBorder="1"/>
    <xf numFmtId="0" fontId="5" fillId="29" borderId="27" xfId="0" applyFont="1" applyFill="1" applyBorder="1"/>
    <xf numFmtId="0" fontId="5" fillId="30" borderId="18" xfId="0" applyFont="1" applyFill="1" applyBorder="1"/>
    <xf numFmtId="0" fontId="1" fillId="29" borderId="14" xfId="0" applyFont="1" applyFill="1" applyBorder="1"/>
    <xf numFmtId="0" fontId="1" fillId="30" borderId="22" xfId="0" applyFont="1" applyFill="1" applyBorder="1"/>
    <xf numFmtId="0" fontId="5" fillId="18" borderId="40" xfId="0" applyFont="1" applyFill="1" applyBorder="1"/>
    <xf numFmtId="0" fontId="1" fillId="3" borderId="41" xfId="0" applyFont="1" applyFill="1" applyBorder="1" applyAlignment="1">
      <alignment horizontal="right"/>
    </xf>
    <xf numFmtId="0" fontId="1" fillId="17" borderId="42" xfId="0" applyFont="1" applyFill="1" applyBorder="1" applyAlignment="1">
      <alignment horizontal="right"/>
    </xf>
    <xf numFmtId="0" fontId="5" fillId="18" borderId="43" xfId="0" applyFont="1" applyFill="1" applyBorder="1"/>
    <xf numFmtId="0" fontId="1" fillId="17" borderId="44" xfId="0" applyFont="1" applyFill="1" applyBorder="1" applyAlignment="1">
      <alignment horizontal="right"/>
    </xf>
    <xf numFmtId="0" fontId="5" fillId="29" borderId="11" xfId="0" applyFont="1" applyFill="1" applyBorder="1"/>
    <xf numFmtId="0" fontId="5" fillId="30" borderId="43" xfId="0" applyFont="1" applyFill="1" applyBorder="1"/>
    <xf numFmtId="0" fontId="5" fillId="31" borderId="28" xfId="0" applyFont="1" applyFill="1" applyBorder="1"/>
    <xf numFmtId="0" fontId="5" fillId="31" borderId="32" xfId="0" applyFont="1" applyFill="1" applyBorder="1"/>
    <xf numFmtId="0" fontId="5" fillId="6" borderId="27" xfId="0" applyFont="1" applyFill="1" applyBorder="1"/>
    <xf numFmtId="0" fontId="5" fillId="32" borderId="18" xfId="0" applyFont="1" applyFill="1" applyBorder="1"/>
    <xf numFmtId="0" fontId="1" fillId="31" borderId="22" xfId="0" applyFont="1" applyFill="1" applyBorder="1"/>
    <xf numFmtId="0" fontId="1" fillId="6" borderId="14" xfId="0" applyFont="1" applyFill="1" applyBorder="1"/>
    <xf numFmtId="0" fontId="1" fillId="32" borderId="22" xfId="0" applyFont="1" applyFill="1" applyBorder="1"/>
    <xf numFmtId="0" fontId="5" fillId="31" borderId="36" xfId="0" applyFont="1" applyFill="1" applyBorder="1"/>
    <xf numFmtId="0" fontId="5" fillId="31" borderId="24" xfId="0" applyFont="1" applyFill="1" applyBorder="1"/>
    <xf numFmtId="0" fontId="5" fillId="6" borderId="11" xfId="0" applyFont="1" applyFill="1" applyBorder="1"/>
    <xf numFmtId="0" fontId="5" fillId="32" borderId="24" xfId="0" applyFont="1" applyFill="1" applyBorder="1"/>
    <xf numFmtId="0" fontId="5" fillId="31" borderId="38" xfId="0" applyFont="1" applyFill="1" applyBorder="1"/>
    <xf numFmtId="0" fontId="5" fillId="31" borderId="18" xfId="0" applyFont="1" applyFill="1" applyBorder="1"/>
    <xf numFmtId="0" fontId="5" fillId="23" borderId="18" xfId="0" applyFont="1" applyFill="1" applyBorder="1"/>
    <xf numFmtId="0" fontId="1" fillId="23" borderId="22" xfId="0" applyFont="1" applyFill="1" applyBorder="1"/>
    <xf numFmtId="0" fontId="5" fillId="31" borderId="40" xfId="0" applyFont="1" applyFill="1" applyBorder="1"/>
    <xf numFmtId="0" fontId="5" fillId="31" borderId="43" xfId="0" applyFont="1" applyFill="1" applyBorder="1"/>
    <xf numFmtId="0" fontId="5" fillId="23" borderId="24" xfId="0" applyFont="1" applyFill="1" applyBorder="1"/>
    <xf numFmtId="0" fontId="5" fillId="26" borderId="28" xfId="0" applyFont="1" applyFill="1" applyBorder="1"/>
    <xf numFmtId="0" fontId="5" fillId="27" borderId="28" xfId="0" applyFont="1" applyFill="1" applyBorder="1"/>
    <xf numFmtId="0" fontId="1" fillId="26" borderId="34" xfId="0" applyFont="1" applyFill="1" applyBorder="1"/>
    <xf numFmtId="0" fontId="1" fillId="27" borderId="34" xfId="0" applyFont="1" applyFill="1" applyBorder="1"/>
    <xf numFmtId="0" fontId="5" fillId="26" borderId="36" xfId="0" applyFont="1" applyFill="1" applyBorder="1"/>
    <xf numFmtId="0" fontId="5" fillId="27" borderId="36" xfId="0" applyFont="1" applyFill="1" applyBorder="1"/>
    <xf numFmtId="0" fontId="5" fillId="26" borderId="38" xfId="0" applyFont="1" applyFill="1" applyBorder="1"/>
    <xf numFmtId="0" fontId="5" fillId="27" borderId="38" xfId="0" applyFont="1" applyFill="1" applyBorder="1"/>
    <xf numFmtId="0" fontId="2" fillId="13" borderId="0" xfId="0" applyFont="1" applyFill="1"/>
    <xf numFmtId="0" fontId="5" fillId="26" borderId="40" xfId="0" applyFont="1" applyFill="1" applyBorder="1"/>
    <xf numFmtId="0" fontId="5" fillId="27" borderId="40" xfId="0" applyFont="1" applyFill="1" applyBorder="1"/>
    <xf numFmtId="0" fontId="5" fillId="14" borderId="28" xfId="0" applyFont="1" applyFill="1" applyBorder="1"/>
    <xf numFmtId="0" fontId="5" fillId="33" borderId="18" xfId="0" applyFont="1" applyFill="1" applyBorder="1"/>
    <xf numFmtId="0" fontId="1" fillId="14" borderId="34" xfId="0" applyFont="1" applyFill="1" applyBorder="1"/>
    <xf numFmtId="0" fontId="1" fillId="33" borderId="22" xfId="0" applyFont="1" applyFill="1" applyBorder="1"/>
    <xf numFmtId="0" fontId="5" fillId="14" borderId="36" xfId="0" applyFont="1" applyFill="1" applyBorder="1"/>
    <xf numFmtId="0" fontId="5" fillId="14" borderId="40" xfId="0" applyFont="1" applyFill="1" applyBorder="1"/>
    <xf numFmtId="0" fontId="5" fillId="33" borderId="24" xfId="0" applyFont="1" applyFill="1" applyBorder="1"/>
    <xf numFmtId="0" fontId="5" fillId="14" borderId="38" xfId="0" applyFont="1" applyFill="1" applyBorder="1"/>
    <xf numFmtId="0" fontId="5" fillId="19" borderId="28" xfId="0" applyFont="1" applyFill="1" applyBorder="1"/>
    <xf numFmtId="0" fontId="5" fillId="19" borderId="32" xfId="0" applyFont="1" applyFill="1" applyBorder="1"/>
    <xf numFmtId="0" fontId="1" fillId="19" borderId="34" xfId="0" applyFont="1" applyFill="1" applyBorder="1"/>
    <xf numFmtId="0" fontId="5" fillId="19" borderId="40" xfId="0" applyFont="1" applyFill="1" applyBorder="1"/>
    <xf numFmtId="0" fontId="5" fillId="19" borderId="43" xfId="0" applyFont="1" applyFill="1" applyBorder="1"/>
    <xf numFmtId="0" fontId="5" fillId="25" borderId="28" xfId="0" applyFont="1" applyFill="1" applyBorder="1"/>
    <xf numFmtId="0" fontId="1" fillId="25" borderId="34" xfId="0" applyFont="1" applyFill="1" applyBorder="1"/>
    <xf numFmtId="0" fontId="5" fillId="25" borderId="36" xfId="0" applyFont="1" applyFill="1" applyBorder="1"/>
    <xf numFmtId="0" fontId="4" fillId="25" borderId="38" xfId="0" applyFont="1" applyFill="1" applyBorder="1"/>
    <xf numFmtId="0" fontId="2" fillId="25" borderId="34" xfId="0" applyFont="1" applyFill="1" applyBorder="1"/>
    <xf numFmtId="0" fontId="2" fillId="25" borderId="40" xfId="0" applyFont="1" applyFill="1" applyBorder="1"/>
    <xf numFmtId="0" fontId="4" fillId="34" borderId="26" xfId="0" applyFont="1" applyFill="1" applyBorder="1"/>
    <xf numFmtId="0" fontId="6" fillId="34" borderId="26" xfId="0" applyFont="1" applyFill="1" applyBorder="1"/>
    <xf numFmtId="0" fontId="4" fillId="35" borderId="26" xfId="0" applyFont="1" applyFill="1" applyBorder="1"/>
    <xf numFmtId="0" fontId="2" fillId="35" borderId="26" xfId="0" applyFont="1" applyFill="1" applyBorder="1"/>
    <xf numFmtId="0" fontId="4" fillId="21" borderId="26" xfId="0" applyFont="1" applyFill="1" applyBorder="1"/>
    <xf numFmtId="0" fontId="2" fillId="21" borderId="26" xfId="0" applyFont="1" applyFill="1" applyBorder="1"/>
    <xf numFmtId="0" fontId="4" fillId="20" borderId="26" xfId="0" applyFont="1" applyFill="1" applyBorder="1"/>
    <xf numFmtId="0" fontId="2" fillId="20" borderId="26" xfId="0" applyFont="1" applyFill="1" applyBorder="1"/>
    <xf numFmtId="0" fontId="4" fillId="36" borderId="26" xfId="0" applyFont="1" applyFill="1" applyBorder="1"/>
    <xf numFmtId="0" fontId="2" fillId="36" borderId="26" xfId="0" applyFont="1" applyFill="1" applyBorder="1"/>
    <xf numFmtId="0" fontId="2" fillId="21" borderId="0" xfId="0" applyFont="1" applyFill="1"/>
    <xf numFmtId="0" fontId="7" fillId="16" borderId="0" xfId="0" applyFont="1" applyFill="1" applyAlignment="1">
      <alignment horizontal="center"/>
    </xf>
    <xf numFmtId="0" fontId="2" fillId="2" borderId="12" xfId="0" applyFont="1" applyFill="1" applyBorder="1"/>
    <xf numFmtId="0" fontId="2" fillId="2" borderId="13" xfId="0" applyFont="1" applyFill="1" applyBorder="1"/>
    <xf numFmtId="0" fontId="2" fillId="2" borderId="27" xfId="0" applyFont="1" applyFill="1" applyBorder="1"/>
    <xf numFmtId="0" fontId="2" fillId="0" borderId="14" xfId="0" applyFont="1" applyBorder="1"/>
    <xf numFmtId="0" fontId="2" fillId="0" borderId="10" xfId="0" applyFont="1" applyBorder="1"/>
    <xf numFmtId="0" fontId="2" fillId="0" borderId="11" xfId="0" applyFont="1" applyBorder="1"/>
    <xf numFmtId="0" fontId="1" fillId="12" borderId="18" xfId="0" applyFont="1" applyFill="1" applyBorder="1"/>
    <xf numFmtId="0" fontId="1" fillId="12" borderId="22" xfId="0" applyFont="1" applyFill="1" applyBorder="1"/>
    <xf numFmtId="0" fontId="5" fillId="12" borderId="24" xfId="0" applyFont="1" applyFill="1" applyBorder="1"/>
    <xf numFmtId="0" fontId="1" fillId="3" borderId="18" xfId="0" applyFont="1" applyFill="1" applyBorder="1"/>
    <xf numFmtId="0" fontId="1" fillId="3" borderId="22" xfId="0" applyFont="1" applyFill="1" applyBorder="1"/>
    <xf numFmtId="0" fontId="5" fillId="3" borderId="24" xfId="0" applyFont="1" applyFill="1" applyBorder="1"/>
    <xf numFmtId="0" fontId="1" fillId="17" borderId="18" xfId="0" applyFont="1" applyFill="1" applyBorder="1"/>
    <xf numFmtId="0" fontId="1" fillId="17" borderId="22" xfId="0" applyFont="1" applyFill="1" applyBorder="1"/>
    <xf numFmtId="0" fontId="5" fillId="17" borderId="24" xfId="0" applyFont="1" applyFill="1" applyBorder="1"/>
    <xf numFmtId="0" fontId="1" fillId="0" borderId="18" xfId="0" applyFont="1" applyBorder="1"/>
    <xf numFmtId="0" fontId="1" fillId="34" borderId="0" xfId="0" applyFont="1" applyFill="1"/>
    <xf numFmtId="0" fontId="1" fillId="7" borderId="0" xfId="0" applyFont="1" applyFill="1"/>
    <xf numFmtId="0" fontId="1" fillId="36" borderId="0" xfId="0" applyFont="1" applyFill="1"/>
    <xf numFmtId="0" fontId="8" fillId="0" borderId="0" xfId="0" applyFont="1"/>
    <xf numFmtId="1" fontId="1" fillId="0" borderId="0" xfId="0" applyNumberFormat="1" applyFont="1"/>
    <xf numFmtId="0" fontId="1" fillId="37" borderId="0" xfId="0" applyFont="1" applyFill="1"/>
    <xf numFmtId="0" fontId="1" fillId="38" borderId="0" xfId="0" applyFont="1" applyFill="1"/>
    <xf numFmtId="0" fontId="1" fillId="15" borderId="0" xfId="0" applyFont="1" applyFill="1"/>
    <xf numFmtId="0" fontId="1" fillId="15" borderId="45" xfId="0" applyFont="1" applyFill="1" applyBorder="1"/>
    <xf numFmtId="1" fontId="1" fillId="0" borderId="45" xfId="0" applyNumberFormat="1" applyFont="1" applyBorder="1"/>
    <xf numFmtId="0" fontId="1" fillId="2" borderId="13" xfId="0" applyFont="1" applyFill="1" applyBorder="1"/>
    <xf numFmtId="0" fontId="1" fillId="0" borderId="24" xfId="0" applyFont="1" applyBorder="1"/>
    <xf numFmtId="0" fontId="2" fillId="0" borderId="18" xfId="0" applyFont="1" applyBorder="1"/>
    <xf numFmtId="0" fontId="2" fillId="0" borderId="22" xfId="0" applyFont="1" applyBorder="1"/>
    <xf numFmtId="0" fontId="2" fillId="0" borderId="24" xfId="0" applyFont="1" applyBorder="1"/>
    <xf numFmtId="0" fontId="2" fillId="0" borderId="2" xfId="0" applyFont="1" applyBorder="1"/>
    <xf numFmtId="0" fontId="2" fillId="2" borderId="3" xfId="0" applyFont="1" applyFill="1" applyBorder="1"/>
    <xf numFmtId="0" fontId="2" fillId="15" borderId="6" xfId="0" applyFont="1" applyFill="1" applyBorder="1"/>
    <xf numFmtId="0" fontId="2" fillId="15" borderId="9" xfId="0" applyFont="1" applyFill="1" applyBorder="1"/>
    <xf numFmtId="0" fontId="2" fillId="0" borderId="10" xfId="0" applyFont="1" applyBorder="1" applyAlignment="1">
      <alignment horizontal="right"/>
    </xf>
    <xf numFmtId="0" fontId="2" fillId="0" borderId="6" xfId="0" applyFont="1" applyBorder="1"/>
    <xf numFmtId="0" fontId="2" fillId="2" borderId="16" xfId="0" applyFont="1" applyFill="1" applyBorder="1"/>
    <xf numFmtId="0" fontId="2" fillId="2" borderId="46" xfId="0" applyFont="1" applyFill="1" applyBorder="1"/>
    <xf numFmtId="0" fontId="2" fillId="17" borderId="6" xfId="0" applyFont="1" applyFill="1" applyBorder="1"/>
    <xf numFmtId="0" fontId="2" fillId="17" borderId="9" xfId="0" applyFont="1" applyFill="1" applyBorder="1"/>
    <xf numFmtId="0" fontId="2" fillId="0" borderId="47" xfId="0" applyFont="1" applyBorder="1"/>
    <xf numFmtId="0" fontId="2" fillId="3" borderId="6" xfId="0" applyFont="1" applyFill="1" applyBorder="1"/>
    <xf numFmtId="0" fontId="2" fillId="3" borderId="9" xfId="0" applyFont="1" applyFill="1" applyBorder="1"/>
    <xf numFmtId="0" fontId="2" fillId="10" borderId="6" xfId="0" applyFont="1" applyFill="1" applyBorder="1"/>
    <xf numFmtId="0" fontId="2" fillId="10" borderId="9" xfId="0" applyFont="1" applyFill="1" applyBorder="1"/>
    <xf numFmtId="0" fontId="2" fillId="0" borderId="11" xfId="0" applyFont="1" applyBorder="1" applyAlignment="1">
      <alignment horizontal="right"/>
    </xf>
    <xf numFmtId="0" fontId="1" fillId="39" borderId="26" xfId="0" applyFont="1" applyFill="1" applyBorder="1"/>
    <xf numFmtId="0" fontId="1" fillId="16" borderId="26" xfId="0" applyFont="1" applyFill="1" applyBorder="1"/>
    <xf numFmtId="0" fontId="2" fillId="0" borderId="48" xfId="0" applyFont="1" applyBorder="1"/>
    <xf numFmtId="0" fontId="1" fillId="40" borderId="26" xfId="0" applyFont="1" applyFill="1" applyBorder="1"/>
    <xf numFmtId="0" fontId="1" fillId="0" borderId="14" xfId="0" applyFont="1" applyBorder="1"/>
    <xf numFmtId="0" fontId="1" fillId="2" borderId="27" xfId="0" applyFont="1" applyFill="1" applyBorder="1"/>
    <xf numFmtId="0" fontId="9" fillId="16" borderId="10" xfId="0" applyFont="1" applyFill="1" applyBorder="1" applyAlignment="1">
      <alignment horizontal="right"/>
    </xf>
    <xf numFmtId="0" fontId="9" fillId="16" borderId="0" xfId="0" applyFont="1" applyFill="1" applyAlignment="1">
      <alignment horizontal="right"/>
    </xf>
    <xf numFmtId="0" fontId="1" fillId="0" borderId="0" xfId="0" applyFont="1" applyAlignment="1">
      <alignment horizontal="center" vertical="center"/>
    </xf>
    <xf numFmtId="0" fontId="0" fillId="0" borderId="0" xfId="0"/>
    <xf numFmtId="0" fontId="1" fillId="0" borderId="14" xfId="0" applyFont="1" applyBorder="1" applyAlignment="1">
      <alignment horizontal="center" vertical="center"/>
    </xf>
    <xf numFmtId="0" fontId="3" fillId="0" borderId="14" xfId="0" applyFont="1" applyBorder="1"/>
    <xf numFmtId="0" fontId="2" fillId="11" borderId="14" xfId="0" applyFont="1" applyFill="1" applyBorder="1" applyAlignment="1">
      <alignment horizontal="center"/>
    </xf>
    <xf numFmtId="0" fontId="4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3" borderId="14" xfId="0" applyFont="1" applyFill="1" applyBorder="1"/>
    <xf numFmtId="0" fontId="4" fillId="11" borderId="25" xfId="0" applyFont="1" applyFill="1" applyBorder="1" applyAlignment="1">
      <alignment horizontal="center" vertical="center"/>
    </xf>
    <xf numFmtId="0" fontId="3" fillId="0" borderId="25" xfId="0" applyFon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65">
    <dxf>
      <font>
        <i/>
        <color rgb="FFD9D9D9"/>
      </font>
      <fill>
        <patternFill patternType="solid">
          <fgColor rgb="FF6D9EEB"/>
          <bgColor rgb="FF6D9EEB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93C47D"/>
          <bgColor rgb="FF93C47D"/>
        </patternFill>
      </fill>
    </dxf>
    <dxf>
      <font>
        <i/>
        <color rgb="FFB7B7B7"/>
      </font>
      <fill>
        <patternFill patternType="solid">
          <fgColor rgb="FFF4CCCC"/>
          <bgColor rgb="FFF4CCCC"/>
        </patternFill>
      </fill>
    </dxf>
    <dxf>
      <font>
        <i/>
        <color rgb="FFB7B7B7"/>
      </font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i/>
        <color rgb="FFD9D9D9"/>
      </font>
      <fill>
        <patternFill patternType="solid">
          <fgColor rgb="FF6D9EEB"/>
          <bgColor rgb="FF6D9EEB"/>
        </patternFill>
      </fill>
    </dxf>
    <dxf>
      <fill>
        <patternFill patternType="solid">
          <fgColor rgb="FFCC4125"/>
          <bgColor rgb="FFCC4125"/>
        </patternFill>
      </fill>
    </dxf>
    <dxf>
      <fill>
        <patternFill patternType="solid">
          <fgColor rgb="FF93C47D"/>
          <bgColor rgb="FF93C47D"/>
        </patternFill>
      </fill>
    </dxf>
    <dxf>
      <font>
        <i/>
        <color rgb="FFB7B7B7"/>
      </font>
      <fill>
        <patternFill patternType="solid">
          <fgColor rgb="FFF4CCCC"/>
          <bgColor rgb="FFF4CCCC"/>
        </patternFill>
      </fill>
    </dxf>
    <dxf>
      <font>
        <i/>
        <color rgb="FFB7B7B7"/>
      </font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4">
    <tableStyle name="LATE TRACKER-style" pivot="0" count="4" xr9:uid="{00000000-0011-0000-FFFF-FFFF00000000}">
      <tableStyleElement type="wholeTable" size="0" dxfId="61"/>
      <tableStyleElement type="headerRow" dxfId="64"/>
      <tableStyleElement type="firstRowStripe" dxfId="63"/>
      <tableStyleElement type="secondRowStripe" dxfId="62"/>
    </tableStyle>
    <tableStyle name="Marcel-style" pivot="0" count="3" xr9:uid="{00000000-0011-0000-FFFF-FFFF01000000}">
      <tableStyleElement type="headerRow" dxfId="60"/>
      <tableStyleElement type="firstRowStripe" dxfId="59"/>
      <tableStyleElement type="secondRowStripe" dxfId="58"/>
    </tableStyle>
    <tableStyle name="Charlie-style" pivot="0" count="3" xr9:uid="{00000000-0011-0000-FFFF-FFFF02000000}">
      <tableStyleElement type="headerRow" dxfId="57"/>
      <tableStyleElement type="firstRowStripe" dxfId="56"/>
      <tableStyleElement type="secondRowStripe" dxfId="55"/>
    </tableStyle>
    <tableStyle name="Alx-style" pivot="0" count="3" xr9:uid="{00000000-0011-0000-FFFF-FFFF03000000}">
      <tableStyleElement type="headerRow" dxfId="54"/>
      <tableStyleElement type="firstRowStripe" dxfId="53"/>
      <tableStyleElement type="secondRowStripe" dxfId="52"/>
    </tableStyle>
    <tableStyle name="Delay-style" pivot="0" count="3" xr9:uid="{00000000-0011-0000-FFFF-FFFF04000000}">
      <tableStyleElement type="headerRow" dxfId="51"/>
      <tableStyleElement type="firstRowStripe" dxfId="50"/>
      <tableStyleElement type="secondRowStripe" dxfId="49"/>
    </tableStyle>
    <tableStyle name="Ghonty-style" pivot="0" count="3" xr9:uid="{00000000-0011-0000-FFFF-FFFF05000000}">
      <tableStyleElement type="headerRow" dxfId="48"/>
      <tableStyleElement type="firstRowStripe" dxfId="47"/>
      <tableStyleElement type="secondRowStripe" dxfId="46"/>
    </tableStyle>
    <tableStyle name="Mina-style" pivot="0" count="3" xr9:uid="{00000000-0011-0000-FFFF-FFFF06000000}">
      <tableStyleElement type="headerRow" dxfId="45"/>
      <tableStyleElement type="firstRowStripe" dxfId="44"/>
      <tableStyleElement type="secondRowStripe" dxfId="43"/>
    </tableStyle>
    <tableStyle name="Vierazy-style" pivot="0" count="3" xr9:uid="{00000000-0011-0000-FFFF-FFFF07000000}">
      <tableStyleElement type="headerRow" dxfId="42"/>
      <tableStyleElement type="firstRowStripe" dxfId="41"/>
      <tableStyleElement type="secondRowStripe" dxfId="40"/>
    </tableStyle>
    <tableStyle name="Faal-style" pivot="0" count="3" xr9:uid="{00000000-0011-0000-FFFF-FFFF08000000}">
      <tableStyleElement type="headerRow" dxfId="39"/>
      <tableStyleElement type="firstRowStripe" dxfId="38"/>
      <tableStyleElement type="secondRowStripe" dxfId="37"/>
    </tableStyle>
    <tableStyle name="Nonna-style" pivot="0" count="3" xr9:uid="{00000000-0011-0000-FFFF-FFFF09000000}">
      <tableStyleElement type="headerRow" dxfId="36"/>
      <tableStyleElement type="firstRowStripe" dxfId="35"/>
      <tableStyleElement type="secondRowStripe" dxfId="34"/>
    </tableStyle>
    <tableStyle name="Mawino-style" pivot="0" count="3" xr9:uid="{00000000-0011-0000-FFFF-FFFF0A000000}">
      <tableStyleElement type="headerRow" dxfId="33"/>
      <tableStyleElement type="firstRowStripe" dxfId="32"/>
      <tableStyleElement type="secondRowStripe" dxfId="31"/>
    </tableStyle>
    <tableStyle name="Sophster-style" pivot="0" count="3" xr9:uid="{00000000-0011-0000-FFFF-FFFF0B000000}">
      <tableStyleElement type="headerRow" dxfId="30"/>
      <tableStyleElement type="firstRowStripe" dxfId="29"/>
      <tableStyleElement type="secondRowStripe" dxfId="28"/>
    </tableStyle>
    <tableStyle name="Bendy-style" pivot="0" count="3" xr9:uid="{00000000-0011-0000-FFFF-FFFF0C000000}">
      <tableStyleElement type="headerRow" dxfId="27"/>
      <tableStyleElement type="firstRowStripe" dxfId="26"/>
      <tableStyleElement type="secondRowStripe" dxfId="25"/>
    </tableStyle>
    <tableStyle name="Wish-style" pivot="0" count="3" xr9:uid="{00000000-0011-0000-FFFF-FFFF0D000000}">
      <tableStyleElement type="headerRow" dxfId="24"/>
      <tableStyleElement type="firstRowStripe" dxfId="23"/>
      <tableStyleElement type="secondRowStripe" dxfId="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952500</xdr:colOff>
      <xdr:row>13</xdr:row>
      <xdr:rowOff>9525</xdr:rowOff>
    </xdr:from>
    <xdr:ext cx="952500" cy="5619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857250</xdr:colOff>
      <xdr:row>2</xdr:row>
      <xdr:rowOff>57150</xdr:rowOff>
    </xdr:from>
    <xdr:ext cx="914400" cy="914400"/>
    <xdr:pic>
      <xdr:nvPicPr>
        <xdr:cNvPr id="2" name="image5.png" title="Image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18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638175</xdr:colOff>
      <xdr:row>1</xdr:row>
      <xdr:rowOff>209550</xdr:rowOff>
    </xdr:from>
    <xdr:ext cx="1962150" cy="17907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828675</xdr:colOff>
      <xdr:row>13</xdr:row>
      <xdr:rowOff>180975</xdr:rowOff>
    </xdr:from>
    <xdr:ext cx="904875" cy="91440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00000000-0008-0000-2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85725</xdr:colOff>
      <xdr:row>4</xdr:row>
      <xdr:rowOff>57150</xdr:rowOff>
    </xdr:from>
    <xdr:ext cx="742950" cy="742950"/>
    <xdr:pic>
      <xdr:nvPicPr>
        <xdr:cNvPr id="4" name="image1.jpg" title="Image">
          <a:extLst>
            <a:ext uri="{FF2B5EF4-FFF2-40B4-BE49-F238E27FC236}">
              <a16:creationId xmlns:a16="http://schemas.microsoft.com/office/drawing/2014/main" id="{00000000-0008-0000-2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85725</xdr:colOff>
      <xdr:row>20</xdr:row>
      <xdr:rowOff>57150</xdr:rowOff>
    </xdr:from>
    <xdr:ext cx="742950" cy="742950"/>
    <xdr:pic>
      <xdr:nvPicPr>
        <xdr:cNvPr id="5" name="image1.jpg" title="Image">
          <a:extLst>
            <a:ext uri="{FF2B5EF4-FFF2-40B4-BE49-F238E27FC236}">
              <a16:creationId xmlns:a16="http://schemas.microsoft.com/office/drawing/2014/main" id="{00000000-0008-0000-2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B3:W13" headerRowCount="0">
  <tableColumns count="22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</tableColumns>
  <tableStyleInfo name="Marce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B3:W13" headerRowCount="0">
  <tableColumns count="22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  <tableColumn id="20" xr3:uid="{00000000-0010-0000-0200-000014000000}" name="Column20"/>
    <tableColumn id="21" xr3:uid="{00000000-0010-0000-0200-000015000000}" name="Column21"/>
    <tableColumn id="22" xr3:uid="{00000000-0010-0000-0200-000016000000}" name="Column22"/>
  </tableColumns>
  <tableStyleInfo name="Charlie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B3:W13" headerRowCount="0">
  <tableColumns count="22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/>
    <tableColumn id="13" xr3:uid="{00000000-0010-0000-0300-00000D000000}" name="Column13"/>
    <tableColumn id="14" xr3:uid="{00000000-0010-0000-0300-00000E000000}" name="Column14"/>
    <tableColumn id="15" xr3:uid="{00000000-0010-0000-0300-00000F000000}" name="Column15"/>
    <tableColumn id="16" xr3:uid="{00000000-0010-0000-0300-000010000000}" name="Column16"/>
    <tableColumn id="17" xr3:uid="{00000000-0010-0000-0300-000011000000}" name="Column17"/>
    <tableColumn id="18" xr3:uid="{00000000-0010-0000-0300-000012000000}" name="Column18"/>
    <tableColumn id="19" xr3:uid="{00000000-0010-0000-0300-000013000000}" name="Column19"/>
    <tableColumn id="20" xr3:uid="{00000000-0010-0000-0300-000014000000}" name="Column20"/>
    <tableColumn id="21" xr3:uid="{00000000-0010-0000-0300-000015000000}" name="Column21"/>
    <tableColumn id="22" xr3:uid="{00000000-0010-0000-0300-000016000000}" name="Column22"/>
  </tableColumns>
  <tableStyleInfo name="Alx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B3:W13" headerRowCount="0">
  <tableColumns count="22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  <tableColumn id="16" xr3:uid="{00000000-0010-0000-0400-000010000000}" name="Column16"/>
    <tableColumn id="17" xr3:uid="{00000000-0010-0000-0400-000011000000}" name="Column17"/>
    <tableColumn id="18" xr3:uid="{00000000-0010-0000-0400-000012000000}" name="Column18"/>
    <tableColumn id="19" xr3:uid="{00000000-0010-0000-0400-000013000000}" name="Column19"/>
    <tableColumn id="20" xr3:uid="{00000000-0010-0000-0400-000014000000}" name="Column20"/>
    <tableColumn id="21" xr3:uid="{00000000-0010-0000-0400-000015000000}" name="Column21"/>
    <tableColumn id="22" xr3:uid="{00000000-0010-0000-0400-000016000000}" name="Column22"/>
  </tableColumns>
  <tableStyleInfo name="Dela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5" displayName="Table_5" ref="B3:W13" headerRowCount="0">
  <tableColumns count="22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  <tableColumn id="13" xr3:uid="{00000000-0010-0000-0500-00000D000000}" name="Column13"/>
    <tableColumn id="14" xr3:uid="{00000000-0010-0000-0500-00000E000000}" name="Column14"/>
    <tableColumn id="15" xr3:uid="{00000000-0010-0000-0500-00000F000000}" name="Column15"/>
    <tableColumn id="16" xr3:uid="{00000000-0010-0000-0500-000010000000}" name="Column16"/>
    <tableColumn id="17" xr3:uid="{00000000-0010-0000-0500-000011000000}" name="Column17"/>
    <tableColumn id="18" xr3:uid="{00000000-0010-0000-0500-000012000000}" name="Column18"/>
    <tableColumn id="19" xr3:uid="{00000000-0010-0000-0500-000013000000}" name="Column19"/>
    <tableColumn id="20" xr3:uid="{00000000-0010-0000-0500-000014000000}" name="Column20"/>
    <tableColumn id="21" xr3:uid="{00000000-0010-0000-0500-000015000000}" name="Column21"/>
    <tableColumn id="22" xr3:uid="{00000000-0010-0000-0500-000016000000}" name="Column22"/>
  </tableColumns>
  <tableStyleInfo name="Ghont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6" displayName="Table_6" ref="B3:W13" headerRowCount="0">
  <tableColumns count="22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  <tableColumn id="10" xr3:uid="{00000000-0010-0000-0600-00000A000000}" name="Column10"/>
    <tableColumn id="11" xr3:uid="{00000000-0010-0000-0600-00000B000000}" name="Column11"/>
    <tableColumn id="12" xr3:uid="{00000000-0010-0000-0600-00000C000000}" name="Column12"/>
    <tableColumn id="13" xr3:uid="{00000000-0010-0000-0600-00000D000000}" name="Column13"/>
    <tableColumn id="14" xr3:uid="{00000000-0010-0000-0600-00000E000000}" name="Column14"/>
    <tableColumn id="15" xr3:uid="{00000000-0010-0000-0600-00000F000000}" name="Column15"/>
    <tableColumn id="16" xr3:uid="{00000000-0010-0000-0600-000010000000}" name="Column16"/>
    <tableColumn id="17" xr3:uid="{00000000-0010-0000-0600-000011000000}" name="Column17"/>
    <tableColumn id="18" xr3:uid="{00000000-0010-0000-0600-000012000000}" name="Column18"/>
    <tableColumn id="19" xr3:uid="{00000000-0010-0000-0600-000013000000}" name="Column19"/>
    <tableColumn id="20" xr3:uid="{00000000-0010-0000-0600-000014000000}" name="Column20"/>
    <tableColumn id="21" xr3:uid="{00000000-0010-0000-0600-000015000000}" name="Column21"/>
    <tableColumn id="22" xr3:uid="{00000000-0010-0000-0600-000016000000}" name="Column22"/>
  </tableColumns>
  <tableStyleInfo name="Mina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7" displayName="Table_7" ref="B3:W13" headerRowCount="0">
  <tableColumns count="22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  <tableColumn id="9" xr3:uid="{00000000-0010-0000-0700-000009000000}" name="Column9"/>
    <tableColumn id="10" xr3:uid="{00000000-0010-0000-0700-00000A000000}" name="Column10"/>
    <tableColumn id="11" xr3:uid="{00000000-0010-0000-0700-00000B000000}" name="Column11"/>
    <tableColumn id="12" xr3:uid="{00000000-0010-0000-0700-00000C000000}" name="Column12"/>
    <tableColumn id="13" xr3:uid="{00000000-0010-0000-0700-00000D000000}" name="Column13"/>
    <tableColumn id="14" xr3:uid="{00000000-0010-0000-0700-00000E000000}" name="Column14"/>
    <tableColumn id="15" xr3:uid="{00000000-0010-0000-0700-00000F000000}" name="Column15"/>
    <tableColumn id="16" xr3:uid="{00000000-0010-0000-0700-000010000000}" name="Column16"/>
    <tableColumn id="17" xr3:uid="{00000000-0010-0000-0700-000011000000}" name="Column17"/>
    <tableColumn id="18" xr3:uid="{00000000-0010-0000-0700-000012000000}" name="Column18"/>
    <tableColumn id="19" xr3:uid="{00000000-0010-0000-0700-000013000000}" name="Column19"/>
    <tableColumn id="20" xr3:uid="{00000000-0010-0000-0700-000014000000}" name="Column20"/>
    <tableColumn id="21" xr3:uid="{00000000-0010-0000-0700-000015000000}" name="Column21"/>
    <tableColumn id="22" xr3:uid="{00000000-0010-0000-0700-000016000000}" name="Column22"/>
  </tableColumns>
  <tableStyleInfo name="Vieraz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8" displayName="Table_8" ref="B3:W13" headerRowCount="0">
  <tableColumns count="22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  <tableColumn id="6" xr3:uid="{00000000-0010-0000-0800-000006000000}" name="Column6"/>
    <tableColumn id="7" xr3:uid="{00000000-0010-0000-0800-000007000000}" name="Column7"/>
    <tableColumn id="8" xr3:uid="{00000000-0010-0000-0800-000008000000}" name="Column8"/>
    <tableColumn id="9" xr3:uid="{00000000-0010-0000-0800-000009000000}" name="Column9"/>
    <tableColumn id="10" xr3:uid="{00000000-0010-0000-0800-00000A000000}" name="Column10"/>
    <tableColumn id="11" xr3:uid="{00000000-0010-0000-0800-00000B000000}" name="Column11"/>
    <tableColumn id="12" xr3:uid="{00000000-0010-0000-0800-00000C000000}" name="Column12"/>
    <tableColumn id="13" xr3:uid="{00000000-0010-0000-0800-00000D000000}" name="Column13"/>
    <tableColumn id="14" xr3:uid="{00000000-0010-0000-0800-00000E000000}" name="Column14"/>
    <tableColumn id="15" xr3:uid="{00000000-0010-0000-0800-00000F000000}" name="Column15"/>
    <tableColumn id="16" xr3:uid="{00000000-0010-0000-0800-000010000000}" name="Column16"/>
    <tableColumn id="17" xr3:uid="{00000000-0010-0000-0800-000011000000}" name="Column17"/>
    <tableColumn id="18" xr3:uid="{00000000-0010-0000-0800-000012000000}" name="Column18"/>
    <tableColumn id="19" xr3:uid="{00000000-0010-0000-0800-000013000000}" name="Column19"/>
    <tableColumn id="20" xr3:uid="{00000000-0010-0000-0800-000014000000}" name="Column20"/>
    <tableColumn id="21" xr3:uid="{00000000-0010-0000-0800-000015000000}" name="Column21"/>
    <tableColumn id="22" xr3:uid="{00000000-0010-0000-0800-000016000000}" name="Column22"/>
  </tableColumns>
  <tableStyleInfo name="Faa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9" displayName="Table_9" ref="B3:W13" headerRowCount="0">
  <tableColumns count="22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  <tableColumn id="7" xr3:uid="{00000000-0010-0000-0900-000007000000}" name="Column7"/>
    <tableColumn id="8" xr3:uid="{00000000-0010-0000-0900-000008000000}" name="Column8"/>
    <tableColumn id="9" xr3:uid="{00000000-0010-0000-0900-000009000000}" name="Column9"/>
    <tableColumn id="10" xr3:uid="{00000000-0010-0000-0900-00000A000000}" name="Column10"/>
    <tableColumn id="11" xr3:uid="{00000000-0010-0000-0900-00000B000000}" name="Column11"/>
    <tableColumn id="12" xr3:uid="{00000000-0010-0000-0900-00000C000000}" name="Column12"/>
    <tableColumn id="13" xr3:uid="{00000000-0010-0000-0900-00000D000000}" name="Column13"/>
    <tableColumn id="14" xr3:uid="{00000000-0010-0000-0900-00000E000000}" name="Column14"/>
    <tableColumn id="15" xr3:uid="{00000000-0010-0000-0900-00000F000000}" name="Column15"/>
    <tableColumn id="16" xr3:uid="{00000000-0010-0000-0900-000010000000}" name="Column16"/>
    <tableColumn id="17" xr3:uid="{00000000-0010-0000-0900-000011000000}" name="Column17"/>
    <tableColumn id="18" xr3:uid="{00000000-0010-0000-0900-000012000000}" name="Column18"/>
    <tableColumn id="19" xr3:uid="{00000000-0010-0000-0900-000013000000}" name="Column19"/>
    <tableColumn id="20" xr3:uid="{00000000-0010-0000-0900-000014000000}" name="Column20"/>
    <tableColumn id="21" xr3:uid="{00000000-0010-0000-0900-000015000000}" name="Column21"/>
    <tableColumn id="22" xr3:uid="{00000000-0010-0000-0900-000016000000}" name="Column22"/>
  </tableColumns>
  <tableStyleInfo name="Nonna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0" displayName="Table_10" ref="B3:W13" headerRowCount="0">
  <tableColumns count="22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  <tableColumn id="7" xr3:uid="{00000000-0010-0000-0A00-000007000000}" name="Column7"/>
    <tableColumn id="8" xr3:uid="{00000000-0010-0000-0A00-000008000000}" name="Column8"/>
    <tableColumn id="9" xr3:uid="{00000000-0010-0000-0A00-000009000000}" name="Column9"/>
    <tableColumn id="10" xr3:uid="{00000000-0010-0000-0A00-00000A000000}" name="Column10"/>
    <tableColumn id="11" xr3:uid="{00000000-0010-0000-0A00-00000B000000}" name="Column11"/>
    <tableColumn id="12" xr3:uid="{00000000-0010-0000-0A00-00000C000000}" name="Column12"/>
    <tableColumn id="13" xr3:uid="{00000000-0010-0000-0A00-00000D000000}" name="Column13"/>
    <tableColumn id="14" xr3:uid="{00000000-0010-0000-0A00-00000E000000}" name="Column14"/>
    <tableColumn id="15" xr3:uid="{00000000-0010-0000-0A00-00000F000000}" name="Column15"/>
    <tableColumn id="16" xr3:uid="{00000000-0010-0000-0A00-000010000000}" name="Column16"/>
    <tableColumn id="17" xr3:uid="{00000000-0010-0000-0A00-000011000000}" name="Column17"/>
    <tableColumn id="18" xr3:uid="{00000000-0010-0000-0A00-000012000000}" name="Column18"/>
    <tableColumn id="19" xr3:uid="{00000000-0010-0000-0A00-000013000000}" name="Column19"/>
    <tableColumn id="20" xr3:uid="{00000000-0010-0000-0A00-000014000000}" name="Column20"/>
    <tableColumn id="21" xr3:uid="{00000000-0010-0000-0A00-000015000000}" name="Column21"/>
    <tableColumn id="22" xr3:uid="{00000000-0010-0000-0A00-000016000000}" name="Column22"/>
  </tableColumns>
  <tableStyleInfo name="Mawin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1" displayName="Table_11" ref="B3:W13" headerRowCount="0">
  <tableColumns count="22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  <tableColumn id="7" xr3:uid="{00000000-0010-0000-0B00-000007000000}" name="Column7"/>
    <tableColumn id="8" xr3:uid="{00000000-0010-0000-0B00-000008000000}" name="Column8"/>
    <tableColumn id="9" xr3:uid="{00000000-0010-0000-0B00-000009000000}" name="Column9"/>
    <tableColumn id="10" xr3:uid="{00000000-0010-0000-0B00-00000A000000}" name="Column10"/>
    <tableColumn id="11" xr3:uid="{00000000-0010-0000-0B00-00000B000000}" name="Column11"/>
    <tableColumn id="12" xr3:uid="{00000000-0010-0000-0B00-00000C000000}" name="Column12"/>
    <tableColumn id="13" xr3:uid="{00000000-0010-0000-0B00-00000D000000}" name="Column13"/>
    <tableColumn id="14" xr3:uid="{00000000-0010-0000-0B00-00000E000000}" name="Column14"/>
    <tableColumn id="15" xr3:uid="{00000000-0010-0000-0B00-00000F000000}" name="Column15"/>
    <tableColumn id="16" xr3:uid="{00000000-0010-0000-0B00-000010000000}" name="Column16"/>
    <tableColumn id="17" xr3:uid="{00000000-0010-0000-0B00-000011000000}" name="Column17"/>
    <tableColumn id="18" xr3:uid="{00000000-0010-0000-0B00-000012000000}" name="Column18"/>
    <tableColumn id="19" xr3:uid="{00000000-0010-0000-0B00-000013000000}" name="Column19"/>
    <tableColumn id="20" xr3:uid="{00000000-0010-0000-0B00-000014000000}" name="Column20"/>
    <tableColumn id="21" xr3:uid="{00000000-0010-0000-0B00-000015000000}" name="Column21"/>
    <tableColumn id="22" xr3:uid="{00000000-0010-0000-0B00-000016000000}" name="Column22"/>
  </tableColumns>
  <tableStyleInfo name="Sophster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2" displayName="Table_12" ref="B3:W13" headerRowCount="0">
  <tableColumns count="22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  <tableColumn id="5" xr3:uid="{00000000-0010-0000-0C00-000005000000}" name="Column5"/>
    <tableColumn id="6" xr3:uid="{00000000-0010-0000-0C00-000006000000}" name="Column6"/>
    <tableColumn id="7" xr3:uid="{00000000-0010-0000-0C00-000007000000}" name="Column7"/>
    <tableColumn id="8" xr3:uid="{00000000-0010-0000-0C00-000008000000}" name="Column8"/>
    <tableColumn id="9" xr3:uid="{00000000-0010-0000-0C00-000009000000}" name="Column9"/>
    <tableColumn id="10" xr3:uid="{00000000-0010-0000-0C00-00000A000000}" name="Column10"/>
    <tableColumn id="11" xr3:uid="{00000000-0010-0000-0C00-00000B000000}" name="Column11"/>
    <tableColumn id="12" xr3:uid="{00000000-0010-0000-0C00-00000C000000}" name="Column12"/>
    <tableColumn id="13" xr3:uid="{00000000-0010-0000-0C00-00000D000000}" name="Column13"/>
    <tableColumn id="14" xr3:uid="{00000000-0010-0000-0C00-00000E000000}" name="Column14"/>
    <tableColumn id="15" xr3:uid="{00000000-0010-0000-0C00-00000F000000}" name="Column15"/>
    <tableColumn id="16" xr3:uid="{00000000-0010-0000-0C00-000010000000}" name="Column16"/>
    <tableColumn id="17" xr3:uid="{00000000-0010-0000-0C00-000011000000}" name="Column17"/>
    <tableColumn id="18" xr3:uid="{00000000-0010-0000-0C00-000012000000}" name="Column18"/>
    <tableColumn id="19" xr3:uid="{00000000-0010-0000-0C00-000013000000}" name="Column19"/>
    <tableColumn id="20" xr3:uid="{00000000-0010-0000-0C00-000014000000}" name="Column20"/>
    <tableColumn id="21" xr3:uid="{00000000-0010-0000-0C00-000015000000}" name="Column21"/>
    <tableColumn id="22" xr3:uid="{00000000-0010-0000-0C00-000016000000}" name="Column22"/>
  </tableColumns>
  <tableStyleInfo name="Bendy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3" displayName="Table_13" ref="B3:W13" headerRowCount="0">
  <tableColumns count="22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  <tableColumn id="5" xr3:uid="{00000000-0010-0000-0D00-000005000000}" name="Column5"/>
    <tableColumn id="6" xr3:uid="{00000000-0010-0000-0D00-000006000000}" name="Column6"/>
    <tableColumn id="7" xr3:uid="{00000000-0010-0000-0D00-000007000000}" name="Column7"/>
    <tableColumn id="8" xr3:uid="{00000000-0010-0000-0D00-000008000000}" name="Column8"/>
    <tableColumn id="9" xr3:uid="{00000000-0010-0000-0D00-000009000000}" name="Column9"/>
    <tableColumn id="10" xr3:uid="{00000000-0010-0000-0D00-00000A000000}" name="Column10"/>
    <tableColumn id="11" xr3:uid="{00000000-0010-0000-0D00-00000B000000}" name="Column11"/>
    <tableColumn id="12" xr3:uid="{00000000-0010-0000-0D00-00000C000000}" name="Column12"/>
    <tableColumn id="13" xr3:uid="{00000000-0010-0000-0D00-00000D000000}" name="Column13"/>
    <tableColumn id="14" xr3:uid="{00000000-0010-0000-0D00-00000E000000}" name="Column14"/>
    <tableColumn id="15" xr3:uid="{00000000-0010-0000-0D00-00000F000000}" name="Column15"/>
    <tableColumn id="16" xr3:uid="{00000000-0010-0000-0D00-000010000000}" name="Column16"/>
    <tableColumn id="17" xr3:uid="{00000000-0010-0000-0D00-000011000000}" name="Column17"/>
    <tableColumn id="18" xr3:uid="{00000000-0010-0000-0D00-000012000000}" name="Column18"/>
    <tableColumn id="19" xr3:uid="{00000000-0010-0000-0D00-000013000000}" name="Column19"/>
    <tableColumn id="20" xr3:uid="{00000000-0010-0000-0D00-000014000000}" name="Column20"/>
    <tableColumn id="21" xr3:uid="{00000000-0010-0000-0D00-000015000000}" name="Column21"/>
    <tableColumn id="22" xr3:uid="{00000000-0010-0000-0D00-000016000000}" name="Column22"/>
  </tableColumns>
  <tableStyleInfo name="Wish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W48"/>
  <sheetViews>
    <sheetView workbookViewId="0"/>
  </sheetViews>
  <sheetFormatPr defaultColWidth="12.5703125" defaultRowHeight="15.75" customHeight="1"/>
  <cols>
    <col min="7" max="23" width="12.5703125" hidden="1"/>
  </cols>
  <sheetData>
    <row r="1" spans="1:14">
      <c r="A1" s="21"/>
      <c r="C1" s="1"/>
      <c r="D1" s="1"/>
      <c r="E1" s="1"/>
      <c r="F1" s="1"/>
      <c r="K1" s="1"/>
      <c r="L1" s="1"/>
      <c r="M1" s="1"/>
      <c r="N1" s="22"/>
    </row>
    <row r="2" spans="1:14">
      <c r="A2" s="248" t="s">
        <v>0</v>
      </c>
      <c r="B2" s="23" t="s">
        <v>46</v>
      </c>
      <c r="C2" s="24" t="s">
        <v>9</v>
      </c>
      <c r="D2" s="25" t="s">
        <v>47</v>
      </c>
      <c r="E2" s="25" t="s">
        <v>4</v>
      </c>
      <c r="F2" s="26" t="s">
        <v>48</v>
      </c>
      <c r="H2" s="248"/>
      <c r="I2" s="3" t="s">
        <v>49</v>
      </c>
      <c r="J2" s="4" t="s">
        <v>50</v>
      </c>
      <c r="K2" s="5" t="s">
        <v>30</v>
      </c>
      <c r="L2" s="5" t="s">
        <v>51</v>
      </c>
      <c r="M2" s="27" t="s">
        <v>52</v>
      </c>
    </row>
    <row r="3" spans="1:14">
      <c r="A3" s="249"/>
      <c r="B3" s="28"/>
      <c r="C3" s="29" t="str">
        <f ca="1">IFERROR(__xludf.DUMMYFUNCTION("IF(ISBLANK(C2),"""",HLOOKUP(REGEXEXTRACT(C2,"".*-(.*)""),INDIRECT(CONCATENATE(REGEXEXTRACT(C2,""(.*)-.*""),""!C3:V"")),2,FALSE))"),"#REF!")</f>
        <v>#REF!</v>
      </c>
      <c r="D3" s="29" t="str">
        <f ca="1">IFERROR(__xludf.DUMMYFUNCTION("IF(ISBLANK(D2),"""",HLOOKUP(REGEXEXTRACT(D2,"".*-(.*)""),INDIRECT(CONCATENATE(REGEXEXTRACT(D2,""(.*)-.*""),""!C3:P"")),2,FALSE))"),"Breaker")</f>
        <v>Breaker</v>
      </c>
      <c r="E3" s="29" t="str">
        <f ca="1">IFERROR(__xludf.DUMMYFUNCTION("IF(ISBLANK(E2),"""",HLOOKUP(REGEXEXTRACT(E2,"".*-(.*)""),INDIRECT(CONCATENATE(REGEXEXTRACT(E2,""(.*)-.*""),""!C3:P"")),2,FALSE))"),"Gunslinger")</f>
        <v>Gunslinger</v>
      </c>
      <c r="F3" s="29" t="str">
        <f ca="1">IFERROR(__xludf.DUMMYFUNCTION("IF(ISBLANK(F2),"""",HLOOKUP(REGEXEXTRACT(F2,"".*-(.*)""),INDIRECT(CONCATENATE(REGEXEXTRACT(F2,""(.*)-.*""),""!C3:P"")),2,FALSE))"),"Bard")</f>
        <v>Bard</v>
      </c>
      <c r="H3" s="249"/>
      <c r="I3" s="30"/>
      <c r="J3" s="8" t="str">
        <f ca="1">IFERROR(__xludf.DUMMYFUNCTION("IF(ISBLANK(J2),"""",HLOOKUP(REGEXEXTRACT(J2,"".*-(.*)""),INDIRECT(CONCATENATE(REGEXEXTRACT(J2,""(.*)-.*""),""!C3:P"")),2,FALSE))"),"Slayer")</f>
        <v>Slayer</v>
      </c>
      <c r="K3" s="8" t="str">
        <f ca="1">IFERROR(__xludf.DUMMYFUNCTION("IF(ISBLANK(K2),"""",HLOOKUP(REGEXEXTRACT(K2,"".*-(.*)""),INDIRECT(CONCATENATE(REGEXEXTRACT(K2,""(.*)-.*""),""!C3:P"")),2,FALSE))"),"Soulfist")</f>
        <v>Soulfist</v>
      </c>
      <c r="L3" s="8" t="str">
        <f ca="1">IFERROR(__xludf.DUMMYFUNCTION("IF(ISBLANK(L2),"""",HLOOKUP(REGEXEXTRACT(L2,"".*-(.*)""),INDIRECT(CONCATENATE(REGEXEXTRACT(L2,""(.*)-.*""),""!C3:P"")),2,FALSE))"),"Machinist")</f>
        <v>Machinist</v>
      </c>
      <c r="M3" s="9" t="str">
        <f ca="1">IFERROR(__xludf.DUMMYFUNCTION("IF(ISBLANK(M2),"""",HLOOKUP(REGEXEXTRACT(M2,"".*-(.*)""),INDIRECT(CONCATENATE(REGEXEXTRACT(M2,""(.*)-.*""),""!C3:P"")),2,FALSE))"),"#REF!")</f>
        <v>#REF!</v>
      </c>
    </row>
    <row r="4" spans="1:14">
      <c r="A4" s="249"/>
      <c r="B4" s="31"/>
      <c r="C4" s="32" t="str">
        <f ca="1">IFERROR(__xludf.DUMMYFUNCTION("IF(ISBLANK(C2),"""",HLOOKUP(REGEXEXTRACT(C2,"".*-(.*)""),INDIRECT(CONCATENATE(REGEXEXTRACT(C2,""(.*)-.*""),""!C3:V"")),3,FALSE))"),"#REF!")</f>
        <v>#REF!</v>
      </c>
      <c r="D4" s="32">
        <f ca="1">IFERROR(__xludf.DUMMYFUNCTION("IF(ISBLANK(D2),"""",HLOOKUP(REGEXEXTRACT(D2,"".*-(.*)""),INDIRECT(CONCATENATE(REGEXEXTRACT(D2,""(.*)-.*""),""!C3:P"")),3,FALSE))"),1730)</f>
        <v>1730</v>
      </c>
      <c r="E4" s="32">
        <f ca="1">IFERROR(__xludf.DUMMYFUNCTION("IF(ISBLANK(E2),"""",HLOOKUP(REGEXEXTRACT(E2,"".*-(.*)""),INDIRECT(CONCATENATE(REGEXEXTRACT(E2,""(.*)-.*""),""!C3:P"")),3,FALSE))"),1750)</f>
        <v>1750</v>
      </c>
      <c r="F4" s="32">
        <f ca="1">IFERROR(__xludf.DUMMYFUNCTION("IF(ISBLANK(F2),"""",HLOOKUP(REGEXEXTRACT(F2,"".*-(.*)""),INDIRECT(CONCATENATE(REGEXEXTRACT(F2,""(.*)-.*""),""!C3:P"")),3,FALSE))"),1670)</f>
        <v>1670</v>
      </c>
      <c r="H4" s="249"/>
      <c r="I4" s="33"/>
      <c r="J4" s="10">
        <f ca="1">IFERROR(__xludf.DUMMYFUNCTION("IF(ISBLANK(J2),"""",HLOOKUP(REGEXEXTRACT(J2,"".*-(.*)""),INDIRECT(CONCATENATE(REGEXEXTRACT(J2,""(.*)-.*""),""!C3:P"")),3,FALSE))"),1610)</f>
        <v>1610</v>
      </c>
      <c r="K4" s="10">
        <f ca="1">IFERROR(__xludf.DUMMYFUNCTION("IF(ISBLANK(K2),"""",HLOOKUP(REGEXEXTRACT(K2,"".*-(.*)""),INDIRECT(CONCATENATE(REGEXEXTRACT(K2,""(.*)-.*""),""!C3:P"")),3,FALSE))"),1750)</f>
        <v>1750</v>
      </c>
      <c r="L4" s="10">
        <f ca="1">IFERROR(__xludf.DUMMYFUNCTION("IF(ISBLANK(L2),"""",HLOOKUP(REGEXEXTRACT(L2,"".*-(.*)""),INDIRECT(CONCATENATE(REGEXEXTRACT(L2,""(.*)-.*""),""!C3:P"")),3,FALSE))"),1660)</f>
        <v>1660</v>
      </c>
      <c r="M4" s="11" t="str">
        <f ca="1">IFERROR(__xludf.DUMMYFUNCTION("IF(ISBLANK(M2),"""",HLOOKUP(REGEXEXTRACT(M2,"".*-(.*)""),INDIRECT(CONCATENATE(REGEXEXTRACT(M2,""(.*)-.*""),""!C3:P"")),3,FALSE))"),"#REF!")</f>
        <v>#REF!</v>
      </c>
    </row>
    <row r="5" spans="1:14">
      <c r="B5" s="21"/>
      <c r="C5" s="21"/>
      <c r="D5" s="21"/>
      <c r="E5" s="21"/>
      <c r="F5" s="21"/>
    </row>
    <row r="6" spans="1:14">
      <c r="A6" s="248" t="s">
        <v>0</v>
      </c>
      <c r="B6" s="23" t="s">
        <v>46</v>
      </c>
      <c r="C6" s="24" t="s">
        <v>53</v>
      </c>
      <c r="D6" s="25" t="s">
        <v>39</v>
      </c>
      <c r="E6" s="25" t="s">
        <v>19</v>
      </c>
      <c r="F6" s="26" t="s">
        <v>54</v>
      </c>
      <c r="H6" s="248"/>
      <c r="I6" s="3" t="s">
        <v>49</v>
      </c>
      <c r="J6" s="4" t="s">
        <v>55</v>
      </c>
      <c r="K6" s="5" t="s">
        <v>27</v>
      </c>
      <c r="L6" s="5" t="s">
        <v>24</v>
      </c>
      <c r="M6" s="6" t="s">
        <v>9</v>
      </c>
    </row>
    <row r="7" spans="1:14">
      <c r="A7" s="249"/>
      <c r="B7" s="28"/>
      <c r="C7" s="29" t="str">
        <f ca="1">IFERROR(__xludf.DUMMYFUNCTION("IF(ISBLANK(C6),"""",HLOOKUP(REGEXEXTRACT(C6,"".*-(.*)""),INDIRECT(CONCATENATE(REGEXEXTRACT(C6,""(.*)-.*""),""!C3:V"")),2,FALSE))"),"#REF!")</f>
        <v>#REF!</v>
      </c>
      <c r="D7" s="29" t="str">
        <f ca="1">IFERROR(__xludf.DUMMYFUNCTION("IF(ISBLANK(D6),"""",HLOOKUP(REGEXEXTRACT(D6,"".*-(.*)""),INDIRECT(CONCATENATE(REGEXEXTRACT(D6,""(.*)-.*""),""!C3:P"")),2,FALSE))"),"Summoner")</f>
        <v>Summoner</v>
      </c>
      <c r="E7" s="29" t="str">
        <f ca="1">IFERROR(__xludf.DUMMYFUNCTION("IF(ISBLANK(E6),"""",HLOOKUP(REGEXEXTRACT(E6,"".*-(.*)""),INDIRECT(CONCATENATE(REGEXEXTRACT(E6,""(.*)-.*""),""!C3:V"")),2,FALSE))"),"Slayer")</f>
        <v>Slayer</v>
      </c>
      <c r="F7" s="29" t="str">
        <f ca="1">IFERROR(__xludf.DUMMYFUNCTION("IF(ISBLANK(F6),"""",HLOOKUP(REGEXEXTRACT(F6,"".*-(.*)""),INDIRECT(CONCATENATE(REGEXEXTRACT(F6,""(.*)-.*""),""!C3:P"")),2,FALSE))"),"Bard")</f>
        <v>Bard</v>
      </c>
      <c r="H7" s="249"/>
      <c r="I7" s="30"/>
      <c r="J7" s="8" t="str">
        <f ca="1">IFERROR(__xludf.DUMMYFUNCTION("IF(ISBLANK(J6),"""",HLOOKUP(REGEXEXTRACT(J6,"".*-(.*)""),INDIRECT(CONCATENATE(REGEXEXTRACT(J6,""(.*)-.*""),""!C3:P"")),2,FALSE))"),"GL")</f>
        <v>GL</v>
      </c>
      <c r="K7" s="8" t="str">
        <f ca="1">IFERROR(__xludf.DUMMYFUNCTION("IF(ISBLANK(K6),"""",HLOOKUP(REGEXEXTRACT(K6,"".*-(.*)""),INDIRECT(CONCATENATE(REGEXEXTRACT(K6,""(.*)-.*""),""!C3:P"")),2,FALSE))"),"Guardianknight")</f>
        <v>Guardianknight</v>
      </c>
      <c r="L7" s="8" t="str">
        <f ca="1">IFERROR(__xludf.DUMMYFUNCTION("IF(ISBLANK(L6),"""",HLOOKUP(REGEXEXTRACT(L6,"".*-(.*)""),INDIRECT(CONCATENATE(REGEXEXTRACT(L6,""(.*)-.*""),""!C3:P"")),2,FALSE))"),"Glaivier")</f>
        <v>Glaivier</v>
      </c>
      <c r="M7" s="9" t="str">
        <f ca="1">IFERROR(__xludf.DUMMYFUNCTION("IF(ISBLANK(M6),"""",HLOOKUP(REGEXEXTRACT(M6,"".*-(.*)""),INDIRECT(CONCATENATE(REGEXEXTRACT(M6,""(.*)-.*""),""!C3:P"")),2,FALSE))"),"#REF!")</f>
        <v>#REF!</v>
      </c>
    </row>
    <row r="8" spans="1:14">
      <c r="A8" s="249"/>
      <c r="B8" s="31"/>
      <c r="C8" s="32" t="str">
        <f ca="1">IFERROR(__xludf.DUMMYFUNCTION("IF(ISBLANK(C6),"""",HLOOKUP(REGEXEXTRACT(C6,"".*-(.*)""),INDIRECT(CONCATENATE(REGEXEXTRACT(C6,""(.*)-.*""),""!C3:V"")),3,FALSE))"),"#REF!")</f>
        <v>#REF!</v>
      </c>
      <c r="D8" s="32">
        <f ca="1">IFERROR(__xludf.DUMMYFUNCTION("IF(ISBLANK(D6),"""",HLOOKUP(REGEXEXTRACT(D6,"".*-(.*)""),INDIRECT(CONCATENATE(REGEXEXTRACT(D6,""(.*)-.*""),""!C3:P"")),3,FALSE))"),1750)</f>
        <v>1750</v>
      </c>
      <c r="E8" s="32">
        <f ca="1">IFERROR(__xludf.DUMMYFUNCTION("IF(ISBLANK(E6),"""",HLOOKUP(REGEXEXTRACT(E6,"".*-(.*)""),INDIRECT(CONCATENATE(REGEXEXTRACT(E6,""(.*)-.*""),""!C3:V"")),3,FALSE))"),1750)</f>
        <v>1750</v>
      </c>
      <c r="F8" s="32">
        <f ca="1">IFERROR(__xludf.DUMMYFUNCTION("IF(ISBLANK(F6),"""",HLOOKUP(REGEXEXTRACT(F6,"".*-(.*)""),INDIRECT(CONCATENATE(REGEXEXTRACT(F6,""(.*)-.*""),""!C3:P"")),3,FALSE))"),1700)</f>
        <v>1700</v>
      </c>
      <c r="H8" s="249"/>
      <c r="I8" s="33"/>
      <c r="J8" s="10">
        <f ca="1">IFERROR(__xludf.DUMMYFUNCTION("IF(ISBLANK(J6),"""",HLOOKUP(REGEXEXTRACT(J6,"".*-(.*)""),INDIRECT(CONCATENATE(REGEXEXTRACT(J6,""(.*)-.*""),""!C3:P"")),3,FALSE))"),1750)</f>
        <v>1750</v>
      </c>
      <c r="K8" s="10">
        <f ca="1">IFERROR(__xludf.DUMMYFUNCTION("IF(ISBLANK(K6),"""",HLOOKUP(REGEXEXTRACT(K6,"".*-(.*)""),INDIRECT(CONCATENATE(REGEXEXTRACT(K6,""(.*)-.*""),""!C3:P"")),3,FALSE))"),1750)</f>
        <v>1750</v>
      </c>
      <c r="L8" s="10">
        <f ca="1">IFERROR(__xludf.DUMMYFUNCTION("IF(ISBLANK(L6),"""",HLOOKUP(REGEXEXTRACT(L6,"".*-(.*)""),INDIRECT(CONCATENATE(REGEXEXTRACT(L6,""(.*)-.*""),""!C3:P"")),3,FALSE))"),1750)</f>
        <v>1750</v>
      </c>
      <c r="M8" s="11" t="str">
        <f ca="1">IFERROR(__xludf.DUMMYFUNCTION("IF(ISBLANK(M6),"""",HLOOKUP(REGEXEXTRACT(M6,"".*-(.*)""),INDIRECT(CONCATENATE(REGEXEXTRACT(M6,""(.*)-.*""),""!C3:P"")),3,FALSE))"),"#REF!")</f>
        <v>#REF!</v>
      </c>
    </row>
    <row r="9" spans="1:14">
      <c r="K9" s="1"/>
      <c r="L9" s="1"/>
      <c r="M9" s="1"/>
    </row>
    <row r="10" spans="1:14">
      <c r="A10" s="248" t="s">
        <v>0</v>
      </c>
      <c r="B10" s="23" t="s">
        <v>46</v>
      </c>
      <c r="C10" s="24" t="s">
        <v>32</v>
      </c>
      <c r="D10" s="25" t="s">
        <v>35</v>
      </c>
      <c r="E10" s="25" t="s">
        <v>51</v>
      </c>
      <c r="F10" s="26" t="s">
        <v>56</v>
      </c>
      <c r="H10" s="248"/>
      <c r="I10" s="3" t="s">
        <v>49</v>
      </c>
      <c r="J10" s="4" t="s">
        <v>57</v>
      </c>
      <c r="K10" s="6" t="s">
        <v>58</v>
      </c>
      <c r="L10" s="5" t="s">
        <v>40</v>
      </c>
      <c r="M10" s="4" t="s">
        <v>59</v>
      </c>
    </row>
    <row r="11" spans="1:14">
      <c r="A11" s="249"/>
      <c r="B11" s="28"/>
      <c r="C11" s="29" t="str">
        <f ca="1">IFERROR(__xludf.DUMMYFUNCTION("IF(ISBLANK(C10),"""",HLOOKUP(REGEXEXTRACT(C10,"".*-(.*)""),INDIRECT(CONCATENATE(REGEXEXTRACT(C10,""(.*)-.*""),""!C3:P"")),2,FALSE))"),"#REF!")</f>
        <v>#REF!</v>
      </c>
      <c r="D11" s="29" t="str">
        <f ca="1">IFERROR(__xludf.DUMMYFUNCTION("IF(ISBLANK(D10),"""",HLOOKUP(REGEXEXTRACT(D10,"".*-(.*)""),INDIRECT(CONCATENATE(REGEXEXTRACT(D10,""(.*)-.*""),""!C3:P"")),2,FALSE))"),"Bard")</f>
        <v>Bard</v>
      </c>
      <c r="E11" s="29" t="str">
        <f ca="1">IFERROR(__xludf.DUMMYFUNCTION("IF(ISBLANK(E10),"""",HLOOKUP(REGEXEXTRACT(E10,"".*-(.*)""),INDIRECT(CONCATENATE(REGEXEXTRACT(E10,""(.*)-.*""),""!C3:P"")),2,FALSE))"),"Machinist")</f>
        <v>Machinist</v>
      </c>
      <c r="F11" s="34" t="str">
        <f ca="1">IFERROR(__xludf.DUMMYFUNCTION("IF(ISBLANK(F10),"""",HLOOKUP(REGEXEXTRACT(F10,"".*-(.*)""),INDIRECT(CONCATENATE(REGEXEXTRACT(F10,""(.*)-.*""),""!C3:P"")),2,FALSE))"),"Summoner")</f>
        <v>Summoner</v>
      </c>
      <c r="H11" s="249"/>
      <c r="I11" s="30"/>
      <c r="J11" s="8" t="str">
        <f ca="1">IFERROR(__xludf.DUMMYFUNCTION("IF(ISBLANK(J10),"""",HLOOKUP(REGEXEXTRACT(J10,"".*-(.*)""),INDIRECT(CONCATENATE(REGEXEXTRACT(J10,""(.*)-.*""),""!C3:P"")),2,FALSE))"),"Scouter")</f>
        <v>Scouter</v>
      </c>
      <c r="K11" s="8" t="str">
        <f ca="1">IFERROR(__xludf.DUMMYFUNCTION("IF(ISBLANK(K10),"""",HLOOKUP(REGEXEXTRACT(K10,"".*-(.*)""),INDIRECT(CONCATENATE(REGEXEXTRACT(K10,""(.*)-.*""),""!C3:P"")),2,FALSE))"),"Souleater")</f>
        <v>Souleater</v>
      </c>
      <c r="L11" s="8" t="str">
        <f ca="1">IFERROR(__xludf.DUMMYFUNCTION("IF(ISBLANK(L10),"""",HLOOKUP(REGEXEXTRACT(L10,"".*-(.*)""),INDIRECT(CONCATENATE(REGEXEXTRACT(L10,""(.*)-.*""),""!C3:P"")),2,FALSE))"),"Paladin")</f>
        <v>Paladin</v>
      </c>
      <c r="M11" s="9" t="str">
        <f ca="1">IFERROR(__xludf.DUMMYFUNCTION("IF(ISBLANK(M10),"""",HLOOKUP(REGEXEXTRACT(M10,"".*-(.*)""),INDIRECT(CONCATENATE(REGEXEXTRACT(M10,""(.*)-.*""),""!C3:P"")),2,FALSE))"),"#REF!")</f>
        <v>#REF!</v>
      </c>
    </row>
    <row r="12" spans="1:14">
      <c r="A12" s="249"/>
      <c r="B12" s="31"/>
      <c r="C12" s="32" t="str">
        <f ca="1">IFERROR(__xludf.DUMMYFUNCTION("IF(ISBLANK(C10),"""",HLOOKUP(REGEXEXTRACT(C10,"".*-(.*)""),INDIRECT(CONCATENATE(REGEXEXTRACT(C10,""(.*)-.*""),""!C3:P"")),3,FALSE))"),"#REF!")</f>
        <v>#REF!</v>
      </c>
      <c r="D12" s="32">
        <f ca="1">IFERROR(__xludf.DUMMYFUNCTION("IF(ISBLANK(D10),"""",HLOOKUP(REGEXEXTRACT(D10,"".*-(.*)""),INDIRECT(CONCATENATE(REGEXEXTRACT(D10,""(.*)-.*""),""!C3:P"")),3,FALSE))"),1730)</f>
        <v>1730</v>
      </c>
      <c r="E12" s="32">
        <f ca="1">IFERROR(__xludf.DUMMYFUNCTION("IF(ISBLANK(E10),"""",HLOOKUP(REGEXEXTRACT(E10,"".*-(.*)""),INDIRECT(CONCATENATE(REGEXEXTRACT(E10,""(.*)-.*""),""!C3:P"")),3,FALSE))"),1660)</f>
        <v>1660</v>
      </c>
      <c r="F12" s="35">
        <f ca="1">IFERROR(__xludf.DUMMYFUNCTION("IF(ISBLANK(F10),"""",HLOOKUP(REGEXEXTRACT(F10,"".*-(.*)""),INDIRECT(CONCATENATE(REGEXEXTRACT(F10,""(.*)-.*""),""!C3:P"")),3,FALSE))"),1680)</f>
        <v>1680</v>
      </c>
      <c r="H12" s="249"/>
      <c r="I12" s="33"/>
      <c r="J12" s="10">
        <f ca="1">IFERROR(__xludf.DUMMYFUNCTION("IF(ISBLANK(J10),"""",HLOOKUP(REGEXEXTRACT(J10,"".*-(.*)""),INDIRECT(CONCATENATE(REGEXEXTRACT(J10,""(.*)-.*""),""!C3:P"")),3,FALSE))"),1600)</f>
        <v>1600</v>
      </c>
      <c r="K12" s="10">
        <f ca="1">IFERROR(__xludf.DUMMYFUNCTION("IF(ISBLANK(K10),"""",HLOOKUP(REGEXEXTRACT(K10,"".*-(.*)""),INDIRECT(CONCATENATE(REGEXEXTRACT(K10,""(.*)-.*""),""!C3:P"")),3,FALSE))"),1750)</f>
        <v>1750</v>
      </c>
      <c r="L12" s="10">
        <f ca="1">IFERROR(__xludf.DUMMYFUNCTION("IF(ISBLANK(L10),"""",HLOOKUP(REGEXEXTRACT(L10,"".*-(.*)""),INDIRECT(CONCATENATE(REGEXEXTRACT(L10,""(.*)-.*""),""!C3:P"")),3,FALSE))"),1750)</f>
        <v>1750</v>
      </c>
      <c r="M12" s="11" t="str">
        <f ca="1">IFERROR(__xludf.DUMMYFUNCTION("IF(ISBLANK(M10),"""",HLOOKUP(REGEXEXTRACT(M10,"".*-(.*)""),INDIRECT(CONCATENATE(REGEXEXTRACT(M10,""(.*)-.*""),""!C3:P"")),3,FALSE))"),"#REF!")</f>
        <v>#REF!</v>
      </c>
    </row>
    <row r="13" spans="1:14">
      <c r="K13" s="1"/>
      <c r="L13" s="1"/>
      <c r="M13" s="1"/>
    </row>
    <row r="14" spans="1:14">
      <c r="A14" s="248" t="s">
        <v>0</v>
      </c>
      <c r="B14" s="23" t="s">
        <v>46</v>
      </c>
      <c r="C14" s="24" t="s">
        <v>17</v>
      </c>
      <c r="D14" s="26" t="s">
        <v>27</v>
      </c>
      <c r="E14" s="26" t="s">
        <v>40</v>
      </c>
      <c r="F14" s="26" t="s">
        <v>60</v>
      </c>
      <c r="H14" s="248"/>
      <c r="I14" s="3" t="s">
        <v>49</v>
      </c>
      <c r="J14" s="4" t="s">
        <v>19</v>
      </c>
      <c r="K14" s="5" t="s">
        <v>35</v>
      </c>
      <c r="L14" s="5" t="s">
        <v>61</v>
      </c>
      <c r="M14" s="6" t="s">
        <v>17</v>
      </c>
    </row>
    <row r="15" spans="1:14">
      <c r="A15" s="249"/>
      <c r="B15" s="15"/>
      <c r="C15" s="29" t="str">
        <f ca="1">IFERROR(__xludf.DUMMYFUNCTION("IF(ISBLANK(C14),"""",HLOOKUP(REGEXEXTRACT(C14,"".*-(.*)""),INDIRECT(CONCATENATE(REGEXEXTRACT(C14,""(.*)-.*""),""!C3:Z"")),2,FALSE))"),"#REF!")</f>
        <v>#REF!</v>
      </c>
      <c r="D15" s="29" t="str">
        <f ca="1">IFERROR(__xludf.DUMMYFUNCTION("IF(ISBLANK(D14),"""",HLOOKUP(REGEXEXTRACT(D14,"".*-(.*)""),INDIRECT(CONCATENATE(REGEXEXTRACT(D14,""(.*)-.*""),""!C3:P"")),2,FALSE))"),"Guardianknight")</f>
        <v>Guardianknight</v>
      </c>
      <c r="E15" s="29" t="str">
        <f ca="1">IFERROR(__xludf.DUMMYFUNCTION("IF(ISBLANK(E14),"""",HLOOKUP(REGEXEXTRACT(E14,"".*-(.*)""),INDIRECT(CONCATENATE(REGEXEXTRACT(E14,""(.*)-.*""),""!C3:P"")),2,FALSE))"),"Paladin")</f>
        <v>Paladin</v>
      </c>
      <c r="F15" s="34" t="str">
        <f ca="1">IFERROR(__xludf.DUMMYFUNCTION("IF(ISBLANK(F14),"""",HLOOKUP(REGEXEXTRACT(F14,"".*-(.*)""),INDIRECT(CONCATENATE(REGEXEXTRACT(F14,""(.*)-.*""),""!C3:P"")),2,FALSE))"),"BREAKER")</f>
        <v>BREAKER</v>
      </c>
      <c r="H15" s="249"/>
      <c r="I15" s="36"/>
      <c r="J15" s="8" t="str">
        <f ca="1">IFERROR(__xludf.DUMMYFUNCTION("IF(ISBLANK(J14),"""",HLOOKUP(REGEXEXTRACT(J14,"".*-(.*)""),INDIRECT(CONCATENATE(REGEXEXTRACT(J14,""(.*)-.*""),""!C3:P"")),2,FALSE))"),"Slayer")</f>
        <v>Slayer</v>
      </c>
      <c r="K15" s="8" t="str">
        <f ca="1">IFERROR(__xludf.DUMMYFUNCTION("IF(ISBLANK(K14),"""",HLOOKUP(REGEXEXTRACT(K14,"".*-(.*)""),INDIRECT(CONCATENATE(REGEXEXTRACT(K14,""(.*)-.*""),""!C3:P"")),2,FALSE))"),"Bard")</f>
        <v>Bard</v>
      </c>
      <c r="L15" s="8" t="str">
        <f ca="1">IFERROR(__xludf.DUMMYFUNCTION("IF(ISBLANK(L14),"""",HLOOKUP(REGEXEXTRACT(L14,"".*-(.*)""),INDIRECT(CONCATENATE(REGEXEXTRACT(L14,""(.*)-.*""),""!C3:P"")),2,FALSE))"),"#REF!")</f>
        <v>#REF!</v>
      </c>
      <c r="M15" s="9" t="str">
        <f ca="1">IFERROR(__xludf.DUMMYFUNCTION("IF(ISBLANK(M14),"""",HLOOKUP(REGEXEXTRACT(M14,"".*-(.*)""),INDIRECT(CONCATENATE(REGEXEXTRACT(M14,""(.*)-.*""),""!C3:P"")),2,FALSE))"),"#REF!")</f>
        <v>#REF!</v>
      </c>
    </row>
    <row r="16" spans="1:14">
      <c r="A16" s="249"/>
      <c r="B16" s="16"/>
      <c r="C16" s="32" t="str">
        <f ca="1">IFERROR(__xludf.DUMMYFUNCTION("IF(ISBLANK(C14),"""",HLOOKUP(REGEXEXTRACT(C14,"".*-(.*)""),INDIRECT(CONCATENATE(REGEXEXTRACT(C14,""(.*)-.*""),""!C3:Z"")),3,FALSE))"),"#REF!")</f>
        <v>#REF!</v>
      </c>
      <c r="D16" s="32">
        <f ca="1">IFERROR(__xludf.DUMMYFUNCTION("IF(ISBLANK(D14),"""",HLOOKUP(REGEXEXTRACT(D14,"".*-(.*)""),INDIRECT(CONCATENATE(REGEXEXTRACT(D14,""(.*)-.*""),""!C3:P"")),3,FALSE))"),1750)</f>
        <v>1750</v>
      </c>
      <c r="E16" s="32">
        <f ca="1">IFERROR(__xludf.DUMMYFUNCTION("IF(ISBLANK(E14),"""",HLOOKUP(REGEXEXTRACT(E14,"".*-(.*)""),INDIRECT(CONCATENATE(REGEXEXTRACT(E14,""(.*)-.*""),""!C3:P"")),3,FALSE))"),1750)</f>
        <v>1750</v>
      </c>
      <c r="F16" s="35">
        <f ca="1">IFERROR(__xludf.DUMMYFUNCTION("IF(ISBLANK(F14),"""",HLOOKUP(REGEXEXTRACT(F14,"".*-(.*)""),INDIRECT(CONCATENATE(REGEXEXTRACT(F14,""(.*)-.*""),""!C3:P"")),3,FALSE))"),1750)</f>
        <v>1750</v>
      </c>
      <c r="H16" s="249"/>
      <c r="I16" s="37"/>
      <c r="J16" s="10">
        <f ca="1">IFERROR(__xludf.DUMMYFUNCTION("IF(ISBLANK(J14),"""",HLOOKUP(REGEXEXTRACT(J14,"".*-(.*)""),INDIRECT(CONCATENATE(REGEXEXTRACT(J14,""(.*)-.*""),""!C3:P"")),3,FALSE))"),1750)</f>
        <v>1750</v>
      </c>
      <c r="K16" s="10">
        <f ca="1">IFERROR(__xludf.DUMMYFUNCTION("IF(ISBLANK(K14),"""",HLOOKUP(REGEXEXTRACT(K14,"".*-(.*)""),INDIRECT(CONCATENATE(REGEXEXTRACT(K14,""(.*)-.*""),""!C3:P"")),3,FALSE))"),1730)</f>
        <v>1730</v>
      </c>
      <c r="L16" s="10" t="str">
        <f ca="1">IFERROR(__xludf.DUMMYFUNCTION("IF(ISBLANK(L14),"""",HLOOKUP(REGEXEXTRACT(L14,"".*-(.*)""),INDIRECT(CONCATENATE(REGEXEXTRACT(L14,""(.*)-.*""),""!C3:P"")),3,FALSE))"),"#REF!")</f>
        <v>#REF!</v>
      </c>
      <c r="M16" s="11" t="str">
        <f ca="1">IFERROR(__xludf.DUMMYFUNCTION("IF(ISBLANK(M14),"""",HLOOKUP(REGEXEXTRACT(M14,"".*-(.*)""),INDIRECT(CONCATENATE(REGEXEXTRACT(M14,""(.*)-.*""),""!C3:P"")),3,FALSE))"),"#REF!")</f>
        <v>#REF!</v>
      </c>
    </row>
    <row r="18" spans="1:13">
      <c r="A18" s="248" t="s">
        <v>0</v>
      </c>
      <c r="B18" s="23" t="s">
        <v>46</v>
      </c>
      <c r="C18" s="24" t="s">
        <v>62</v>
      </c>
      <c r="D18" s="25" t="s">
        <v>63</v>
      </c>
      <c r="E18" s="25" t="s">
        <v>24</v>
      </c>
      <c r="F18" s="25" t="s">
        <v>55</v>
      </c>
      <c r="H18" s="248"/>
      <c r="I18" s="3" t="s">
        <v>49</v>
      </c>
      <c r="J18" s="4" t="s">
        <v>64</v>
      </c>
      <c r="K18" s="6" t="s">
        <v>65</v>
      </c>
      <c r="L18" s="5" t="s">
        <v>12</v>
      </c>
      <c r="M18" s="4" t="s">
        <v>66</v>
      </c>
    </row>
    <row r="19" spans="1:13">
      <c r="A19" s="249"/>
      <c r="B19" s="15"/>
      <c r="C19" s="29" t="str">
        <f ca="1">IFERROR(__xludf.DUMMYFUNCTION("IF(ISBLANK(C18),"""",HLOOKUP(REGEXEXTRACT(C18,"".*-(.*)""),INDIRECT(CONCATENATE(REGEXEXTRACT(C18,""(.*)-.*""),""!C3:V"")),2,FALSE))"),"#REF!")</f>
        <v>#REF!</v>
      </c>
      <c r="D19" s="29" t="str">
        <f ca="1">IFERROR(__xludf.DUMMYFUNCTION("IF(ISBLANK(D18),"""",HLOOKUP(REGEXEXTRACT(D18,"".*-(.*)""),INDIRECT(CONCATENATE(REGEXEXTRACT(D18,""(.*)-.*""),""!C3:P"")),2,FALSE))"),"Scrapper")</f>
        <v>Scrapper</v>
      </c>
      <c r="E19" s="29" t="str">
        <f ca="1">IFERROR(__xludf.DUMMYFUNCTION("IF(ISBLANK(E18),"""",HLOOKUP(REGEXEXTRACT(E18,"".*-(.*)""),INDIRECT(CONCATENATE(REGEXEXTRACT(E18,""(.*)-.*""),""!C3:P"")),2,FALSE))"),"Glaivier")</f>
        <v>Glaivier</v>
      </c>
      <c r="F19" s="34" t="str">
        <f ca="1">IFERROR(__xludf.DUMMYFUNCTION("IF(ISBLANK(F18),"""",HLOOKUP(REGEXEXTRACT(F18,"".*-(.*)""),INDIRECT(CONCATENATE(REGEXEXTRACT(F18,""(.*)-.*""),""!C3:P"")),2,FALSE))"),"GL")</f>
        <v>GL</v>
      </c>
      <c r="H19" s="249"/>
      <c r="I19" s="30"/>
      <c r="J19" s="8" t="str">
        <f ca="1">IFERROR(__xludf.DUMMYFUNCTION("IF(ISBLANK(J18),"""",HLOOKUP(REGEXEXTRACT(J18,"".*-(.*)""),INDIRECT(CONCATENATE(REGEXEXTRACT(J18,""(.*)-.*""),""!C3:P"")),2,FALSE))"),"#REF!")</f>
        <v>#REF!</v>
      </c>
      <c r="K19" s="8" t="str">
        <f ca="1">IFERROR(__xludf.DUMMYFUNCTION("IF(ISBLANK(K18),"""",HLOOKUP(REGEXEXTRACT(K18,"".*-(.*)""),INDIRECT(CONCATENATE(REGEXEXTRACT(K18,""(.*)-.*""),""!C3:P"")),2,FALSE))"),"Paladin")</f>
        <v>Paladin</v>
      </c>
      <c r="L19" s="8" t="str">
        <f ca="1">IFERROR(__xludf.DUMMYFUNCTION("IF(ISBLANK(L18),"""",HLOOKUP(REGEXEXTRACT(L18,"".*-(.*)""),INDIRECT(CONCATENATE(REGEXEXTRACT(L18,""(.*)-.*""),""!C3:P"")),2,FALSE))"),"Sorceress")</f>
        <v>Sorceress</v>
      </c>
      <c r="M19" s="9" t="str">
        <f ca="1">IFERROR(__xludf.DUMMYFUNCTION("IF(ISBLANK(M18),"""",HLOOKUP(REGEXEXTRACT(M18,"".*-(.*)""),INDIRECT(CONCATENATE(REGEXEXTRACT(M18,""(.*)-.*""),""!C3:P"")),2,FALSE))"),"Aeromancer")</f>
        <v>Aeromancer</v>
      </c>
    </row>
    <row r="20" spans="1:13">
      <c r="A20" s="249"/>
      <c r="B20" s="16"/>
      <c r="C20" s="32" t="str">
        <f ca="1">IFERROR(__xludf.DUMMYFUNCTION("IF(ISBLANK(C18),"""",HLOOKUP(REGEXEXTRACT(C18,"".*-(.*)""),INDIRECT(CONCATENATE(REGEXEXTRACT(C18,""(.*)-.*""),""!C3:V"")),3,FALSE))"),"#REF!")</f>
        <v>#REF!</v>
      </c>
      <c r="D20" s="32">
        <f ca="1">IFERROR(__xludf.DUMMYFUNCTION("IF(ISBLANK(D18),"""",HLOOKUP(REGEXEXTRACT(D18,"".*-(.*)""),INDIRECT(CONCATENATE(REGEXEXTRACT(D18,""(.*)-.*""),""!C3:P"")),3,FALSE))"),1730)</f>
        <v>1730</v>
      </c>
      <c r="E20" s="32">
        <f ca="1">IFERROR(__xludf.DUMMYFUNCTION("IF(ISBLANK(E18),"""",HLOOKUP(REGEXEXTRACT(E18,"".*-(.*)""),INDIRECT(CONCATENATE(REGEXEXTRACT(E18,""(.*)-.*""),""!C3:P"")),3,FALSE))"),1750)</f>
        <v>1750</v>
      </c>
      <c r="F20" s="35">
        <f ca="1">IFERROR(__xludf.DUMMYFUNCTION("IF(ISBLANK(F18),"""",HLOOKUP(REGEXEXTRACT(F18,"".*-(.*)""),INDIRECT(CONCATENATE(REGEXEXTRACT(F18,""(.*)-.*""),""!C3:P"")),3,FALSE))"),1750)</f>
        <v>1750</v>
      </c>
      <c r="H20" s="249"/>
      <c r="I20" s="33"/>
      <c r="J20" s="10" t="str">
        <f ca="1">IFERROR(__xludf.DUMMYFUNCTION("IF(ISBLANK(J18),"""",HLOOKUP(REGEXEXTRACT(J18,"".*-(.*)""),INDIRECT(CONCATENATE(REGEXEXTRACT(J18,""(.*)-.*""),""!C3:P"")),3,FALSE))"),"#REF!")</f>
        <v>#REF!</v>
      </c>
      <c r="K20" s="10">
        <f ca="1">IFERROR(__xludf.DUMMYFUNCTION("IF(ISBLANK(K18),"""",HLOOKUP(REGEXEXTRACT(K18,"".*-(.*)""),INDIRECT(CONCATENATE(REGEXEXTRACT(K18,""(.*)-.*""),""!C3:P"")),3,FALSE))"),1750)</f>
        <v>1750</v>
      </c>
      <c r="L20" s="10">
        <f ca="1">IFERROR(__xludf.DUMMYFUNCTION("IF(ISBLANK(L18),"""",HLOOKUP(REGEXEXTRACT(L18,"".*-(.*)""),INDIRECT(CONCATENATE(REGEXEXTRACT(L18,""(.*)-.*""),""!C3:P"")),3,FALSE))"),1750)</f>
        <v>1750</v>
      </c>
      <c r="M20" s="11">
        <f ca="1">IFERROR(__xludf.DUMMYFUNCTION("IF(ISBLANK(M18),"""",HLOOKUP(REGEXEXTRACT(M18,"".*-(.*)""),INDIRECT(CONCATENATE(REGEXEXTRACT(M18,""(.*)-.*""),""!C3:P"")),3,FALSE))"),1730)</f>
        <v>1730</v>
      </c>
    </row>
    <row r="22" spans="1:13">
      <c r="A22" s="248" t="s">
        <v>0</v>
      </c>
      <c r="B22" s="23" t="s">
        <v>46</v>
      </c>
      <c r="C22" s="24" t="s">
        <v>59</v>
      </c>
      <c r="D22" s="26" t="s">
        <v>30</v>
      </c>
      <c r="E22" s="26" t="s">
        <v>12</v>
      </c>
      <c r="F22" s="26" t="s">
        <v>65</v>
      </c>
      <c r="H22" s="248"/>
      <c r="I22" s="3" t="s">
        <v>49</v>
      </c>
      <c r="J22" s="4" t="s">
        <v>39</v>
      </c>
      <c r="K22" s="6" t="s">
        <v>67</v>
      </c>
      <c r="L22" s="5" t="s">
        <v>4</v>
      </c>
      <c r="M22" s="4" t="s">
        <v>5</v>
      </c>
    </row>
    <row r="23" spans="1:13">
      <c r="A23" s="249"/>
      <c r="B23" s="15"/>
      <c r="C23" s="29" t="str">
        <f ca="1">IFERROR(__xludf.DUMMYFUNCTION("IF(ISBLANK(C22),"""",HLOOKUP(REGEXEXTRACT(C22,"".*-(.*)""),INDIRECT(CONCATENATE(REGEXEXTRACT(C22,""(.*)-.*""),""!C3:P"")),2,FALSE))"),"#REF!")</f>
        <v>#REF!</v>
      </c>
      <c r="D23" s="29" t="str">
        <f ca="1">IFERROR(__xludf.DUMMYFUNCTION("IF(ISBLANK(D22),"""",HLOOKUP(REGEXEXTRACT(D22,"".*-(.*)""),INDIRECT(CONCATENATE(REGEXEXTRACT(D22,""(.*)-.*""),""!C3:P"")),2,FALSE))"),"Soulfist")</f>
        <v>Soulfist</v>
      </c>
      <c r="E23" s="29" t="str">
        <f ca="1">IFERROR(__xludf.DUMMYFUNCTION("IF(ISBLANK(E22),"""",HLOOKUP(REGEXEXTRACT(E22,"".*-(.*)""),INDIRECT(CONCATENATE(REGEXEXTRACT(E22,""(.*)-.*""),""!C3:P"")),2,FALSE))"),"Sorceress")</f>
        <v>Sorceress</v>
      </c>
      <c r="F23" s="29" t="str">
        <f ca="1">IFERROR(__xludf.DUMMYFUNCTION("IF(ISBLANK(F22),"""",HLOOKUP(REGEXEXTRACT(F22,"".*-(.*)""),INDIRECT(CONCATENATE(REGEXEXTRACT(F22,""(.*)-.*""),""!C3:P"")),2,FALSE))"),"Paladin")</f>
        <v>Paladin</v>
      </c>
      <c r="H23" s="249"/>
      <c r="I23" s="30"/>
      <c r="J23" s="8" t="str">
        <f ca="1">IFERROR(__xludf.DUMMYFUNCTION("IF(ISBLANK(J22),"""",HLOOKUP(REGEXEXTRACT(J22,"".*-(.*)""),INDIRECT(CONCATENATE(REGEXEXTRACT(J22,""(.*)-.*""),""!C3:P"")),2,FALSE))"),"Summoner")</f>
        <v>Summoner</v>
      </c>
      <c r="K23" s="8" t="str">
        <f ca="1">IFERROR(__xludf.DUMMYFUNCTION("IF(ISBLANK(K22),"""",HLOOKUP(REGEXEXTRACT(K22,"".*-(.*)""),INDIRECT(CONCATENATE(REGEXEXTRACT(K22,""(.*)-.*""),""!C3:P"")),2,FALSE))"),"Bonk")</f>
        <v>Bonk</v>
      </c>
      <c r="L23" s="8" t="str">
        <f ca="1">IFERROR(__xludf.DUMMYFUNCTION("IF(ISBLANK(L22),"""",HLOOKUP(REGEXEXTRACT(L22,"".*-(.*)""),INDIRECT(CONCATENATE(REGEXEXTRACT(L22,""(.*)-.*""),""!C3:P"")),2,FALSE))"),"Gunslinger")</f>
        <v>Gunslinger</v>
      </c>
      <c r="M23" s="9" t="str">
        <f ca="1">IFERROR(__xludf.DUMMYFUNCTION("IF(ISBLANK(M22),"""",HLOOKUP(REGEXEXTRACT(M22,"".*-(.*)""),INDIRECT(CONCATENATE(REGEXEXTRACT(M22,""(.*)-.*""),""!C3:P"")),2,FALSE))"),"#REF!")</f>
        <v>#REF!</v>
      </c>
    </row>
    <row r="24" spans="1:13">
      <c r="A24" s="249"/>
      <c r="B24" s="16"/>
      <c r="C24" s="32" t="str">
        <f ca="1">IFERROR(__xludf.DUMMYFUNCTION("IF(ISBLANK(C22),"""",HLOOKUP(REGEXEXTRACT(C22,"".*-(.*)""),INDIRECT(CONCATENATE(REGEXEXTRACT(C22,""(.*)-.*""),""!C3:P"")),3,FALSE))"),"#REF!")</f>
        <v>#REF!</v>
      </c>
      <c r="D24" s="32">
        <f ca="1">IFERROR(__xludf.DUMMYFUNCTION("IF(ISBLANK(D22),"""",HLOOKUP(REGEXEXTRACT(D22,"".*-(.*)""),INDIRECT(CONCATENATE(REGEXEXTRACT(D22,""(.*)-.*""),""!C3:P"")),3,FALSE))"),1750)</f>
        <v>1750</v>
      </c>
      <c r="E24" s="32">
        <f ca="1">IFERROR(__xludf.DUMMYFUNCTION("IF(ISBLANK(E22),"""",HLOOKUP(REGEXEXTRACT(E22,"".*-(.*)""),INDIRECT(CONCATENATE(REGEXEXTRACT(E22,""(.*)-.*""),""!C3:P"")),3,FALSE))"),1750)</f>
        <v>1750</v>
      </c>
      <c r="F24" s="32">
        <f ca="1">IFERROR(__xludf.DUMMYFUNCTION("IF(ISBLANK(F22),"""",HLOOKUP(REGEXEXTRACT(F22,"".*-(.*)""),INDIRECT(CONCATENATE(REGEXEXTRACT(F22,""(.*)-.*""),""!C3:P"")),3,FALSE))"),1750)</f>
        <v>1750</v>
      </c>
      <c r="H24" s="249"/>
      <c r="I24" s="33"/>
      <c r="J24" s="10">
        <f ca="1">IFERROR(__xludf.DUMMYFUNCTION("IF(ISBLANK(J22),"""",HLOOKUP(REGEXEXTRACT(J22,"".*-(.*)""),INDIRECT(CONCATENATE(REGEXEXTRACT(J22,""(.*)-.*""),""!C3:P"")),3,FALSE))"),1750)</f>
        <v>1750</v>
      </c>
      <c r="K24" s="10">
        <f ca="1">IFERROR(__xludf.DUMMYFUNCTION("IF(ISBLANK(K22),"""",HLOOKUP(REGEXEXTRACT(K22,"".*-(.*)""),INDIRECT(CONCATENATE(REGEXEXTRACT(K22,""(.*)-.*""),""!C3:P"")),3,FALSE))"),1750)</f>
        <v>1750</v>
      </c>
      <c r="L24" s="10">
        <f ca="1">IFERROR(__xludf.DUMMYFUNCTION("IF(ISBLANK(L22),"""",HLOOKUP(REGEXEXTRACT(L22,"".*-(.*)""),INDIRECT(CONCATENATE(REGEXEXTRACT(L22,""(.*)-.*""),""!C3:P"")),3,FALSE))"),1750)</f>
        <v>1750</v>
      </c>
      <c r="M24" s="11" t="str">
        <f ca="1">IFERROR(__xludf.DUMMYFUNCTION("IF(ISBLANK(M22),"""",HLOOKUP(REGEXEXTRACT(M22,"".*-(.*)""),INDIRECT(CONCATENATE(REGEXEXTRACT(M22,""(.*)-.*""),""!C3:P"")),3,FALSE))"),"#REF!")</f>
        <v>#REF!</v>
      </c>
    </row>
    <row r="26" spans="1:13">
      <c r="A26" s="250" t="s">
        <v>0</v>
      </c>
      <c r="B26" s="23" t="s">
        <v>46</v>
      </c>
      <c r="C26" s="24" t="s">
        <v>68</v>
      </c>
      <c r="D26" s="25" t="s">
        <v>69</v>
      </c>
      <c r="E26" s="26" t="s">
        <v>6</v>
      </c>
      <c r="F26" s="25" t="s">
        <v>70</v>
      </c>
      <c r="H26" s="248"/>
      <c r="I26" s="3" t="s">
        <v>71</v>
      </c>
      <c r="J26" s="4"/>
      <c r="K26" s="5" t="s">
        <v>3</v>
      </c>
      <c r="L26" s="5"/>
      <c r="M26" s="6" t="s">
        <v>68</v>
      </c>
    </row>
    <row r="27" spans="1:13">
      <c r="A27" s="249"/>
      <c r="B27" s="38"/>
      <c r="C27" s="29" t="str">
        <f ca="1">IFERROR(__xludf.DUMMYFUNCTION("IF(ISBLANK(C26),"""",HLOOKUP(REGEXEXTRACT(C26,"".*-(.*)""),INDIRECT(CONCATENATE(REGEXEXTRACT(C26,""(.*)-.*""),""!C3:V"")),2,FALSE))"),"#REF!")</f>
        <v>#REF!</v>
      </c>
      <c r="D27" s="29" t="str">
        <f ca="1">IFERROR(__xludf.DUMMYFUNCTION("IF(ISBLANK(D26),"""",HLOOKUP(REGEXEXTRACT(D26,"".*-(.*)""),INDIRECT(CONCATENATE(REGEXEXTRACT(D26,""(.*)-.*""),""!C3:P"")),2,FALSE))"),"Deathblade")</f>
        <v>Deathblade</v>
      </c>
      <c r="E27" s="29" t="str">
        <f ca="1">IFERROR(__xludf.DUMMYFUNCTION("IF(ISBLANK(E26),"""",HLOOKUP(REGEXEXTRACT(E26,"".*-(.*)""),INDIRECT(CONCATENATE(REGEXEXTRACT(E26,""(.*)-.*""),""!C3:P"")),2,FALSE))"),"Wardancer")</f>
        <v>Wardancer</v>
      </c>
      <c r="F27" s="29" t="str">
        <f ca="1">IFERROR(__xludf.DUMMYFUNCTION("IF(ISBLANK(F26),"""",HLOOKUP(REGEXEXTRACT(F26,"".*-(.*)""),INDIRECT(CONCATENATE(REGEXEXTRACT(F26,""(.*)-.*""),""!C3:P"")),2,FALSE))"),"Artill")</f>
        <v>Artill</v>
      </c>
      <c r="H27" s="249"/>
      <c r="I27" s="39"/>
      <c r="J27" s="8" t="str">
        <f ca="1">IFERROR(__xludf.DUMMYFUNCTION("IF(ISBLANK(J26),"""",HLOOKUP(REGEXEXTRACT(J26,"".*-(.*)""),INDIRECT(CONCATENATE(REGEXEXTRACT(J26,""(.*)-.*""),""!C3:P"")),2,FALSE))"),"")</f>
        <v/>
      </c>
      <c r="K27" s="8" t="str">
        <f ca="1">IFERROR(__xludf.DUMMYFUNCTION("IF(ISBLANK(K26),"""",HLOOKUP(REGEXEXTRACT(K26,"".*-(.*)""),INDIRECT(CONCATENATE(REGEXEXTRACT(K26,""(.*)-.*""),""!C3:P"")),2,FALSE))"),"Sorceress")</f>
        <v>Sorceress</v>
      </c>
      <c r="L27" s="8" t="str">
        <f ca="1">IFERROR(__xludf.DUMMYFUNCTION("IF(ISBLANK(L26),"""",HLOOKUP(REGEXEXTRACT(L26,"".*-(.*)""),INDIRECT(CONCATENATE(REGEXEXTRACT(L26,""(.*)-.*""),""!C3:P"")),2,FALSE))"),"")</f>
        <v/>
      </c>
      <c r="M27" s="9" t="str">
        <f ca="1">IFERROR(__xludf.DUMMYFUNCTION("IF(ISBLANK(M26),"""",HLOOKUP(REGEXEXTRACT(M26,"".*-(.*)""),INDIRECT(CONCATENATE(REGEXEXTRACT(M26,""(.*)-.*""),""!C3:P"")),2,FALSE))"),"#REF!")</f>
        <v>#REF!</v>
      </c>
    </row>
    <row r="28" spans="1:13">
      <c r="A28" s="249"/>
      <c r="B28" s="40"/>
      <c r="C28" s="32" t="str">
        <f ca="1">IFERROR(__xludf.DUMMYFUNCTION("IF(ISBLANK(C26),"""",HLOOKUP(REGEXEXTRACT(C26,"".*-(.*)""),INDIRECT(CONCATENATE(REGEXEXTRACT(C26,""(.*)-.*""),""!C3:V"")),3,FALSE))"),"#REF!")</f>
        <v>#REF!</v>
      </c>
      <c r="D28" s="32">
        <f ca="1">IFERROR(__xludf.DUMMYFUNCTION("IF(ISBLANK(D26),"""",HLOOKUP(REGEXEXTRACT(D26,"".*-(.*)""),INDIRECT(CONCATENATE(REGEXEXTRACT(D26,""(.*)-.*""),""!C3:P"")),3,FALSE))"),1610)</f>
        <v>1610</v>
      </c>
      <c r="E28" s="32">
        <f ca="1">IFERROR(__xludf.DUMMYFUNCTION("IF(ISBLANK(E26),"""",HLOOKUP(REGEXEXTRACT(E26,"".*-(.*)""),INDIRECT(CONCATENATE(REGEXEXTRACT(E26,""(.*)-.*""),""!C3:P"")),3,FALSE))"),1620)</f>
        <v>1620</v>
      </c>
      <c r="F28" s="32">
        <f ca="1">IFERROR(__xludf.DUMMYFUNCTION("IF(ISBLANK(F26),"""",HLOOKUP(REGEXEXTRACT(F26,"".*-(.*)""),INDIRECT(CONCATENATE(REGEXEXTRACT(F26,""(.*)-.*""),""!C3:P"")),3,FALSE))"),1750)</f>
        <v>1750</v>
      </c>
      <c r="H28" s="249"/>
      <c r="I28" s="41"/>
      <c r="J28" s="10" t="str">
        <f ca="1">IFERROR(__xludf.DUMMYFUNCTION("IF(ISBLANK(J26),"""",HLOOKUP(REGEXEXTRACT(J26,"".*-(.*)""),INDIRECT(CONCATENATE(REGEXEXTRACT(J26,""(.*)-.*""),""!C3:P"")),3,FALSE))"),"")</f>
        <v/>
      </c>
      <c r="K28" s="10">
        <f ca="1">IFERROR(__xludf.DUMMYFUNCTION("IF(ISBLANK(K26),"""",HLOOKUP(REGEXEXTRACT(K26,"".*-(.*)""),INDIRECT(CONCATENATE(REGEXEXTRACT(K26,""(.*)-.*""),""!C3:P"")),3,FALSE))"),1600)</f>
        <v>1600</v>
      </c>
      <c r="L28" s="10" t="str">
        <f ca="1">IFERROR(__xludf.DUMMYFUNCTION("IF(ISBLANK(L26),"""",HLOOKUP(REGEXEXTRACT(L26,"".*-(.*)""),INDIRECT(CONCATENATE(REGEXEXTRACT(L26,""(.*)-.*""),""!C3:P"")),3,FALSE))"),"")</f>
        <v/>
      </c>
      <c r="M28" s="11" t="str">
        <f ca="1">IFERROR(__xludf.DUMMYFUNCTION("IF(ISBLANK(M26),"""",HLOOKUP(REGEXEXTRACT(M26,"".*-(.*)""),INDIRECT(CONCATENATE(REGEXEXTRACT(M26,""(.*)-.*""),""!C3:P"")),3,FALSE))"),"#REF!")</f>
        <v>#REF!</v>
      </c>
    </row>
    <row r="29" spans="1:13">
      <c r="I29" s="10"/>
      <c r="J29" s="10"/>
      <c r="K29" s="10"/>
      <c r="L29" s="10"/>
      <c r="M29" s="10"/>
    </row>
    <row r="30" spans="1:13">
      <c r="A30" s="248" t="s">
        <v>0</v>
      </c>
      <c r="B30" s="23" t="s">
        <v>46</v>
      </c>
      <c r="C30" s="24" t="s">
        <v>64</v>
      </c>
      <c r="D30" s="26"/>
      <c r="E30" s="25"/>
      <c r="F30" s="26" t="s">
        <v>67</v>
      </c>
      <c r="H30" s="248"/>
      <c r="I30" s="42" t="s">
        <v>71</v>
      </c>
      <c r="J30" s="43"/>
      <c r="K30" s="5" t="s">
        <v>72</v>
      </c>
      <c r="L30" s="44" t="s">
        <v>73</v>
      </c>
      <c r="M30" s="44" t="s">
        <v>8</v>
      </c>
    </row>
    <row r="31" spans="1:13">
      <c r="A31" s="249"/>
      <c r="B31" s="39"/>
      <c r="C31" s="29" t="str">
        <f ca="1">IFERROR(__xludf.DUMMYFUNCTION("IF(ISBLANK(C30),"""",HLOOKUP(REGEXEXTRACT(C30,"".*-(.*)""),INDIRECT(CONCATENATE(REGEXEXTRACT(C30,""(.*)-.*""),""!C3:Z"")),2,FALSE))"),"#REF!")</f>
        <v>#REF!</v>
      </c>
      <c r="D31" s="29" t="str">
        <f ca="1">IFERROR(__xludf.DUMMYFUNCTION("IF(ISBLANK(D30),"""",HLOOKUP(REGEXEXTRACT(D30,"".*-(.*)""),INDIRECT(CONCATENATE(REGEXEXTRACT(D30,""(.*)-.*""),""!C3:P"")),2,FALSE))"),"")</f>
        <v/>
      </c>
      <c r="E31" s="29" t="str">
        <f ca="1">IFERROR(__xludf.DUMMYFUNCTION("IF(ISBLANK(E30),"""",HLOOKUP(REGEXEXTRACT(E30,"".*-(.*)""),INDIRECT(CONCATENATE(REGEXEXTRACT(E30,""(.*)-.*""),""!C3:P"")),2,FALSE))"),"")</f>
        <v/>
      </c>
      <c r="F31" s="29" t="str">
        <f ca="1">IFERROR(__xludf.DUMMYFUNCTION("IF(ISBLANK(F30),"""",HLOOKUP(REGEXEXTRACT(F30,"".*-(.*)""),INDIRECT(CONCATENATE(REGEXEXTRACT(F30,""(.*)-.*""),""!C3:P"")),2,FALSE))"),"Bonk")</f>
        <v>Bonk</v>
      </c>
      <c r="H31" s="249"/>
      <c r="I31" s="39"/>
      <c r="J31" s="8" t="str">
        <f ca="1">IFERROR(__xludf.DUMMYFUNCTION("IF(ISBLANK(J30),"""",HLOOKUP(REGEXEXTRACT(J30,"".*-(.*)""),INDIRECT(CONCATENATE(REGEXEXTRACT(J30,""(.*)-.*""),""!C3:P"")),2,FALSE))"),"")</f>
        <v/>
      </c>
      <c r="K31" s="8" t="str">
        <f ca="1">IFERROR(__xludf.DUMMYFUNCTION("IF(ISBLANK(K30),"""",HLOOKUP(REGEXEXTRACT(K30,"".*-(.*)""),INDIRECT(CONCATENATE(REGEXEXTRACT(K30,""(.*)-.*""),""!C3:P"")),2,FALSE))"),"Artist")</f>
        <v>Artist</v>
      </c>
      <c r="L31" s="8" t="str">
        <f ca="1">IFERROR(__xludf.DUMMYFUNCTION("IF(ISBLANK(L30),"""",HLOOKUP(REGEXEXTRACT(L30,"".*-(.*)""),INDIRECT(CONCATENATE(REGEXEXTRACT(L30,""(.*)-.*""),""!C3:P"")),2,FALSE))"),"#REF!")</f>
        <v>#REF!</v>
      </c>
      <c r="M31" s="9" t="str">
        <f ca="1">IFERROR(__xludf.DUMMYFUNCTION("IF(ISBLANK(M30),"""",HLOOKUP(REGEXEXTRACT(M30,"".*-(.*)""),INDIRECT(CONCATENATE(REGEXEXTRACT(M30,""(.*)-.*""),""!C3:P"")),2,FALSE))"),"Deathblade")</f>
        <v>Deathblade</v>
      </c>
    </row>
    <row r="32" spans="1:13">
      <c r="A32" s="249"/>
      <c r="B32" s="41"/>
      <c r="C32" s="32" t="str">
        <f ca="1">IFERROR(__xludf.DUMMYFUNCTION("IF(ISBLANK(C30),"""",HLOOKUP(REGEXEXTRACT(C30,"".*-(.*)""),INDIRECT(CONCATENATE(REGEXEXTRACT(C30,""(.*)-.*""),""!C3:Z"")),3,FALSE))"),"#REF!")</f>
        <v>#REF!</v>
      </c>
      <c r="D32" s="32" t="str">
        <f ca="1">IFERROR(__xludf.DUMMYFUNCTION("IF(ISBLANK(D30),"""",HLOOKUP(REGEXEXTRACT(D30,"".*-(.*)""),INDIRECT(CONCATENATE(REGEXEXTRACT(D30,""(.*)-.*""),""!C3:P"")),3,FALSE))"),"")</f>
        <v/>
      </c>
      <c r="E32" s="32" t="str">
        <f ca="1">IFERROR(__xludf.DUMMYFUNCTION("IF(ISBLANK(E30),"""",HLOOKUP(REGEXEXTRACT(E30,"".*-(.*)""),INDIRECT(CONCATENATE(REGEXEXTRACT(E30,""(.*)-.*""),""!C3:P"")),3,FALSE))"),"")</f>
        <v/>
      </c>
      <c r="F32" s="32">
        <f ca="1">IFERROR(__xludf.DUMMYFUNCTION("IF(ISBLANK(F30),"""",HLOOKUP(REGEXEXTRACT(F30,"".*-(.*)""),INDIRECT(CONCATENATE(REGEXEXTRACT(F30,""(.*)-.*""),""!C3:P"")),3,FALSE))"),1750)</f>
        <v>1750</v>
      </c>
      <c r="H32" s="249"/>
      <c r="I32" s="41"/>
      <c r="J32" s="10" t="str">
        <f ca="1">IFERROR(__xludf.DUMMYFUNCTION("IF(ISBLANK(J30),"""",HLOOKUP(REGEXEXTRACT(J30,"".*-(.*)""),INDIRECT(CONCATENATE(REGEXEXTRACT(J30,""(.*)-.*""),""!C3:P"")),3,FALSE))"),"")</f>
        <v/>
      </c>
      <c r="K32" s="10">
        <f ca="1">IFERROR(__xludf.DUMMYFUNCTION("IF(ISBLANK(K30),"""",HLOOKUP(REGEXEXTRACT(K30,"".*-(.*)""),INDIRECT(CONCATENATE(REGEXEXTRACT(K30,""(.*)-.*""),""!C3:P"")),3,FALSE))"),1730)</f>
        <v>1730</v>
      </c>
      <c r="L32" s="10" t="str">
        <f ca="1">IFERROR(__xludf.DUMMYFUNCTION("IF(ISBLANK(L30),"""",HLOOKUP(REGEXEXTRACT(L30,"".*-(.*)""),INDIRECT(CONCATENATE(REGEXEXTRACT(L30,""(.*)-.*""),""!C3:P"")),3,FALSE))"),"#REF!")</f>
        <v>#REF!</v>
      </c>
      <c r="M32" s="11">
        <f ca="1">IFERROR(__xludf.DUMMYFUNCTION("IF(ISBLANK(M30),"""",HLOOKUP(REGEXEXTRACT(M30,"".*-(.*)""),INDIRECT(CONCATENATE(REGEXEXTRACT(M30,""(.*)-.*""),""!C3:P"")),3,FALSE))"),1600)</f>
        <v>1600</v>
      </c>
    </row>
    <row r="33" spans="1:13">
      <c r="B33" s="21"/>
      <c r="C33" s="21"/>
      <c r="D33" s="45"/>
      <c r="E33" s="45"/>
      <c r="F33" s="45"/>
      <c r="I33" s="22"/>
      <c r="J33" s="22"/>
      <c r="K33" s="22"/>
      <c r="L33" s="22"/>
      <c r="M33" s="22"/>
    </row>
    <row r="34" spans="1:13">
      <c r="A34" s="248" t="s">
        <v>0</v>
      </c>
      <c r="B34" s="23" t="s">
        <v>74</v>
      </c>
      <c r="C34" s="24" t="s">
        <v>52</v>
      </c>
      <c r="D34" s="25" t="s">
        <v>38</v>
      </c>
      <c r="E34" s="25" t="s">
        <v>75</v>
      </c>
      <c r="F34" s="26"/>
      <c r="H34" s="248"/>
      <c r="I34" s="3" t="s">
        <v>71</v>
      </c>
      <c r="J34" s="5"/>
      <c r="K34" s="5"/>
      <c r="L34" s="5"/>
      <c r="M34" s="5"/>
    </row>
    <row r="35" spans="1:13">
      <c r="A35" s="249"/>
      <c r="B35" s="13"/>
      <c r="C35" s="29" t="str">
        <f ca="1">IFERROR(__xludf.DUMMYFUNCTION("IF(ISBLANK(C34),"""",HLOOKUP(REGEXEXTRACT(C34,"".*-(.*)""),INDIRECT(CONCATENATE(REGEXEXTRACT(C34,""(.*)-.*""),""!C3:P"")),2,FALSE))"),"#REF!")</f>
        <v>#REF!</v>
      </c>
      <c r="D35" s="29" t="str">
        <f ca="1">IFERROR(__xludf.DUMMYFUNCTION("IF(ISBLANK(D34),"""",HLOOKUP(REGEXEXTRACT(D34,"".*-(.*)""),INDIRECT(CONCATENATE(REGEXEXTRACT(D34,""(.*)-.*""),""!C3:P"")),2,FALSE))"),"Gunslinger")</f>
        <v>Gunslinger</v>
      </c>
      <c r="E35" s="29" t="str">
        <f ca="1">IFERROR(__xludf.DUMMYFUNCTION("IF(ISBLANK(E34),"""",HLOOKUP(REGEXEXTRACT(E34,"".*-(.*)""),INDIRECT(CONCATENATE(REGEXEXTRACT(E34,""(.*)-.*""),""!C3:Z"")),2,FALSE))"),"Souleater")</f>
        <v>Souleater</v>
      </c>
      <c r="F35" s="34" t="str">
        <f ca="1">IFERROR(__xludf.DUMMYFUNCTION("IF(ISBLANK(F34),"""",HLOOKUP(REGEXEXTRACT(F34,"".*-(.*)""),INDIRECT(CONCATENATE(REGEXEXTRACT(F34,""(.*)-.*""),""!C3:P"")),2,FALSE))"),"")</f>
        <v/>
      </c>
      <c r="H35" s="249"/>
      <c r="I35" s="39"/>
      <c r="J35" s="8" t="str">
        <f ca="1">IFERROR(__xludf.DUMMYFUNCTION("IF(ISBLANK(J34),"""",HLOOKUP(REGEXEXTRACT(J34,"".*-(.*)""),INDIRECT(CONCATENATE(REGEXEXTRACT(J34,""(.*)-.*""),""!C3:P"")),2,FALSE))"),"")</f>
        <v/>
      </c>
      <c r="K35" s="8" t="str">
        <f ca="1">IFERROR(__xludf.DUMMYFUNCTION("IF(ISBLANK(K34),"""",HLOOKUP(REGEXEXTRACT(K34,"".*-(.*)""),INDIRECT(CONCATENATE(REGEXEXTRACT(K34,""(.*)-.*""),""!C3:P"")),2,FALSE))"),"")</f>
        <v/>
      </c>
      <c r="L35" s="8" t="str">
        <f ca="1">IFERROR(__xludf.DUMMYFUNCTION("IF(ISBLANK(L34),"""",HLOOKUP(REGEXEXTRACT(L34,"".*-(.*)""),INDIRECT(CONCATENATE(REGEXEXTRACT(L34,""(.*)-.*""),""!C3:P"")),2,FALSE))"),"")</f>
        <v/>
      </c>
      <c r="M35" s="9" t="str">
        <f ca="1">IFERROR(__xludf.DUMMYFUNCTION("IF(ISBLANK(M34),"""",HLOOKUP(REGEXEXTRACT(M34,"".*-(.*)""),INDIRECT(CONCATENATE(REGEXEXTRACT(M34,""(.*)-.*""),""!C3:P"")),2,FALSE))"),"")</f>
        <v/>
      </c>
    </row>
    <row r="36" spans="1:13">
      <c r="A36" s="249"/>
      <c r="B36" s="14"/>
      <c r="C36" s="32" t="str">
        <f ca="1">IFERROR(__xludf.DUMMYFUNCTION("IF(ISBLANK(C34),"""",HLOOKUP(REGEXEXTRACT(C34,"".*-(.*)""),INDIRECT(CONCATENATE(REGEXEXTRACT(C34,""(.*)-.*""),""!C3:P"")),3,FALSE))"),"#REF!")</f>
        <v>#REF!</v>
      </c>
      <c r="D36" s="32">
        <f ca="1">IFERROR(__xludf.DUMMYFUNCTION("IF(ISBLANK(D34),"""",HLOOKUP(REGEXEXTRACT(D34,"".*-(.*)""),INDIRECT(CONCATENATE(REGEXEXTRACT(D34,""(.*)-.*""),""!C3:P"")),3,FALSE))"),1600)</f>
        <v>1600</v>
      </c>
      <c r="E36" s="32">
        <f ca="1">IFERROR(__xludf.DUMMYFUNCTION("IF(ISBLANK(E34),"""",HLOOKUP(REGEXEXTRACT(E34,"".*-(.*)""),INDIRECT(CONCATENATE(REGEXEXTRACT(E34,""(.*)-.*""),""!C3:Z"")),3,FALSE))"),1640)</f>
        <v>1640</v>
      </c>
      <c r="F36" s="35" t="str">
        <f ca="1">IFERROR(__xludf.DUMMYFUNCTION("IF(ISBLANK(F34),"""",HLOOKUP(REGEXEXTRACT(F34,"".*-(.*)""),INDIRECT(CONCATENATE(REGEXEXTRACT(F34,""(.*)-.*""),""!C3:P"")),3,FALSE))"),"")</f>
        <v/>
      </c>
      <c r="H36" s="249"/>
      <c r="I36" s="41"/>
      <c r="J36" s="10" t="str">
        <f ca="1">IFERROR(__xludf.DUMMYFUNCTION("IF(ISBLANK(J34),"""",HLOOKUP(REGEXEXTRACT(J34,"".*-(.*)""),INDIRECT(CONCATENATE(REGEXEXTRACT(J34,""(.*)-.*""),""!C3:P"")),3,FALSE))"),"")</f>
        <v/>
      </c>
      <c r="K36" s="10" t="str">
        <f ca="1">IFERROR(__xludf.DUMMYFUNCTION("IF(ISBLANK(K34),"""",HLOOKUP(REGEXEXTRACT(K34,"".*-(.*)""),INDIRECT(CONCATENATE(REGEXEXTRACT(K34,""(.*)-.*""),""!C3:P"")),3,FALSE))"),"")</f>
        <v/>
      </c>
      <c r="L36" s="10" t="str">
        <f ca="1">IFERROR(__xludf.DUMMYFUNCTION("IF(ISBLANK(L34),"""",HLOOKUP(REGEXEXTRACT(L34,"".*-(.*)""),INDIRECT(CONCATENATE(REGEXEXTRACT(L34,""(.*)-.*""),""!C3:P"")),3,FALSE))"),"")</f>
        <v/>
      </c>
      <c r="M36" s="11" t="str">
        <f ca="1">IFERROR(__xludf.DUMMYFUNCTION("IF(ISBLANK(M34),"""",HLOOKUP(REGEXEXTRACT(M34,"".*-(.*)""),INDIRECT(CONCATENATE(REGEXEXTRACT(M34,""(.*)-.*""),""!C3:P"")),3,FALSE))"),"")</f>
        <v/>
      </c>
    </row>
    <row r="38" spans="1:13">
      <c r="A38" s="248" t="s">
        <v>0</v>
      </c>
      <c r="B38" s="23" t="s">
        <v>74</v>
      </c>
      <c r="C38" s="25" t="s">
        <v>76</v>
      </c>
      <c r="D38" s="25" t="s">
        <v>77</v>
      </c>
      <c r="E38" s="25" t="s">
        <v>66</v>
      </c>
      <c r="F38" s="26" t="s">
        <v>50</v>
      </c>
      <c r="H38" s="248"/>
      <c r="I38" s="3" t="s">
        <v>71</v>
      </c>
      <c r="J38" s="5"/>
      <c r="K38" s="5"/>
      <c r="L38" s="5"/>
      <c r="M38" s="5"/>
    </row>
    <row r="39" spans="1:13">
      <c r="A39" s="249"/>
      <c r="B39" s="46"/>
      <c r="C39" s="29" t="str">
        <f ca="1">IFERROR(__xludf.DUMMYFUNCTION("IF(ISBLANK(C38),"""",HLOOKUP(REGEXEXTRACT(C38,"".*-(.*)""),INDIRECT(CONCATENATE(REGEXEXTRACT(C38,""(.*)-.*""),""!C3:V"")),2,FALSE))"),"Gunlancer")</f>
        <v>Gunlancer</v>
      </c>
      <c r="D39" s="29" t="str">
        <f ca="1">IFERROR(__xludf.DUMMYFUNCTION("IF(ISBLANK(D38),"""",HLOOKUP(REGEXEXTRACT(D38,"".*-(.*)""),INDIRECT(CONCATENATE(REGEXEXTRACT(D38,""(.*)-.*""),""!C3:P"")),2,FALSE))"),"Bard")</f>
        <v>Bard</v>
      </c>
      <c r="E39" s="29" t="str">
        <f ca="1">IFERROR(__xludf.DUMMYFUNCTION("IF(ISBLANK(E38),"""",HLOOKUP(REGEXEXTRACT(E38,"".*-(.*)""),INDIRECT(CONCATENATE(REGEXEXTRACT(E38,""(.*)-.*""),""!C3:P"")),2,FALSE))"),"Aeromancer")</f>
        <v>Aeromancer</v>
      </c>
      <c r="F39" s="34" t="str">
        <f ca="1">IFERROR(__xludf.DUMMYFUNCTION("IF(ISBLANK(F38),"""",HLOOKUP(REGEXEXTRACT(F38,"".*-(.*)""),INDIRECT(CONCATENATE(REGEXEXTRACT(F38,""(.*)-.*""),""!C3:P"")),2,FALSE))"),"Slayer")</f>
        <v>Slayer</v>
      </c>
      <c r="H39" s="249"/>
      <c r="I39" s="39"/>
      <c r="J39" s="8" t="str">
        <f ca="1">IFERROR(__xludf.DUMMYFUNCTION("IF(ISBLANK(J38),"""",HLOOKUP(REGEXEXTRACT(J38,"".*-(.*)""),INDIRECT(CONCATENATE(REGEXEXTRACT(J38,""(.*)-.*""),""!C3:P"")),2,FALSE))"),"")</f>
        <v/>
      </c>
      <c r="K39" s="8" t="str">
        <f ca="1">IFERROR(__xludf.DUMMYFUNCTION("IF(ISBLANK(K38),"""",HLOOKUP(REGEXEXTRACT(K38,"".*-(.*)""),INDIRECT(CONCATENATE(REGEXEXTRACT(K38,""(.*)-.*""),""!C3:P"")),2,FALSE))"),"")</f>
        <v/>
      </c>
      <c r="L39" s="8" t="str">
        <f ca="1">IFERROR(__xludf.DUMMYFUNCTION("IF(ISBLANK(L38),"""",HLOOKUP(REGEXEXTRACT(L38,"".*-(.*)""),INDIRECT(CONCATENATE(REGEXEXTRACT(L38,""(.*)-.*""),""!C3:P"")),2,FALSE))"),"")</f>
        <v/>
      </c>
      <c r="M39" s="9" t="str">
        <f ca="1">IFERROR(__xludf.DUMMYFUNCTION("IF(ISBLANK(M38),"""",HLOOKUP(REGEXEXTRACT(M38,"".*-(.*)""),INDIRECT(CONCATENATE(REGEXEXTRACT(M38,""(.*)-.*""),""!C3:P"")),2,FALSE))"),"")</f>
        <v/>
      </c>
    </row>
    <row r="40" spans="1:13">
      <c r="A40" s="249"/>
      <c r="B40" s="47"/>
      <c r="C40" s="32">
        <f ca="1">IFERROR(__xludf.DUMMYFUNCTION("IF(ISBLANK(C38),"""",HLOOKUP(REGEXEXTRACT(C38,"".*-(.*)""),INDIRECT(CONCATENATE(REGEXEXTRACT(C38,""(.*)-.*""),""!C3:V"")),3,FALSE))"),1600.83)</f>
        <v>1600.83</v>
      </c>
      <c r="D40" s="32">
        <f ca="1">IFERROR(__xludf.DUMMYFUNCTION("IF(ISBLANK(D38),"""",HLOOKUP(REGEXEXTRACT(D38,"".*-(.*)""),INDIRECT(CONCATENATE(REGEXEXTRACT(D38,""(.*)-.*""),""!C3:P"")),3,FALSE))"),1670)</f>
        <v>1670</v>
      </c>
      <c r="E40" s="32">
        <f ca="1">IFERROR(__xludf.DUMMYFUNCTION("IF(ISBLANK(E38),"""",HLOOKUP(REGEXEXTRACT(E38,"".*-(.*)""),INDIRECT(CONCATENATE(REGEXEXTRACT(E38,""(.*)-.*""),""!C3:P"")),3,FALSE))"),1730)</f>
        <v>1730</v>
      </c>
      <c r="F40" s="35">
        <f ca="1">IFERROR(__xludf.DUMMYFUNCTION("IF(ISBLANK(F38),"""",HLOOKUP(REGEXEXTRACT(F38,"".*-(.*)""),INDIRECT(CONCATENATE(REGEXEXTRACT(F38,""(.*)-.*""),""!C3:P"")),3,FALSE))"),1610)</f>
        <v>1610</v>
      </c>
      <c r="H40" s="249"/>
      <c r="I40" s="41"/>
      <c r="J40" s="10" t="str">
        <f ca="1">IFERROR(__xludf.DUMMYFUNCTION("IF(ISBLANK(J38),"""",HLOOKUP(REGEXEXTRACT(J38,"".*-(.*)""),INDIRECT(CONCATENATE(REGEXEXTRACT(J38,""(.*)-.*""),""!C3:P"")),3,FALSE))"),"")</f>
        <v/>
      </c>
      <c r="K40" s="10" t="str">
        <f ca="1">IFERROR(__xludf.DUMMYFUNCTION("IF(ISBLANK(K38),"""",HLOOKUP(REGEXEXTRACT(K38,"".*-(.*)""),INDIRECT(CONCATENATE(REGEXEXTRACT(K38,""(.*)-.*""),""!C3:P"")),3,FALSE))"),"")</f>
        <v/>
      </c>
      <c r="L40" s="10" t="str">
        <f ca="1">IFERROR(__xludf.DUMMYFUNCTION("IF(ISBLANK(L38),"""",HLOOKUP(REGEXEXTRACT(L38,"".*-(.*)""),INDIRECT(CONCATENATE(REGEXEXTRACT(L38,""(.*)-.*""),""!C3:P"")),3,FALSE))"),"")</f>
        <v/>
      </c>
      <c r="M40" s="11" t="str">
        <f ca="1">IFERROR(__xludf.DUMMYFUNCTION("IF(ISBLANK(M38),"""",HLOOKUP(REGEXEXTRACT(M38,"".*-(.*)""),INDIRECT(CONCATENATE(REGEXEXTRACT(M38,""(.*)-.*""),""!C3:P"")),3,FALSE))"),"")</f>
        <v/>
      </c>
    </row>
    <row r="42" spans="1:13">
      <c r="A42" s="246"/>
    </row>
    <row r="43" spans="1:13" ht="15.75" customHeight="1">
      <c r="A43" s="247"/>
    </row>
    <row r="44" spans="1:13" ht="15.75" customHeight="1">
      <c r="A44" s="247"/>
    </row>
    <row r="46" spans="1:13">
      <c r="A46" s="246"/>
    </row>
    <row r="47" spans="1:13" ht="15.75" customHeight="1">
      <c r="A47" s="247"/>
    </row>
    <row r="48" spans="1:13" ht="15.75" customHeight="1">
      <c r="A48" s="247"/>
    </row>
  </sheetData>
  <mergeCells count="22">
    <mergeCell ref="A42:A44"/>
    <mergeCell ref="A46:A48"/>
    <mergeCell ref="A14:A16"/>
    <mergeCell ref="A18:A20"/>
    <mergeCell ref="A22:A24"/>
    <mergeCell ref="A26:A28"/>
    <mergeCell ref="A30:A32"/>
    <mergeCell ref="A34:A36"/>
    <mergeCell ref="A38:A40"/>
    <mergeCell ref="H38:H40"/>
    <mergeCell ref="A2:A4"/>
    <mergeCell ref="H2:H4"/>
    <mergeCell ref="A6:A8"/>
    <mergeCell ref="H6:H8"/>
    <mergeCell ref="A10:A12"/>
    <mergeCell ref="H10:H12"/>
    <mergeCell ref="H14:H16"/>
    <mergeCell ref="H18:H20"/>
    <mergeCell ref="H22:H24"/>
    <mergeCell ref="H26:H28"/>
    <mergeCell ref="H30:H32"/>
    <mergeCell ref="H34:H36"/>
  </mergeCells>
  <conditionalFormatting sqref="H2:H12 A2:A48 H14:H16 H18:H20 H22:H24 H26:H45 B33 B37 B41 B45">
    <cfRule type="cellIs" dxfId="21" priority="1" operator="equal">
      <formula>"DONE"</formula>
    </cfRule>
  </conditionalFormatting>
  <printOptions horizontalCentered="1" gridLines="1"/>
  <pageMargins left="0.7" right="0.7" top="0.75" bottom="0.75" header="0" footer="0"/>
  <pageSetup fitToHeight="0" pageOrder="overThenDown" orientation="portrait" cellComments="atEnd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chars!$B$2:$Z904</xm:f>
          </x14:formula1>
          <xm:sqref>C2:F2 J2:M2 C6:F6 J6:M6 C10:F10 J10:M10 C14:F14 J14:M14 C18:F18 J18:M18 C22:F22 J22:M22 C26:F26 J26:M26 C30:F30 J30:M30 C34:F34 J34:M34 C38:F38 J38:M38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4:N30"/>
  <sheetViews>
    <sheetView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8.140625" hidden="1" customWidth="1"/>
    <col min="8" max="9" width="13.5703125" customWidth="1"/>
    <col min="10" max="13" width="18.140625" customWidth="1"/>
  </cols>
  <sheetData>
    <row r="4" spans="1:14">
      <c r="A4" s="251" t="s">
        <v>0</v>
      </c>
      <c r="B4" s="64" t="s">
        <v>134</v>
      </c>
      <c r="C4" s="51" t="s">
        <v>39</v>
      </c>
      <c r="D4" s="52" t="s">
        <v>4</v>
      </c>
      <c r="E4" s="52" t="s">
        <v>60</v>
      </c>
      <c r="F4" s="53" t="s">
        <v>114</v>
      </c>
      <c r="H4" s="251" t="s">
        <v>0</v>
      </c>
      <c r="I4" s="65" t="s">
        <v>134</v>
      </c>
      <c r="J4" s="51" t="s">
        <v>127</v>
      </c>
      <c r="K4" s="52" t="s">
        <v>112</v>
      </c>
      <c r="L4" s="52" t="s">
        <v>113</v>
      </c>
      <c r="M4" s="53" t="s">
        <v>130</v>
      </c>
    </row>
    <row r="5" spans="1:14">
      <c r="A5" s="247"/>
      <c r="B5" s="66" t="s">
        <v>135</v>
      </c>
      <c r="C5" s="55" t="str">
        <f ca="1">IFERROR(__xludf.DUMMYFUNCTION("IF(ISBLANK(C4),"""",HLOOKUP(REGEXEXTRACT(C4,"".*-(.*)""),INDIRECT(CONCATENATE(REGEXEXTRACT(C4,""(.*)-.*""),""!C3:V"")),2,FALSE))"),"Summoner")</f>
        <v>Summoner</v>
      </c>
      <c r="D5" s="55" t="str">
        <f ca="1">IFERROR(__xludf.DUMMYFUNCTION("IF(ISBLANK(D4),"""",HLOOKUP(REGEXEXTRACT(D4,"".*-(.*)""),INDIRECT(CONCATENATE(REGEXEXTRACT(D4,""(.*)-.*""),""!C3:V"")),2,FALSE))"),"Gunslinger")</f>
        <v>Gunslinger</v>
      </c>
      <c r="E5" s="55" t="str">
        <f ca="1">IFERROR(__xludf.DUMMYFUNCTION("IF(ISBLANK(E4),"""",HLOOKUP(REGEXEXTRACT(E4,"".*-(.*)""),INDIRECT(CONCATENATE(REGEXEXTRACT(E4,""(.*)-.*""),""!C3:V"")),2,FALSE))"),"BREAKER")</f>
        <v>BREAKER</v>
      </c>
      <c r="F5" s="57" t="str">
        <f ca="1">IFERROR(__xludf.DUMMYFUNCTION("IF(ISBLANK(F4),"""",HLOOKUP(REGEXEXTRACT(F4,"".*-(.*)""),INDIRECT(CONCATENATE(REGEXEXTRACT(F4,""(.*)-.*""),""!C3:V"")),2,FALSE))"),"Artist")</f>
        <v>Artist</v>
      </c>
      <c r="H5" s="247"/>
      <c r="I5" s="67" t="s">
        <v>136</v>
      </c>
      <c r="J5" s="55" t="str">
        <f ca="1">IFERROR(__xludf.DUMMYFUNCTION("IF(ISBLANK(J4),"""",HLOOKUP(REGEXEXTRACT(J4,"".*-(.*)""),INDIRECT(CONCATENATE(REGEXEXTRACT(J4,""(.*)-.*""),""!C3:V"")),2,FALSE))"),"Shadowhunter")</f>
        <v>Shadowhunter</v>
      </c>
      <c r="K5" s="55" t="str">
        <f ca="1">IFERROR(__xludf.DUMMYFUNCTION("IF(ISBLANK(K4),"""",HLOOKUP(REGEXEXTRACT(K4,"".*-(.*)""),INDIRECT(CONCATENATE(REGEXEXTRACT(K4,""(.*)-.*""),""!C3:V"")),2,FALSE))"),"Slayer")</f>
        <v>Slayer</v>
      </c>
      <c r="L5" s="55" t="str">
        <f ca="1">IFERROR(__xludf.DUMMYFUNCTION("IF(ISBLANK(L4),"""",HLOOKUP(REGEXEXTRACT(L4,"".*-(.*)""),INDIRECT(CONCATENATE(REGEXEXTRACT(L4,""(.*)-.*""),""!C3:V"")),2,FALSE))"),"Scrapper")</f>
        <v>Scrapper</v>
      </c>
      <c r="M5" s="57" t="str">
        <f ca="1">IFERROR(__xludf.DUMMYFUNCTION("IF(ISBLANK(M4),"""",HLOOKUP(REGEXEXTRACT(M4,"".*-(.*)""),INDIRECT(CONCATENATE(REGEXEXTRACT(M4,""(.*)-.*""),""!C3:V"")),2,FALSE))"),"Bard")</f>
        <v>Bard</v>
      </c>
    </row>
    <row r="6" spans="1:14">
      <c r="A6" s="247"/>
      <c r="B6" s="68"/>
      <c r="C6" s="59">
        <f ca="1">IFERROR(__xludf.DUMMYFUNCTION("IF(ISBLANK(C4),"""",HLOOKUP(REGEXEXTRACT(C4,"".*-(.*)""),INDIRECT(CONCATENATE(REGEXEXTRACT(C4,""(.*)-.*""),""!C3:V"")),3,FALSE))"),1750)</f>
        <v>1750</v>
      </c>
      <c r="D6" s="59">
        <f ca="1">IFERROR(__xludf.DUMMYFUNCTION("IF(ISBLANK(D4),"""",HLOOKUP(REGEXEXTRACT(D4,"".*-(.*)""),INDIRECT(CONCATENATE(REGEXEXTRACT(D4,""(.*)-.*""),""!C3:V"")),3,FALSE))"),1750)</f>
        <v>1750</v>
      </c>
      <c r="E6" s="59">
        <f ca="1">IFERROR(__xludf.DUMMYFUNCTION("IF(ISBLANK(E4),"""",HLOOKUP(REGEXEXTRACT(E4,"".*-(.*)""),INDIRECT(CONCATENATE(REGEXEXTRACT(E4,""(.*)-.*""),""!C3:V"")),3,FALSE))"),1750)</f>
        <v>1750</v>
      </c>
      <c r="F6" s="61">
        <f ca="1">IFERROR(__xludf.DUMMYFUNCTION("IF(ISBLANK(F4),"""",HLOOKUP(REGEXEXTRACT(F4,"".*-(.*)""),INDIRECT(CONCATENATE(REGEXEXTRACT(F4,""(.*)-.*""),""!C3:V"")),3,FALSE))"),1750)</f>
        <v>1750</v>
      </c>
      <c r="H6" s="247"/>
      <c r="I6" s="69"/>
      <c r="J6" s="59">
        <f ca="1">IFERROR(__xludf.DUMMYFUNCTION("IF(ISBLANK(J4),"""",HLOOKUP(REGEXEXTRACT(J4,"".*-(.*)""),INDIRECT(CONCATENATE(REGEXEXTRACT(J4,""(.*)-.*""),""!C3:V"")),3,FALSE))"),1750)</f>
        <v>1750</v>
      </c>
      <c r="K6" s="59">
        <f ca="1">IFERROR(__xludf.DUMMYFUNCTION("IF(ISBLANK(K4),"""",HLOOKUP(REGEXEXTRACT(K4,"".*-(.*)""),INDIRECT(CONCATENATE(REGEXEXTRACT(K4,""(.*)-.*""),""!C3:V"")),3,FALSE))"),1750)</f>
        <v>1750</v>
      </c>
      <c r="L6" s="59">
        <f ca="1">IFERROR(__xludf.DUMMYFUNCTION("IF(ISBLANK(L4),"""",HLOOKUP(REGEXEXTRACT(L4,"".*-(.*)""),INDIRECT(CONCATENATE(REGEXEXTRACT(L4,""(.*)-.*""),""!C3:V"")),3,FALSE))"),1700)</f>
        <v>1700</v>
      </c>
      <c r="M6" s="61">
        <f ca="1">IFERROR(__xludf.DUMMYFUNCTION("IF(ISBLANK(M4),"""",HLOOKUP(REGEXEXTRACT(M4,"".*-(.*)""),INDIRECT(CONCATENATE(REGEXEXTRACT(M4,""(.*)-.*""),""!C3:V"")),3,FALSE))"),1750)</f>
        <v>1750</v>
      </c>
    </row>
    <row r="8" spans="1:14">
      <c r="A8" s="251" t="s">
        <v>0</v>
      </c>
      <c r="B8" s="70" t="s">
        <v>134</v>
      </c>
      <c r="C8" s="51" t="s">
        <v>27</v>
      </c>
      <c r="D8" s="52" t="s">
        <v>100</v>
      </c>
      <c r="E8" s="52" t="s">
        <v>124</v>
      </c>
      <c r="F8" s="53" t="s">
        <v>118</v>
      </c>
      <c r="H8" s="252"/>
    </row>
    <row r="9" spans="1:14">
      <c r="A9" s="247"/>
      <c r="B9" s="71" t="s">
        <v>137</v>
      </c>
      <c r="C9" s="55" t="str">
        <f ca="1">IFERROR(__xludf.DUMMYFUNCTION("IF(ISBLANK(C8),"""",HLOOKUP(REGEXEXTRACT(C8,"".*-(.*)""),INDIRECT(CONCATENATE(REGEXEXTRACT(C8,""(.*)-.*""),""!C3:V"")),2,FALSE))"),"Guardianknight")</f>
        <v>Guardianknight</v>
      </c>
      <c r="D9" s="55" t="str">
        <f ca="1">IFERROR(__xludf.DUMMYFUNCTION("IF(ISBLANK(D8),"""",HLOOKUP(REGEXEXTRACT(D8,"".*-(.*)""),INDIRECT(CONCATENATE(REGEXEXTRACT(D8,""(.*)-.*""),""!C3:V"")),2,FALSE))"),"Glaivier")</f>
        <v>Glaivier</v>
      </c>
      <c r="E9" s="55" t="str">
        <f ca="1">IFERROR(__xludf.DUMMYFUNCTION("IF(ISBLANK(E8),"""",HLOOKUP(REGEXEXTRACT(E8,"".*-(.*)""),INDIRECT(CONCATENATE(REGEXEXTRACT(E8,""(.*)-.*""),""!C3:V"")),2,FALSE))"),"Valk")</f>
        <v>Valk</v>
      </c>
      <c r="F9" s="57" t="str">
        <f ca="1">IFERROR(__xludf.DUMMYFUNCTION("IF(ISBLANK(F8),"""",HLOOKUP(REGEXEXTRACT(F8,"".*-(.*)""),INDIRECT(CONCATENATE(REGEXEXTRACT(F8,""(.*)-.*""),""!C3:V"")),2,FALSE))"),"Valk")</f>
        <v>Valk</v>
      </c>
      <c r="H9" s="247"/>
    </row>
    <row r="10" spans="1:14">
      <c r="A10" s="247"/>
      <c r="B10" s="72"/>
      <c r="C10" s="59">
        <f ca="1">IFERROR(__xludf.DUMMYFUNCTION("IF(ISBLANK(C8),"""",HLOOKUP(REGEXEXTRACT(C8,"".*-(.*)""),INDIRECT(CONCATENATE(REGEXEXTRACT(C8,""(.*)-.*""),""!C3:V"")),3,FALSE))"),1750)</f>
        <v>1750</v>
      </c>
      <c r="D10" s="59">
        <f ca="1">IFERROR(__xludf.DUMMYFUNCTION("IF(ISBLANK(D8),"""",HLOOKUP(REGEXEXTRACT(D8,"".*-(.*)""),INDIRECT(CONCATENATE(REGEXEXTRACT(D8,""(.*)-.*""),""!C3:V"")),3,FALSE))"),1750)</f>
        <v>1750</v>
      </c>
      <c r="E10" s="59">
        <f ca="1">IFERROR(__xludf.DUMMYFUNCTION("IF(ISBLANK(E8),"""",HLOOKUP(REGEXEXTRACT(E8,"".*-(.*)""),INDIRECT(CONCATENATE(REGEXEXTRACT(E8,""(.*)-.*""),""!C3:V"")),3,FALSE))"),1750)</f>
        <v>1750</v>
      </c>
      <c r="F10" s="61">
        <f ca="1">IFERROR(__xludf.DUMMYFUNCTION("IF(ISBLANK(F8),"""",HLOOKUP(REGEXEXTRACT(F8,"".*-(.*)""),INDIRECT(CONCATENATE(REGEXEXTRACT(F8,""(.*)-.*""),""!C3:V"")),3,FALSE))"),1750)</f>
        <v>1750</v>
      </c>
      <c r="H10" s="247"/>
    </row>
    <row r="11" spans="1:14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4">
      <c r="A12" s="251" t="s">
        <v>0</v>
      </c>
      <c r="B12" s="64" t="s">
        <v>138</v>
      </c>
      <c r="C12" s="51" t="s">
        <v>30</v>
      </c>
      <c r="D12" s="52" t="s">
        <v>110</v>
      </c>
      <c r="E12" s="52" t="s">
        <v>67</v>
      </c>
      <c r="F12" s="53" t="s">
        <v>119</v>
      </c>
      <c r="H12" s="251"/>
      <c r="I12" s="74" t="s">
        <v>138</v>
      </c>
      <c r="J12" s="51" t="s">
        <v>139</v>
      </c>
      <c r="K12" s="52" t="s">
        <v>12</v>
      </c>
      <c r="L12" s="52" t="s">
        <v>86</v>
      </c>
      <c r="M12" s="53" t="s">
        <v>109</v>
      </c>
    </row>
    <row r="13" spans="1:14">
      <c r="A13" s="247"/>
      <c r="B13" s="66" t="s">
        <v>137</v>
      </c>
      <c r="C13" s="55" t="str">
        <f ca="1">IFERROR(__xludf.DUMMYFUNCTION("IF(ISBLANK(C12),"""",HLOOKUP(REGEXEXTRACT(C12,"".*-(.*)""),INDIRECT(CONCATENATE(REGEXEXTRACT(C12,""(.*)-.*""),""!C3:V"")),2,FALSE))"),"Soulfist")</f>
        <v>Soulfist</v>
      </c>
      <c r="D13" s="55" t="str">
        <f ca="1">IFERROR(__xludf.DUMMYFUNCTION("IF(ISBLANK(D12),"""",HLOOKUP(REGEXEXTRACT(D12,"".*-(.*)""),INDIRECT(CONCATENATE(REGEXEXTRACT(D12,""(.*)-.*""),""!C3:V"")),2,FALSE))"),"Souleater")</f>
        <v>Souleater</v>
      </c>
      <c r="E13" s="55" t="str">
        <f ca="1">IFERROR(__xludf.DUMMYFUNCTION("IF(ISBLANK(E12),"""",HLOOKUP(REGEXEXTRACT(E12,"".*-(.*)""),INDIRECT(CONCATENATE(REGEXEXTRACT(E12,""(.*)-.*""),""!C3:V"")),2,FALSE))"),"Bonk")</f>
        <v>Bonk</v>
      </c>
      <c r="F13" s="57" t="str">
        <f ca="1">IFERROR(__xludf.DUMMYFUNCTION("IF(ISBLANK(F12),"""",HLOOKUP(REGEXEXTRACT(F12,"".*-(.*)""),INDIRECT(CONCATENATE(REGEXEXTRACT(F12,""(.*)-.*""),""!C3:V"")),2,FALSE))"),"Artist")</f>
        <v>Artist</v>
      </c>
      <c r="H13" s="247"/>
      <c r="I13" s="75" t="s">
        <v>137</v>
      </c>
      <c r="J13" s="55" t="str">
        <f ca="1">IFERROR(__xludf.DUMMYFUNCTION("IF(ISBLANK(J12),"""",HLOOKUP(REGEXEXTRACT(J12,"".*-(.*)""),INDIRECT(CONCATENATE(REGEXEXTRACT(J12,""(.*)-.*""),""!C3:V"")),2,FALSE))"),"Souleater")</f>
        <v>Souleater</v>
      </c>
      <c r="K13" s="55" t="str">
        <f ca="1">IFERROR(__xludf.DUMMYFUNCTION("IF(ISBLANK(K12),"""",HLOOKUP(REGEXEXTRACT(K12,"".*-(.*)""),INDIRECT(CONCATENATE(REGEXEXTRACT(K12,""(.*)-.*""),""!C3:V"")),2,FALSE))"),"Sorceress")</f>
        <v>Sorceress</v>
      </c>
      <c r="L13" s="55" t="s">
        <v>131</v>
      </c>
      <c r="M13" s="57" t="str">
        <f ca="1">IFERROR(__xludf.DUMMYFUNCTION("IF(ISBLANK(M12),"""",HLOOKUP(REGEXEXTRACT(M12,"".*-(.*)""),INDIRECT(CONCATENATE(REGEXEXTRACT(M12,""(.*)-.*""),""!C3:V"")),2,FALSE))"),"Valk")</f>
        <v>Valk</v>
      </c>
    </row>
    <row r="14" spans="1:14">
      <c r="A14" s="247"/>
      <c r="B14" s="68"/>
      <c r="C14" s="59">
        <f ca="1">IFERROR(__xludf.DUMMYFUNCTION("IF(ISBLANK(C12),"""",HLOOKUP(REGEXEXTRACT(C12,"".*-(.*)""),INDIRECT(CONCATENATE(REGEXEXTRACT(C12,""(.*)-.*""),""!C3:V"")),3,FALSE))"),1750)</f>
        <v>1750</v>
      </c>
      <c r="D14" s="59">
        <f ca="1">IFERROR(__xludf.DUMMYFUNCTION("IF(ISBLANK(D12),"""",HLOOKUP(REGEXEXTRACT(D12,"".*-(.*)""),INDIRECT(CONCATENATE(REGEXEXTRACT(D12,""(.*)-.*""),""!C3:V"")),3,FALSE))"),1750)</f>
        <v>1750</v>
      </c>
      <c r="E14" s="59">
        <f ca="1">IFERROR(__xludf.DUMMYFUNCTION("IF(ISBLANK(E12),"""",HLOOKUP(REGEXEXTRACT(E12,"".*-(.*)""),INDIRECT(CONCATENATE(REGEXEXTRACT(E12,""(.*)-.*""),""!C3:V"")),3,FALSE))"),1750)</f>
        <v>1750</v>
      </c>
      <c r="F14" s="61">
        <f ca="1">IFERROR(__xludf.DUMMYFUNCTION("IF(ISBLANK(F12),"""",HLOOKUP(REGEXEXTRACT(F12,"".*-(.*)""),INDIRECT(CONCATENATE(REGEXEXTRACT(F12,""(.*)-.*""),""!C3:V"")),3,FALSE))"),1750)</f>
        <v>1750</v>
      </c>
      <c r="H14" s="247"/>
      <c r="I14" s="76"/>
      <c r="J14" s="59">
        <f ca="1">IFERROR(__xludf.DUMMYFUNCTION("IF(ISBLANK(J12),"""",HLOOKUP(REGEXEXTRACT(J12,"".*-(.*)""),INDIRECT(CONCATENATE(REGEXEXTRACT(J12,""(.*)-.*""),""!C3:V"")),3,FALSE))"),1750)</f>
        <v>1750</v>
      </c>
      <c r="K14" s="59">
        <f ca="1">IFERROR(__xludf.DUMMYFUNCTION("IF(ISBLANK(K12),"""",HLOOKUP(REGEXEXTRACT(K12,"".*-(.*)""),INDIRECT(CONCATENATE(REGEXEXTRACT(K12,""(.*)-.*""),""!C3:V"")),3,FALSE))"),1750)</f>
        <v>1750</v>
      </c>
      <c r="L14" s="59"/>
      <c r="M14" s="61">
        <f ca="1">IFERROR(__xludf.DUMMYFUNCTION("IF(ISBLANK(M12),"""",HLOOKUP(REGEXEXTRACT(M12,"".*-(.*)""),INDIRECT(CONCATENATE(REGEXEXTRACT(M12,""(.*)-.*""),""!C3:V"")),3,FALSE))"),1750)</f>
        <v>1750</v>
      </c>
    </row>
    <row r="16" spans="1:14">
      <c r="A16" s="251" t="s">
        <v>0</v>
      </c>
      <c r="B16" s="64" t="s">
        <v>138</v>
      </c>
      <c r="C16" s="51" t="s">
        <v>88</v>
      </c>
      <c r="D16" s="52" t="s">
        <v>24</v>
      </c>
      <c r="E16" s="52" t="s">
        <v>89</v>
      </c>
      <c r="F16" s="53" t="s">
        <v>92</v>
      </c>
      <c r="H16" s="251"/>
      <c r="I16" s="77" t="s">
        <v>138</v>
      </c>
      <c r="J16" s="51" t="s">
        <v>87</v>
      </c>
      <c r="K16" s="52" t="s">
        <v>125</v>
      </c>
      <c r="L16" s="52" t="s">
        <v>93</v>
      </c>
      <c r="M16" s="53" t="s">
        <v>65</v>
      </c>
    </row>
    <row r="17" spans="1:14">
      <c r="A17" s="247"/>
      <c r="B17" s="66" t="s">
        <v>137</v>
      </c>
      <c r="C17" s="55" t="str">
        <f ca="1">IFERROR(__xludf.DUMMYFUNCTION("IF(ISBLANK(C16),"""",HLOOKUP(REGEXEXTRACT(C16,"".*-(.*)""),INDIRECT(CONCATENATE(REGEXEXTRACT(C16,""(.*)-.*""),""!C3:V"")),2,FALSE))"),"Wildsoul")</f>
        <v>Wildsoul</v>
      </c>
      <c r="D17" s="55" t="str">
        <f ca="1">IFERROR(__xludf.DUMMYFUNCTION("IF(ISBLANK(D16),"""",HLOOKUP(REGEXEXTRACT(D16,"".*-(.*)""),INDIRECT(CONCATENATE(REGEXEXTRACT(D16,""(.*)-.*""),""!C3:V"")),2,FALSE))"),"Glaivier")</f>
        <v>Glaivier</v>
      </c>
      <c r="E17" s="55" t="str">
        <f ca="1">IFERROR(__xludf.DUMMYFUNCTION("IF(ISBLANK(E16),"""",HLOOKUP(REGEXEXTRACT(E16,"".*-(.*)""),INDIRECT(CONCATENATE(REGEXEXTRACT(E16,""(.*)-.*""),""!C3:V"")),2,FALSE))"),"G")</f>
        <v>G</v>
      </c>
      <c r="F17" s="57" t="str">
        <f ca="1">IFERROR(__xludf.DUMMYFUNCTION("IF(ISBLANK(F16),"""",HLOOKUP(REGEXEXTRACT(F16,"".*-(.*)""),INDIRECT(CONCATENATE(REGEXEXTRACT(F16,""(.*)-.*""),""!C3:V"")),2,FALSE))"),"Artist")</f>
        <v>Artist</v>
      </c>
      <c r="H17" s="247"/>
      <c r="I17" s="78" t="s">
        <v>137</v>
      </c>
      <c r="J17" s="55" t="s">
        <v>140</v>
      </c>
      <c r="K17" s="55" t="str">
        <f ca="1">IFERROR(__xludf.DUMMYFUNCTION("IF(ISBLANK(K16),"""",HLOOKUP(REGEXEXTRACT(K16,"".*-(.*)""),INDIRECT(CONCATENATE(REGEXEXTRACT(K16,""(.*)-.*""),""!C3:V"")),2,FALSE))"),"Souleater")</f>
        <v>Souleater</v>
      </c>
      <c r="L17" s="55" t="str">
        <f ca="1">IFERROR(__xludf.DUMMYFUNCTION("IF(ISBLANK(L16),"""",HLOOKUP(REGEXEXTRACT(L16,"".*-(.*)""),INDIRECT(CONCATENATE(REGEXEXTRACT(L16,""(.*)-.*""),""!C3:V"")),2,FALSE))"),"Arcana")</f>
        <v>Arcana</v>
      </c>
      <c r="M17" s="57" t="str">
        <f ca="1">IFERROR(__xludf.DUMMYFUNCTION("IF(ISBLANK(M16),"""",HLOOKUP(REGEXEXTRACT(M16,"".*-(.*)""),INDIRECT(CONCATENATE(REGEXEXTRACT(M16,""(.*)-.*""),""!C3:V"")),2,FALSE))"),"Paladin")</f>
        <v>Paladin</v>
      </c>
    </row>
    <row r="18" spans="1:14">
      <c r="A18" s="247"/>
      <c r="B18" s="68"/>
      <c r="C18" s="59">
        <f ca="1">IFERROR(__xludf.DUMMYFUNCTION("IF(ISBLANK(C16),"""",HLOOKUP(REGEXEXTRACT(C16,"".*-(.*)""),INDIRECT(CONCATENATE(REGEXEXTRACT(C16,""(.*)-.*""),""!C3:V"")),3,FALSE))"),1750)</f>
        <v>1750</v>
      </c>
      <c r="D18" s="59">
        <f ca="1">IFERROR(__xludf.DUMMYFUNCTION("IF(ISBLANK(D16),"""",HLOOKUP(REGEXEXTRACT(D16,"".*-(.*)""),INDIRECT(CONCATENATE(REGEXEXTRACT(D16,""(.*)-.*""),""!C3:V"")),3,FALSE))"),1750)</f>
        <v>1750</v>
      </c>
      <c r="E18" s="59">
        <f ca="1">IFERROR(__xludf.DUMMYFUNCTION("IF(ISBLANK(E16),"""",HLOOKUP(REGEXEXTRACT(E16,"".*-(.*)""),INDIRECT(CONCATENATE(REGEXEXTRACT(E16,""(.*)-.*""),""!C3:V"")),3,FALSE))"),1750)</f>
        <v>1750</v>
      </c>
      <c r="F18" s="61">
        <f ca="1">IFERROR(__xludf.DUMMYFUNCTION("IF(ISBLANK(F16),"""",HLOOKUP(REGEXEXTRACT(F16,"".*-(.*)""),INDIRECT(CONCATENATE(REGEXEXTRACT(F16,""(.*)-.*""),""!C3:V"")),3,FALSE))"),1730)</f>
        <v>1730</v>
      </c>
      <c r="H18" s="247"/>
      <c r="I18" s="79"/>
      <c r="J18" s="59"/>
      <c r="K18" s="59">
        <f ca="1">IFERROR(__xludf.DUMMYFUNCTION("IF(ISBLANK(K16),"""",HLOOKUP(REGEXEXTRACT(K16,"".*-(.*)""),INDIRECT(CONCATENATE(REGEXEXTRACT(K16,""(.*)-.*""),""!C3:V"")),3,FALSE))"),1750)</f>
        <v>1750</v>
      </c>
      <c r="L18" s="59">
        <f ca="1">IFERROR(__xludf.DUMMYFUNCTION("IF(ISBLANK(L16),"""",HLOOKUP(REGEXEXTRACT(L16,"".*-(.*)""),INDIRECT(CONCATENATE(REGEXEXTRACT(L16,""(.*)-.*""),""!C3:V"")),3,FALSE))"),1750)</f>
        <v>1750</v>
      </c>
      <c r="M18" s="61">
        <f ca="1">IFERROR(__xludf.DUMMYFUNCTION("IF(ISBLANK(M16),"""",HLOOKUP(REGEXEXTRACT(M16,"".*-(.*)""),INDIRECT(CONCATENATE(REGEXEXTRACT(M16,""(.*)-.*""),""!C3:V"")),3,FALSE))"),1750)</f>
        <v>1750</v>
      </c>
    </row>
    <row r="20" spans="1:14">
      <c r="A20" s="251"/>
      <c r="B20" s="70" t="s">
        <v>138</v>
      </c>
      <c r="C20" s="51" t="s">
        <v>90</v>
      </c>
      <c r="D20" s="52" t="s">
        <v>58</v>
      </c>
      <c r="E20" s="52" t="s">
        <v>99</v>
      </c>
      <c r="F20" s="53" t="s">
        <v>40</v>
      </c>
      <c r="H20" s="251"/>
      <c r="I20" s="77" t="s">
        <v>138</v>
      </c>
      <c r="J20" s="51" t="s">
        <v>87</v>
      </c>
      <c r="K20" s="52" t="s">
        <v>120</v>
      </c>
      <c r="L20" s="52" t="s">
        <v>55</v>
      </c>
      <c r="M20" s="53" t="s">
        <v>123</v>
      </c>
    </row>
    <row r="21" spans="1:14">
      <c r="A21" s="247"/>
      <c r="B21" s="71" t="s">
        <v>137</v>
      </c>
      <c r="C21" s="55" t="str">
        <f ca="1">IFERROR(__xludf.DUMMYFUNCTION("IF(ISBLANK(C20),"""",HLOOKUP(REGEXEXTRACT(C20,"".*-(.*)""),INDIRECT(CONCATENATE(REGEXEXTRACT(C20,""(.*)-.*""),""!C3:V"")),2,FALSE))"),"Wildsoul")</f>
        <v>Wildsoul</v>
      </c>
      <c r="D21" s="55" t="str">
        <f ca="1">IFERROR(__xludf.DUMMYFUNCTION("IF(ISBLANK(D20),"""",HLOOKUP(REGEXEXTRACT(D20,"".*-(.*)""),INDIRECT(CONCATENATE(REGEXEXTRACT(D20,""(.*)-.*""),""!C3:V"")),2,FALSE))"),"Souleater")</f>
        <v>Souleater</v>
      </c>
      <c r="E21" s="55" t="str">
        <f ca="1">IFERROR(__xludf.DUMMYFUNCTION("IF(ISBLANK(E20),"""",HLOOKUP(REGEXEXTRACT(E20,"".*-(.*)""),INDIRECT(CONCATENATE(REGEXEXTRACT(E20,""(.*)-.*""),""!C3:V"")),2,FALSE))"),"Aeromancer")</f>
        <v>Aeromancer</v>
      </c>
      <c r="F21" s="57" t="str">
        <f ca="1">IFERROR(__xludf.DUMMYFUNCTION("IF(ISBLANK(F20),"""",HLOOKUP(REGEXEXTRACT(F20,"".*-(.*)""),INDIRECT(CONCATENATE(REGEXEXTRACT(F20,""(.*)-.*""),""!C3:V"")),2,FALSE))"),"Paladin")</f>
        <v>Paladin</v>
      </c>
      <c r="H21" s="247"/>
      <c r="I21" s="78" t="s">
        <v>137</v>
      </c>
      <c r="J21" s="55" t="s">
        <v>141</v>
      </c>
      <c r="K21" s="55" t="str">
        <f ca="1">IFERROR(__xludf.DUMMYFUNCTION("IF(ISBLANK(K20),"""",HLOOKUP(REGEXEXTRACT(K20,"".*-(.*)""),INDIRECT(CONCATENATE(REGEXEXTRACT(K20,""(.*)-.*""),""!C3:V"")),2,FALSE))"),"Glaivier")</f>
        <v>Glaivier</v>
      </c>
      <c r="L21" s="55" t="str">
        <f ca="1">IFERROR(__xludf.DUMMYFUNCTION("IF(ISBLANK(L20),"""",HLOOKUP(REGEXEXTRACT(L20,"".*-(.*)""),INDIRECT(CONCATENATE(REGEXEXTRACT(L20,""(.*)-.*""),""!C3:V"")),2,FALSE))"),"GL")</f>
        <v>GL</v>
      </c>
      <c r="M21" s="57" t="str">
        <f ca="1">IFERROR(__xludf.DUMMYFUNCTION("IF(ISBLANK(M20),"""",HLOOKUP(REGEXEXTRACT(M20,"".*-(.*)""),INDIRECT(CONCATENATE(REGEXEXTRACT(M20,""(.*)-.*""),""!C3:V"")),2,FALSE))"),"Paladin")</f>
        <v>Paladin</v>
      </c>
    </row>
    <row r="22" spans="1:14">
      <c r="A22" s="247"/>
      <c r="B22" s="72"/>
      <c r="C22" s="59">
        <f ca="1">IFERROR(__xludf.DUMMYFUNCTION("IF(ISBLANK(C20),"""",HLOOKUP(REGEXEXTRACT(C20,"".*-(.*)""),INDIRECT(CONCATENATE(REGEXEXTRACT(C20,""(.*)-.*""),""!C3:V"")),3,FALSE))"),1750)</f>
        <v>1750</v>
      </c>
      <c r="D22" s="59">
        <f ca="1">IFERROR(__xludf.DUMMYFUNCTION("IF(ISBLANK(D20),"""",HLOOKUP(REGEXEXTRACT(D20,"".*-(.*)""),INDIRECT(CONCATENATE(REGEXEXTRACT(D20,""(.*)-.*""),""!C3:V"")),3,FALSE))"),1750)</f>
        <v>1750</v>
      </c>
      <c r="E22" s="59">
        <f ca="1">IFERROR(__xludf.DUMMYFUNCTION("IF(ISBLANK(E20),"""",HLOOKUP(REGEXEXTRACT(E20,"".*-(.*)""),INDIRECT(CONCATENATE(REGEXEXTRACT(E20,""(.*)-.*""),""!C3:V"")),3,FALSE))"),1750)</f>
        <v>1750</v>
      </c>
      <c r="F22" s="61">
        <f ca="1">IFERROR(__xludf.DUMMYFUNCTION("IF(ISBLANK(F20),"""",HLOOKUP(REGEXEXTRACT(F20,"".*-(.*)""),INDIRECT(CONCATENATE(REGEXEXTRACT(F20,""(.*)-.*""),""!C3:V"")),3,FALSE))"),1750)</f>
        <v>1750</v>
      </c>
      <c r="H22" s="247"/>
      <c r="I22" s="79"/>
      <c r="J22" s="59"/>
      <c r="K22" s="59">
        <f ca="1">IFERROR(__xludf.DUMMYFUNCTION("IF(ISBLANK(K20),"""",HLOOKUP(REGEXEXTRACT(K20,"".*-(.*)""),INDIRECT(CONCATENATE(REGEXEXTRACT(K20,""(.*)-.*""),""!C3:V"")),3,FALSE))"),1750)</f>
        <v>1750</v>
      </c>
      <c r="L22" s="59">
        <f ca="1">IFERROR(__xludf.DUMMYFUNCTION("IF(ISBLANK(L20),"""",HLOOKUP(REGEXEXTRACT(L20,"".*-(.*)""),INDIRECT(CONCATENATE(REGEXEXTRACT(L20,""(.*)-.*""),""!C3:V"")),3,FALSE))"),1750)</f>
        <v>1750</v>
      </c>
      <c r="M22" s="61">
        <f ca="1">IFERROR(__xludf.DUMMYFUNCTION("IF(ISBLANK(M20),"""",HLOOKUP(REGEXEXTRACT(M20,"".*-(.*)""),INDIRECT(CONCATENATE(REGEXEXTRACT(M20,""(.*)-.*""),""!C3:V"")),3,FALSE))"),1750)</f>
        <v>1750</v>
      </c>
    </row>
    <row r="24" spans="1:14">
      <c r="A24" s="252"/>
      <c r="B24" s="80" t="s">
        <v>138</v>
      </c>
      <c r="C24" s="51" t="s">
        <v>70</v>
      </c>
      <c r="D24" s="52" t="s">
        <v>19</v>
      </c>
      <c r="E24" s="52" t="s">
        <v>122</v>
      </c>
      <c r="F24" s="53" t="s">
        <v>128</v>
      </c>
      <c r="H24" s="251" t="s">
        <v>0</v>
      </c>
      <c r="I24" s="65" t="s">
        <v>138</v>
      </c>
      <c r="J24" s="51" t="s">
        <v>111</v>
      </c>
      <c r="K24" s="52" t="s">
        <v>121</v>
      </c>
      <c r="L24" s="52" t="s">
        <v>129</v>
      </c>
      <c r="M24" s="53" t="s">
        <v>126</v>
      </c>
    </row>
    <row r="25" spans="1:14">
      <c r="A25" s="247"/>
      <c r="B25" s="81" t="s">
        <v>137</v>
      </c>
      <c r="C25" s="55" t="str">
        <f ca="1">IFERROR(__xludf.DUMMYFUNCTION("IF(ISBLANK(C24),"""",HLOOKUP(REGEXEXTRACT(C24,"".*-(.*)""),INDIRECT(CONCATENATE(REGEXEXTRACT(C24,""(.*)-.*""),""!C3:V"")),2,FALSE))"),"Artill")</f>
        <v>Artill</v>
      </c>
      <c r="D25" s="55" t="str">
        <f ca="1">IFERROR(__xludf.DUMMYFUNCTION("IF(ISBLANK(D24),"""",HLOOKUP(REGEXEXTRACT(D24,"".*-(.*)""),INDIRECT(CONCATENATE(REGEXEXTRACT(D24,""(.*)-.*""),""!C3:V"")),2,FALSE))"),"Slayer")</f>
        <v>Slayer</v>
      </c>
      <c r="E25" s="55" t="str">
        <f ca="1">IFERROR(__xludf.DUMMYFUNCTION("IF(ISBLANK(E24),"""",HLOOKUP(REGEXEXTRACT(E24,"".*-(.*)""),INDIRECT(CONCATENATE(REGEXEXTRACT(E24,""(.*)-.*""),""!C3:V"")),2,FALSE))"),"Sorc")</f>
        <v>Sorc</v>
      </c>
      <c r="F25" s="57" t="str">
        <f ca="1">IFERROR(__xludf.DUMMYFUNCTION("IF(ISBLANK(F24),"""",HLOOKUP(REGEXEXTRACT(F24,"".*-(.*)""),INDIRECT(CONCATENATE(REGEXEXTRACT(F24,""(.*)-.*""),""!C3:V"")),2,FALSE))"),"Bard")</f>
        <v>Bard</v>
      </c>
      <c r="H25" s="247"/>
      <c r="I25" s="67" t="s">
        <v>137</v>
      </c>
      <c r="J25" s="55" t="str">
        <f ca="1">IFERROR(__xludf.DUMMYFUNCTION("IF(ISBLANK(J24),"""",HLOOKUP(REGEXEXTRACT(J24,"".*-(.*)""),INDIRECT(CONCATENATE(REGEXEXTRACT(J24,""(.*)-.*""),""!C3:V"")),2,FALSE))"),"Guardianknight")</f>
        <v>Guardianknight</v>
      </c>
      <c r="K25" s="55" t="str">
        <f ca="1">IFERROR(__xludf.DUMMYFUNCTION("IF(ISBLANK(K24),"""",HLOOKUP(REGEXEXTRACT(K24,"".*-(.*)""),INDIRECT(CONCATENATE(REGEXEXTRACT(K24,""(.*)-.*""),""!C3:V"")),2,FALSE))"),"Deathblade")</f>
        <v>Deathblade</v>
      </c>
      <c r="L25" s="55" t="str">
        <f ca="1">IFERROR(__xludf.DUMMYFUNCTION("IF(ISBLANK(L24),"""",HLOOKUP(REGEXEXTRACT(L24,"".*-(.*)""),INDIRECT(CONCATENATE(REGEXEXTRACT(L24,""(.*)-.*""),""!C3:V"")),2,FALSE))"),"Arcana")</f>
        <v>Arcana</v>
      </c>
      <c r="M25" s="57" t="str">
        <f ca="1">IFERROR(__xludf.DUMMYFUNCTION("IF(ISBLANK(M24),"""",HLOOKUP(REGEXEXTRACT(M24,"".*-(.*)""),INDIRECT(CONCATENATE(REGEXEXTRACT(M24,""(.*)-.*""),""!C3:V"")),2,FALSE))"),"Valk")</f>
        <v>Valk</v>
      </c>
    </row>
    <row r="26" spans="1:14">
      <c r="A26" s="247"/>
      <c r="B26" s="82"/>
      <c r="C26" s="59">
        <f ca="1">IFERROR(__xludf.DUMMYFUNCTION("IF(ISBLANK(C24),"""",HLOOKUP(REGEXEXTRACT(C24,"".*-(.*)""),INDIRECT(CONCATENATE(REGEXEXTRACT(C24,""(.*)-.*""),""!C3:V"")),3,FALSE))"),1750)</f>
        <v>1750</v>
      </c>
      <c r="D26" s="59">
        <f ca="1">IFERROR(__xludf.DUMMYFUNCTION("IF(ISBLANK(D24),"""",HLOOKUP(REGEXEXTRACT(D24,"".*-(.*)""),INDIRECT(CONCATENATE(REGEXEXTRACT(D24,""(.*)-.*""),""!C3:V"")),3,FALSE))"),1750)</f>
        <v>1750</v>
      </c>
      <c r="E26" s="59">
        <f ca="1">IFERROR(__xludf.DUMMYFUNCTION("IF(ISBLANK(E24),"""",HLOOKUP(REGEXEXTRACT(E24,"".*-(.*)""),INDIRECT(CONCATENATE(REGEXEXTRACT(E24,""(.*)-.*""),""!C3:V"")),3,FALSE))"),1750)</f>
        <v>1750</v>
      </c>
      <c r="F26" s="61">
        <f ca="1">IFERROR(__xludf.DUMMYFUNCTION("IF(ISBLANK(F24),"""",HLOOKUP(REGEXEXTRACT(F24,"".*-(.*)""),INDIRECT(CONCATENATE(REGEXEXTRACT(F24,""(.*)-.*""),""!C3:V"")),3,FALSE))"),1750)</f>
        <v>1750</v>
      </c>
      <c r="H26" s="247"/>
      <c r="I26" s="69"/>
      <c r="J26" s="59">
        <f ca="1">IFERROR(__xludf.DUMMYFUNCTION("IF(ISBLANK(J24),"""",HLOOKUP(REGEXEXTRACT(J24,"".*-(.*)""),INDIRECT(CONCATENATE(REGEXEXTRACT(J24,""(.*)-.*""),""!C3:V"")),3,FALSE))"),1750)</f>
        <v>1750</v>
      </c>
      <c r="K26" s="59">
        <f ca="1">IFERROR(__xludf.DUMMYFUNCTION("IF(ISBLANK(K24),"""",HLOOKUP(REGEXEXTRACT(K24,"".*-(.*)""),INDIRECT(CONCATENATE(REGEXEXTRACT(K24,""(.*)-.*""),""!C3:V"")),3,FALSE))"),1750)</f>
        <v>1750</v>
      </c>
      <c r="L26" s="59">
        <f ca="1">IFERROR(__xludf.DUMMYFUNCTION("IF(ISBLANK(L24),"""",HLOOKUP(REGEXEXTRACT(L24,"".*-(.*)""),INDIRECT(CONCATENATE(REGEXEXTRACT(L24,""(.*)-.*""),""!C3:V"")),3,FALSE))"),1690)</f>
        <v>1690</v>
      </c>
      <c r="M26" s="61">
        <f ca="1">IFERROR(__xludf.DUMMYFUNCTION("IF(ISBLANK(M24),"""",HLOOKUP(REGEXEXTRACT(M24,"".*-(.*)""),INDIRECT(CONCATENATE(REGEXEXTRACT(M24,""(.*)-.*""),""!C3:V"")),3,FALSE))"),1750)</f>
        <v>1750</v>
      </c>
    </row>
    <row r="27" spans="1:14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</row>
    <row r="28" spans="1:14">
      <c r="A28" s="251" t="s">
        <v>0</v>
      </c>
      <c r="B28" s="83" t="s">
        <v>142</v>
      </c>
      <c r="C28" s="51" t="s">
        <v>35</v>
      </c>
      <c r="D28" s="52" t="s">
        <v>143</v>
      </c>
      <c r="E28" s="52" t="s">
        <v>144</v>
      </c>
      <c r="F28" s="53" t="s">
        <v>145</v>
      </c>
      <c r="H28" s="252"/>
    </row>
    <row r="29" spans="1:14">
      <c r="A29" s="247"/>
      <c r="B29" s="84" t="s">
        <v>137</v>
      </c>
      <c r="C29" s="55" t="str">
        <f ca="1">IFERROR(__xludf.DUMMYFUNCTION("IF(ISBLANK(C28),"""",HLOOKUP(REGEXEXTRACT(C28,"".*-(.*)""),INDIRECT(CONCATENATE(REGEXEXTRACT(C28,""(.*)-.*""),""!C3:V"")),2,FALSE))"),"Bard")</f>
        <v>Bard</v>
      </c>
      <c r="D29" s="55" t="str">
        <f ca="1">IFERROR(__xludf.DUMMYFUNCTION("IF(ISBLANK(D28),"""",HLOOKUP(REGEXEXTRACT(D28,"".*-(.*)""),INDIRECT(CONCATENATE(REGEXEXTRACT(D28,""(.*)-.*""),""!C3:V"")),2,FALSE))"),"Gunslinger")</f>
        <v>Gunslinger</v>
      </c>
      <c r="E29" s="55" t="str">
        <f ca="1">IFERROR(__xludf.DUMMYFUNCTION("IF(ISBLANK(E28),"""",HLOOKUP(REGEXEXTRACT(E28,"".*-(.*)""),INDIRECT(CONCATENATE(REGEXEXTRACT(E28,""(.*)-.*""),""!C3:V"")),2,FALSE))"),"Gunlancer")</f>
        <v>Gunlancer</v>
      </c>
      <c r="F29" s="57" t="str">
        <f ca="1">IFERROR(__xludf.DUMMYFUNCTION("IF(ISBLANK(F28),"""",HLOOKUP(REGEXEXTRACT(F28,"".*-(.*)""),INDIRECT(CONCATENATE(REGEXEXTRACT(F28,""(.*)-.*""),""!C3:V"")),2,FALSE))"),"Valk")</f>
        <v>Valk</v>
      </c>
      <c r="H29" s="247"/>
    </row>
    <row r="30" spans="1:14">
      <c r="A30" s="247"/>
      <c r="B30" s="85"/>
      <c r="C30" s="59">
        <f ca="1">IFERROR(__xludf.DUMMYFUNCTION("IF(ISBLANK(C28),"""",HLOOKUP(REGEXEXTRACT(C28,"".*-(.*)""),INDIRECT(CONCATENATE(REGEXEXTRACT(C28,""(.*)-.*""),""!C3:V"")),3,FALSE))"),1730)</f>
        <v>1730</v>
      </c>
      <c r="D30" s="59">
        <f ca="1">IFERROR(__xludf.DUMMYFUNCTION("IF(ISBLANK(D28),"""",HLOOKUP(REGEXEXTRACT(D28,"".*-(.*)""),INDIRECT(CONCATENATE(REGEXEXTRACT(D28,""(.*)-.*""),""!C3:V"")),3,FALSE))"),1750)</f>
        <v>1750</v>
      </c>
      <c r="E30" s="59">
        <f ca="1">IFERROR(__xludf.DUMMYFUNCTION("IF(ISBLANK(E28),"""",HLOOKUP(REGEXEXTRACT(E28,"".*-(.*)""),INDIRECT(CONCATENATE(REGEXEXTRACT(E28,""(.*)-.*""),""!C3:V"")),3,FALSE))"),1730)</f>
        <v>1730</v>
      </c>
      <c r="F30" s="61">
        <f ca="1">IFERROR(__xludf.DUMMYFUNCTION("IF(ISBLANK(F28),"""",HLOOKUP(REGEXEXTRACT(F28,"".*-(.*)""),INDIRECT(CONCATENATE(REGEXEXTRACT(F28,""(.*)-.*""),""!C3:V"")),3,FALSE))"),1730)</f>
        <v>1730</v>
      </c>
      <c r="H30" s="247"/>
    </row>
  </sheetData>
  <mergeCells count="14">
    <mergeCell ref="A4:A6"/>
    <mergeCell ref="H4:H6"/>
    <mergeCell ref="A8:A10"/>
    <mergeCell ref="H8:H10"/>
    <mergeCell ref="A12:A14"/>
    <mergeCell ref="H12:H14"/>
    <mergeCell ref="A16:A18"/>
    <mergeCell ref="A20:A22"/>
    <mergeCell ref="A24:A26"/>
    <mergeCell ref="A28:A30"/>
    <mergeCell ref="H20:H22"/>
    <mergeCell ref="H24:H26"/>
    <mergeCell ref="H28:H30"/>
    <mergeCell ref="H16:H18"/>
  </mergeCells>
  <conditionalFormatting sqref="A4:A6 H4:H6 A8:A10 H8:H10 A12:A14 H12:H14 A16:A18 H16:H18 A20:A22 H20:H22 A24:A26 H24:H26 A28:A30 H28:H30">
    <cfRule type="cellIs" dxfId="20" priority="1" operator="equal">
      <formula>"DONE"</formula>
    </cfRule>
    <cfRule type="containsBlanks" dxfId="19" priority="2">
      <formula>LEN(TRIM(A4))=0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300-000000000000}">
          <x14:formula1>
            <xm:f>chars!$B$2:$Z1000</xm:f>
          </x14:formula1>
          <xm:sqref>C4:F4 J4:M4 C8:F8 C12:F12 J12:M12 C16:F16 J16:M16 C20:F20 J20:M20 C24:F24 J24:M24 C28:F28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4:N30"/>
  <sheetViews>
    <sheetView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8.140625" hidden="1" customWidth="1"/>
    <col min="8" max="9" width="13.5703125" customWidth="1"/>
    <col min="10" max="13" width="18.140625" customWidth="1"/>
  </cols>
  <sheetData>
    <row r="4" spans="1:14">
      <c r="A4" s="251"/>
      <c r="B4" s="64" t="s">
        <v>134</v>
      </c>
      <c r="C4" s="51" t="s">
        <v>39</v>
      </c>
      <c r="D4" s="52" t="s">
        <v>4</v>
      </c>
      <c r="E4" s="52" t="s">
        <v>60</v>
      </c>
      <c r="F4" s="53" t="s">
        <v>114</v>
      </c>
      <c r="H4" s="251"/>
      <c r="I4" s="65" t="s">
        <v>134</v>
      </c>
      <c r="J4" s="51" t="s">
        <v>127</v>
      </c>
      <c r="K4" s="52" t="s">
        <v>112</v>
      </c>
      <c r="L4" s="52" t="s">
        <v>129</v>
      </c>
      <c r="M4" s="53" t="s">
        <v>130</v>
      </c>
    </row>
    <row r="5" spans="1:14">
      <c r="A5" s="247"/>
      <c r="B5" s="66" t="s">
        <v>135</v>
      </c>
      <c r="C5" s="55" t="str">
        <f ca="1">IFERROR(__xludf.DUMMYFUNCTION("IF(ISBLANK(C4),"""",HLOOKUP(REGEXEXTRACT(C4,"".*-(.*)""),INDIRECT(CONCATENATE(REGEXEXTRACT(C4,""(.*)-.*""),""!C3:V"")),2,FALSE))"),"Summoner")</f>
        <v>Summoner</v>
      </c>
      <c r="D5" s="55" t="str">
        <f ca="1">IFERROR(__xludf.DUMMYFUNCTION("IF(ISBLANK(D4),"""",HLOOKUP(REGEXEXTRACT(D4,"".*-(.*)""),INDIRECT(CONCATENATE(REGEXEXTRACT(D4,""(.*)-.*""),""!C3:V"")),2,FALSE))"),"Gunslinger")</f>
        <v>Gunslinger</v>
      </c>
      <c r="E5" s="55" t="str">
        <f ca="1">IFERROR(__xludf.DUMMYFUNCTION("IF(ISBLANK(E4),"""",HLOOKUP(REGEXEXTRACT(E4,"".*-(.*)""),INDIRECT(CONCATENATE(REGEXEXTRACT(E4,""(.*)-.*""),""!C3:V"")),2,FALSE))"),"BREAKER")</f>
        <v>BREAKER</v>
      </c>
      <c r="F5" s="57" t="str">
        <f ca="1">IFERROR(__xludf.DUMMYFUNCTION("IF(ISBLANK(F4),"""",HLOOKUP(REGEXEXTRACT(F4,"".*-(.*)""),INDIRECT(CONCATENATE(REGEXEXTRACT(F4,""(.*)-.*""),""!C3:V"")),2,FALSE))"),"Artist")</f>
        <v>Artist</v>
      </c>
      <c r="H5" s="247"/>
      <c r="I5" s="67" t="s">
        <v>136</v>
      </c>
      <c r="J5" s="55" t="str">
        <f ca="1">IFERROR(__xludf.DUMMYFUNCTION("IF(ISBLANK(J4),"""",HLOOKUP(REGEXEXTRACT(J4,"".*-(.*)""),INDIRECT(CONCATENATE(REGEXEXTRACT(J4,""(.*)-.*""),""!C3:V"")),2,FALSE))"),"Shadowhunter")</f>
        <v>Shadowhunter</v>
      </c>
      <c r="K5" s="55" t="str">
        <f ca="1">IFERROR(__xludf.DUMMYFUNCTION("IF(ISBLANK(K4),"""",HLOOKUP(REGEXEXTRACT(K4,"".*-(.*)""),INDIRECT(CONCATENATE(REGEXEXTRACT(K4,""(.*)-.*""),""!C3:V"")),2,FALSE))"),"Slayer")</f>
        <v>Slayer</v>
      </c>
      <c r="L5" s="55" t="str">
        <f ca="1">IFERROR(__xludf.DUMMYFUNCTION("IF(ISBLANK(L4),"""",HLOOKUP(REGEXEXTRACT(L4,"".*-(.*)""),INDIRECT(CONCATENATE(REGEXEXTRACT(L4,""(.*)-.*""),""!C3:V"")),2,FALSE))"),"Arcana")</f>
        <v>Arcana</v>
      </c>
      <c r="M5" s="57" t="str">
        <f ca="1">IFERROR(__xludf.DUMMYFUNCTION("IF(ISBLANK(M4),"""",HLOOKUP(REGEXEXTRACT(M4,"".*-(.*)""),INDIRECT(CONCATENATE(REGEXEXTRACT(M4,""(.*)-.*""),""!C3:V"")),2,FALSE))"),"Bard")</f>
        <v>Bard</v>
      </c>
    </row>
    <row r="6" spans="1:14">
      <c r="A6" s="247"/>
      <c r="B6" s="68"/>
      <c r="C6" s="59">
        <f ca="1">IFERROR(__xludf.DUMMYFUNCTION("IF(ISBLANK(C4),"""",HLOOKUP(REGEXEXTRACT(C4,"".*-(.*)""),INDIRECT(CONCATENATE(REGEXEXTRACT(C4,""(.*)-.*""),""!C3:V"")),3,FALSE))"),1750)</f>
        <v>1750</v>
      </c>
      <c r="D6" s="59">
        <f ca="1">IFERROR(__xludf.DUMMYFUNCTION("IF(ISBLANK(D4),"""",HLOOKUP(REGEXEXTRACT(D4,"".*-(.*)""),INDIRECT(CONCATENATE(REGEXEXTRACT(D4,""(.*)-.*""),""!C3:V"")),3,FALSE))"),1750)</f>
        <v>1750</v>
      </c>
      <c r="E6" s="59">
        <f ca="1">IFERROR(__xludf.DUMMYFUNCTION("IF(ISBLANK(E4),"""",HLOOKUP(REGEXEXTRACT(E4,"".*-(.*)""),INDIRECT(CONCATENATE(REGEXEXTRACT(E4,""(.*)-.*""),""!C3:V"")),3,FALSE))"),1750)</f>
        <v>1750</v>
      </c>
      <c r="F6" s="61">
        <f ca="1">IFERROR(__xludf.DUMMYFUNCTION("IF(ISBLANK(F4),"""",HLOOKUP(REGEXEXTRACT(F4,"".*-(.*)""),INDIRECT(CONCATENATE(REGEXEXTRACT(F4,""(.*)-.*""),""!C3:V"")),3,FALSE))"),1750)</f>
        <v>1750</v>
      </c>
      <c r="H6" s="247"/>
      <c r="I6" s="69"/>
      <c r="J6" s="59">
        <f ca="1">IFERROR(__xludf.DUMMYFUNCTION("IF(ISBLANK(J4),"""",HLOOKUP(REGEXEXTRACT(J4,"".*-(.*)""),INDIRECT(CONCATENATE(REGEXEXTRACT(J4,""(.*)-.*""),""!C3:V"")),3,FALSE))"),1750)</f>
        <v>1750</v>
      </c>
      <c r="K6" s="59">
        <f ca="1">IFERROR(__xludf.DUMMYFUNCTION("IF(ISBLANK(K4),"""",HLOOKUP(REGEXEXTRACT(K4,"".*-(.*)""),INDIRECT(CONCATENATE(REGEXEXTRACT(K4,""(.*)-.*""),""!C3:V"")),3,FALSE))"),1750)</f>
        <v>1750</v>
      </c>
      <c r="L6" s="59">
        <f ca="1">IFERROR(__xludf.DUMMYFUNCTION("IF(ISBLANK(L4),"""",HLOOKUP(REGEXEXTRACT(L4,"".*-(.*)""),INDIRECT(CONCATENATE(REGEXEXTRACT(L4,""(.*)-.*""),""!C3:V"")),3,FALSE))"),1690)</f>
        <v>1690</v>
      </c>
      <c r="M6" s="61">
        <f ca="1">IFERROR(__xludf.DUMMYFUNCTION("IF(ISBLANK(M4),"""",HLOOKUP(REGEXEXTRACT(M4,"".*-(.*)""),INDIRECT(CONCATENATE(REGEXEXTRACT(M4,""(.*)-.*""),""!C3:V"")),3,FALSE))"),1750)</f>
        <v>1750</v>
      </c>
    </row>
    <row r="8" spans="1:14">
      <c r="A8" s="251"/>
      <c r="B8" s="70" t="s">
        <v>134</v>
      </c>
      <c r="C8" s="51" t="s">
        <v>27</v>
      </c>
      <c r="D8" s="52" t="s">
        <v>113</v>
      </c>
      <c r="E8" s="52" t="s">
        <v>124</v>
      </c>
      <c r="F8" s="53" t="s">
        <v>118</v>
      </c>
      <c r="H8" s="252"/>
    </row>
    <row r="9" spans="1:14">
      <c r="A9" s="247"/>
      <c r="B9" s="71" t="s">
        <v>137</v>
      </c>
      <c r="C9" s="55" t="str">
        <f ca="1">IFERROR(__xludf.DUMMYFUNCTION("IF(ISBLANK(C8),"""",HLOOKUP(REGEXEXTRACT(C8,"".*-(.*)""),INDIRECT(CONCATENATE(REGEXEXTRACT(C8,""(.*)-.*""),""!C3:V"")),2,FALSE))"),"Guardianknight")</f>
        <v>Guardianknight</v>
      </c>
      <c r="D9" s="55" t="str">
        <f ca="1">IFERROR(__xludf.DUMMYFUNCTION("IF(ISBLANK(D8),"""",HLOOKUP(REGEXEXTRACT(D8,"".*-(.*)""),INDIRECT(CONCATENATE(REGEXEXTRACT(D8,""(.*)-.*""),""!C3:V"")),2,FALSE))"),"Scrapper")</f>
        <v>Scrapper</v>
      </c>
      <c r="E9" s="55" t="str">
        <f ca="1">IFERROR(__xludf.DUMMYFUNCTION("IF(ISBLANK(E8),"""",HLOOKUP(REGEXEXTRACT(E8,"".*-(.*)""),INDIRECT(CONCATENATE(REGEXEXTRACT(E8,""(.*)-.*""),""!C3:V"")),2,FALSE))"),"Valk")</f>
        <v>Valk</v>
      </c>
      <c r="F9" s="57" t="str">
        <f ca="1">IFERROR(__xludf.DUMMYFUNCTION("IF(ISBLANK(F8),"""",HLOOKUP(REGEXEXTRACT(F8,"".*-(.*)""),INDIRECT(CONCATENATE(REGEXEXTRACT(F8,""(.*)-.*""),""!C3:V"")),2,FALSE))"),"Valk")</f>
        <v>Valk</v>
      </c>
      <c r="H9" s="247"/>
    </row>
    <row r="10" spans="1:14">
      <c r="A10" s="247"/>
      <c r="B10" s="72"/>
      <c r="C10" s="59">
        <f ca="1">IFERROR(__xludf.DUMMYFUNCTION("IF(ISBLANK(C8),"""",HLOOKUP(REGEXEXTRACT(C8,"".*-(.*)""),INDIRECT(CONCATENATE(REGEXEXTRACT(C8,""(.*)-.*""),""!C3:V"")),3,FALSE))"),1750)</f>
        <v>1750</v>
      </c>
      <c r="D10" s="59">
        <f ca="1">IFERROR(__xludf.DUMMYFUNCTION("IF(ISBLANK(D8),"""",HLOOKUP(REGEXEXTRACT(D8,"".*-(.*)""),INDIRECT(CONCATENATE(REGEXEXTRACT(D8,""(.*)-.*""),""!C3:V"")),3,FALSE))"),1700)</f>
        <v>1700</v>
      </c>
      <c r="E10" s="59">
        <f ca="1">IFERROR(__xludf.DUMMYFUNCTION("IF(ISBLANK(E8),"""",HLOOKUP(REGEXEXTRACT(E8,"".*-(.*)""),INDIRECT(CONCATENATE(REGEXEXTRACT(E8,""(.*)-.*""),""!C3:V"")),3,FALSE))"),1750)</f>
        <v>1750</v>
      </c>
      <c r="F10" s="61">
        <f ca="1">IFERROR(__xludf.DUMMYFUNCTION("IF(ISBLANK(F8),"""",HLOOKUP(REGEXEXTRACT(F8,"".*-(.*)""),INDIRECT(CONCATENATE(REGEXEXTRACT(F8,""(.*)-.*""),""!C3:V"")),3,FALSE))"),1750)</f>
        <v>1750</v>
      </c>
      <c r="H10" s="247"/>
    </row>
    <row r="11" spans="1:14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4">
      <c r="A12" s="251"/>
      <c r="B12" s="64" t="s">
        <v>138</v>
      </c>
      <c r="C12" s="51" t="s">
        <v>30</v>
      </c>
      <c r="D12" s="52" t="s">
        <v>110</v>
      </c>
      <c r="E12" s="52" t="s">
        <v>67</v>
      </c>
      <c r="F12" s="53" t="s">
        <v>119</v>
      </c>
      <c r="H12" s="251"/>
      <c r="I12" s="74" t="s">
        <v>138</v>
      </c>
      <c r="J12" s="51" t="s">
        <v>139</v>
      </c>
      <c r="K12" s="52" t="s">
        <v>93</v>
      </c>
      <c r="L12" s="52" t="s">
        <v>86</v>
      </c>
      <c r="M12" s="53" t="s">
        <v>109</v>
      </c>
    </row>
    <row r="13" spans="1:14">
      <c r="A13" s="247"/>
      <c r="B13" s="66" t="s">
        <v>137</v>
      </c>
      <c r="C13" s="55" t="str">
        <f ca="1">IFERROR(__xludf.DUMMYFUNCTION("IF(ISBLANK(C12),"""",HLOOKUP(REGEXEXTRACT(C12,"".*-(.*)""),INDIRECT(CONCATENATE(REGEXEXTRACT(C12,""(.*)-.*""),""!C3:V"")),2,FALSE))"),"Soulfist")</f>
        <v>Soulfist</v>
      </c>
      <c r="D13" s="55" t="str">
        <f ca="1">IFERROR(__xludf.DUMMYFUNCTION("IF(ISBLANK(D12),"""",HLOOKUP(REGEXEXTRACT(D12,"".*-(.*)""),INDIRECT(CONCATENATE(REGEXEXTRACT(D12,""(.*)-.*""),""!C3:V"")),2,FALSE))"),"Souleater")</f>
        <v>Souleater</v>
      </c>
      <c r="E13" s="55" t="str">
        <f ca="1">IFERROR(__xludf.DUMMYFUNCTION("IF(ISBLANK(E12),"""",HLOOKUP(REGEXEXTRACT(E12,"".*-(.*)""),INDIRECT(CONCATENATE(REGEXEXTRACT(E12,""(.*)-.*""),""!C3:V"")),2,FALSE))"),"Bonk")</f>
        <v>Bonk</v>
      </c>
      <c r="F13" s="57" t="str">
        <f ca="1">IFERROR(__xludf.DUMMYFUNCTION("IF(ISBLANK(F12),"""",HLOOKUP(REGEXEXTRACT(F12,"".*-(.*)""),INDIRECT(CONCATENATE(REGEXEXTRACT(F12,""(.*)-.*""),""!C3:V"")),2,FALSE))"),"Artist")</f>
        <v>Artist</v>
      </c>
      <c r="H13" s="247"/>
      <c r="I13" s="75" t="s">
        <v>137</v>
      </c>
      <c r="J13" s="55" t="str">
        <f ca="1">IFERROR(__xludf.DUMMYFUNCTION("IF(ISBLANK(J12),"""",HLOOKUP(REGEXEXTRACT(J12,"".*-(.*)""),INDIRECT(CONCATENATE(REGEXEXTRACT(J12,""(.*)-.*""),""!C3:V"")),2,FALSE))"),"Souleater")</f>
        <v>Souleater</v>
      </c>
      <c r="K13" s="55" t="str">
        <f ca="1">IFERROR(__xludf.DUMMYFUNCTION("IF(ISBLANK(K12),"""",HLOOKUP(REGEXEXTRACT(K12,"".*-(.*)""),INDIRECT(CONCATENATE(REGEXEXTRACT(K12,""(.*)-.*""),""!C3:V"")),2,FALSE))"),"Arcana")</f>
        <v>Arcana</v>
      </c>
      <c r="L13" s="55" t="s">
        <v>131</v>
      </c>
      <c r="M13" s="57" t="str">
        <f ca="1">IFERROR(__xludf.DUMMYFUNCTION("IF(ISBLANK(M12),"""",HLOOKUP(REGEXEXTRACT(M12,"".*-(.*)""),INDIRECT(CONCATENATE(REGEXEXTRACT(M12,""(.*)-.*""),""!C3:V"")),2,FALSE))"),"Valk")</f>
        <v>Valk</v>
      </c>
    </row>
    <row r="14" spans="1:14">
      <c r="A14" s="247"/>
      <c r="B14" s="68"/>
      <c r="C14" s="59">
        <f ca="1">IFERROR(__xludf.DUMMYFUNCTION("IF(ISBLANK(C12),"""",HLOOKUP(REGEXEXTRACT(C12,"".*-(.*)""),INDIRECT(CONCATENATE(REGEXEXTRACT(C12,""(.*)-.*""),""!C3:V"")),3,FALSE))"),1750)</f>
        <v>1750</v>
      </c>
      <c r="D14" s="59">
        <f ca="1">IFERROR(__xludf.DUMMYFUNCTION("IF(ISBLANK(D12),"""",HLOOKUP(REGEXEXTRACT(D12,"".*-(.*)""),INDIRECT(CONCATENATE(REGEXEXTRACT(D12,""(.*)-.*""),""!C3:V"")),3,FALSE))"),1750)</f>
        <v>1750</v>
      </c>
      <c r="E14" s="59">
        <f ca="1">IFERROR(__xludf.DUMMYFUNCTION("IF(ISBLANK(E12),"""",HLOOKUP(REGEXEXTRACT(E12,"".*-(.*)""),INDIRECT(CONCATENATE(REGEXEXTRACT(E12,""(.*)-.*""),""!C3:V"")),3,FALSE))"),1750)</f>
        <v>1750</v>
      </c>
      <c r="F14" s="61">
        <f ca="1">IFERROR(__xludf.DUMMYFUNCTION("IF(ISBLANK(F12),"""",HLOOKUP(REGEXEXTRACT(F12,"".*-(.*)""),INDIRECT(CONCATENATE(REGEXEXTRACT(F12,""(.*)-.*""),""!C3:V"")),3,FALSE))"),1750)</f>
        <v>1750</v>
      </c>
      <c r="H14" s="247"/>
      <c r="I14" s="76"/>
      <c r="J14" s="59">
        <f ca="1">IFERROR(__xludf.DUMMYFUNCTION("IF(ISBLANK(J12),"""",HLOOKUP(REGEXEXTRACT(J12,"".*-(.*)""),INDIRECT(CONCATENATE(REGEXEXTRACT(J12,""(.*)-.*""),""!C3:V"")),3,FALSE))"),1750)</f>
        <v>1750</v>
      </c>
      <c r="K14" s="59">
        <f ca="1">IFERROR(__xludf.DUMMYFUNCTION("IF(ISBLANK(K12),"""",HLOOKUP(REGEXEXTRACT(K12,"".*-(.*)""),INDIRECT(CONCATENATE(REGEXEXTRACT(K12,""(.*)-.*""),""!C3:V"")),3,FALSE))"),1750)</f>
        <v>1750</v>
      </c>
      <c r="L14" s="59"/>
      <c r="M14" s="61">
        <f ca="1">IFERROR(__xludf.DUMMYFUNCTION("IF(ISBLANK(M12),"""",HLOOKUP(REGEXEXTRACT(M12,"".*-(.*)""),INDIRECT(CONCATENATE(REGEXEXTRACT(M12,""(.*)-.*""),""!C3:V"")),3,FALSE))"),1750)</f>
        <v>1750</v>
      </c>
    </row>
    <row r="16" spans="1:14">
      <c r="A16" s="251"/>
      <c r="B16" s="64" t="s">
        <v>138</v>
      </c>
      <c r="C16" s="51" t="s">
        <v>88</v>
      </c>
      <c r="D16" s="52" t="s">
        <v>24</v>
      </c>
      <c r="E16" s="52" t="s">
        <v>89</v>
      </c>
      <c r="F16" s="53" t="s">
        <v>92</v>
      </c>
      <c r="H16" s="251"/>
      <c r="I16" s="77" t="s">
        <v>138</v>
      </c>
      <c r="J16" s="51" t="s">
        <v>87</v>
      </c>
      <c r="K16" s="52" t="s">
        <v>120</v>
      </c>
      <c r="L16" s="52" t="s">
        <v>121</v>
      </c>
      <c r="M16" s="53" t="s">
        <v>65</v>
      </c>
    </row>
    <row r="17" spans="1:13">
      <c r="A17" s="247"/>
      <c r="B17" s="66" t="s">
        <v>137</v>
      </c>
      <c r="C17" s="55" t="str">
        <f ca="1">IFERROR(__xludf.DUMMYFUNCTION("IF(ISBLANK(C16),"""",HLOOKUP(REGEXEXTRACT(C16,"".*-(.*)""),INDIRECT(CONCATENATE(REGEXEXTRACT(C16,""(.*)-.*""),""!C3:V"")),2,FALSE))"),"Wildsoul")</f>
        <v>Wildsoul</v>
      </c>
      <c r="D17" s="55" t="str">
        <f ca="1">IFERROR(__xludf.DUMMYFUNCTION("IF(ISBLANK(D16),"""",HLOOKUP(REGEXEXTRACT(D16,"".*-(.*)""),INDIRECT(CONCATENATE(REGEXEXTRACT(D16,""(.*)-.*""),""!C3:V"")),2,FALSE))"),"Glaivier")</f>
        <v>Glaivier</v>
      </c>
      <c r="E17" s="55" t="str">
        <f ca="1">IFERROR(__xludf.DUMMYFUNCTION("IF(ISBLANK(E16),"""",HLOOKUP(REGEXEXTRACT(E16,"".*-(.*)""),INDIRECT(CONCATENATE(REGEXEXTRACT(E16,""(.*)-.*""),""!C3:V"")),2,FALSE))"),"G")</f>
        <v>G</v>
      </c>
      <c r="F17" s="57" t="str">
        <f ca="1">IFERROR(__xludf.DUMMYFUNCTION("IF(ISBLANK(F16),"""",HLOOKUP(REGEXEXTRACT(F16,"".*-(.*)""),INDIRECT(CONCATENATE(REGEXEXTRACT(F16,""(.*)-.*""),""!C3:V"")),2,FALSE))"),"Artist")</f>
        <v>Artist</v>
      </c>
      <c r="H17" s="247"/>
      <c r="I17" s="78" t="s">
        <v>137</v>
      </c>
      <c r="J17" s="55" t="s">
        <v>140</v>
      </c>
      <c r="K17" s="55" t="str">
        <f ca="1">IFERROR(__xludf.DUMMYFUNCTION("IF(ISBLANK(K16),"""",HLOOKUP(REGEXEXTRACT(K16,"".*-(.*)""),INDIRECT(CONCATENATE(REGEXEXTRACT(K16,""(.*)-.*""),""!C3:V"")),2,FALSE))"),"Glaivier")</f>
        <v>Glaivier</v>
      </c>
      <c r="L17" s="55" t="str">
        <f ca="1">IFERROR(__xludf.DUMMYFUNCTION("IF(ISBLANK(L16),"""",HLOOKUP(REGEXEXTRACT(L16,"".*-(.*)""),INDIRECT(CONCATENATE(REGEXEXTRACT(L16,""(.*)-.*""),""!C3:V"")),2,FALSE))"),"Deathblade")</f>
        <v>Deathblade</v>
      </c>
      <c r="M17" s="57" t="str">
        <f ca="1">IFERROR(__xludf.DUMMYFUNCTION("IF(ISBLANK(M16),"""",HLOOKUP(REGEXEXTRACT(M16,"".*-(.*)""),INDIRECT(CONCATENATE(REGEXEXTRACT(M16,""(.*)-.*""),""!C3:V"")),2,FALSE))"),"Paladin")</f>
        <v>Paladin</v>
      </c>
    </row>
    <row r="18" spans="1:13">
      <c r="A18" s="247"/>
      <c r="B18" s="68"/>
      <c r="C18" s="59">
        <f ca="1">IFERROR(__xludf.DUMMYFUNCTION("IF(ISBLANK(C16),"""",HLOOKUP(REGEXEXTRACT(C16,"".*-(.*)""),INDIRECT(CONCATENATE(REGEXEXTRACT(C16,""(.*)-.*""),""!C3:V"")),3,FALSE))"),1750)</f>
        <v>1750</v>
      </c>
      <c r="D18" s="59">
        <f ca="1">IFERROR(__xludf.DUMMYFUNCTION("IF(ISBLANK(D16),"""",HLOOKUP(REGEXEXTRACT(D16,"".*-(.*)""),INDIRECT(CONCATENATE(REGEXEXTRACT(D16,""(.*)-.*""),""!C3:V"")),3,FALSE))"),1750)</f>
        <v>1750</v>
      </c>
      <c r="E18" s="59">
        <f ca="1">IFERROR(__xludf.DUMMYFUNCTION("IF(ISBLANK(E16),"""",HLOOKUP(REGEXEXTRACT(E16,"".*-(.*)""),INDIRECT(CONCATENATE(REGEXEXTRACT(E16,""(.*)-.*""),""!C3:V"")),3,FALSE))"),1750)</f>
        <v>1750</v>
      </c>
      <c r="F18" s="61">
        <f ca="1">IFERROR(__xludf.DUMMYFUNCTION("IF(ISBLANK(F16),"""",HLOOKUP(REGEXEXTRACT(F16,"".*-(.*)""),INDIRECT(CONCATENATE(REGEXEXTRACT(F16,""(.*)-.*""),""!C3:V"")),3,FALSE))"),1730)</f>
        <v>1730</v>
      </c>
      <c r="H18" s="247"/>
      <c r="I18" s="79"/>
      <c r="J18" s="59"/>
      <c r="K18" s="59">
        <f ca="1">IFERROR(__xludf.DUMMYFUNCTION("IF(ISBLANK(K16),"""",HLOOKUP(REGEXEXTRACT(K16,"".*-(.*)""),INDIRECT(CONCATENATE(REGEXEXTRACT(K16,""(.*)-.*""),""!C3:V"")),3,FALSE))"),1750)</f>
        <v>1750</v>
      </c>
      <c r="L18" s="59">
        <f ca="1">IFERROR(__xludf.DUMMYFUNCTION("IF(ISBLANK(L16),"""",HLOOKUP(REGEXEXTRACT(L16,"".*-(.*)""),INDIRECT(CONCATENATE(REGEXEXTRACT(L16,""(.*)-.*""),""!C3:V"")),3,FALSE))"),1750)</f>
        <v>1750</v>
      </c>
      <c r="M18" s="61">
        <f ca="1">IFERROR(__xludf.DUMMYFUNCTION("IF(ISBLANK(M16),"""",HLOOKUP(REGEXEXTRACT(M16,"".*-(.*)""),INDIRECT(CONCATENATE(REGEXEXTRACT(M16,""(.*)-.*""),""!C3:V"")),3,FALSE))"),1750)</f>
        <v>1750</v>
      </c>
    </row>
    <row r="20" spans="1:13">
      <c r="A20" s="251"/>
      <c r="B20" s="86" t="s">
        <v>138</v>
      </c>
      <c r="C20" s="51" t="s">
        <v>90</v>
      </c>
      <c r="D20" s="52" t="s">
        <v>12</v>
      </c>
      <c r="E20" s="52" t="s">
        <v>99</v>
      </c>
      <c r="F20" s="53" t="s">
        <v>123</v>
      </c>
      <c r="H20" s="251"/>
      <c r="I20" s="77" t="s">
        <v>138</v>
      </c>
      <c r="J20" s="51" t="s">
        <v>87</v>
      </c>
      <c r="K20" s="52" t="s">
        <v>100</v>
      </c>
      <c r="L20" s="52" t="s">
        <v>55</v>
      </c>
      <c r="M20" s="53" t="s">
        <v>128</v>
      </c>
    </row>
    <row r="21" spans="1:13">
      <c r="A21" s="247"/>
      <c r="B21" s="87" t="s">
        <v>137</v>
      </c>
      <c r="C21" s="55" t="str">
        <f ca="1">IFERROR(__xludf.DUMMYFUNCTION("IF(ISBLANK(C20),"""",HLOOKUP(REGEXEXTRACT(C20,"".*-(.*)""),INDIRECT(CONCATENATE(REGEXEXTRACT(C20,""(.*)-.*""),""!C3:V"")),2,FALSE))"),"Wildsoul")</f>
        <v>Wildsoul</v>
      </c>
      <c r="D21" s="55" t="str">
        <f ca="1">IFERROR(__xludf.DUMMYFUNCTION("IF(ISBLANK(D20),"""",HLOOKUP(REGEXEXTRACT(D20,"".*-(.*)""),INDIRECT(CONCATENATE(REGEXEXTRACT(D20,""(.*)-.*""),""!C3:V"")),2,FALSE))"),"Sorceress")</f>
        <v>Sorceress</v>
      </c>
      <c r="E21" s="55" t="str">
        <f ca="1">IFERROR(__xludf.DUMMYFUNCTION("IF(ISBLANK(E20),"""",HLOOKUP(REGEXEXTRACT(E20,"".*-(.*)""),INDIRECT(CONCATENATE(REGEXEXTRACT(E20,""(.*)-.*""),""!C3:V"")),2,FALSE))"),"Aeromancer")</f>
        <v>Aeromancer</v>
      </c>
      <c r="F21" s="57" t="str">
        <f ca="1">IFERROR(__xludf.DUMMYFUNCTION("IF(ISBLANK(F20),"""",HLOOKUP(REGEXEXTRACT(F20,"".*-(.*)""),INDIRECT(CONCATENATE(REGEXEXTRACT(F20,""(.*)-.*""),""!C3:V"")),2,FALSE))"),"Paladin")</f>
        <v>Paladin</v>
      </c>
      <c r="H21" s="247"/>
      <c r="I21" s="78" t="s">
        <v>137</v>
      </c>
      <c r="J21" s="55" t="s">
        <v>141</v>
      </c>
      <c r="K21" s="55" t="str">
        <f ca="1">IFERROR(__xludf.DUMMYFUNCTION("IF(ISBLANK(K20),"""",HLOOKUP(REGEXEXTRACT(K20,"".*-(.*)""),INDIRECT(CONCATENATE(REGEXEXTRACT(K20,""(.*)-.*""),""!C3:V"")),2,FALSE))"),"Glaivier")</f>
        <v>Glaivier</v>
      </c>
      <c r="L21" s="55" t="str">
        <f ca="1">IFERROR(__xludf.DUMMYFUNCTION("IF(ISBLANK(L20),"""",HLOOKUP(REGEXEXTRACT(L20,"".*-(.*)""),INDIRECT(CONCATENATE(REGEXEXTRACT(L20,""(.*)-.*""),""!C3:V"")),2,FALSE))"),"GL")</f>
        <v>GL</v>
      </c>
      <c r="M21" s="57" t="str">
        <f ca="1">IFERROR(__xludf.DUMMYFUNCTION("IF(ISBLANK(M20),"""",HLOOKUP(REGEXEXTRACT(M20,"".*-(.*)""),INDIRECT(CONCATENATE(REGEXEXTRACT(M20,""(.*)-.*""),""!C3:V"")),2,FALSE))"),"Bard")</f>
        <v>Bard</v>
      </c>
    </row>
    <row r="22" spans="1:13">
      <c r="A22" s="247"/>
      <c r="B22" s="88"/>
      <c r="C22" s="59">
        <f ca="1">IFERROR(__xludf.DUMMYFUNCTION("IF(ISBLANK(C20),"""",HLOOKUP(REGEXEXTRACT(C20,"".*-(.*)""),INDIRECT(CONCATENATE(REGEXEXTRACT(C20,""(.*)-.*""),""!C3:V"")),3,FALSE))"),1750)</f>
        <v>1750</v>
      </c>
      <c r="D22" s="59">
        <f ca="1">IFERROR(__xludf.DUMMYFUNCTION("IF(ISBLANK(D20),"""",HLOOKUP(REGEXEXTRACT(D20,"".*-(.*)""),INDIRECT(CONCATENATE(REGEXEXTRACT(D20,""(.*)-.*""),""!C3:V"")),3,FALSE))"),1750)</f>
        <v>1750</v>
      </c>
      <c r="E22" s="59">
        <f ca="1">IFERROR(__xludf.DUMMYFUNCTION("IF(ISBLANK(E20),"""",HLOOKUP(REGEXEXTRACT(E20,"".*-(.*)""),INDIRECT(CONCATENATE(REGEXEXTRACT(E20,""(.*)-.*""),""!C3:V"")),3,FALSE))"),1750)</f>
        <v>1750</v>
      </c>
      <c r="F22" s="61">
        <f ca="1">IFERROR(__xludf.DUMMYFUNCTION("IF(ISBLANK(F20),"""",HLOOKUP(REGEXEXTRACT(F20,"".*-(.*)""),INDIRECT(CONCATENATE(REGEXEXTRACT(F20,""(.*)-.*""),""!C3:V"")),3,FALSE))"),1750)</f>
        <v>1750</v>
      </c>
      <c r="H22" s="247"/>
      <c r="I22" s="79"/>
      <c r="J22" s="59"/>
      <c r="K22" s="59">
        <f ca="1">IFERROR(__xludf.DUMMYFUNCTION("IF(ISBLANK(K20),"""",HLOOKUP(REGEXEXTRACT(K20,"".*-(.*)""),INDIRECT(CONCATENATE(REGEXEXTRACT(K20,""(.*)-.*""),""!C3:V"")),3,FALSE))"),1750)</f>
        <v>1750</v>
      </c>
      <c r="L22" s="59">
        <f ca="1">IFERROR(__xludf.DUMMYFUNCTION("IF(ISBLANK(L20),"""",HLOOKUP(REGEXEXTRACT(L20,"".*-(.*)""),INDIRECT(CONCATENATE(REGEXEXTRACT(L20,""(.*)-.*""),""!C3:V"")),3,FALSE))"),1750)</f>
        <v>1750</v>
      </c>
      <c r="M22" s="61">
        <f ca="1">IFERROR(__xludf.DUMMYFUNCTION("IF(ISBLANK(M20),"""",HLOOKUP(REGEXEXTRACT(M20,"".*-(.*)""),INDIRECT(CONCATENATE(REGEXEXTRACT(M20,""(.*)-.*""),""!C3:V"")),3,FALSE))"),1750)</f>
        <v>1750</v>
      </c>
    </row>
    <row r="24" spans="1:13">
      <c r="A24" s="251"/>
      <c r="B24" s="86" t="s">
        <v>138</v>
      </c>
      <c r="C24" s="51" t="s">
        <v>125</v>
      </c>
      <c r="D24" s="52" t="s">
        <v>19</v>
      </c>
      <c r="E24" s="52" t="s">
        <v>122</v>
      </c>
      <c r="F24" s="53" t="s">
        <v>126</v>
      </c>
      <c r="H24" s="253"/>
      <c r="I24" s="89" t="s">
        <v>138</v>
      </c>
      <c r="J24" s="52" t="s">
        <v>111</v>
      </c>
      <c r="K24" s="52" t="s">
        <v>58</v>
      </c>
      <c r="L24" s="52" t="s">
        <v>70</v>
      </c>
      <c r="M24" s="53" t="s">
        <v>40</v>
      </c>
    </row>
    <row r="25" spans="1:13">
      <c r="A25" s="247"/>
      <c r="B25" s="87" t="s">
        <v>137</v>
      </c>
      <c r="C25" s="55" t="str">
        <f ca="1">IFERROR(__xludf.DUMMYFUNCTION("IF(ISBLANK(C24),"""",HLOOKUP(REGEXEXTRACT(C24,"".*-(.*)""),INDIRECT(CONCATENATE(REGEXEXTRACT(C24,""(.*)-.*""),""!C3:V"")),2,FALSE))"),"Souleater")</f>
        <v>Souleater</v>
      </c>
      <c r="D25" s="55" t="str">
        <f ca="1">IFERROR(__xludf.DUMMYFUNCTION("IF(ISBLANK(D24),"""",HLOOKUP(REGEXEXTRACT(D24,"".*-(.*)""),INDIRECT(CONCATENATE(REGEXEXTRACT(D24,""(.*)-.*""),""!C3:V"")),2,FALSE))"),"Slayer")</f>
        <v>Slayer</v>
      </c>
      <c r="E25" s="55" t="str">
        <f ca="1">IFERROR(__xludf.DUMMYFUNCTION("IF(ISBLANK(E24),"""",HLOOKUP(REGEXEXTRACT(E24,"".*-(.*)""),INDIRECT(CONCATENATE(REGEXEXTRACT(E24,""(.*)-.*""),""!C3:V"")),2,FALSE))"),"Sorc")</f>
        <v>Sorc</v>
      </c>
      <c r="F25" s="57" t="str">
        <f ca="1">IFERROR(__xludf.DUMMYFUNCTION("IF(ISBLANK(F24),"""",HLOOKUP(REGEXEXTRACT(F24,"".*-(.*)""),INDIRECT(CONCATENATE(REGEXEXTRACT(F24,""(.*)-.*""),""!C3:V"")),2,FALSE))"),"Valk")</f>
        <v>Valk</v>
      </c>
      <c r="H25" s="249"/>
      <c r="I25" s="90" t="s">
        <v>137</v>
      </c>
      <c r="J25" s="55" t="str">
        <f ca="1">IFERROR(__xludf.DUMMYFUNCTION("IF(ISBLANK(J24),"""",HLOOKUP(REGEXEXTRACT(J24,"".*-(.*)""),INDIRECT(CONCATENATE(REGEXEXTRACT(J24,""(.*)-.*""),""!C3:V"")),2,FALSE))"),"Guardianknight")</f>
        <v>Guardianknight</v>
      </c>
      <c r="K25" s="55" t="str">
        <f ca="1">IFERROR(__xludf.DUMMYFUNCTION("IF(ISBLANK(K24),"""",HLOOKUP(REGEXEXTRACT(K24,"".*-(.*)""),INDIRECT(CONCATENATE(REGEXEXTRACT(K24,""(.*)-.*""),""!C3:V"")),2,FALSE))"),"Souleater")</f>
        <v>Souleater</v>
      </c>
      <c r="L25" s="55" t="str">
        <f ca="1">IFERROR(__xludf.DUMMYFUNCTION("IF(ISBLANK(L24),"""",HLOOKUP(REGEXEXTRACT(L24,"".*-(.*)""),INDIRECT(CONCATENATE(REGEXEXTRACT(L24,""(.*)-.*""),""!C3:V"")),2,FALSE))"),"Artill")</f>
        <v>Artill</v>
      </c>
      <c r="M25" s="57" t="str">
        <f ca="1">IFERROR(__xludf.DUMMYFUNCTION("IF(ISBLANK(M24),"""",HLOOKUP(REGEXEXTRACT(M24,"".*-(.*)""),INDIRECT(CONCATENATE(REGEXEXTRACT(M24,""(.*)-.*""),""!C3:V"")),2,FALSE))"),"Paladin")</f>
        <v>Paladin</v>
      </c>
    </row>
    <row r="26" spans="1:13">
      <c r="A26" s="247"/>
      <c r="B26" s="88"/>
      <c r="C26" s="59">
        <f ca="1">IFERROR(__xludf.DUMMYFUNCTION("IF(ISBLANK(C24),"""",HLOOKUP(REGEXEXTRACT(C24,"".*-(.*)""),INDIRECT(CONCATENATE(REGEXEXTRACT(C24,""(.*)-.*""),""!C3:V"")),3,FALSE))"),1750)</f>
        <v>1750</v>
      </c>
      <c r="D26" s="59">
        <f ca="1">IFERROR(__xludf.DUMMYFUNCTION("IF(ISBLANK(D24),"""",HLOOKUP(REGEXEXTRACT(D24,"".*-(.*)""),INDIRECT(CONCATENATE(REGEXEXTRACT(D24,""(.*)-.*""),""!C3:V"")),3,FALSE))"),1750)</f>
        <v>1750</v>
      </c>
      <c r="E26" s="59">
        <f ca="1">IFERROR(__xludf.DUMMYFUNCTION("IF(ISBLANK(E24),"""",HLOOKUP(REGEXEXTRACT(E24,"".*-(.*)""),INDIRECT(CONCATENATE(REGEXEXTRACT(E24,""(.*)-.*""),""!C3:V"")),3,FALSE))"),1750)</f>
        <v>1750</v>
      </c>
      <c r="F26" s="61">
        <f ca="1">IFERROR(__xludf.DUMMYFUNCTION("IF(ISBLANK(F24),"""",HLOOKUP(REGEXEXTRACT(F24,"".*-(.*)""),INDIRECT(CONCATENATE(REGEXEXTRACT(F24,""(.*)-.*""),""!C3:V"")),3,FALSE))"),1750)</f>
        <v>1750</v>
      </c>
      <c r="H26" s="249"/>
      <c r="I26" s="91"/>
      <c r="J26" s="59">
        <f ca="1">IFERROR(__xludf.DUMMYFUNCTION("IF(ISBLANK(J24),"""",HLOOKUP(REGEXEXTRACT(J24,"".*-(.*)""),INDIRECT(CONCATENATE(REGEXEXTRACT(J24,""(.*)-.*""),""!C3:V"")),3,FALSE))"),1750)</f>
        <v>1750</v>
      </c>
      <c r="K26" s="59">
        <f ca="1">IFERROR(__xludf.DUMMYFUNCTION("IF(ISBLANK(K24),"""",HLOOKUP(REGEXEXTRACT(K24,"".*-(.*)""),INDIRECT(CONCATENATE(REGEXEXTRACT(K24,""(.*)-.*""),""!C3:V"")),3,FALSE))"),1750)</f>
        <v>1750</v>
      </c>
      <c r="L26" s="59">
        <f ca="1">IFERROR(__xludf.DUMMYFUNCTION("IF(ISBLANK(L24),"""",HLOOKUP(REGEXEXTRACT(L24,"".*-(.*)""),INDIRECT(CONCATENATE(REGEXEXTRACT(L24,""(.*)-.*""),""!C3:V"")),3,FALSE))"),1750)</f>
        <v>1750</v>
      </c>
      <c r="M26" s="61">
        <f ca="1">IFERROR(__xludf.DUMMYFUNCTION("IF(ISBLANK(M24),"""",HLOOKUP(REGEXEXTRACT(M24,"".*-(.*)""),INDIRECT(CONCATENATE(REGEXEXTRACT(M24,""(.*)-.*""),""!C3:V"")),3,FALSE))"),1750)</f>
        <v>1750</v>
      </c>
    </row>
    <row r="28" spans="1:13">
      <c r="A28" s="251"/>
      <c r="B28" s="83" t="s">
        <v>138</v>
      </c>
      <c r="C28" s="51" t="s">
        <v>35</v>
      </c>
      <c r="D28" s="52" t="s">
        <v>143</v>
      </c>
      <c r="E28" s="52" t="s">
        <v>87</v>
      </c>
      <c r="F28" s="53" t="s">
        <v>54</v>
      </c>
      <c r="H28" s="252"/>
    </row>
    <row r="29" spans="1:13">
      <c r="A29" s="247"/>
      <c r="B29" s="84" t="s">
        <v>137</v>
      </c>
      <c r="C29" s="55" t="str">
        <f ca="1">IFERROR(__xludf.DUMMYFUNCTION("IF(ISBLANK(C28),"""",HLOOKUP(REGEXEXTRACT(C28,"".*-(.*)""),INDIRECT(CONCATENATE(REGEXEXTRACT(C28,""(.*)-.*""),""!C3:V"")),2,FALSE))"),"Bard")</f>
        <v>Bard</v>
      </c>
      <c r="D29" s="55" t="str">
        <f ca="1">IFERROR(__xludf.DUMMYFUNCTION("IF(ISBLANK(D28),"""",HLOOKUP(REGEXEXTRACT(D28,"".*-(.*)""),INDIRECT(CONCATENATE(REGEXEXTRACT(D28,""(.*)-.*""),""!C3:V"")),2,FALSE))"),"Gunslinger")</f>
        <v>Gunslinger</v>
      </c>
      <c r="E29" s="55" t="str">
        <f ca="1">IFERROR(__xludf.DUMMYFUNCTION("IF(ISBLANK(E28),"""",HLOOKUP(REGEXEXTRACT(E28,"".*-(.*)""),INDIRECT(CONCATENATE(REGEXEXTRACT(E28,""(.*)-.*""),""!C3:V"")),2,FALSE))"),"#N/A")</f>
        <v>#N/A</v>
      </c>
      <c r="F29" s="57" t="str">
        <f ca="1">IFERROR(__xludf.DUMMYFUNCTION("IF(ISBLANK(F28),"""",HLOOKUP(REGEXEXTRACT(F28,"".*-(.*)""),INDIRECT(CONCATENATE(REGEXEXTRACT(F28,""(.*)-.*""),""!C3:V"")),2,FALSE))"),"Bard")</f>
        <v>Bard</v>
      </c>
      <c r="H29" s="247"/>
    </row>
    <row r="30" spans="1:13">
      <c r="A30" s="247"/>
      <c r="B30" s="85"/>
      <c r="C30" s="59">
        <f ca="1">IFERROR(__xludf.DUMMYFUNCTION("IF(ISBLANK(C28),"""",HLOOKUP(REGEXEXTRACT(C28,"".*-(.*)""),INDIRECT(CONCATENATE(REGEXEXTRACT(C28,""(.*)-.*""),""!C3:V"")),3,FALSE))"),1730)</f>
        <v>1730</v>
      </c>
      <c r="D30" s="59">
        <f ca="1">IFERROR(__xludf.DUMMYFUNCTION("IF(ISBLANK(D28),"""",HLOOKUP(REGEXEXTRACT(D28,"".*-(.*)""),INDIRECT(CONCATENATE(REGEXEXTRACT(D28,""(.*)-.*""),""!C3:V"")),3,FALSE))"),1750)</f>
        <v>1750</v>
      </c>
      <c r="E30" s="59" t="str">
        <f ca="1">IFERROR(__xludf.DUMMYFUNCTION("IF(ISBLANK(E28),"""",HLOOKUP(REGEXEXTRACT(E28,"".*-(.*)""),INDIRECT(CONCATENATE(REGEXEXTRACT(E28,""(.*)-.*""),""!C3:V"")),3,FALSE))"),"#N/A")</f>
        <v>#N/A</v>
      </c>
      <c r="F30" s="61">
        <f ca="1">IFERROR(__xludf.DUMMYFUNCTION("IF(ISBLANK(F28),"""",HLOOKUP(REGEXEXTRACT(F28,"".*-(.*)""),INDIRECT(CONCATENATE(REGEXEXTRACT(F28,""(.*)-.*""),""!C3:V"")),3,FALSE))"),1700)</f>
        <v>1700</v>
      </c>
      <c r="H30" s="247"/>
    </row>
  </sheetData>
  <mergeCells count="14">
    <mergeCell ref="A4:A6"/>
    <mergeCell ref="H4:H6"/>
    <mergeCell ref="A8:A10"/>
    <mergeCell ref="H8:H10"/>
    <mergeCell ref="A12:A14"/>
    <mergeCell ref="H12:H14"/>
    <mergeCell ref="A16:A18"/>
    <mergeCell ref="A20:A22"/>
    <mergeCell ref="A24:A26"/>
    <mergeCell ref="A28:A30"/>
    <mergeCell ref="H20:H22"/>
    <mergeCell ref="H24:H26"/>
    <mergeCell ref="H28:H30"/>
    <mergeCell ref="H16:H18"/>
  </mergeCells>
  <conditionalFormatting sqref="A4:A6 H4:H6 A8:A10 H8:H10 A12:A14 H12:H14 A16:A18 H16:H18 A20:A22 H20:H22 A24:A26 H24:H26 A28:A30 H28:H30">
    <cfRule type="cellIs" dxfId="18" priority="1" operator="equal">
      <formula>"DONE"</formula>
    </cfRule>
    <cfRule type="containsBlanks" dxfId="17" priority="2">
      <formula>LEN(TRIM(A4))=0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0000000}">
          <x14:formula1>
            <xm:f>chars!$B$2:$Z976</xm:f>
          </x14:formula1>
          <xm:sqref>C4:F4 J4:M4 C8:F8 C12:F12 J12:M12 C16:F16 J16:M16 C20:F20 J20:M20 C24:F24 J24:M24 C28:F28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4:N43"/>
  <sheetViews>
    <sheetView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8.140625" hidden="1" customWidth="1"/>
    <col min="8" max="9" width="13.5703125" customWidth="1"/>
    <col min="10" max="13" width="18.140625" customWidth="1"/>
  </cols>
  <sheetData>
    <row r="4" spans="1:14">
      <c r="A4" s="251"/>
      <c r="B4" s="64" t="s">
        <v>134</v>
      </c>
      <c r="C4" s="51" t="s">
        <v>39</v>
      </c>
      <c r="D4" s="52" t="s">
        <v>4</v>
      </c>
      <c r="E4" s="52" t="s">
        <v>60</v>
      </c>
      <c r="F4" s="53" t="s">
        <v>114</v>
      </c>
      <c r="H4" s="251"/>
      <c r="I4" s="65" t="s">
        <v>134</v>
      </c>
      <c r="J4" s="51" t="s">
        <v>127</v>
      </c>
      <c r="K4" s="52" t="s">
        <v>112</v>
      </c>
      <c r="L4" s="52" t="s">
        <v>129</v>
      </c>
      <c r="M4" s="53" t="s">
        <v>130</v>
      </c>
    </row>
    <row r="5" spans="1:14">
      <c r="A5" s="247"/>
      <c r="B5" s="66" t="s">
        <v>135</v>
      </c>
      <c r="C5" s="55" t="str">
        <f ca="1">IFERROR(__xludf.DUMMYFUNCTION("IF(ISBLANK(C4),"""",HLOOKUP(REGEXEXTRACT(C4,"".*-(.*)""),INDIRECT(CONCATENATE(REGEXEXTRACT(C4,""(.*)-.*""),""!C3:V"")),2,FALSE))"),"Summoner")</f>
        <v>Summoner</v>
      </c>
      <c r="D5" s="55" t="str">
        <f ca="1">IFERROR(__xludf.DUMMYFUNCTION("IF(ISBLANK(D4),"""",HLOOKUP(REGEXEXTRACT(D4,"".*-(.*)""),INDIRECT(CONCATENATE(REGEXEXTRACT(D4,""(.*)-.*""),""!C3:V"")),2,FALSE))"),"Gunslinger")</f>
        <v>Gunslinger</v>
      </c>
      <c r="E5" s="55" t="str">
        <f ca="1">IFERROR(__xludf.DUMMYFUNCTION("IF(ISBLANK(E4),"""",HLOOKUP(REGEXEXTRACT(E4,"".*-(.*)""),INDIRECT(CONCATENATE(REGEXEXTRACT(E4,""(.*)-.*""),""!C3:V"")),2,FALSE))"),"BREAKER")</f>
        <v>BREAKER</v>
      </c>
      <c r="F5" s="57" t="str">
        <f ca="1">IFERROR(__xludf.DUMMYFUNCTION("IF(ISBLANK(F4),"""",HLOOKUP(REGEXEXTRACT(F4,"".*-(.*)""),INDIRECT(CONCATENATE(REGEXEXTRACT(F4,""(.*)-.*""),""!C3:V"")),2,FALSE))"),"Artist")</f>
        <v>Artist</v>
      </c>
      <c r="H5" s="247"/>
      <c r="I5" s="67" t="s">
        <v>136</v>
      </c>
      <c r="J5" s="55" t="str">
        <f ca="1">IFERROR(__xludf.DUMMYFUNCTION("IF(ISBLANK(J4),"""",HLOOKUP(REGEXEXTRACT(J4,"".*-(.*)""),INDIRECT(CONCATENATE(REGEXEXTRACT(J4,""(.*)-.*""),""!C3:V"")),2,FALSE))"),"Shadowhunter")</f>
        <v>Shadowhunter</v>
      </c>
      <c r="K5" s="55" t="str">
        <f ca="1">IFERROR(__xludf.DUMMYFUNCTION("IF(ISBLANK(K4),"""",HLOOKUP(REGEXEXTRACT(K4,"".*-(.*)""),INDIRECT(CONCATENATE(REGEXEXTRACT(K4,""(.*)-.*""),""!C3:V"")),2,FALSE))"),"Slayer")</f>
        <v>Slayer</v>
      </c>
      <c r="L5" s="55" t="str">
        <f ca="1">IFERROR(__xludf.DUMMYFUNCTION("IF(ISBLANK(L4),"""",HLOOKUP(REGEXEXTRACT(L4,"".*-(.*)""),INDIRECT(CONCATENATE(REGEXEXTRACT(L4,""(.*)-.*""),""!C3:V"")),2,FALSE))"),"Arcana")</f>
        <v>Arcana</v>
      </c>
      <c r="M5" s="57" t="str">
        <f ca="1">IFERROR(__xludf.DUMMYFUNCTION("IF(ISBLANK(M4),"""",HLOOKUP(REGEXEXTRACT(M4,"".*-(.*)""),INDIRECT(CONCATENATE(REGEXEXTRACT(M4,""(.*)-.*""),""!C3:V"")),2,FALSE))"),"Bard")</f>
        <v>Bard</v>
      </c>
    </row>
    <row r="6" spans="1:14">
      <c r="A6" s="247"/>
      <c r="B6" s="68"/>
      <c r="C6" s="59">
        <f ca="1">IFERROR(__xludf.DUMMYFUNCTION("IF(ISBLANK(C4),"""",HLOOKUP(REGEXEXTRACT(C4,"".*-(.*)""),INDIRECT(CONCATENATE(REGEXEXTRACT(C4,""(.*)-.*""),""!C3:V"")),3,FALSE))"),1750)</f>
        <v>1750</v>
      </c>
      <c r="D6" s="59">
        <f ca="1">IFERROR(__xludf.DUMMYFUNCTION("IF(ISBLANK(D4),"""",HLOOKUP(REGEXEXTRACT(D4,"".*-(.*)""),INDIRECT(CONCATENATE(REGEXEXTRACT(D4,""(.*)-.*""),""!C3:V"")),3,FALSE))"),1750)</f>
        <v>1750</v>
      </c>
      <c r="E6" s="59">
        <f ca="1">IFERROR(__xludf.DUMMYFUNCTION("IF(ISBLANK(E4),"""",HLOOKUP(REGEXEXTRACT(E4,"".*-(.*)""),INDIRECT(CONCATENATE(REGEXEXTRACT(E4,""(.*)-.*""),""!C3:V"")),3,FALSE))"),1750)</f>
        <v>1750</v>
      </c>
      <c r="F6" s="61">
        <f ca="1">IFERROR(__xludf.DUMMYFUNCTION("IF(ISBLANK(F4),"""",HLOOKUP(REGEXEXTRACT(F4,"".*-(.*)""),INDIRECT(CONCATENATE(REGEXEXTRACT(F4,""(.*)-.*""),""!C3:V"")),3,FALSE))"),1750)</f>
        <v>1750</v>
      </c>
      <c r="H6" s="247"/>
      <c r="I6" s="69"/>
      <c r="J6" s="59">
        <f ca="1">IFERROR(__xludf.DUMMYFUNCTION("IF(ISBLANK(J4),"""",HLOOKUP(REGEXEXTRACT(J4,"".*-(.*)""),INDIRECT(CONCATENATE(REGEXEXTRACT(J4,""(.*)-.*""),""!C3:V"")),3,FALSE))"),1750)</f>
        <v>1750</v>
      </c>
      <c r="K6" s="59">
        <f ca="1">IFERROR(__xludf.DUMMYFUNCTION("IF(ISBLANK(K4),"""",HLOOKUP(REGEXEXTRACT(K4,"".*-(.*)""),INDIRECT(CONCATENATE(REGEXEXTRACT(K4,""(.*)-.*""),""!C3:V"")),3,FALSE))"),1750)</f>
        <v>1750</v>
      </c>
      <c r="L6" s="59">
        <f ca="1">IFERROR(__xludf.DUMMYFUNCTION("IF(ISBLANK(L4),"""",HLOOKUP(REGEXEXTRACT(L4,"".*-(.*)""),INDIRECT(CONCATENATE(REGEXEXTRACT(L4,""(.*)-.*""),""!C3:V"")),3,FALSE))"),1690)</f>
        <v>1690</v>
      </c>
      <c r="M6" s="61">
        <f ca="1">IFERROR(__xludf.DUMMYFUNCTION("IF(ISBLANK(M4),"""",HLOOKUP(REGEXEXTRACT(M4,"".*-(.*)""),INDIRECT(CONCATENATE(REGEXEXTRACT(M4,""(.*)-.*""),""!C3:V"")),3,FALSE))"),1750)</f>
        <v>1750</v>
      </c>
    </row>
    <row r="8" spans="1:14">
      <c r="A8" s="251"/>
      <c r="B8" s="64" t="s">
        <v>134</v>
      </c>
      <c r="C8" s="51" t="s">
        <v>88</v>
      </c>
      <c r="D8" s="52" t="s">
        <v>24</v>
      </c>
      <c r="E8" s="52" t="s">
        <v>89</v>
      </c>
      <c r="F8" s="53" t="s">
        <v>92</v>
      </c>
      <c r="H8" s="251"/>
      <c r="I8" s="70" t="s">
        <v>134</v>
      </c>
      <c r="J8" s="51" t="s">
        <v>27</v>
      </c>
      <c r="K8" s="52" t="s">
        <v>113</v>
      </c>
      <c r="L8" s="52" t="s">
        <v>124</v>
      </c>
      <c r="M8" s="53" t="s">
        <v>118</v>
      </c>
    </row>
    <row r="9" spans="1:14">
      <c r="A9" s="247"/>
      <c r="B9" s="66" t="s">
        <v>137</v>
      </c>
      <c r="C9" s="55" t="str">
        <f ca="1">IFERROR(__xludf.DUMMYFUNCTION("IF(ISBLANK(C8),"""",HLOOKUP(REGEXEXTRACT(C8,"".*-(.*)""),INDIRECT(CONCATENATE(REGEXEXTRACT(C8,""(.*)-.*""),""!C3:V"")),2,FALSE))"),"Wildsoul")</f>
        <v>Wildsoul</v>
      </c>
      <c r="D9" s="55" t="str">
        <f ca="1">IFERROR(__xludf.DUMMYFUNCTION("IF(ISBLANK(D8),"""",HLOOKUP(REGEXEXTRACT(D8,"".*-(.*)""),INDIRECT(CONCATENATE(REGEXEXTRACT(D8,""(.*)-.*""),""!C3:V"")),2,FALSE))"),"Glaivier")</f>
        <v>Glaivier</v>
      </c>
      <c r="E9" s="55" t="str">
        <f ca="1">IFERROR(__xludf.DUMMYFUNCTION("IF(ISBLANK(E8),"""",HLOOKUP(REGEXEXTRACT(E8,"".*-(.*)""),INDIRECT(CONCATENATE(REGEXEXTRACT(E8,""(.*)-.*""),""!C3:V"")),2,FALSE))"),"G")</f>
        <v>G</v>
      </c>
      <c r="F9" s="57" t="str">
        <f ca="1">IFERROR(__xludf.DUMMYFUNCTION("IF(ISBLANK(F8),"""",HLOOKUP(REGEXEXTRACT(F8,"".*-(.*)""),INDIRECT(CONCATENATE(REGEXEXTRACT(F8,""(.*)-.*""),""!C3:V"")),2,FALSE))"),"Artist")</f>
        <v>Artist</v>
      </c>
      <c r="H9" s="247"/>
      <c r="I9" s="71" t="s">
        <v>137</v>
      </c>
      <c r="J9" s="55" t="str">
        <f ca="1">IFERROR(__xludf.DUMMYFUNCTION("IF(ISBLANK(J8),"""",HLOOKUP(REGEXEXTRACT(J8,"".*-(.*)""),INDIRECT(CONCATENATE(REGEXEXTRACT(J8,""(.*)-.*""),""!C3:V"")),2,FALSE))"),"Guardianknight")</f>
        <v>Guardianknight</v>
      </c>
      <c r="K9" s="55" t="str">
        <f ca="1">IFERROR(__xludf.DUMMYFUNCTION("IF(ISBLANK(K8),"""",HLOOKUP(REGEXEXTRACT(K8,"".*-(.*)""),INDIRECT(CONCATENATE(REGEXEXTRACT(K8,""(.*)-.*""),""!C3:V"")),2,FALSE))"),"Scrapper")</f>
        <v>Scrapper</v>
      </c>
      <c r="L9" s="55" t="str">
        <f ca="1">IFERROR(__xludf.DUMMYFUNCTION("IF(ISBLANK(L8),"""",HLOOKUP(REGEXEXTRACT(L8,"".*-(.*)""),INDIRECT(CONCATENATE(REGEXEXTRACT(L8,""(.*)-.*""),""!C3:V"")),2,FALSE))"),"Valk")</f>
        <v>Valk</v>
      </c>
      <c r="M9" s="57" t="str">
        <f ca="1">IFERROR(__xludf.DUMMYFUNCTION("IF(ISBLANK(M8),"""",HLOOKUP(REGEXEXTRACT(M8,"".*-(.*)""),INDIRECT(CONCATENATE(REGEXEXTRACT(M8,""(.*)-.*""),""!C3:V"")),2,FALSE))"),"Valk")</f>
        <v>Valk</v>
      </c>
    </row>
    <row r="10" spans="1:14">
      <c r="A10" s="247"/>
      <c r="B10" s="68"/>
      <c r="C10" s="59">
        <f ca="1">IFERROR(__xludf.DUMMYFUNCTION("IF(ISBLANK(C8),"""",HLOOKUP(REGEXEXTRACT(C8,"".*-(.*)""),INDIRECT(CONCATENATE(REGEXEXTRACT(C8,""(.*)-.*""),""!C3:V"")),3,FALSE))"),1750)</f>
        <v>1750</v>
      </c>
      <c r="D10" s="59">
        <f ca="1">IFERROR(__xludf.DUMMYFUNCTION("IF(ISBLANK(D8),"""",HLOOKUP(REGEXEXTRACT(D8,"".*-(.*)""),INDIRECT(CONCATENATE(REGEXEXTRACT(D8,""(.*)-.*""),""!C3:V"")),3,FALSE))"),1750)</f>
        <v>1750</v>
      </c>
      <c r="E10" s="59">
        <f ca="1">IFERROR(__xludf.DUMMYFUNCTION("IF(ISBLANK(E8),"""",HLOOKUP(REGEXEXTRACT(E8,"".*-(.*)""),INDIRECT(CONCATENATE(REGEXEXTRACT(E8,""(.*)-.*""),""!C3:V"")),3,FALSE))"),1750)</f>
        <v>1750</v>
      </c>
      <c r="F10" s="61">
        <f ca="1">IFERROR(__xludf.DUMMYFUNCTION("IF(ISBLANK(F8),"""",HLOOKUP(REGEXEXTRACT(F8,"".*-(.*)""),INDIRECT(CONCATENATE(REGEXEXTRACT(F8,""(.*)-.*""),""!C3:V"")),3,FALSE))"),1730)</f>
        <v>1730</v>
      </c>
      <c r="H10" s="247"/>
      <c r="I10" s="72"/>
      <c r="J10" s="59">
        <f ca="1">IFERROR(__xludf.DUMMYFUNCTION("IF(ISBLANK(J8),"""",HLOOKUP(REGEXEXTRACT(J8,"".*-(.*)""),INDIRECT(CONCATENATE(REGEXEXTRACT(J8,""(.*)-.*""),""!C3:V"")),3,FALSE))"),1750)</f>
        <v>1750</v>
      </c>
      <c r="K10" s="59">
        <f ca="1">IFERROR(__xludf.DUMMYFUNCTION("IF(ISBLANK(K8),"""",HLOOKUP(REGEXEXTRACT(K8,"".*-(.*)""),INDIRECT(CONCATENATE(REGEXEXTRACT(K8,""(.*)-.*""),""!C3:V"")),3,FALSE))"),1700)</f>
        <v>1700</v>
      </c>
      <c r="L10" s="59">
        <f ca="1">IFERROR(__xludf.DUMMYFUNCTION("IF(ISBLANK(L8),"""",HLOOKUP(REGEXEXTRACT(L8,"".*-(.*)""),INDIRECT(CONCATENATE(REGEXEXTRACT(L8,""(.*)-.*""),""!C3:V"")),3,FALSE))"),1750)</f>
        <v>1750</v>
      </c>
      <c r="M10" s="61">
        <f ca="1">IFERROR(__xludf.DUMMYFUNCTION("IF(ISBLANK(M8),"""",HLOOKUP(REGEXEXTRACT(M8,"".*-(.*)""),INDIRECT(CONCATENATE(REGEXEXTRACT(M8,""(.*)-.*""),""!C3:V"")),3,FALSE))"),1750)</f>
        <v>1750</v>
      </c>
    </row>
    <row r="11" spans="1:14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4">
      <c r="A12" s="251"/>
      <c r="B12" s="64" t="s">
        <v>138</v>
      </c>
      <c r="C12" s="51" t="s">
        <v>58</v>
      </c>
      <c r="D12" s="52" t="s">
        <v>12</v>
      </c>
      <c r="E12" s="52" t="s">
        <v>67</v>
      </c>
      <c r="F12" s="53" t="s">
        <v>119</v>
      </c>
      <c r="H12" s="251"/>
      <c r="I12" s="65" t="s">
        <v>138</v>
      </c>
      <c r="J12" s="51" t="s">
        <v>120</v>
      </c>
      <c r="K12" s="52" t="s">
        <v>121</v>
      </c>
      <c r="L12" s="52" t="s">
        <v>93</v>
      </c>
      <c r="M12" s="53" t="s">
        <v>54</v>
      </c>
    </row>
    <row r="13" spans="1:14">
      <c r="A13" s="247"/>
      <c r="B13" s="66" t="s">
        <v>137</v>
      </c>
      <c r="C13" s="55" t="str">
        <f ca="1">IFERROR(__xludf.DUMMYFUNCTION("IF(ISBLANK(C12),"""",HLOOKUP(REGEXEXTRACT(C12,"".*-(.*)""),INDIRECT(CONCATENATE(REGEXEXTRACT(C12,""(.*)-.*""),""!C3:V"")),2,FALSE))"),"Souleater")</f>
        <v>Souleater</v>
      </c>
      <c r="D13" s="55" t="str">
        <f ca="1">IFERROR(__xludf.DUMMYFUNCTION("IF(ISBLANK(D12),"""",HLOOKUP(REGEXEXTRACT(D12,"".*-(.*)""),INDIRECT(CONCATENATE(REGEXEXTRACT(D12,""(.*)-.*""),""!C3:V"")),2,FALSE))"),"Sorceress")</f>
        <v>Sorceress</v>
      </c>
      <c r="E13" s="55" t="str">
        <f ca="1">IFERROR(__xludf.DUMMYFUNCTION("IF(ISBLANK(E12),"""",HLOOKUP(REGEXEXTRACT(E12,"".*-(.*)""),INDIRECT(CONCATENATE(REGEXEXTRACT(E12,""(.*)-.*""),""!C3:V"")),2,FALSE))"),"Bonk")</f>
        <v>Bonk</v>
      </c>
      <c r="F13" s="57" t="str">
        <f ca="1">IFERROR(__xludf.DUMMYFUNCTION("IF(ISBLANK(F12),"""",HLOOKUP(REGEXEXTRACT(F12,"".*-(.*)""),INDIRECT(CONCATENATE(REGEXEXTRACT(F12,""(.*)-.*""),""!C3:V"")),2,FALSE))"),"Artist")</f>
        <v>Artist</v>
      </c>
      <c r="H13" s="247"/>
      <c r="I13" s="67" t="s">
        <v>137</v>
      </c>
      <c r="J13" s="55" t="str">
        <f ca="1">IFERROR(__xludf.DUMMYFUNCTION("IF(ISBLANK(J12),"""",HLOOKUP(REGEXEXTRACT(J12,"".*-(.*)""),INDIRECT(CONCATENATE(REGEXEXTRACT(J12,""(.*)-.*""),""!C3:V"")),2,FALSE))"),"Glaivier")</f>
        <v>Glaivier</v>
      </c>
      <c r="K13" s="55" t="str">
        <f ca="1">IFERROR(__xludf.DUMMYFUNCTION("IF(ISBLANK(K12),"""",HLOOKUP(REGEXEXTRACT(K12,"".*-(.*)""),INDIRECT(CONCATENATE(REGEXEXTRACT(K12,""(.*)-.*""),""!C3:V"")),2,FALSE))"),"Deathblade")</f>
        <v>Deathblade</v>
      </c>
      <c r="L13" s="55" t="str">
        <f ca="1">IFERROR(__xludf.DUMMYFUNCTION("IF(ISBLANK(L12),"""",HLOOKUP(REGEXEXTRACT(L12,"".*-(.*)""),INDIRECT(CONCATENATE(REGEXEXTRACT(L12,""(.*)-.*""),""!C3:V"")),2,FALSE))"),"Arcana")</f>
        <v>Arcana</v>
      </c>
      <c r="M13" s="57" t="str">
        <f ca="1">IFERROR(__xludf.DUMMYFUNCTION("IF(ISBLANK(M12),"""",HLOOKUP(REGEXEXTRACT(M12,"".*-(.*)""),INDIRECT(CONCATENATE(REGEXEXTRACT(M12,""(.*)-.*""),""!C3:V"")),2,FALSE))"),"Bard")</f>
        <v>Bard</v>
      </c>
    </row>
    <row r="14" spans="1:14">
      <c r="A14" s="247"/>
      <c r="B14" s="68"/>
      <c r="C14" s="59">
        <f ca="1">IFERROR(__xludf.DUMMYFUNCTION("IF(ISBLANK(C12),"""",HLOOKUP(REGEXEXTRACT(C12,"".*-(.*)""),INDIRECT(CONCATENATE(REGEXEXTRACT(C12,""(.*)-.*""),""!C3:V"")),3,FALSE))"),1750)</f>
        <v>1750</v>
      </c>
      <c r="D14" s="59">
        <f ca="1">IFERROR(__xludf.DUMMYFUNCTION("IF(ISBLANK(D12),"""",HLOOKUP(REGEXEXTRACT(D12,"".*-(.*)""),INDIRECT(CONCATENATE(REGEXEXTRACT(D12,""(.*)-.*""),""!C3:V"")),3,FALSE))"),1750)</f>
        <v>1750</v>
      </c>
      <c r="E14" s="59">
        <f ca="1">IFERROR(__xludf.DUMMYFUNCTION("IF(ISBLANK(E12),"""",HLOOKUP(REGEXEXTRACT(E12,"".*-(.*)""),INDIRECT(CONCATENATE(REGEXEXTRACT(E12,""(.*)-.*""),""!C3:V"")),3,FALSE))"),1750)</f>
        <v>1750</v>
      </c>
      <c r="F14" s="61">
        <f ca="1">IFERROR(__xludf.DUMMYFUNCTION("IF(ISBLANK(F12),"""",HLOOKUP(REGEXEXTRACT(F12,"".*-(.*)""),INDIRECT(CONCATENATE(REGEXEXTRACT(F12,""(.*)-.*""),""!C3:V"")),3,FALSE))"),1750)</f>
        <v>1750</v>
      </c>
      <c r="H14" s="247"/>
      <c r="I14" s="69"/>
      <c r="J14" s="59">
        <f ca="1">IFERROR(__xludf.DUMMYFUNCTION("IF(ISBLANK(J12),"""",HLOOKUP(REGEXEXTRACT(J12,"".*-(.*)""),INDIRECT(CONCATENATE(REGEXEXTRACT(J12,""(.*)-.*""),""!C3:V"")),3,FALSE))"),1750)</f>
        <v>1750</v>
      </c>
      <c r="K14" s="59">
        <f ca="1">IFERROR(__xludf.DUMMYFUNCTION("IF(ISBLANK(K12),"""",HLOOKUP(REGEXEXTRACT(K12,"".*-(.*)""),INDIRECT(CONCATENATE(REGEXEXTRACT(K12,""(.*)-.*""),""!C3:V"")),3,FALSE))"),1750)</f>
        <v>1750</v>
      </c>
      <c r="L14" s="59">
        <f ca="1">IFERROR(__xludf.DUMMYFUNCTION("IF(ISBLANK(L12),"""",HLOOKUP(REGEXEXTRACT(L12,"".*-(.*)""),INDIRECT(CONCATENATE(REGEXEXTRACT(L12,""(.*)-.*""),""!C3:V"")),3,FALSE))"),1750)</f>
        <v>1750</v>
      </c>
      <c r="M14" s="61">
        <f ca="1">IFERROR(__xludf.DUMMYFUNCTION("IF(ISBLANK(M12),"""",HLOOKUP(REGEXEXTRACT(M12,"".*-(.*)""),INDIRECT(CONCATENATE(REGEXEXTRACT(M12,""(.*)-.*""),""!C3:V"")),3,FALSE))"),1700)</f>
        <v>1700</v>
      </c>
    </row>
    <row r="16" spans="1:14">
      <c r="A16" s="253"/>
      <c r="B16" s="92" t="s">
        <v>138</v>
      </c>
      <c r="C16" s="52" t="s">
        <v>110</v>
      </c>
      <c r="D16" s="52" t="s">
        <v>30</v>
      </c>
      <c r="E16" s="52" t="s">
        <v>86</v>
      </c>
      <c r="F16" s="53" t="s">
        <v>128</v>
      </c>
      <c r="H16" s="251"/>
      <c r="I16" s="77" t="s">
        <v>138</v>
      </c>
      <c r="J16" s="51" t="s">
        <v>87</v>
      </c>
      <c r="K16" s="52" t="s">
        <v>55</v>
      </c>
      <c r="L16" s="52" t="s">
        <v>100</v>
      </c>
      <c r="M16" s="53" t="s">
        <v>123</v>
      </c>
    </row>
    <row r="17" spans="1:13">
      <c r="A17" s="249"/>
      <c r="B17" s="93" t="s">
        <v>137</v>
      </c>
      <c r="C17" s="55" t="str">
        <f ca="1">IFERROR(__xludf.DUMMYFUNCTION("IF(ISBLANK(C16),"""",HLOOKUP(REGEXEXTRACT(C16,"".*-(.*)""),INDIRECT(CONCATENATE(REGEXEXTRACT(C16,""(.*)-.*""),""!C3:V"")),2,FALSE))"),"Souleater")</f>
        <v>Souleater</v>
      </c>
      <c r="D17" s="55" t="str">
        <f ca="1">IFERROR(__xludf.DUMMYFUNCTION("IF(ISBLANK(D16),"""",HLOOKUP(REGEXEXTRACT(D16,"".*-(.*)""),INDIRECT(CONCATENATE(REGEXEXTRACT(D16,""(.*)-.*""),""!C3:V"")),2,FALSE))"),"Soulfist")</f>
        <v>Soulfist</v>
      </c>
      <c r="E17" s="55" t="s">
        <v>131</v>
      </c>
      <c r="F17" s="57" t="str">
        <f ca="1">IFERROR(__xludf.DUMMYFUNCTION("IF(ISBLANK(F16),"""",HLOOKUP(REGEXEXTRACT(F16,"".*-(.*)""),INDIRECT(CONCATENATE(REGEXEXTRACT(F16,""(.*)-.*""),""!C3:V"")),2,FALSE))"),"Bard")</f>
        <v>Bard</v>
      </c>
      <c r="H17" s="247"/>
      <c r="I17" s="78" t="s">
        <v>137</v>
      </c>
      <c r="J17" s="55" t="s">
        <v>141</v>
      </c>
      <c r="K17" s="55" t="str">
        <f ca="1">IFERROR(__xludf.DUMMYFUNCTION("IF(ISBLANK(K16),"""",HLOOKUP(REGEXEXTRACT(K16,"".*-(.*)""),INDIRECT(CONCATENATE(REGEXEXTRACT(K16,""(.*)-.*""),""!C3:V"")),2,FALSE))"),"GL")</f>
        <v>GL</v>
      </c>
      <c r="L17" s="55" t="str">
        <f ca="1">IFERROR(__xludf.DUMMYFUNCTION("IF(ISBLANK(L16),"""",HLOOKUP(REGEXEXTRACT(L16,"".*-(.*)""),INDIRECT(CONCATENATE(REGEXEXTRACT(L16,""(.*)-.*""),""!C3:V"")),2,FALSE))"),"Glaivier")</f>
        <v>Glaivier</v>
      </c>
      <c r="M17" s="57" t="str">
        <f ca="1">IFERROR(__xludf.DUMMYFUNCTION("IF(ISBLANK(M16),"""",HLOOKUP(REGEXEXTRACT(M16,"".*-(.*)""),INDIRECT(CONCATENATE(REGEXEXTRACT(M16,""(.*)-.*""),""!C3:V"")),2,FALSE))"),"Paladin")</f>
        <v>Paladin</v>
      </c>
    </row>
    <row r="18" spans="1:13">
      <c r="A18" s="249"/>
      <c r="B18" s="94"/>
      <c r="C18" s="59">
        <f ca="1">IFERROR(__xludf.DUMMYFUNCTION("IF(ISBLANK(C16),"""",HLOOKUP(REGEXEXTRACT(C16,"".*-(.*)""),INDIRECT(CONCATENATE(REGEXEXTRACT(C16,""(.*)-.*""),""!C3:V"")),3,FALSE))"),1750)</f>
        <v>1750</v>
      </c>
      <c r="D18" s="59">
        <f ca="1">IFERROR(__xludf.DUMMYFUNCTION("IF(ISBLANK(D16),"""",HLOOKUP(REGEXEXTRACT(D16,"".*-(.*)""),INDIRECT(CONCATENATE(REGEXEXTRACT(D16,""(.*)-.*""),""!C3:V"")),3,FALSE))"),1750)</f>
        <v>1750</v>
      </c>
      <c r="E18" s="59"/>
      <c r="F18" s="61">
        <f ca="1">IFERROR(__xludf.DUMMYFUNCTION("IF(ISBLANK(F16),"""",HLOOKUP(REGEXEXTRACT(F16,"".*-(.*)""),INDIRECT(CONCATENATE(REGEXEXTRACT(F16,""(.*)-.*""),""!C3:V"")),3,FALSE))"),1750)</f>
        <v>1750</v>
      </c>
      <c r="H18" s="247"/>
      <c r="I18" s="79"/>
      <c r="J18" s="59"/>
      <c r="K18" s="59">
        <f ca="1">IFERROR(__xludf.DUMMYFUNCTION("IF(ISBLANK(K16),"""",HLOOKUP(REGEXEXTRACT(K16,"".*-(.*)""),INDIRECT(CONCATENATE(REGEXEXTRACT(K16,""(.*)-.*""),""!C3:V"")),3,FALSE))"),1750)</f>
        <v>1750</v>
      </c>
      <c r="L18" s="59">
        <f ca="1">IFERROR(__xludf.DUMMYFUNCTION("IF(ISBLANK(L16),"""",HLOOKUP(REGEXEXTRACT(L16,"".*-(.*)""),INDIRECT(CONCATENATE(REGEXEXTRACT(L16,""(.*)-.*""),""!C3:V"")),3,FALSE))"),1750)</f>
        <v>1750</v>
      </c>
      <c r="M18" s="61">
        <f ca="1">IFERROR(__xludf.DUMMYFUNCTION("IF(ISBLANK(M16),"""",HLOOKUP(REGEXEXTRACT(M16,"".*-(.*)""),INDIRECT(CONCATENATE(REGEXEXTRACT(M16,""(.*)-.*""),""!C3:V"")),3,FALSE))"),1750)</f>
        <v>1750</v>
      </c>
    </row>
    <row r="20" spans="1:13">
      <c r="A20" s="251"/>
      <c r="B20" s="95" t="s">
        <v>138</v>
      </c>
      <c r="C20" s="51" t="s">
        <v>99</v>
      </c>
      <c r="D20" s="52" t="s">
        <v>19</v>
      </c>
      <c r="E20" s="52" t="s">
        <v>90</v>
      </c>
      <c r="F20" s="53" t="s">
        <v>109</v>
      </c>
      <c r="H20" s="251"/>
      <c r="I20" s="77" t="s">
        <v>138</v>
      </c>
      <c r="J20" s="51" t="s">
        <v>87</v>
      </c>
      <c r="K20" s="52" t="s">
        <v>143</v>
      </c>
      <c r="L20" s="52" t="s">
        <v>111</v>
      </c>
      <c r="M20" s="53" t="s">
        <v>65</v>
      </c>
    </row>
    <row r="21" spans="1:13">
      <c r="A21" s="247"/>
      <c r="B21" s="96" t="s">
        <v>137</v>
      </c>
      <c r="C21" s="55" t="str">
        <f ca="1">IFERROR(__xludf.DUMMYFUNCTION("IF(ISBLANK(C20),"""",HLOOKUP(REGEXEXTRACT(C20,"".*-(.*)""),INDIRECT(CONCATENATE(REGEXEXTRACT(C20,""(.*)-.*""),""!C3:V"")),2,FALSE))"),"Aeromancer")</f>
        <v>Aeromancer</v>
      </c>
      <c r="D21" s="55" t="str">
        <f ca="1">IFERROR(__xludf.DUMMYFUNCTION("IF(ISBLANK(D20),"""",HLOOKUP(REGEXEXTRACT(D20,"".*-(.*)""),INDIRECT(CONCATENATE(REGEXEXTRACT(D20,""(.*)-.*""),""!C3:V"")),2,FALSE))"),"Slayer")</f>
        <v>Slayer</v>
      </c>
      <c r="E21" s="55" t="str">
        <f ca="1">IFERROR(__xludf.DUMMYFUNCTION("IF(ISBLANK(E20),"""",HLOOKUP(REGEXEXTRACT(E20,"".*-(.*)""),INDIRECT(CONCATENATE(REGEXEXTRACT(E20,""(.*)-.*""),""!C3:V"")),2,FALSE))"),"Wildsoul")</f>
        <v>Wildsoul</v>
      </c>
      <c r="F21" s="57" t="str">
        <f ca="1">IFERROR(__xludf.DUMMYFUNCTION("IF(ISBLANK(F20),"""",HLOOKUP(REGEXEXTRACT(F20,"".*-(.*)""),INDIRECT(CONCATENATE(REGEXEXTRACT(F20,""(.*)-.*""),""!C3:V"")),2,FALSE))"),"Valk")</f>
        <v>Valk</v>
      </c>
      <c r="H21" s="247"/>
      <c r="I21" s="78" t="s">
        <v>137</v>
      </c>
      <c r="J21" s="55" t="s">
        <v>146</v>
      </c>
      <c r="K21" s="55" t="str">
        <f ca="1">IFERROR(__xludf.DUMMYFUNCTION("IF(ISBLANK(K20),"""",HLOOKUP(REGEXEXTRACT(K20,"".*-(.*)""),INDIRECT(CONCATENATE(REGEXEXTRACT(K20,""(.*)-.*""),""!C3:V"")),2,FALSE))"),"Gunslinger")</f>
        <v>Gunslinger</v>
      </c>
      <c r="L21" s="55" t="str">
        <f ca="1">IFERROR(__xludf.DUMMYFUNCTION("IF(ISBLANK(L20),"""",HLOOKUP(REGEXEXTRACT(L20,"".*-(.*)""),INDIRECT(CONCATENATE(REGEXEXTRACT(L20,""(.*)-.*""),""!C3:V"")),2,FALSE))"),"Guardianknight")</f>
        <v>Guardianknight</v>
      </c>
      <c r="M21" s="57" t="str">
        <f ca="1">IFERROR(__xludf.DUMMYFUNCTION("IF(ISBLANK(M20),"""",HLOOKUP(REGEXEXTRACT(M20,"".*-(.*)""),INDIRECT(CONCATENATE(REGEXEXTRACT(M20,""(.*)-.*""),""!C3:V"")),2,FALSE))"),"Paladin")</f>
        <v>Paladin</v>
      </c>
    </row>
    <row r="22" spans="1:13">
      <c r="A22" s="247"/>
      <c r="B22" s="97"/>
      <c r="C22" s="59">
        <f ca="1">IFERROR(__xludf.DUMMYFUNCTION("IF(ISBLANK(C20),"""",HLOOKUP(REGEXEXTRACT(C20,"".*-(.*)""),INDIRECT(CONCATENATE(REGEXEXTRACT(C20,""(.*)-.*""),""!C3:V"")),3,FALSE))"),1750)</f>
        <v>1750</v>
      </c>
      <c r="D22" s="59">
        <f ca="1">IFERROR(__xludf.DUMMYFUNCTION("IF(ISBLANK(D20),"""",HLOOKUP(REGEXEXTRACT(D20,"".*-(.*)""),INDIRECT(CONCATENATE(REGEXEXTRACT(D20,""(.*)-.*""),""!C3:V"")),3,FALSE))"),1750)</f>
        <v>1750</v>
      </c>
      <c r="E22" s="59">
        <f ca="1">IFERROR(__xludf.DUMMYFUNCTION("IF(ISBLANK(E20),"""",HLOOKUP(REGEXEXTRACT(E20,"".*-(.*)""),INDIRECT(CONCATENATE(REGEXEXTRACT(E20,""(.*)-.*""),""!C3:V"")),3,FALSE))"),1750)</f>
        <v>1750</v>
      </c>
      <c r="F22" s="61">
        <f ca="1">IFERROR(__xludf.DUMMYFUNCTION("IF(ISBLANK(F20),"""",HLOOKUP(REGEXEXTRACT(F20,"".*-(.*)""),INDIRECT(CONCATENATE(REGEXEXTRACT(F20,""(.*)-.*""),""!C3:V"")),3,FALSE))"),1750)</f>
        <v>1750</v>
      </c>
      <c r="H22" s="247"/>
      <c r="I22" s="79"/>
      <c r="J22" s="59"/>
      <c r="K22" s="59">
        <f ca="1">IFERROR(__xludf.DUMMYFUNCTION("IF(ISBLANK(K20),"""",HLOOKUP(REGEXEXTRACT(K20,"".*-(.*)""),INDIRECT(CONCATENATE(REGEXEXTRACT(K20,""(.*)-.*""),""!C3:V"")),3,FALSE))"),1750)</f>
        <v>1750</v>
      </c>
      <c r="L22" s="59">
        <f ca="1">IFERROR(__xludf.DUMMYFUNCTION("IF(ISBLANK(L20),"""",HLOOKUP(REGEXEXTRACT(L20,"".*-(.*)""),INDIRECT(CONCATENATE(REGEXEXTRACT(L20,""(.*)-.*""),""!C3:V"")),3,FALSE))"),1750)</f>
        <v>1750</v>
      </c>
      <c r="M22" s="61">
        <f ca="1">IFERROR(__xludf.DUMMYFUNCTION("IF(ISBLANK(M20),"""",HLOOKUP(REGEXEXTRACT(M20,"".*-(.*)""),INDIRECT(CONCATENATE(REGEXEXTRACT(M20,""(.*)-.*""),""!C3:V"")),3,FALSE))"),1750)</f>
        <v>1750</v>
      </c>
    </row>
    <row r="24" spans="1:13">
      <c r="A24" s="251"/>
      <c r="B24" s="95" t="s">
        <v>138</v>
      </c>
      <c r="C24" s="51" t="s">
        <v>35</v>
      </c>
      <c r="D24" s="52" t="s">
        <v>122</v>
      </c>
      <c r="E24" s="52" t="s">
        <v>139</v>
      </c>
      <c r="F24" s="53" t="s">
        <v>40</v>
      </c>
      <c r="H24" s="251"/>
      <c r="I24" s="77" t="s">
        <v>138</v>
      </c>
      <c r="J24" s="51" t="s">
        <v>87</v>
      </c>
      <c r="K24" s="52" t="s">
        <v>70</v>
      </c>
      <c r="L24" s="52" t="s">
        <v>125</v>
      </c>
      <c r="M24" s="53" t="s">
        <v>126</v>
      </c>
    </row>
    <row r="25" spans="1:13">
      <c r="A25" s="247"/>
      <c r="B25" s="96" t="s">
        <v>137</v>
      </c>
      <c r="C25" s="55" t="str">
        <f ca="1">IFERROR(__xludf.DUMMYFUNCTION("IF(ISBLANK(C24),"""",HLOOKUP(REGEXEXTRACT(C24,"".*-(.*)""),INDIRECT(CONCATENATE(REGEXEXTRACT(C24,""(.*)-.*""),""!C3:V"")),2,FALSE))"),"Bard")</f>
        <v>Bard</v>
      </c>
      <c r="D25" s="55" t="str">
        <f ca="1">IFERROR(__xludf.DUMMYFUNCTION("IF(ISBLANK(D24),"""",HLOOKUP(REGEXEXTRACT(D24,"".*-(.*)""),INDIRECT(CONCATENATE(REGEXEXTRACT(D24,""(.*)-.*""),""!C3:V"")),2,FALSE))"),"Sorc")</f>
        <v>Sorc</v>
      </c>
      <c r="E25" s="55" t="str">
        <f ca="1">IFERROR(__xludf.DUMMYFUNCTION("IF(ISBLANK(E24),"""",HLOOKUP(REGEXEXTRACT(E24,"".*-(.*)""),INDIRECT(CONCATENATE(REGEXEXTRACT(E24,""(.*)-.*""),""!C3:V"")),2,FALSE))"),"Souleater")</f>
        <v>Souleater</v>
      </c>
      <c r="F25" s="57" t="str">
        <f ca="1">IFERROR(__xludf.DUMMYFUNCTION("IF(ISBLANK(F24),"""",HLOOKUP(REGEXEXTRACT(F24,"".*-(.*)""),INDIRECT(CONCATENATE(REGEXEXTRACT(F24,""(.*)-.*""),""!C3:V"")),2,FALSE))"),"Paladin")</f>
        <v>Paladin</v>
      </c>
      <c r="H25" s="247"/>
      <c r="I25" s="78" t="s">
        <v>137</v>
      </c>
      <c r="J25" s="55" t="s">
        <v>140</v>
      </c>
      <c r="K25" s="55" t="str">
        <f ca="1">IFERROR(__xludf.DUMMYFUNCTION("IF(ISBLANK(K24),"""",HLOOKUP(REGEXEXTRACT(K24,"".*-(.*)""),INDIRECT(CONCATENATE(REGEXEXTRACT(K24,""(.*)-.*""),""!C3:V"")),2,FALSE))"),"Artill")</f>
        <v>Artill</v>
      </c>
      <c r="L25" s="55" t="str">
        <f ca="1">IFERROR(__xludf.DUMMYFUNCTION("IF(ISBLANK(L24),"""",HLOOKUP(REGEXEXTRACT(L24,"".*-(.*)""),INDIRECT(CONCATENATE(REGEXEXTRACT(L24,""(.*)-.*""),""!C3:V"")),2,FALSE))"),"Souleater")</f>
        <v>Souleater</v>
      </c>
      <c r="M25" s="57" t="str">
        <f ca="1">IFERROR(__xludf.DUMMYFUNCTION("IF(ISBLANK(M24),"""",HLOOKUP(REGEXEXTRACT(M24,"".*-(.*)""),INDIRECT(CONCATENATE(REGEXEXTRACT(M24,""(.*)-.*""),""!C3:V"")),2,FALSE))"),"Valk")</f>
        <v>Valk</v>
      </c>
    </row>
    <row r="26" spans="1:13">
      <c r="A26" s="247"/>
      <c r="B26" s="97"/>
      <c r="C26" s="59">
        <f ca="1">IFERROR(__xludf.DUMMYFUNCTION("IF(ISBLANK(C24),"""",HLOOKUP(REGEXEXTRACT(C24,"".*-(.*)""),INDIRECT(CONCATENATE(REGEXEXTRACT(C24,""(.*)-.*""),""!C3:V"")),3,FALSE))"),1730)</f>
        <v>1730</v>
      </c>
      <c r="D26" s="59">
        <f ca="1">IFERROR(__xludf.DUMMYFUNCTION("IF(ISBLANK(D24),"""",HLOOKUP(REGEXEXTRACT(D24,"".*-(.*)""),INDIRECT(CONCATENATE(REGEXEXTRACT(D24,""(.*)-.*""),""!C3:V"")),3,FALSE))"),1750)</f>
        <v>1750</v>
      </c>
      <c r="E26" s="59">
        <f ca="1">IFERROR(__xludf.DUMMYFUNCTION("IF(ISBLANK(E24),"""",HLOOKUP(REGEXEXTRACT(E24,"".*-(.*)""),INDIRECT(CONCATENATE(REGEXEXTRACT(E24,""(.*)-.*""),""!C3:V"")),3,FALSE))"),1750)</f>
        <v>1750</v>
      </c>
      <c r="F26" s="61">
        <f ca="1">IFERROR(__xludf.DUMMYFUNCTION("IF(ISBLANK(F24),"""",HLOOKUP(REGEXEXTRACT(F24,"".*-(.*)""),INDIRECT(CONCATENATE(REGEXEXTRACT(F24,""(.*)-.*""),""!C3:V"")),3,FALSE))"),1750)</f>
        <v>1750</v>
      </c>
      <c r="H26" s="247"/>
      <c r="I26" s="79"/>
      <c r="J26" s="59"/>
      <c r="K26" s="59">
        <f ca="1">IFERROR(__xludf.DUMMYFUNCTION("IF(ISBLANK(K24),"""",HLOOKUP(REGEXEXTRACT(K24,"".*-(.*)""),INDIRECT(CONCATENATE(REGEXEXTRACT(K24,""(.*)-.*""),""!C3:V"")),3,FALSE))"),1750)</f>
        <v>1750</v>
      </c>
      <c r="L26" s="59">
        <f ca="1">IFERROR(__xludf.DUMMYFUNCTION("IF(ISBLANK(L24),"""",HLOOKUP(REGEXEXTRACT(L24,"".*-(.*)""),INDIRECT(CONCATENATE(REGEXEXTRACT(L24,""(.*)-.*""),""!C3:V"")),3,FALSE))"),1750)</f>
        <v>1750</v>
      </c>
      <c r="M26" s="61">
        <f ca="1">IFERROR(__xludf.DUMMYFUNCTION("IF(ISBLANK(M24),"""",HLOOKUP(REGEXEXTRACT(M24,"".*-(.*)""),INDIRECT(CONCATENATE(REGEXEXTRACT(M24,""(.*)-.*""),""!C3:V"")),3,FALSE))"),1750)</f>
        <v>1750</v>
      </c>
    </row>
    <row r="28" spans="1:13">
      <c r="A28" s="7"/>
      <c r="H28" s="252"/>
    </row>
    <row r="29" spans="1:13">
      <c r="A29" s="7"/>
      <c r="H29" s="247"/>
    </row>
    <row r="30" spans="1:13">
      <c r="A30" s="7"/>
      <c r="H30" s="247"/>
    </row>
    <row r="35" spans="5:5">
      <c r="E35" s="7" t="s">
        <v>147</v>
      </c>
    </row>
    <row r="43" spans="5:5">
      <c r="E43" s="7" t="s">
        <v>148</v>
      </c>
    </row>
  </sheetData>
  <mergeCells count="13">
    <mergeCell ref="H28:H30"/>
    <mergeCell ref="A4:A6"/>
    <mergeCell ref="H4:H6"/>
    <mergeCell ref="A8:A10"/>
    <mergeCell ref="H8:H10"/>
    <mergeCell ref="A12:A14"/>
    <mergeCell ref="H12:H14"/>
    <mergeCell ref="H16:H18"/>
    <mergeCell ref="A16:A18"/>
    <mergeCell ref="A20:A22"/>
    <mergeCell ref="A24:A26"/>
    <mergeCell ref="H20:H22"/>
    <mergeCell ref="H24:H26"/>
  </mergeCells>
  <conditionalFormatting sqref="A4:A6 H4:H6 A8:A10 H8:H10 A12:A14 H12:H14 A16:A18 H16:H18 A20:A22 H20:H22 A24:A26 H24:H26 A28:A30 H28:H30">
    <cfRule type="cellIs" dxfId="16" priority="1" operator="equal">
      <formula>"DONE"</formula>
    </cfRule>
    <cfRule type="containsBlanks" dxfId="15" priority="2">
      <formula>LEN(TRIM(A4))=0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500-000000000000}">
          <x14:formula1>
            <xm:f>chars!$B$2:$Z976</xm:f>
          </x14:formula1>
          <xm:sqref>C4:F4 J4:M4 C8:F8 J8:M8 C12:F12 J12:M12 C16:F16 J16:M16 C20:F20 J20:M20 C24:F24 J24:M24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4:N43"/>
  <sheetViews>
    <sheetView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8.140625" hidden="1" customWidth="1"/>
    <col min="8" max="9" width="13.5703125" customWidth="1"/>
    <col min="10" max="13" width="18.140625" customWidth="1"/>
  </cols>
  <sheetData>
    <row r="4" spans="1:14">
      <c r="A4" s="251" t="s">
        <v>0</v>
      </c>
      <c r="B4" s="64" t="s">
        <v>134</v>
      </c>
      <c r="C4" s="51" t="s">
        <v>39</v>
      </c>
      <c r="D4" s="52" t="s">
        <v>4</v>
      </c>
      <c r="E4" s="52" t="s">
        <v>60</v>
      </c>
      <c r="F4" s="53" t="s">
        <v>114</v>
      </c>
      <c r="H4" s="251" t="s">
        <v>0</v>
      </c>
      <c r="I4" s="65" t="s">
        <v>134</v>
      </c>
      <c r="J4" s="51" t="s">
        <v>127</v>
      </c>
      <c r="K4" s="52" t="s">
        <v>112</v>
      </c>
      <c r="L4" s="52" t="s">
        <v>129</v>
      </c>
      <c r="M4" s="53" t="s">
        <v>130</v>
      </c>
    </row>
    <row r="5" spans="1:14">
      <c r="A5" s="247"/>
      <c r="B5" s="66" t="s">
        <v>135</v>
      </c>
      <c r="C5" s="55" t="str">
        <f ca="1">IFERROR(__xludf.DUMMYFUNCTION("IF(ISBLANK(C4),"""",HLOOKUP(REGEXEXTRACT(C4,"".*-(.*)""),INDIRECT(CONCATENATE(REGEXEXTRACT(C4,""(.*)-.*""),""!C3:V"")),2,FALSE))"),"Summoner")</f>
        <v>Summoner</v>
      </c>
      <c r="D5" s="55" t="str">
        <f ca="1">IFERROR(__xludf.DUMMYFUNCTION("IF(ISBLANK(D4),"""",HLOOKUP(REGEXEXTRACT(D4,"".*-(.*)""),INDIRECT(CONCATENATE(REGEXEXTRACT(D4,""(.*)-.*""),""!C3:V"")),2,FALSE))"),"Gunslinger")</f>
        <v>Gunslinger</v>
      </c>
      <c r="E5" s="55" t="str">
        <f ca="1">IFERROR(__xludf.DUMMYFUNCTION("IF(ISBLANK(E4),"""",HLOOKUP(REGEXEXTRACT(E4,"".*-(.*)""),INDIRECT(CONCATENATE(REGEXEXTRACT(E4,""(.*)-.*""),""!C3:V"")),2,FALSE))"),"BREAKER")</f>
        <v>BREAKER</v>
      </c>
      <c r="F5" s="57" t="str">
        <f ca="1">IFERROR(__xludf.DUMMYFUNCTION("IF(ISBLANK(F4),"""",HLOOKUP(REGEXEXTRACT(F4,"".*-(.*)""),INDIRECT(CONCATENATE(REGEXEXTRACT(F4,""(.*)-.*""),""!C3:V"")),2,FALSE))"),"Artist")</f>
        <v>Artist</v>
      </c>
      <c r="H5" s="247"/>
      <c r="I5" s="67" t="s">
        <v>136</v>
      </c>
      <c r="J5" s="55" t="str">
        <f ca="1">IFERROR(__xludf.DUMMYFUNCTION("IF(ISBLANK(J4),"""",HLOOKUP(REGEXEXTRACT(J4,"".*-(.*)""),INDIRECT(CONCATENATE(REGEXEXTRACT(J4,""(.*)-.*""),""!C3:V"")),2,FALSE))"),"Shadowhunter")</f>
        <v>Shadowhunter</v>
      </c>
      <c r="K5" s="55" t="str">
        <f ca="1">IFERROR(__xludf.DUMMYFUNCTION("IF(ISBLANK(K4),"""",HLOOKUP(REGEXEXTRACT(K4,"".*-(.*)""),INDIRECT(CONCATENATE(REGEXEXTRACT(K4,""(.*)-.*""),""!C3:V"")),2,FALSE))"),"Slayer")</f>
        <v>Slayer</v>
      </c>
      <c r="L5" s="55" t="str">
        <f ca="1">IFERROR(__xludf.DUMMYFUNCTION("IF(ISBLANK(L4),"""",HLOOKUP(REGEXEXTRACT(L4,"".*-(.*)""),INDIRECT(CONCATENATE(REGEXEXTRACT(L4,""(.*)-.*""),""!C3:V"")),2,FALSE))"),"Arcana")</f>
        <v>Arcana</v>
      </c>
      <c r="M5" s="57" t="str">
        <f ca="1">IFERROR(__xludf.DUMMYFUNCTION("IF(ISBLANK(M4),"""",HLOOKUP(REGEXEXTRACT(M4,"".*-(.*)""),INDIRECT(CONCATENATE(REGEXEXTRACT(M4,""(.*)-.*""),""!C3:V"")),2,FALSE))"),"Bard")</f>
        <v>Bard</v>
      </c>
    </row>
    <row r="6" spans="1:14">
      <c r="A6" s="247"/>
      <c r="B6" s="68"/>
      <c r="C6" s="59">
        <f ca="1">IFERROR(__xludf.DUMMYFUNCTION("IF(ISBLANK(C4),"""",HLOOKUP(REGEXEXTRACT(C4,"".*-(.*)""),INDIRECT(CONCATENATE(REGEXEXTRACT(C4,""(.*)-.*""),""!C3:V"")),3,FALSE))"),1750)</f>
        <v>1750</v>
      </c>
      <c r="D6" s="59">
        <f ca="1">IFERROR(__xludf.DUMMYFUNCTION("IF(ISBLANK(D4),"""",HLOOKUP(REGEXEXTRACT(D4,"".*-(.*)""),INDIRECT(CONCATENATE(REGEXEXTRACT(D4,""(.*)-.*""),""!C3:V"")),3,FALSE))"),1750)</f>
        <v>1750</v>
      </c>
      <c r="E6" s="59">
        <f ca="1">IFERROR(__xludf.DUMMYFUNCTION("IF(ISBLANK(E4),"""",HLOOKUP(REGEXEXTRACT(E4,"".*-(.*)""),INDIRECT(CONCATENATE(REGEXEXTRACT(E4,""(.*)-.*""),""!C3:V"")),3,FALSE))"),1750)</f>
        <v>1750</v>
      </c>
      <c r="F6" s="61">
        <f ca="1">IFERROR(__xludf.DUMMYFUNCTION("IF(ISBLANK(F4),"""",HLOOKUP(REGEXEXTRACT(F4,"".*-(.*)""),INDIRECT(CONCATENATE(REGEXEXTRACT(F4,""(.*)-.*""),""!C3:V"")),3,FALSE))"),1750)</f>
        <v>1750</v>
      </c>
      <c r="H6" s="247"/>
      <c r="I6" s="69"/>
      <c r="J6" s="59">
        <f ca="1">IFERROR(__xludf.DUMMYFUNCTION("IF(ISBLANK(J4),"""",HLOOKUP(REGEXEXTRACT(J4,"".*-(.*)""),INDIRECT(CONCATENATE(REGEXEXTRACT(J4,""(.*)-.*""),""!C3:V"")),3,FALSE))"),1750)</f>
        <v>1750</v>
      </c>
      <c r="K6" s="59">
        <f ca="1">IFERROR(__xludf.DUMMYFUNCTION("IF(ISBLANK(K4),"""",HLOOKUP(REGEXEXTRACT(K4,"".*-(.*)""),INDIRECT(CONCATENATE(REGEXEXTRACT(K4,""(.*)-.*""),""!C3:V"")),3,FALSE))"),1750)</f>
        <v>1750</v>
      </c>
      <c r="L6" s="59">
        <f ca="1">IFERROR(__xludf.DUMMYFUNCTION("IF(ISBLANK(L4),"""",HLOOKUP(REGEXEXTRACT(L4,"".*-(.*)""),INDIRECT(CONCATENATE(REGEXEXTRACT(L4,""(.*)-.*""),""!C3:V"")),3,FALSE))"),1690)</f>
        <v>1690</v>
      </c>
      <c r="M6" s="61">
        <f ca="1">IFERROR(__xludf.DUMMYFUNCTION("IF(ISBLANK(M4),"""",HLOOKUP(REGEXEXTRACT(M4,"".*-(.*)""),INDIRECT(CONCATENATE(REGEXEXTRACT(M4,""(.*)-.*""),""!C3:V"")),3,FALSE))"),1750)</f>
        <v>1750</v>
      </c>
    </row>
    <row r="8" spans="1:14">
      <c r="A8" s="251" t="s">
        <v>0</v>
      </c>
      <c r="B8" s="64" t="s">
        <v>134</v>
      </c>
      <c r="C8" s="51" t="s">
        <v>88</v>
      </c>
      <c r="D8" s="52" t="s">
        <v>24</v>
      </c>
      <c r="E8" s="52" t="s">
        <v>89</v>
      </c>
      <c r="F8" s="53" t="s">
        <v>92</v>
      </c>
      <c r="H8" s="251"/>
      <c r="I8" s="70" t="s">
        <v>134</v>
      </c>
      <c r="J8" s="51" t="s">
        <v>27</v>
      </c>
      <c r="K8" s="52" t="s">
        <v>113</v>
      </c>
      <c r="L8" s="52" t="s">
        <v>124</v>
      </c>
      <c r="M8" s="53" t="s">
        <v>118</v>
      </c>
    </row>
    <row r="9" spans="1:14">
      <c r="A9" s="247"/>
      <c r="B9" s="66" t="s">
        <v>137</v>
      </c>
      <c r="C9" s="55" t="str">
        <f ca="1">IFERROR(__xludf.DUMMYFUNCTION("IF(ISBLANK(C8),"""",HLOOKUP(REGEXEXTRACT(C8,"".*-(.*)""),INDIRECT(CONCATENATE(REGEXEXTRACT(C8,""(.*)-.*""),""!C3:V"")),2,FALSE))"),"Wildsoul")</f>
        <v>Wildsoul</v>
      </c>
      <c r="D9" s="55" t="str">
        <f ca="1">IFERROR(__xludf.DUMMYFUNCTION("IF(ISBLANK(D8),"""",HLOOKUP(REGEXEXTRACT(D8,"".*-(.*)""),INDIRECT(CONCATENATE(REGEXEXTRACT(D8,""(.*)-.*""),""!C3:V"")),2,FALSE))"),"Glaivier")</f>
        <v>Glaivier</v>
      </c>
      <c r="E9" s="55" t="str">
        <f ca="1">IFERROR(__xludf.DUMMYFUNCTION("IF(ISBLANK(E8),"""",HLOOKUP(REGEXEXTRACT(E8,"".*-(.*)""),INDIRECT(CONCATENATE(REGEXEXTRACT(E8,""(.*)-.*""),""!C3:V"")),2,FALSE))"),"G")</f>
        <v>G</v>
      </c>
      <c r="F9" s="57" t="str">
        <f ca="1">IFERROR(__xludf.DUMMYFUNCTION("IF(ISBLANK(F8),"""",HLOOKUP(REGEXEXTRACT(F8,"".*-(.*)""),INDIRECT(CONCATENATE(REGEXEXTRACT(F8,""(.*)-.*""),""!C3:V"")),2,FALSE))"),"Artist")</f>
        <v>Artist</v>
      </c>
      <c r="H9" s="247"/>
      <c r="I9" s="71" t="s">
        <v>137</v>
      </c>
      <c r="J9" s="55" t="str">
        <f ca="1">IFERROR(__xludf.DUMMYFUNCTION("IF(ISBLANK(J8),"""",HLOOKUP(REGEXEXTRACT(J8,"".*-(.*)""),INDIRECT(CONCATENATE(REGEXEXTRACT(J8,""(.*)-.*""),""!C3:V"")),2,FALSE))"),"Guardianknight")</f>
        <v>Guardianknight</v>
      </c>
      <c r="K9" s="55" t="str">
        <f ca="1">IFERROR(__xludf.DUMMYFUNCTION("IF(ISBLANK(K8),"""",HLOOKUP(REGEXEXTRACT(K8,"".*-(.*)""),INDIRECT(CONCATENATE(REGEXEXTRACT(K8,""(.*)-.*""),""!C3:V"")),2,FALSE))"),"Scrapper")</f>
        <v>Scrapper</v>
      </c>
      <c r="L9" s="55" t="str">
        <f ca="1">IFERROR(__xludf.DUMMYFUNCTION("IF(ISBLANK(L8),"""",HLOOKUP(REGEXEXTRACT(L8,"".*-(.*)""),INDIRECT(CONCATENATE(REGEXEXTRACT(L8,""(.*)-.*""),""!C3:V"")),2,FALSE))"),"Valk")</f>
        <v>Valk</v>
      </c>
      <c r="M9" s="57" t="str">
        <f ca="1">IFERROR(__xludf.DUMMYFUNCTION("IF(ISBLANK(M8),"""",HLOOKUP(REGEXEXTRACT(M8,"".*-(.*)""),INDIRECT(CONCATENATE(REGEXEXTRACT(M8,""(.*)-.*""),""!C3:V"")),2,FALSE))"),"Valk")</f>
        <v>Valk</v>
      </c>
    </row>
    <row r="10" spans="1:14">
      <c r="A10" s="247"/>
      <c r="B10" s="68"/>
      <c r="C10" s="59">
        <f ca="1">IFERROR(__xludf.DUMMYFUNCTION("IF(ISBLANK(C8),"""",HLOOKUP(REGEXEXTRACT(C8,"".*-(.*)""),INDIRECT(CONCATENATE(REGEXEXTRACT(C8,""(.*)-.*""),""!C3:V"")),3,FALSE))"),1750)</f>
        <v>1750</v>
      </c>
      <c r="D10" s="59">
        <f ca="1">IFERROR(__xludf.DUMMYFUNCTION("IF(ISBLANK(D8),"""",HLOOKUP(REGEXEXTRACT(D8,"".*-(.*)""),INDIRECT(CONCATENATE(REGEXEXTRACT(D8,""(.*)-.*""),""!C3:V"")),3,FALSE))"),1750)</f>
        <v>1750</v>
      </c>
      <c r="E10" s="59">
        <f ca="1">IFERROR(__xludf.DUMMYFUNCTION("IF(ISBLANK(E8),"""",HLOOKUP(REGEXEXTRACT(E8,"".*-(.*)""),INDIRECT(CONCATENATE(REGEXEXTRACT(E8,""(.*)-.*""),""!C3:V"")),3,FALSE))"),1750)</f>
        <v>1750</v>
      </c>
      <c r="F10" s="61">
        <f ca="1">IFERROR(__xludf.DUMMYFUNCTION("IF(ISBLANK(F8),"""",HLOOKUP(REGEXEXTRACT(F8,"".*-(.*)""),INDIRECT(CONCATENATE(REGEXEXTRACT(F8,""(.*)-.*""),""!C3:V"")),3,FALSE))"),1730)</f>
        <v>1730</v>
      </c>
      <c r="H10" s="247"/>
      <c r="I10" s="72"/>
      <c r="J10" s="59">
        <f ca="1">IFERROR(__xludf.DUMMYFUNCTION("IF(ISBLANK(J8),"""",HLOOKUP(REGEXEXTRACT(J8,"".*-(.*)""),INDIRECT(CONCATENATE(REGEXEXTRACT(J8,""(.*)-.*""),""!C3:V"")),3,FALSE))"),1750)</f>
        <v>1750</v>
      </c>
      <c r="K10" s="59">
        <f ca="1">IFERROR(__xludf.DUMMYFUNCTION("IF(ISBLANK(K8),"""",HLOOKUP(REGEXEXTRACT(K8,"".*-(.*)""),INDIRECT(CONCATENATE(REGEXEXTRACT(K8,""(.*)-.*""),""!C3:V"")),3,FALSE))"),1700)</f>
        <v>1700</v>
      </c>
      <c r="L10" s="59">
        <f ca="1">IFERROR(__xludf.DUMMYFUNCTION("IF(ISBLANK(L8),"""",HLOOKUP(REGEXEXTRACT(L8,"".*-(.*)""),INDIRECT(CONCATENATE(REGEXEXTRACT(L8,""(.*)-.*""),""!C3:V"")),3,FALSE))"),1750)</f>
        <v>1750</v>
      </c>
      <c r="M10" s="61">
        <f ca="1">IFERROR(__xludf.DUMMYFUNCTION("IF(ISBLANK(M8),"""",HLOOKUP(REGEXEXTRACT(M8,"".*-(.*)""),INDIRECT(CONCATENATE(REGEXEXTRACT(M8,""(.*)-.*""),""!C3:V"")),3,FALSE))"),1750)</f>
        <v>1750</v>
      </c>
    </row>
    <row r="11" spans="1:14">
      <c r="A11" s="73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</row>
    <row r="12" spans="1:14">
      <c r="A12" s="251" t="s">
        <v>0</v>
      </c>
      <c r="B12" s="64" t="s">
        <v>138</v>
      </c>
      <c r="C12" s="51" t="s">
        <v>58</v>
      </c>
      <c r="D12" s="52" t="s">
        <v>12</v>
      </c>
      <c r="E12" s="52" t="s">
        <v>67</v>
      </c>
      <c r="F12" s="53" t="s">
        <v>119</v>
      </c>
      <c r="H12" s="251" t="s">
        <v>0</v>
      </c>
      <c r="I12" s="65" t="s">
        <v>138</v>
      </c>
      <c r="J12" s="51" t="s">
        <v>100</v>
      </c>
      <c r="K12" s="52" t="s">
        <v>121</v>
      </c>
      <c r="L12" s="52" t="s">
        <v>93</v>
      </c>
      <c r="M12" s="53" t="s">
        <v>54</v>
      </c>
    </row>
    <row r="13" spans="1:14">
      <c r="A13" s="247"/>
      <c r="B13" s="66" t="s">
        <v>137</v>
      </c>
      <c r="C13" s="55" t="str">
        <f ca="1">IFERROR(__xludf.DUMMYFUNCTION("IF(ISBLANK(C12),"""",HLOOKUP(REGEXEXTRACT(C12,"".*-(.*)""),INDIRECT(CONCATENATE(REGEXEXTRACT(C12,""(.*)-.*""),""!C3:V"")),2,FALSE))"),"Souleater")</f>
        <v>Souleater</v>
      </c>
      <c r="D13" s="55" t="str">
        <f ca="1">IFERROR(__xludf.DUMMYFUNCTION("IF(ISBLANK(D12),"""",HLOOKUP(REGEXEXTRACT(D12,"".*-(.*)""),INDIRECT(CONCATENATE(REGEXEXTRACT(D12,""(.*)-.*""),""!C3:V"")),2,FALSE))"),"Sorceress")</f>
        <v>Sorceress</v>
      </c>
      <c r="E13" s="55" t="str">
        <f ca="1">IFERROR(__xludf.DUMMYFUNCTION("IF(ISBLANK(E12),"""",HLOOKUP(REGEXEXTRACT(E12,"".*-(.*)""),INDIRECT(CONCATENATE(REGEXEXTRACT(E12,""(.*)-.*""),""!C3:V"")),2,FALSE))"),"Bonk")</f>
        <v>Bonk</v>
      </c>
      <c r="F13" s="57" t="str">
        <f ca="1">IFERROR(__xludf.DUMMYFUNCTION("IF(ISBLANK(F12),"""",HLOOKUP(REGEXEXTRACT(F12,"".*-(.*)""),INDIRECT(CONCATENATE(REGEXEXTRACT(F12,""(.*)-.*""),""!C3:V"")),2,FALSE))"),"Artist")</f>
        <v>Artist</v>
      </c>
      <c r="H13" s="247"/>
      <c r="I13" s="67" t="s">
        <v>137</v>
      </c>
      <c r="J13" s="55" t="str">
        <f ca="1">IFERROR(__xludf.DUMMYFUNCTION("IF(ISBLANK(J12),"""",HLOOKUP(REGEXEXTRACT(J12,"".*-(.*)""),INDIRECT(CONCATENATE(REGEXEXTRACT(J12,""(.*)-.*""),""!C3:V"")),2,FALSE))"),"Glaivier")</f>
        <v>Glaivier</v>
      </c>
      <c r="K13" s="55" t="str">
        <f ca="1">IFERROR(__xludf.DUMMYFUNCTION("IF(ISBLANK(K12),"""",HLOOKUP(REGEXEXTRACT(K12,"".*-(.*)""),INDIRECT(CONCATENATE(REGEXEXTRACT(K12,""(.*)-.*""),""!C3:V"")),2,FALSE))"),"Deathblade")</f>
        <v>Deathblade</v>
      </c>
      <c r="L13" s="55" t="str">
        <f ca="1">IFERROR(__xludf.DUMMYFUNCTION("IF(ISBLANK(L12),"""",HLOOKUP(REGEXEXTRACT(L12,"".*-(.*)""),INDIRECT(CONCATENATE(REGEXEXTRACT(L12,""(.*)-.*""),""!C3:V"")),2,FALSE))"),"Arcana")</f>
        <v>Arcana</v>
      </c>
      <c r="M13" s="57" t="str">
        <f ca="1">IFERROR(__xludf.DUMMYFUNCTION("IF(ISBLANK(M12),"""",HLOOKUP(REGEXEXTRACT(M12,"".*-(.*)""),INDIRECT(CONCATENATE(REGEXEXTRACT(M12,""(.*)-.*""),""!C3:V"")),2,FALSE))"),"Bard")</f>
        <v>Bard</v>
      </c>
    </row>
    <row r="14" spans="1:14">
      <c r="A14" s="247"/>
      <c r="B14" s="68"/>
      <c r="C14" s="59">
        <f ca="1">IFERROR(__xludf.DUMMYFUNCTION("IF(ISBLANK(C12),"""",HLOOKUP(REGEXEXTRACT(C12,"".*-(.*)""),INDIRECT(CONCATENATE(REGEXEXTRACT(C12,""(.*)-.*""),""!C3:V"")),3,FALSE))"),1750)</f>
        <v>1750</v>
      </c>
      <c r="D14" s="59">
        <f ca="1">IFERROR(__xludf.DUMMYFUNCTION("IF(ISBLANK(D12),"""",HLOOKUP(REGEXEXTRACT(D12,"".*-(.*)""),INDIRECT(CONCATENATE(REGEXEXTRACT(D12,""(.*)-.*""),""!C3:V"")),3,FALSE))"),1750)</f>
        <v>1750</v>
      </c>
      <c r="E14" s="59">
        <f ca="1">IFERROR(__xludf.DUMMYFUNCTION("IF(ISBLANK(E12),"""",HLOOKUP(REGEXEXTRACT(E12,"".*-(.*)""),INDIRECT(CONCATENATE(REGEXEXTRACT(E12,""(.*)-.*""),""!C3:V"")),3,FALSE))"),1750)</f>
        <v>1750</v>
      </c>
      <c r="F14" s="61">
        <f ca="1">IFERROR(__xludf.DUMMYFUNCTION("IF(ISBLANK(F12),"""",HLOOKUP(REGEXEXTRACT(F12,"".*-(.*)""),INDIRECT(CONCATENATE(REGEXEXTRACT(F12,""(.*)-.*""),""!C3:V"")),3,FALSE))"),1750)</f>
        <v>1750</v>
      </c>
      <c r="H14" s="247"/>
      <c r="I14" s="69"/>
      <c r="J14" s="59">
        <f ca="1">IFERROR(__xludf.DUMMYFUNCTION("IF(ISBLANK(J12),"""",HLOOKUP(REGEXEXTRACT(J12,"".*-(.*)""),INDIRECT(CONCATENATE(REGEXEXTRACT(J12,""(.*)-.*""),""!C3:V"")),3,FALSE))"),1750)</f>
        <v>1750</v>
      </c>
      <c r="K14" s="59">
        <f ca="1">IFERROR(__xludf.DUMMYFUNCTION("IF(ISBLANK(K12),"""",HLOOKUP(REGEXEXTRACT(K12,"".*-(.*)""),INDIRECT(CONCATENATE(REGEXEXTRACT(K12,""(.*)-.*""),""!C3:V"")),3,FALSE))"),1750)</f>
        <v>1750</v>
      </c>
      <c r="L14" s="59">
        <f ca="1">IFERROR(__xludf.DUMMYFUNCTION("IF(ISBLANK(L12),"""",HLOOKUP(REGEXEXTRACT(L12,"".*-(.*)""),INDIRECT(CONCATENATE(REGEXEXTRACT(L12,""(.*)-.*""),""!C3:V"")),3,FALSE))"),1750)</f>
        <v>1750</v>
      </c>
      <c r="M14" s="61">
        <f ca="1">IFERROR(__xludf.DUMMYFUNCTION("IF(ISBLANK(M12),"""",HLOOKUP(REGEXEXTRACT(M12,"".*-(.*)""),INDIRECT(CONCATENATE(REGEXEXTRACT(M12,""(.*)-.*""),""!C3:V"")),3,FALSE))"),1700)</f>
        <v>1700</v>
      </c>
    </row>
    <row r="16" spans="1:14">
      <c r="A16" s="254" t="s">
        <v>0</v>
      </c>
      <c r="B16" s="92" t="s">
        <v>138</v>
      </c>
      <c r="C16" s="52" t="s">
        <v>19</v>
      </c>
      <c r="D16" s="52" t="s">
        <v>55</v>
      </c>
      <c r="E16" s="52" t="s">
        <v>86</v>
      </c>
      <c r="F16" s="53" t="s">
        <v>128</v>
      </c>
      <c r="H16" s="251" t="s">
        <v>0</v>
      </c>
      <c r="I16" s="77" t="s">
        <v>138</v>
      </c>
      <c r="J16" s="51" t="s">
        <v>87</v>
      </c>
      <c r="K16" s="52" t="s">
        <v>30</v>
      </c>
      <c r="L16" s="52" t="s">
        <v>120</v>
      </c>
      <c r="M16" s="53" t="s">
        <v>126</v>
      </c>
    </row>
    <row r="17" spans="1:13">
      <c r="A17" s="255"/>
      <c r="B17" s="93" t="s">
        <v>137</v>
      </c>
      <c r="C17" s="55" t="str">
        <f ca="1">IFERROR(__xludf.DUMMYFUNCTION("IF(ISBLANK(C16),"""",HLOOKUP(REGEXEXTRACT(C16,"".*-(.*)""),INDIRECT(CONCATENATE(REGEXEXTRACT(C16,""(.*)-.*""),""!C3:V"")),2,FALSE))"),"Slayer")</f>
        <v>Slayer</v>
      </c>
      <c r="D17" s="55" t="str">
        <f ca="1">IFERROR(__xludf.DUMMYFUNCTION("IF(ISBLANK(D16),"""",HLOOKUP(REGEXEXTRACT(D16,"".*-(.*)""),INDIRECT(CONCATENATE(REGEXEXTRACT(D16,""(.*)-.*""),""!C3:V"")),2,FALSE))"),"GL")</f>
        <v>GL</v>
      </c>
      <c r="E17" s="55" t="s">
        <v>131</v>
      </c>
      <c r="F17" s="57" t="str">
        <f ca="1">IFERROR(__xludf.DUMMYFUNCTION("IF(ISBLANK(F16),"""",HLOOKUP(REGEXEXTRACT(F16,"".*-(.*)""),INDIRECT(CONCATENATE(REGEXEXTRACT(F16,""(.*)-.*""),""!C3:V"")),2,FALSE))"),"Bard")</f>
        <v>Bard</v>
      </c>
      <c r="H17" s="247"/>
      <c r="I17" s="78" t="s">
        <v>137</v>
      </c>
      <c r="J17" s="55" t="s">
        <v>141</v>
      </c>
      <c r="K17" s="55" t="str">
        <f ca="1">IFERROR(__xludf.DUMMYFUNCTION("IF(ISBLANK(K16),"""",HLOOKUP(REGEXEXTRACT(K16,"".*-(.*)""),INDIRECT(CONCATENATE(REGEXEXTRACT(K16,""(.*)-.*""),""!C3:V"")),2,FALSE))"),"Soulfist")</f>
        <v>Soulfist</v>
      </c>
      <c r="L17" s="55" t="str">
        <f ca="1">IFERROR(__xludf.DUMMYFUNCTION("IF(ISBLANK(L16),"""",HLOOKUP(REGEXEXTRACT(L16,"".*-(.*)""),INDIRECT(CONCATENATE(REGEXEXTRACT(L16,""(.*)-.*""),""!C3:V"")),2,FALSE))"),"Glaivier")</f>
        <v>Glaivier</v>
      </c>
      <c r="M17" s="57" t="str">
        <f ca="1">IFERROR(__xludf.DUMMYFUNCTION("IF(ISBLANK(M16),"""",HLOOKUP(REGEXEXTRACT(M16,"".*-(.*)""),INDIRECT(CONCATENATE(REGEXEXTRACT(M16,""(.*)-.*""),""!C3:V"")),2,FALSE))"),"Valk")</f>
        <v>Valk</v>
      </c>
    </row>
    <row r="18" spans="1:13">
      <c r="A18" s="255"/>
      <c r="B18" s="94"/>
      <c r="C18" s="59">
        <f ca="1">IFERROR(__xludf.DUMMYFUNCTION("IF(ISBLANK(C16),"""",HLOOKUP(REGEXEXTRACT(C16,"".*-(.*)""),INDIRECT(CONCATENATE(REGEXEXTRACT(C16,""(.*)-.*""),""!C3:V"")),3,FALSE))"),1750)</f>
        <v>1750</v>
      </c>
      <c r="D18" s="59">
        <f ca="1">IFERROR(__xludf.DUMMYFUNCTION("IF(ISBLANK(D16),"""",HLOOKUP(REGEXEXTRACT(D16,"".*-(.*)""),INDIRECT(CONCATENATE(REGEXEXTRACT(D16,""(.*)-.*""),""!C3:V"")),3,FALSE))"),1750)</f>
        <v>1750</v>
      </c>
      <c r="E18" s="59"/>
      <c r="F18" s="61">
        <f ca="1">IFERROR(__xludf.DUMMYFUNCTION("IF(ISBLANK(F16),"""",HLOOKUP(REGEXEXTRACT(F16,"".*-(.*)""),INDIRECT(CONCATENATE(REGEXEXTRACT(F16,""(.*)-.*""),""!C3:V"")),3,FALSE))"),1750)</f>
        <v>1750</v>
      </c>
      <c r="H18" s="247"/>
      <c r="I18" s="79"/>
      <c r="J18" s="59"/>
      <c r="K18" s="59">
        <f ca="1">IFERROR(__xludf.DUMMYFUNCTION("IF(ISBLANK(K16),"""",HLOOKUP(REGEXEXTRACT(K16,"".*-(.*)""),INDIRECT(CONCATENATE(REGEXEXTRACT(K16,""(.*)-.*""),""!C3:V"")),3,FALSE))"),1750)</f>
        <v>1750</v>
      </c>
      <c r="L18" s="59">
        <f ca="1">IFERROR(__xludf.DUMMYFUNCTION("IF(ISBLANK(L16),"""",HLOOKUP(REGEXEXTRACT(L16,"".*-(.*)""),INDIRECT(CONCATENATE(REGEXEXTRACT(L16,""(.*)-.*""),""!C3:V"")),3,FALSE))"),1750)</f>
        <v>1750</v>
      </c>
      <c r="M18" s="61">
        <f ca="1">IFERROR(__xludf.DUMMYFUNCTION("IF(ISBLANK(M16),"""",HLOOKUP(REGEXEXTRACT(M16,"".*-(.*)""),INDIRECT(CONCATENATE(REGEXEXTRACT(M16,""(.*)-.*""),""!C3:V"")),3,FALSE))"),1750)</f>
        <v>1750</v>
      </c>
    </row>
    <row r="20" spans="1:13">
      <c r="A20" s="251" t="s">
        <v>0</v>
      </c>
      <c r="B20" s="95" t="s">
        <v>138</v>
      </c>
      <c r="C20" s="51" t="s">
        <v>99</v>
      </c>
      <c r="D20" s="52" t="s">
        <v>110</v>
      </c>
      <c r="E20" s="52" t="s">
        <v>111</v>
      </c>
      <c r="F20" s="53" t="s">
        <v>65</v>
      </c>
      <c r="H20" s="251" t="s">
        <v>0</v>
      </c>
      <c r="I20" s="77" t="s">
        <v>138</v>
      </c>
      <c r="J20" s="51" t="s">
        <v>87</v>
      </c>
      <c r="K20" s="52" t="s">
        <v>143</v>
      </c>
      <c r="L20" s="52" t="s">
        <v>90</v>
      </c>
      <c r="M20" s="53" t="s">
        <v>109</v>
      </c>
    </row>
    <row r="21" spans="1:13">
      <c r="A21" s="247"/>
      <c r="B21" s="96" t="s">
        <v>137</v>
      </c>
      <c r="C21" s="55" t="str">
        <f ca="1">IFERROR(__xludf.DUMMYFUNCTION("IF(ISBLANK(C20),"""",HLOOKUP(REGEXEXTRACT(C20,"".*-(.*)""),INDIRECT(CONCATENATE(REGEXEXTRACT(C20,""(.*)-.*""),""!C3:V"")),2,FALSE))"),"Aeromancer")</f>
        <v>Aeromancer</v>
      </c>
      <c r="D21" s="55" t="str">
        <f ca="1">IFERROR(__xludf.DUMMYFUNCTION("IF(ISBLANK(D20),"""",HLOOKUP(REGEXEXTRACT(D20,"".*-(.*)""),INDIRECT(CONCATENATE(REGEXEXTRACT(D20,""(.*)-.*""),""!C3:V"")),2,FALSE))"),"Souleater")</f>
        <v>Souleater</v>
      </c>
      <c r="E21" s="55" t="str">
        <f ca="1">IFERROR(__xludf.DUMMYFUNCTION("IF(ISBLANK(E20),"""",HLOOKUP(REGEXEXTRACT(E20,"".*-(.*)""),INDIRECT(CONCATENATE(REGEXEXTRACT(E20,""(.*)-.*""),""!C3:V"")),2,FALSE))"),"Guardianknight")</f>
        <v>Guardianknight</v>
      </c>
      <c r="F21" s="57" t="str">
        <f ca="1">IFERROR(__xludf.DUMMYFUNCTION("IF(ISBLANK(F20),"""",HLOOKUP(REGEXEXTRACT(F20,"".*-(.*)""),INDIRECT(CONCATENATE(REGEXEXTRACT(F20,""(.*)-.*""),""!C3:V"")),2,FALSE))"),"Paladin")</f>
        <v>Paladin</v>
      </c>
      <c r="H21" s="247"/>
      <c r="I21" s="78" t="s">
        <v>137</v>
      </c>
      <c r="J21" s="55" t="s">
        <v>146</v>
      </c>
      <c r="K21" s="55" t="str">
        <f ca="1">IFERROR(__xludf.DUMMYFUNCTION("IF(ISBLANK(K20),"""",HLOOKUP(REGEXEXTRACT(K20,"".*-(.*)""),INDIRECT(CONCATENATE(REGEXEXTRACT(K20,""(.*)-.*""),""!C3:V"")),2,FALSE))"),"Gunslinger")</f>
        <v>Gunslinger</v>
      </c>
      <c r="L21" s="55" t="str">
        <f ca="1">IFERROR(__xludf.DUMMYFUNCTION("IF(ISBLANK(L20),"""",HLOOKUP(REGEXEXTRACT(L20,"".*-(.*)""),INDIRECT(CONCATENATE(REGEXEXTRACT(L20,""(.*)-.*""),""!C3:V"")),2,FALSE))"),"Wildsoul")</f>
        <v>Wildsoul</v>
      </c>
      <c r="M21" s="57" t="str">
        <f ca="1">IFERROR(__xludf.DUMMYFUNCTION("IF(ISBLANK(M20),"""",HLOOKUP(REGEXEXTRACT(M20,"".*-(.*)""),INDIRECT(CONCATENATE(REGEXEXTRACT(M20,""(.*)-.*""),""!C3:V"")),2,FALSE))"),"Valk")</f>
        <v>Valk</v>
      </c>
    </row>
    <row r="22" spans="1:13">
      <c r="A22" s="247"/>
      <c r="B22" s="97"/>
      <c r="C22" s="59">
        <f ca="1">IFERROR(__xludf.DUMMYFUNCTION("IF(ISBLANK(C20),"""",HLOOKUP(REGEXEXTRACT(C20,"".*-(.*)""),INDIRECT(CONCATENATE(REGEXEXTRACT(C20,""(.*)-.*""),""!C3:V"")),3,FALSE))"),1750)</f>
        <v>1750</v>
      </c>
      <c r="D22" s="59">
        <f ca="1">IFERROR(__xludf.DUMMYFUNCTION("IF(ISBLANK(D20),"""",HLOOKUP(REGEXEXTRACT(D20,"".*-(.*)""),INDIRECT(CONCATENATE(REGEXEXTRACT(D20,""(.*)-.*""),""!C3:V"")),3,FALSE))"),1750)</f>
        <v>1750</v>
      </c>
      <c r="E22" s="59">
        <f ca="1">IFERROR(__xludf.DUMMYFUNCTION("IF(ISBLANK(E20),"""",HLOOKUP(REGEXEXTRACT(E20,"".*-(.*)""),INDIRECT(CONCATENATE(REGEXEXTRACT(E20,""(.*)-.*""),""!C3:V"")),3,FALSE))"),1750)</f>
        <v>1750</v>
      </c>
      <c r="F22" s="61">
        <f ca="1">IFERROR(__xludf.DUMMYFUNCTION("IF(ISBLANK(F20),"""",HLOOKUP(REGEXEXTRACT(F20,"".*-(.*)""),INDIRECT(CONCATENATE(REGEXEXTRACT(F20,""(.*)-.*""),""!C3:V"")),3,FALSE))"),1750)</f>
        <v>1750</v>
      </c>
      <c r="H22" s="247"/>
      <c r="I22" s="79"/>
      <c r="J22" s="59"/>
      <c r="K22" s="59">
        <f ca="1">IFERROR(__xludf.DUMMYFUNCTION("IF(ISBLANK(K20),"""",HLOOKUP(REGEXEXTRACT(K20,"".*-(.*)""),INDIRECT(CONCATENATE(REGEXEXTRACT(K20,""(.*)-.*""),""!C3:V"")),3,FALSE))"),1750)</f>
        <v>1750</v>
      </c>
      <c r="L22" s="59">
        <f ca="1">IFERROR(__xludf.DUMMYFUNCTION("IF(ISBLANK(L20),"""",HLOOKUP(REGEXEXTRACT(L20,"".*-(.*)""),INDIRECT(CONCATENATE(REGEXEXTRACT(L20,""(.*)-.*""),""!C3:V"")),3,FALSE))"),1750)</f>
        <v>1750</v>
      </c>
      <c r="M22" s="61">
        <f ca="1">IFERROR(__xludf.DUMMYFUNCTION("IF(ISBLANK(M20),"""",HLOOKUP(REGEXEXTRACT(M20,"".*-(.*)""),INDIRECT(CONCATENATE(REGEXEXTRACT(M20,""(.*)-.*""),""!C3:V"")),3,FALSE))"),1750)</f>
        <v>1750</v>
      </c>
    </row>
    <row r="24" spans="1:13">
      <c r="A24" s="251" t="s">
        <v>0</v>
      </c>
      <c r="B24" s="95" t="s">
        <v>138</v>
      </c>
      <c r="C24" s="51" t="s">
        <v>70</v>
      </c>
      <c r="D24" s="52" t="s">
        <v>122</v>
      </c>
      <c r="E24" s="52" t="s">
        <v>139</v>
      </c>
      <c r="F24" s="53" t="s">
        <v>40</v>
      </c>
      <c r="H24" s="251" t="s">
        <v>0</v>
      </c>
      <c r="I24" s="77" t="s">
        <v>138</v>
      </c>
      <c r="J24" s="51" t="s">
        <v>87</v>
      </c>
      <c r="K24" s="52" t="s">
        <v>35</v>
      </c>
      <c r="L24" s="52" t="s">
        <v>125</v>
      </c>
      <c r="M24" s="53" t="s">
        <v>123</v>
      </c>
    </row>
    <row r="25" spans="1:13">
      <c r="A25" s="247"/>
      <c r="B25" s="96" t="s">
        <v>137</v>
      </c>
      <c r="C25" s="55" t="str">
        <f ca="1">IFERROR(__xludf.DUMMYFUNCTION("IF(ISBLANK(C24),"""",HLOOKUP(REGEXEXTRACT(C24,"".*-(.*)""),INDIRECT(CONCATENATE(REGEXEXTRACT(C24,""(.*)-.*""),""!C3:V"")),2,FALSE))"),"Artill")</f>
        <v>Artill</v>
      </c>
      <c r="D25" s="55" t="str">
        <f ca="1">IFERROR(__xludf.DUMMYFUNCTION("IF(ISBLANK(D24),"""",HLOOKUP(REGEXEXTRACT(D24,"".*-(.*)""),INDIRECT(CONCATENATE(REGEXEXTRACT(D24,""(.*)-.*""),""!C3:V"")),2,FALSE))"),"Sorc")</f>
        <v>Sorc</v>
      </c>
      <c r="E25" s="55" t="str">
        <f ca="1">IFERROR(__xludf.DUMMYFUNCTION("IF(ISBLANK(E24),"""",HLOOKUP(REGEXEXTRACT(E24,"".*-(.*)""),INDIRECT(CONCATENATE(REGEXEXTRACT(E24,""(.*)-.*""),""!C3:V"")),2,FALSE))"),"Souleater")</f>
        <v>Souleater</v>
      </c>
      <c r="F25" s="57" t="str">
        <f ca="1">IFERROR(__xludf.DUMMYFUNCTION("IF(ISBLANK(F24),"""",HLOOKUP(REGEXEXTRACT(F24,"".*-(.*)""),INDIRECT(CONCATENATE(REGEXEXTRACT(F24,""(.*)-.*""),""!C3:V"")),2,FALSE))"),"Paladin")</f>
        <v>Paladin</v>
      </c>
      <c r="H25" s="247"/>
      <c r="I25" s="78" t="s">
        <v>137</v>
      </c>
      <c r="J25" s="55" t="s">
        <v>140</v>
      </c>
      <c r="K25" s="55" t="str">
        <f ca="1">IFERROR(__xludf.DUMMYFUNCTION("IF(ISBLANK(K24),"""",HLOOKUP(REGEXEXTRACT(K24,"".*-(.*)""),INDIRECT(CONCATENATE(REGEXEXTRACT(K24,""(.*)-.*""),""!C3:V"")),2,FALSE))"),"Bard")</f>
        <v>Bard</v>
      </c>
      <c r="L25" s="55" t="str">
        <f ca="1">IFERROR(__xludf.DUMMYFUNCTION("IF(ISBLANK(L24),"""",HLOOKUP(REGEXEXTRACT(L24,"".*-(.*)""),INDIRECT(CONCATENATE(REGEXEXTRACT(L24,""(.*)-.*""),""!C3:V"")),2,FALSE))"),"Souleater")</f>
        <v>Souleater</v>
      </c>
      <c r="M25" s="57" t="str">
        <f ca="1">IFERROR(__xludf.DUMMYFUNCTION("IF(ISBLANK(M24),"""",HLOOKUP(REGEXEXTRACT(M24,"".*-(.*)""),INDIRECT(CONCATENATE(REGEXEXTRACT(M24,""(.*)-.*""),""!C3:V"")),2,FALSE))"),"Paladin")</f>
        <v>Paladin</v>
      </c>
    </row>
    <row r="26" spans="1:13">
      <c r="A26" s="247"/>
      <c r="B26" s="97"/>
      <c r="C26" s="59">
        <f ca="1">IFERROR(__xludf.DUMMYFUNCTION("IF(ISBLANK(C24),"""",HLOOKUP(REGEXEXTRACT(C24,"".*-(.*)""),INDIRECT(CONCATENATE(REGEXEXTRACT(C24,""(.*)-.*""),""!C3:V"")),3,FALSE))"),1750)</f>
        <v>1750</v>
      </c>
      <c r="D26" s="59">
        <f ca="1">IFERROR(__xludf.DUMMYFUNCTION("IF(ISBLANK(D24),"""",HLOOKUP(REGEXEXTRACT(D24,"".*-(.*)""),INDIRECT(CONCATENATE(REGEXEXTRACT(D24,""(.*)-.*""),""!C3:V"")),3,FALSE))"),1750)</f>
        <v>1750</v>
      </c>
      <c r="E26" s="59">
        <f ca="1">IFERROR(__xludf.DUMMYFUNCTION("IF(ISBLANK(E24),"""",HLOOKUP(REGEXEXTRACT(E24,"".*-(.*)""),INDIRECT(CONCATENATE(REGEXEXTRACT(E24,""(.*)-.*""),""!C3:V"")),3,FALSE))"),1750)</f>
        <v>1750</v>
      </c>
      <c r="F26" s="61">
        <f ca="1">IFERROR(__xludf.DUMMYFUNCTION("IF(ISBLANK(F24),"""",HLOOKUP(REGEXEXTRACT(F24,"".*-(.*)""),INDIRECT(CONCATENATE(REGEXEXTRACT(F24,""(.*)-.*""),""!C3:V"")),3,FALSE))"),1750)</f>
        <v>1750</v>
      </c>
      <c r="H26" s="247"/>
      <c r="I26" s="79"/>
      <c r="J26" s="59"/>
      <c r="K26" s="59">
        <f ca="1">IFERROR(__xludf.DUMMYFUNCTION("IF(ISBLANK(K24),"""",HLOOKUP(REGEXEXTRACT(K24,"".*-(.*)""),INDIRECT(CONCATENATE(REGEXEXTRACT(K24,""(.*)-.*""),""!C3:V"")),3,FALSE))"),1730)</f>
        <v>1730</v>
      </c>
      <c r="L26" s="59">
        <f ca="1">IFERROR(__xludf.DUMMYFUNCTION("IF(ISBLANK(L24),"""",HLOOKUP(REGEXEXTRACT(L24,"".*-(.*)""),INDIRECT(CONCATENATE(REGEXEXTRACT(L24,""(.*)-.*""),""!C3:V"")),3,FALSE))"),1750)</f>
        <v>1750</v>
      </c>
      <c r="M26" s="61">
        <f ca="1">IFERROR(__xludf.DUMMYFUNCTION("IF(ISBLANK(M24),"""",HLOOKUP(REGEXEXTRACT(M24,"".*-(.*)""),INDIRECT(CONCATENATE(REGEXEXTRACT(M24,""(.*)-.*""),""!C3:V"")),3,FALSE))"),1750)</f>
        <v>1750</v>
      </c>
    </row>
    <row r="28" spans="1:13">
      <c r="A28" s="7"/>
      <c r="H28" s="7"/>
    </row>
    <row r="29" spans="1:13">
      <c r="A29" s="7"/>
      <c r="H29" s="7"/>
    </row>
    <row r="30" spans="1:13">
      <c r="A30" s="7"/>
      <c r="H30" s="7"/>
    </row>
    <row r="35" spans="5:5">
      <c r="E35" s="7" t="s">
        <v>147</v>
      </c>
    </row>
    <row r="43" spans="5:5">
      <c r="E43" s="7" t="s">
        <v>148</v>
      </c>
    </row>
  </sheetData>
  <mergeCells count="12">
    <mergeCell ref="A4:A6"/>
    <mergeCell ref="H4:H6"/>
    <mergeCell ref="A8:A10"/>
    <mergeCell ref="H8:H10"/>
    <mergeCell ref="A12:A14"/>
    <mergeCell ref="H12:H14"/>
    <mergeCell ref="A16:A18"/>
    <mergeCell ref="A20:A22"/>
    <mergeCell ref="A24:A26"/>
    <mergeCell ref="H20:H22"/>
    <mergeCell ref="H24:H26"/>
    <mergeCell ref="H16:H18"/>
  </mergeCells>
  <conditionalFormatting sqref="A4:A6 H4:H6 A8:A10 H8:H10 A12:A14 H12:H14 A16:A18 H16:H18 A20:A22 H20:H22 A24:A26 H24:H26 A28:A30 H28:H30">
    <cfRule type="cellIs" dxfId="14" priority="1" operator="equal">
      <formula>"DONE"</formula>
    </cfRule>
    <cfRule type="containsBlanks" dxfId="13" priority="2">
      <formula>LEN(TRIM(A4))=0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600-000000000000}">
          <x14:formula1>
            <xm:f>chars!$B$2:$Z976</xm:f>
          </x14:formula1>
          <xm:sqref>C4:F4 J4:M4 C8:F8 J8:M8 C12:F12 J12:M12 C16:F16 J16:M16 C20:F20 J20:M20 C24:F24 J24:M24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53"/>
  <sheetViews>
    <sheetView tabSelected="1" workbookViewId="0"/>
  </sheetViews>
  <sheetFormatPr defaultColWidth="12.5703125" defaultRowHeight="15.75" customHeight="1"/>
  <cols>
    <col min="1" max="1" width="12.5703125" customWidth="1"/>
    <col min="2" max="2" width="14.42578125" customWidth="1"/>
    <col min="3" max="6" width="18.140625" customWidth="1"/>
    <col min="7" max="7" width="14.42578125" customWidth="1"/>
    <col min="8" max="11" width="18.140625" customWidth="1"/>
    <col min="12" max="12" width="1.42578125" customWidth="1"/>
    <col min="13" max="13" width="14.42578125" customWidth="1"/>
    <col min="14" max="17" width="18.140625" customWidth="1"/>
    <col min="18" max="18" width="1.42578125" customWidth="1"/>
    <col min="19" max="19" width="14.42578125" customWidth="1"/>
    <col min="20" max="23" width="18.140625" customWidth="1"/>
  </cols>
  <sheetData>
    <row r="1" spans="1:24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</row>
    <row r="2" spans="1:24">
      <c r="A2" s="73"/>
      <c r="B2" s="100" t="s">
        <v>134</v>
      </c>
      <c r="C2" s="101" t="s">
        <v>88</v>
      </c>
      <c r="D2" s="102" t="s">
        <v>4</v>
      </c>
      <c r="E2" s="102" t="s">
        <v>60</v>
      </c>
      <c r="F2" s="103" t="s">
        <v>114</v>
      </c>
      <c r="G2" s="104" t="s">
        <v>156</v>
      </c>
      <c r="H2" s="101" t="s">
        <v>88</v>
      </c>
      <c r="I2" s="102" t="s">
        <v>4</v>
      </c>
      <c r="J2" s="102" t="s">
        <v>60</v>
      </c>
      <c r="K2" s="105" t="s">
        <v>114</v>
      </c>
      <c r="L2" s="73"/>
      <c r="M2" s="106" t="s">
        <v>138</v>
      </c>
      <c r="N2" s="51" t="s">
        <v>153</v>
      </c>
      <c r="O2" s="52" t="s">
        <v>120</v>
      </c>
      <c r="P2" s="52" t="s">
        <v>154</v>
      </c>
      <c r="Q2" s="53" t="s">
        <v>109</v>
      </c>
      <c r="R2" s="73"/>
      <c r="S2" s="107" t="s">
        <v>156</v>
      </c>
      <c r="T2" s="101"/>
      <c r="U2" s="102" t="s">
        <v>30</v>
      </c>
      <c r="V2" s="102" t="s">
        <v>125</v>
      </c>
      <c r="W2" s="105" t="s">
        <v>123</v>
      </c>
      <c r="X2" s="73"/>
    </row>
    <row r="3" spans="1:24">
      <c r="A3" s="73"/>
      <c r="B3" s="108" t="s">
        <v>160</v>
      </c>
      <c r="C3" s="55" t="str">
        <f ca="1">IFERROR(__xludf.DUMMYFUNCTION("IF(ISBLANK(C2),"""",HLOOKUP(REGEXEXTRACT(C2,"".*-(.*)""),INDIRECT(CONCATENATE(REGEXEXTRACT(C2,""(.*)-.*""),""!C3:V"")),2,FALSE))"),"Wildsoul")</f>
        <v>Wildsoul</v>
      </c>
      <c r="D3" s="55" t="str">
        <f ca="1">IFERROR(__xludf.DUMMYFUNCTION("IF(ISBLANK(D2),"""",HLOOKUP(REGEXEXTRACT(D2,"".*-(.*)""),INDIRECT(CONCATENATE(REGEXEXTRACT(D2,""(.*)-.*""),""!C3:V"")),2,FALSE))"),"Gunslinger")</f>
        <v>Gunslinger</v>
      </c>
      <c r="E3" s="55" t="str">
        <f ca="1">IFERROR(__xludf.DUMMYFUNCTION("IF(ISBLANK(E2),"""",HLOOKUP(REGEXEXTRACT(E2,"".*-(.*)""),INDIRECT(CONCATENATE(REGEXEXTRACT(E2,""(.*)-.*""),""!C3:V"")),2,FALSE))"),"BREAKER")</f>
        <v>BREAKER</v>
      </c>
      <c r="F3" s="57" t="str">
        <f ca="1">IFERROR(__xludf.DUMMYFUNCTION("IF(ISBLANK(F2),"""",HLOOKUP(REGEXEXTRACT(F2,"".*-(.*)""),INDIRECT(CONCATENATE(REGEXEXTRACT(F2,""(.*)-.*""),""!C3:V"")),2,FALSE))"),"Artist")</f>
        <v>Artist</v>
      </c>
      <c r="G3" s="108" t="s">
        <v>160</v>
      </c>
      <c r="H3" s="55" t="str">
        <f ca="1">IFERROR(__xludf.DUMMYFUNCTION("IF(ISBLANK(H2),"""",HLOOKUP(REGEXEXTRACT(H2,"".*-(.*)""),INDIRECT(CONCATENATE(REGEXEXTRACT(H2,""(.*)-.*""),""!C3:V"")),2,FALSE))"),"Wildsoul")</f>
        <v>Wildsoul</v>
      </c>
      <c r="I3" s="55" t="str">
        <f ca="1">IFERROR(__xludf.DUMMYFUNCTION("IF(ISBLANK(I2),"""",HLOOKUP(REGEXEXTRACT(I2,"".*-(.*)""),INDIRECT(CONCATENATE(REGEXEXTRACT(I2,""(.*)-.*""),""!C3:V"")),2,FALSE))"),"Gunslinger")</f>
        <v>Gunslinger</v>
      </c>
      <c r="J3" s="55" t="str">
        <f ca="1">IFERROR(__xludf.DUMMYFUNCTION("IF(ISBLANK(J2),"""",HLOOKUP(REGEXEXTRACT(J2,"".*-(.*)""),INDIRECT(CONCATENATE(REGEXEXTRACT(J2,""(.*)-.*""),""!C3:V"")),2,FALSE))"),"BREAKER")</f>
        <v>BREAKER</v>
      </c>
      <c r="K3" s="109" t="str">
        <f ca="1">IFERROR(__xludf.DUMMYFUNCTION("IF(ISBLANK(K2),"""",HLOOKUP(REGEXEXTRACT(K2,"".*-(.*)""),INDIRECT(CONCATENATE(REGEXEXTRACT(K2,""(.*)-.*""),""!C3:V"")),2,FALSE))"),"Artist")</f>
        <v>Artist</v>
      </c>
      <c r="L3" s="73"/>
      <c r="M3" s="110" t="s">
        <v>137</v>
      </c>
      <c r="N3" s="55" t="str">
        <f ca="1">IFERROR(__xludf.DUMMYFUNCTION("IF(ISBLANK(N2),"""",HLOOKUP(REGEXEXTRACT(N2,"".*-(.*)""),INDIRECT(CONCATENATE(REGEXEXTRACT(N2,""(.*)-.*""),""!C3:V"")),2,FALSE))"),"Aeromancer")</f>
        <v>Aeromancer</v>
      </c>
      <c r="O3" s="55" t="str">
        <f ca="1">IFERROR(__xludf.DUMMYFUNCTION("IF(ISBLANK(O2),"""",HLOOKUP(REGEXEXTRACT(O2,"".*-(.*)""),INDIRECT(CONCATENATE(REGEXEXTRACT(O2,""(.*)-.*""),""!C3:V"")),2,FALSE))"),"Glaivier")</f>
        <v>Glaivier</v>
      </c>
      <c r="P3" s="55" t="str">
        <f ca="1">IFERROR(__xludf.DUMMYFUNCTION("IF(ISBLANK(P2),"""",HLOOKUP(REGEXEXTRACT(P2,"".*-(.*)""),INDIRECT(CONCATENATE(REGEXEXTRACT(P2,""(.*)-.*""),""!C3:V"")),2,FALSE))"),"Souleater")</f>
        <v>Souleater</v>
      </c>
      <c r="Q3" s="57" t="str">
        <f ca="1">IFERROR(__xludf.DUMMYFUNCTION("IF(ISBLANK(Q2),"""",HLOOKUP(REGEXEXTRACT(Q2,"".*-(.*)""),INDIRECT(CONCATENATE(REGEXEXTRACT(Q2,""(.*)-.*""),""!C3:V"")),2,FALSE))"),"Valk")</f>
        <v>Valk</v>
      </c>
      <c r="R3" s="73"/>
      <c r="S3" s="111" t="s">
        <v>137</v>
      </c>
      <c r="T3" s="55" t="str">
        <f ca="1">IFERROR(__xludf.DUMMYFUNCTION("IF(ISBLANK(T2),"""",HLOOKUP(REGEXEXTRACT(T2,"".*-(.*)""),INDIRECT(CONCATENATE(REGEXEXTRACT(T2,""(.*)-.*""),""!C3:V"")),2,FALSE))"),"")</f>
        <v/>
      </c>
      <c r="U3" s="55" t="str">
        <f ca="1">IFERROR(__xludf.DUMMYFUNCTION("IF(ISBLANK(U2),"""",HLOOKUP(REGEXEXTRACT(U2,"".*-(.*)""),INDIRECT(CONCATENATE(REGEXEXTRACT(U2,""(.*)-.*""),""!C3:V"")),2,FALSE))"),"Soulfist")</f>
        <v>Soulfist</v>
      </c>
      <c r="V3" s="55" t="str">
        <f ca="1">IFERROR(__xludf.DUMMYFUNCTION("IF(ISBLANK(V2),"""",HLOOKUP(REGEXEXTRACT(V2,"".*-(.*)""),INDIRECT(CONCATENATE(REGEXEXTRACT(V2,""(.*)-.*""),""!C3:V"")),2,FALSE))"),"Souleater")</f>
        <v>Souleater</v>
      </c>
      <c r="W3" s="109" t="str">
        <f ca="1">IFERROR(__xludf.DUMMYFUNCTION("IF(ISBLANK(W2),"""",HLOOKUP(REGEXEXTRACT(W2,"".*-(.*)""),INDIRECT(CONCATENATE(REGEXEXTRACT(W2,""(.*)-.*""),""!C3:V"")),2,FALSE))"),"Paladin")</f>
        <v>Paladin</v>
      </c>
      <c r="X3" s="73"/>
    </row>
    <row r="4" spans="1:24">
      <c r="A4" s="73"/>
      <c r="B4" s="112"/>
      <c r="C4" s="59">
        <f ca="1">IFERROR(__xludf.DUMMYFUNCTION("IF(ISBLANK(C2),"""",HLOOKUP(REGEXEXTRACT(C2,"".*-(.*)""),INDIRECT(CONCATENATE(REGEXEXTRACT(C2,""(.*)-.*""),""!C3:V"")),3,FALSE))"),1750)</f>
        <v>1750</v>
      </c>
      <c r="D4" s="59">
        <f ca="1">IFERROR(__xludf.DUMMYFUNCTION("IF(ISBLANK(D2),"""",HLOOKUP(REGEXEXTRACT(D2,"".*-(.*)""),INDIRECT(CONCATENATE(REGEXEXTRACT(D2,""(.*)-.*""),""!C3:V"")),3,FALSE))"),1750)</f>
        <v>1750</v>
      </c>
      <c r="E4" s="59">
        <f ca="1">IFERROR(__xludf.DUMMYFUNCTION("IF(ISBLANK(E2),"""",HLOOKUP(REGEXEXTRACT(E2,"".*-(.*)""),INDIRECT(CONCATENATE(REGEXEXTRACT(E2,""(.*)-.*""),""!C3:V"")),3,FALSE))"),1750)</f>
        <v>1750</v>
      </c>
      <c r="F4" s="61">
        <f ca="1">IFERROR(__xludf.DUMMYFUNCTION("IF(ISBLANK(F2),"""",HLOOKUP(REGEXEXTRACT(F2,"".*-(.*)""),INDIRECT(CONCATENATE(REGEXEXTRACT(F2,""(.*)-.*""),""!C3:V"")),3,FALSE))"),1750)</f>
        <v>1750</v>
      </c>
      <c r="G4" s="68"/>
      <c r="H4" s="59">
        <f ca="1">IFERROR(__xludf.DUMMYFUNCTION("IF(ISBLANK(H2),"""",HLOOKUP(REGEXEXTRACT(H2,"".*-(.*)""),INDIRECT(CONCATENATE(REGEXEXTRACT(H2,""(.*)-.*""),""!C3:V"")),3,FALSE))"),1750)</f>
        <v>1750</v>
      </c>
      <c r="I4" s="59">
        <f ca="1">IFERROR(__xludf.DUMMYFUNCTION("IF(ISBLANK(I2),"""",HLOOKUP(REGEXEXTRACT(I2,"".*-(.*)""),INDIRECT(CONCATENATE(REGEXEXTRACT(I2,""(.*)-.*""),""!C3:V"")),3,FALSE))"),1750)</f>
        <v>1750</v>
      </c>
      <c r="J4" s="59">
        <f ca="1">IFERROR(__xludf.DUMMYFUNCTION("IF(ISBLANK(J2),"""",HLOOKUP(REGEXEXTRACT(J2,"".*-(.*)""),INDIRECT(CONCATENATE(REGEXEXTRACT(J2,""(.*)-.*""),""!C3:V"")),3,FALSE))"),1750)</f>
        <v>1750</v>
      </c>
      <c r="K4" s="113">
        <f ca="1">IFERROR(__xludf.DUMMYFUNCTION("IF(ISBLANK(K2),"""",HLOOKUP(REGEXEXTRACT(K2,"".*-(.*)""),INDIRECT(CONCATENATE(REGEXEXTRACT(K2,""(.*)-.*""),""!C3:V"")),3,FALSE))"),1750)</f>
        <v>1750</v>
      </c>
      <c r="L4" s="73"/>
      <c r="M4" s="114"/>
      <c r="N4" s="59">
        <f ca="1">IFERROR(__xludf.DUMMYFUNCTION("IF(ISBLANK(N2),"""",HLOOKUP(REGEXEXTRACT(N2,"".*-(.*)""),INDIRECT(CONCATENATE(REGEXEXTRACT(N2,""(.*)-.*""),""!C3:V"")),3,FALSE))"),1730)</f>
        <v>1730</v>
      </c>
      <c r="O4" s="59">
        <f ca="1">IFERROR(__xludf.DUMMYFUNCTION("IF(ISBLANK(O2),"""",HLOOKUP(REGEXEXTRACT(O2,"".*-(.*)""),INDIRECT(CONCATENATE(REGEXEXTRACT(O2,""(.*)-.*""),""!C3:V"")),3,FALSE))"),1750)</f>
        <v>1750</v>
      </c>
      <c r="P4" s="59">
        <f ca="1">IFERROR(__xludf.DUMMYFUNCTION("IF(ISBLANK(P2),"""",HLOOKUP(REGEXEXTRACT(P2,"".*-(.*)""),INDIRECT(CONCATENATE(REGEXEXTRACT(P2,""(.*)-.*""),""!C3:V"")),3,FALSE))"),1730)</f>
        <v>1730</v>
      </c>
      <c r="Q4" s="61">
        <f ca="1">IFERROR(__xludf.DUMMYFUNCTION("IF(ISBLANK(Q2),"""",HLOOKUP(REGEXEXTRACT(Q2,"".*-(.*)""),INDIRECT(CONCATENATE(REGEXEXTRACT(Q2,""(.*)-.*""),""!C3:V"")),3,FALSE))"),1750)</f>
        <v>1750</v>
      </c>
      <c r="R4" s="73"/>
      <c r="S4" s="115"/>
      <c r="T4" s="59" t="str">
        <f ca="1">IFERROR(__xludf.DUMMYFUNCTION("IF(ISBLANK(T2),"""",HLOOKUP(REGEXEXTRACT(T2,"".*-(.*)""),INDIRECT(CONCATENATE(REGEXEXTRACT(T2,""(.*)-.*""),""!C3:V"")),3,FALSE))"),"")</f>
        <v/>
      </c>
      <c r="U4" s="59">
        <f ca="1">IFERROR(__xludf.DUMMYFUNCTION("IF(ISBLANK(U2),"""",HLOOKUP(REGEXEXTRACT(U2,"".*-(.*)""),INDIRECT(CONCATENATE(REGEXEXTRACT(U2,""(.*)-.*""),""!C3:V"")),3,FALSE))"),1750)</f>
        <v>1750</v>
      </c>
      <c r="V4" s="59">
        <f ca="1">IFERROR(__xludf.DUMMYFUNCTION("IF(ISBLANK(V2),"""",HLOOKUP(REGEXEXTRACT(V2,"".*-(.*)""),INDIRECT(CONCATENATE(REGEXEXTRACT(V2,""(.*)-.*""),""!C3:V"")),3,FALSE))"),1750)</f>
        <v>1750</v>
      </c>
      <c r="W4" s="113">
        <f ca="1">IFERROR(__xludf.DUMMYFUNCTION("IF(ISBLANK(W2),"""",HLOOKUP(REGEXEXTRACT(W2,"".*-(.*)""),INDIRECT(CONCATENATE(REGEXEXTRACT(W2,""(.*)-.*""),""!C3:V"")),3,FALSE))"),1750)</f>
        <v>1750</v>
      </c>
      <c r="X4" s="73"/>
    </row>
    <row r="5" spans="1:24">
      <c r="A5" s="73"/>
      <c r="B5" s="116"/>
      <c r="K5" s="117"/>
      <c r="L5" s="73"/>
      <c r="M5" s="73"/>
      <c r="N5" s="73"/>
      <c r="O5" s="73"/>
      <c r="P5" s="73"/>
      <c r="Q5" s="73"/>
      <c r="R5" s="73"/>
      <c r="W5" s="117"/>
      <c r="X5" s="73"/>
    </row>
    <row r="6" spans="1:24">
      <c r="A6" s="73"/>
      <c r="B6" s="118" t="s">
        <v>138</v>
      </c>
      <c r="C6" s="51" t="s">
        <v>58</v>
      </c>
      <c r="D6" s="52" t="s">
        <v>12</v>
      </c>
      <c r="E6" s="52" t="s">
        <v>67</v>
      </c>
      <c r="F6" s="53" t="s">
        <v>119</v>
      </c>
      <c r="G6" s="64" t="s">
        <v>156</v>
      </c>
      <c r="H6" s="51" t="s">
        <v>39</v>
      </c>
      <c r="I6" s="52" t="s">
        <v>24</v>
      </c>
      <c r="J6" s="52" t="s">
        <v>67</v>
      </c>
      <c r="K6" s="119" t="s">
        <v>119</v>
      </c>
      <c r="L6" s="73"/>
      <c r="M6" s="120" t="s">
        <v>138</v>
      </c>
      <c r="N6" s="51" t="s">
        <v>87</v>
      </c>
      <c r="O6" s="52" t="s">
        <v>35</v>
      </c>
      <c r="P6" s="52" t="s">
        <v>125</v>
      </c>
      <c r="Q6" s="53" t="s">
        <v>126</v>
      </c>
      <c r="R6" s="73"/>
      <c r="S6" s="121" t="s">
        <v>156</v>
      </c>
      <c r="T6" s="52"/>
      <c r="U6" s="52" t="s">
        <v>58</v>
      </c>
      <c r="V6" s="52" t="s">
        <v>111</v>
      </c>
      <c r="W6" s="119" t="s">
        <v>126</v>
      </c>
      <c r="X6" s="73"/>
    </row>
    <row r="7" spans="1:24">
      <c r="A7" s="73"/>
      <c r="B7" s="108" t="s">
        <v>160</v>
      </c>
      <c r="C7" s="55" t="str">
        <f ca="1">IFERROR(__xludf.DUMMYFUNCTION("IF(ISBLANK(C6),"""",HLOOKUP(REGEXEXTRACT(C6,"".*-(.*)""),INDIRECT(CONCATENATE(REGEXEXTRACT(C6,""(.*)-.*""),""!C3:V"")),2,FALSE))"),"Souleater")</f>
        <v>Souleater</v>
      </c>
      <c r="D7" s="55" t="str">
        <f ca="1">IFERROR(__xludf.DUMMYFUNCTION("IF(ISBLANK(D6),"""",HLOOKUP(REGEXEXTRACT(D6,"".*-(.*)""),INDIRECT(CONCATENATE(REGEXEXTRACT(D6,""(.*)-.*""),""!C3:V"")),2,FALSE))"),"Sorceress")</f>
        <v>Sorceress</v>
      </c>
      <c r="E7" s="55" t="str">
        <f ca="1">IFERROR(__xludf.DUMMYFUNCTION("IF(ISBLANK(E6),"""",HLOOKUP(REGEXEXTRACT(E6,"".*-(.*)""),INDIRECT(CONCATENATE(REGEXEXTRACT(E6,""(.*)-.*""),""!C3:V"")),2,FALSE))"),"Bonk")</f>
        <v>Bonk</v>
      </c>
      <c r="F7" s="57" t="str">
        <f ca="1">IFERROR(__xludf.DUMMYFUNCTION("IF(ISBLANK(F6),"""",HLOOKUP(REGEXEXTRACT(F6,"".*-(.*)""),INDIRECT(CONCATENATE(REGEXEXTRACT(F6,""(.*)-.*""),""!C3:V"")),2,FALSE))"),"Artist")</f>
        <v>Artist</v>
      </c>
      <c r="G7" s="108" t="s">
        <v>160</v>
      </c>
      <c r="H7" s="55" t="str">
        <f ca="1">IFERROR(__xludf.DUMMYFUNCTION("IF(ISBLANK(H6),"""",HLOOKUP(REGEXEXTRACT(H6,"".*-(.*)""),INDIRECT(CONCATENATE(REGEXEXTRACT(H6,""(.*)-.*""),""!C3:V"")),2,FALSE))"),"Summoner")</f>
        <v>Summoner</v>
      </c>
      <c r="I7" s="55" t="str">
        <f ca="1">IFERROR(__xludf.DUMMYFUNCTION("IF(ISBLANK(I6),"""",HLOOKUP(REGEXEXTRACT(I6,"".*-(.*)""),INDIRECT(CONCATENATE(REGEXEXTRACT(I6,""(.*)-.*""),""!C3:V"")),2,FALSE))"),"Glaivier")</f>
        <v>Glaivier</v>
      </c>
      <c r="J7" s="55" t="str">
        <f ca="1">IFERROR(__xludf.DUMMYFUNCTION("IF(ISBLANK(J6),"""",HLOOKUP(REGEXEXTRACT(J6,"".*-(.*)""),INDIRECT(CONCATENATE(REGEXEXTRACT(J6,""(.*)-.*""),""!C3:V"")),2,FALSE))"),"Bonk")</f>
        <v>Bonk</v>
      </c>
      <c r="K7" s="109" t="str">
        <f ca="1">IFERROR(__xludf.DUMMYFUNCTION("IF(ISBLANK(K6),"""",HLOOKUP(REGEXEXTRACT(K6,"".*-(.*)""),INDIRECT(CONCATENATE(REGEXEXTRACT(K6,""(.*)-.*""),""!C3:V"")),2,FALSE))"),"Artist")</f>
        <v>Artist</v>
      </c>
      <c r="L7" s="73"/>
      <c r="M7" s="122" t="s">
        <v>137</v>
      </c>
      <c r="N7" s="55" t="s">
        <v>140</v>
      </c>
      <c r="O7" s="55" t="str">
        <f ca="1">IFERROR(__xludf.DUMMYFUNCTION("IF(ISBLANK(O6),"""",HLOOKUP(REGEXEXTRACT(O6,"".*-(.*)""),INDIRECT(CONCATENATE(REGEXEXTRACT(O6,""(.*)-.*""),""!C3:V"")),2,FALSE))"),"Bard")</f>
        <v>Bard</v>
      </c>
      <c r="P7" s="55" t="str">
        <f ca="1">IFERROR(__xludf.DUMMYFUNCTION("IF(ISBLANK(P6),"""",HLOOKUP(REGEXEXTRACT(P6,"".*-(.*)""),INDIRECT(CONCATENATE(REGEXEXTRACT(P6,""(.*)-.*""),""!C3:V"")),2,FALSE))"),"Souleater")</f>
        <v>Souleater</v>
      </c>
      <c r="Q7" s="57" t="str">
        <f ca="1">IFERROR(__xludf.DUMMYFUNCTION("IF(ISBLANK(Q6),"""",HLOOKUP(REGEXEXTRACT(Q6,"".*-(.*)""),INDIRECT(CONCATENATE(REGEXEXTRACT(Q6,""(.*)-.*""),""!C3:V"")),2,FALSE))"),"Valk")</f>
        <v>Valk</v>
      </c>
      <c r="R7" s="73"/>
      <c r="S7" s="123" t="s">
        <v>137</v>
      </c>
      <c r="T7" s="55" t="str">
        <f ca="1">IFERROR(__xludf.DUMMYFUNCTION("IF(ISBLANK(T6),"""",HLOOKUP(REGEXEXTRACT(T6,"".*-(.*)""),INDIRECT(CONCATENATE(REGEXEXTRACT(T6,""(.*)-.*""),""!C3:V"")),2,FALSE))"),"")</f>
        <v/>
      </c>
      <c r="U7" s="55" t="str">
        <f ca="1">IFERROR(__xludf.DUMMYFUNCTION("IF(ISBLANK(U6),"""",HLOOKUP(REGEXEXTRACT(U6,"".*-(.*)""),INDIRECT(CONCATENATE(REGEXEXTRACT(U6,""(.*)-.*""),""!C3:V"")),2,FALSE))"),"Souleater")</f>
        <v>Souleater</v>
      </c>
      <c r="V7" s="55" t="str">
        <f ca="1">IFERROR(__xludf.DUMMYFUNCTION("IF(ISBLANK(V6),"""",HLOOKUP(REGEXEXTRACT(V6,"".*-(.*)""),INDIRECT(CONCATENATE(REGEXEXTRACT(V6,""(.*)-.*""),""!C3:V"")),2,FALSE))"),"Guardianknight")</f>
        <v>Guardianknight</v>
      </c>
      <c r="W7" s="109" t="str">
        <f ca="1">IFERROR(__xludf.DUMMYFUNCTION("IF(ISBLANK(W6),"""",HLOOKUP(REGEXEXTRACT(W6,"".*-(.*)""),INDIRECT(CONCATENATE(REGEXEXTRACT(W6,""(.*)-.*""),""!C3:V"")),2,FALSE))"),"Valk")</f>
        <v>Valk</v>
      </c>
      <c r="X7" s="73"/>
    </row>
    <row r="8" spans="1:24">
      <c r="A8" s="73"/>
      <c r="B8" s="124"/>
      <c r="C8" s="125">
        <f ca="1">IFERROR(__xludf.DUMMYFUNCTION("IF(ISBLANK(C6),"""",HLOOKUP(REGEXEXTRACT(C6,"".*-(.*)""),INDIRECT(CONCATENATE(REGEXEXTRACT(C6,""(.*)-.*""),""!C3:V"")),3,FALSE))"),1750)</f>
        <v>1750</v>
      </c>
      <c r="D8" s="125">
        <f ca="1">IFERROR(__xludf.DUMMYFUNCTION("IF(ISBLANK(D6),"""",HLOOKUP(REGEXEXTRACT(D6,"".*-(.*)""),INDIRECT(CONCATENATE(REGEXEXTRACT(D6,""(.*)-.*""),""!C3:V"")),3,FALSE))"),1750)</f>
        <v>1750</v>
      </c>
      <c r="E8" s="125">
        <f ca="1">IFERROR(__xludf.DUMMYFUNCTION("IF(ISBLANK(E6),"""",HLOOKUP(REGEXEXTRACT(E6,"".*-(.*)""),INDIRECT(CONCATENATE(REGEXEXTRACT(E6,""(.*)-.*""),""!C3:V"")),3,FALSE))"),1750)</f>
        <v>1750</v>
      </c>
      <c r="F8" s="126">
        <f ca="1">IFERROR(__xludf.DUMMYFUNCTION("IF(ISBLANK(F6),"""",HLOOKUP(REGEXEXTRACT(F6,"".*-(.*)""),INDIRECT(CONCATENATE(REGEXEXTRACT(F6,""(.*)-.*""),""!C3:V"")),3,FALSE))"),1750)</f>
        <v>1750</v>
      </c>
      <c r="G8" s="127"/>
      <c r="H8" s="125">
        <f ca="1">IFERROR(__xludf.DUMMYFUNCTION("IF(ISBLANK(H6),"""",HLOOKUP(REGEXEXTRACT(H6,"".*-(.*)""),INDIRECT(CONCATENATE(REGEXEXTRACT(H6,""(.*)-.*""),""!C3:V"")),3,FALSE))"),1750)</f>
        <v>1750</v>
      </c>
      <c r="I8" s="125">
        <f ca="1">IFERROR(__xludf.DUMMYFUNCTION("IF(ISBLANK(I6),"""",HLOOKUP(REGEXEXTRACT(I6,"".*-(.*)""),INDIRECT(CONCATENATE(REGEXEXTRACT(I6,""(.*)-.*""),""!C3:V"")),3,FALSE))"),1750)</f>
        <v>1750</v>
      </c>
      <c r="J8" s="125">
        <f ca="1">IFERROR(__xludf.DUMMYFUNCTION("IF(ISBLANK(J6),"""",HLOOKUP(REGEXEXTRACT(J6,"".*-(.*)""),INDIRECT(CONCATENATE(REGEXEXTRACT(J6,""(.*)-.*""),""!C3:V"")),3,FALSE))"),1750)</f>
        <v>1750</v>
      </c>
      <c r="K8" s="128">
        <f ca="1">IFERROR(__xludf.DUMMYFUNCTION("IF(ISBLANK(K6),"""",HLOOKUP(REGEXEXTRACT(K6,"".*-(.*)""),INDIRECT(CONCATENATE(REGEXEXTRACT(K6,""(.*)-.*""),""!C3:V"")),3,FALSE))"),1750)</f>
        <v>1750</v>
      </c>
      <c r="L8" s="73"/>
      <c r="M8" s="129"/>
      <c r="N8" s="59"/>
      <c r="O8" s="59">
        <f ca="1">IFERROR(__xludf.DUMMYFUNCTION("IF(ISBLANK(O6),"""",HLOOKUP(REGEXEXTRACT(O6,"".*-(.*)""),INDIRECT(CONCATENATE(REGEXEXTRACT(O6,""(.*)-.*""),""!C3:V"")),3,FALSE))"),1730)</f>
        <v>1730</v>
      </c>
      <c r="P8" s="59">
        <f ca="1">IFERROR(__xludf.DUMMYFUNCTION("IF(ISBLANK(P6),"""",HLOOKUP(REGEXEXTRACT(P6,"".*-(.*)""),INDIRECT(CONCATENATE(REGEXEXTRACT(P6,""(.*)-.*""),""!C3:V"")),3,FALSE))"),1750)</f>
        <v>1750</v>
      </c>
      <c r="Q8" s="61">
        <f ca="1">IFERROR(__xludf.DUMMYFUNCTION("IF(ISBLANK(Q6),"""",HLOOKUP(REGEXEXTRACT(Q6,"".*-(.*)""),INDIRECT(CONCATENATE(REGEXEXTRACT(Q6,""(.*)-.*""),""!C3:V"")),3,FALSE))"),1750)</f>
        <v>1750</v>
      </c>
      <c r="R8" s="73"/>
      <c r="S8" s="130"/>
      <c r="T8" s="125" t="str">
        <f ca="1">IFERROR(__xludf.DUMMYFUNCTION("IF(ISBLANK(T6),"""",HLOOKUP(REGEXEXTRACT(T6,"".*-(.*)""),INDIRECT(CONCATENATE(REGEXEXTRACT(T6,""(.*)-.*""),""!C3:V"")),3,FALSE))"),"")</f>
        <v/>
      </c>
      <c r="U8" s="125">
        <f ca="1">IFERROR(__xludf.DUMMYFUNCTION("IF(ISBLANK(U6),"""",HLOOKUP(REGEXEXTRACT(U6,"".*-(.*)""),INDIRECT(CONCATENATE(REGEXEXTRACT(U6,""(.*)-.*""),""!C3:V"")),3,FALSE))"),1750)</f>
        <v>1750</v>
      </c>
      <c r="V8" s="125">
        <f ca="1">IFERROR(__xludf.DUMMYFUNCTION("IF(ISBLANK(V6),"""",HLOOKUP(REGEXEXTRACT(V6,"".*-(.*)""),INDIRECT(CONCATENATE(REGEXEXTRACT(V6,""(.*)-.*""),""!C3:V"")),3,FALSE))"),1750)</f>
        <v>1750</v>
      </c>
      <c r="W8" s="128">
        <f ca="1">IFERROR(__xludf.DUMMYFUNCTION("IF(ISBLANK(W6),"""",HLOOKUP(REGEXEXTRACT(W6,"".*-(.*)""),INDIRECT(CONCATENATE(REGEXEXTRACT(W6,""(.*)-.*""),""!C3:V"")),3,FALSE))"),1750)</f>
        <v>1750</v>
      </c>
      <c r="X8" s="73"/>
    </row>
    <row r="9" spans="1:24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</row>
    <row r="10" spans="1:24">
      <c r="A10" s="73"/>
      <c r="B10" s="131" t="s">
        <v>134</v>
      </c>
      <c r="C10" s="101" t="s">
        <v>127</v>
      </c>
      <c r="D10" s="102" t="s">
        <v>121</v>
      </c>
      <c r="E10" s="102" t="s">
        <v>87</v>
      </c>
      <c r="F10" s="103" t="s">
        <v>130</v>
      </c>
      <c r="G10" s="132" t="s">
        <v>156</v>
      </c>
      <c r="H10" s="101" t="s">
        <v>127</v>
      </c>
      <c r="I10" s="102" t="s">
        <v>112</v>
      </c>
      <c r="J10" s="102" t="s">
        <v>87</v>
      </c>
      <c r="K10" s="105" t="s">
        <v>130</v>
      </c>
      <c r="L10" s="73"/>
      <c r="M10" s="133" t="s">
        <v>142</v>
      </c>
      <c r="N10" s="51" t="s">
        <v>153</v>
      </c>
      <c r="O10" s="52" t="s">
        <v>47</v>
      </c>
      <c r="P10" s="52" t="s">
        <v>155</v>
      </c>
      <c r="Q10" s="52"/>
      <c r="R10" s="73"/>
      <c r="S10" s="134" t="s">
        <v>156</v>
      </c>
      <c r="T10" s="51" t="s">
        <v>110</v>
      </c>
      <c r="U10" s="52" t="s">
        <v>120</v>
      </c>
      <c r="V10" s="52" t="s">
        <v>91</v>
      </c>
      <c r="W10" s="53" t="s">
        <v>109</v>
      </c>
      <c r="X10" s="73"/>
    </row>
    <row r="11" spans="1:24">
      <c r="A11" s="73"/>
      <c r="B11" s="135" t="s">
        <v>161</v>
      </c>
      <c r="C11" s="55" t="str">
        <f ca="1">IFERROR(__xludf.DUMMYFUNCTION("IF(ISBLANK(C10),"""",HLOOKUP(REGEXEXTRACT(C10,"".*-(.*)""),INDIRECT(CONCATENATE(REGEXEXTRACT(C10,""(.*)-.*""),""!C3:V"")),2,FALSE))"),"Shadowhunter")</f>
        <v>Shadowhunter</v>
      </c>
      <c r="D11" s="55" t="str">
        <f ca="1">IFERROR(__xludf.DUMMYFUNCTION("IF(ISBLANK(D10),"""",HLOOKUP(REGEXEXTRACT(D10,"".*-(.*)""),INDIRECT(CONCATENATE(REGEXEXTRACT(D10,""(.*)-.*""),""!C3:V"")),2,FALSE))"),"Deathblade")</f>
        <v>Deathblade</v>
      </c>
      <c r="E11" s="55" t="s">
        <v>149</v>
      </c>
      <c r="F11" s="57" t="str">
        <f ca="1">IFERROR(__xludf.DUMMYFUNCTION("IF(ISBLANK(F10),"""",HLOOKUP(REGEXEXTRACT(F10,"".*-(.*)""),INDIRECT(CONCATENATE(REGEXEXTRACT(F10,""(.*)-.*""),""!C3:V"")),2,FALSE))"),"Bard")</f>
        <v>Bard</v>
      </c>
      <c r="G11" s="135" t="s">
        <v>161</v>
      </c>
      <c r="H11" s="55" t="str">
        <f ca="1">IFERROR(__xludf.DUMMYFUNCTION("IF(ISBLANK(H10),"""",HLOOKUP(REGEXEXTRACT(H10,"".*-(.*)""),INDIRECT(CONCATENATE(REGEXEXTRACT(H10,""(.*)-.*""),""!C3:V"")),2,FALSE))"),"Shadowhunter")</f>
        <v>Shadowhunter</v>
      </c>
      <c r="I11" s="55" t="str">
        <f ca="1">IFERROR(__xludf.DUMMYFUNCTION("IF(ISBLANK(I10),"""",HLOOKUP(REGEXEXTRACT(I10,"".*-(.*)""),INDIRECT(CONCATENATE(REGEXEXTRACT(I10,""(.*)-.*""),""!C3:V"")),2,FALSE))"),"Slayer")</f>
        <v>Slayer</v>
      </c>
      <c r="J11" s="55" t="s">
        <v>149</v>
      </c>
      <c r="K11" s="109" t="str">
        <f ca="1">IFERROR(__xludf.DUMMYFUNCTION("IF(ISBLANK(K10),"""",HLOOKUP(REGEXEXTRACT(K10,"".*-(.*)""),INDIRECT(CONCATENATE(REGEXEXTRACT(K10,""(.*)-.*""),""!C3:V"")),2,FALSE))"),"Bard")</f>
        <v>Bard</v>
      </c>
      <c r="L11" s="73"/>
      <c r="M11" s="136"/>
      <c r="N11" s="55" t="str">
        <f ca="1">IFERROR(__xludf.DUMMYFUNCTION("IF(ISBLANK(N10),"""",HLOOKUP(REGEXEXTRACT(N10,"".*-(.*)""),INDIRECT(CONCATENATE(REGEXEXTRACT(N10,""(.*)-.*""),""!C3:V"")),2,FALSE))"),"Aeromancer")</f>
        <v>Aeromancer</v>
      </c>
      <c r="O11" s="55" t="str">
        <f ca="1">IFERROR(__xludf.DUMMYFUNCTION("IF(ISBLANK(O10),"""",HLOOKUP(REGEXEXTRACT(O10,"".*-(.*)""),INDIRECT(CONCATENATE(REGEXEXTRACT(O10,""(.*)-.*""),""!C3:V"")),2,FALSE))"),"Breaker")</f>
        <v>Breaker</v>
      </c>
      <c r="P11" s="55" t="str">
        <f ca="1">IFERROR(__xludf.DUMMYFUNCTION("IF(ISBLANK(P10),"""",HLOOKUP(REGEXEXTRACT(P10,"".*-(.*)""),INDIRECT(CONCATENATE(REGEXEXTRACT(P10,""(.*)-.*""),""!C3:V"")),2,FALSE))"),"Shadowhunter")</f>
        <v>Shadowhunter</v>
      </c>
      <c r="Q11" s="56" t="str">
        <f ca="1">IFERROR(__xludf.DUMMYFUNCTION("IF(ISBLANK(Q10),"""",HLOOKUP(REGEXEXTRACT(Q10,"".*-(.*)""),INDIRECT(CONCATENATE(REGEXEXTRACT(Q10,""(.*)-.*""),""!C3:V"")),2,FALSE))"),"")</f>
        <v/>
      </c>
      <c r="R11" s="73"/>
      <c r="S11" s="137" t="s">
        <v>137</v>
      </c>
      <c r="T11" s="55" t="str">
        <f ca="1">IFERROR(__xludf.DUMMYFUNCTION("IF(ISBLANK(T10),"""",HLOOKUP(REGEXEXTRACT(T10,"".*-(.*)""),INDIRECT(CONCATENATE(REGEXEXTRACT(T10,""(.*)-.*""),""!C3:V"")),2,FALSE))"),"Souleater")</f>
        <v>Souleater</v>
      </c>
      <c r="U11" s="55" t="str">
        <f ca="1">IFERROR(__xludf.DUMMYFUNCTION("IF(ISBLANK(U10),"""",HLOOKUP(REGEXEXTRACT(U10,"".*-(.*)""),INDIRECT(CONCATENATE(REGEXEXTRACT(U10,""(.*)-.*""),""!C3:V"")),2,FALSE))"),"Glaivier")</f>
        <v>Glaivier</v>
      </c>
      <c r="V11" s="55" t="s">
        <v>157</v>
      </c>
      <c r="W11" s="57" t="str">
        <f ca="1">IFERROR(__xludf.DUMMYFUNCTION("IF(ISBLANK(W10),"""",HLOOKUP(REGEXEXTRACT(W10,"".*-(.*)""),INDIRECT(CONCATENATE(REGEXEXTRACT(W10,""(.*)-.*""),""!C3:V"")),2,FALSE))"),"Valk")</f>
        <v>Valk</v>
      </c>
      <c r="X11" s="73"/>
    </row>
    <row r="12" spans="1:24">
      <c r="A12" s="73"/>
      <c r="B12" s="138"/>
      <c r="C12" s="59">
        <f ca="1">IFERROR(__xludf.DUMMYFUNCTION("IF(ISBLANK(C10),"""",HLOOKUP(REGEXEXTRACT(C10,"".*-(.*)""),INDIRECT(CONCATENATE(REGEXEXTRACT(C10,""(.*)-.*""),""!C3:V"")),3,FALSE))"),1750)</f>
        <v>1750</v>
      </c>
      <c r="D12" s="59">
        <f ca="1">IFERROR(__xludf.DUMMYFUNCTION("IF(ISBLANK(D10),"""",HLOOKUP(REGEXEXTRACT(D10,"".*-(.*)""),INDIRECT(CONCATENATE(REGEXEXTRACT(D10,""(.*)-.*""),""!C3:V"")),3,FALSE))"),1750)</f>
        <v>1750</v>
      </c>
      <c r="E12" s="59"/>
      <c r="F12" s="61">
        <f ca="1">IFERROR(__xludf.DUMMYFUNCTION("IF(ISBLANK(F10),"""",HLOOKUP(REGEXEXTRACT(F10,"".*-(.*)""),INDIRECT(CONCATENATE(REGEXEXTRACT(F10,""(.*)-.*""),""!C3:V"")),3,FALSE))"),1750)</f>
        <v>1750</v>
      </c>
      <c r="G12" s="139"/>
      <c r="H12" s="59">
        <f ca="1">IFERROR(__xludf.DUMMYFUNCTION("IF(ISBLANK(H10),"""",HLOOKUP(REGEXEXTRACT(H10,"".*-(.*)""),INDIRECT(CONCATENATE(REGEXEXTRACT(H10,""(.*)-.*""),""!C3:V"")),3,FALSE))"),1750)</f>
        <v>1750</v>
      </c>
      <c r="I12" s="59">
        <f ca="1">IFERROR(__xludf.DUMMYFUNCTION("IF(ISBLANK(I10),"""",HLOOKUP(REGEXEXTRACT(I10,"".*-(.*)""),INDIRECT(CONCATENATE(REGEXEXTRACT(I10,""(.*)-.*""),""!C3:V"")),3,FALSE))"),1750)</f>
        <v>1750</v>
      </c>
      <c r="J12" s="59">
        <v>1750</v>
      </c>
      <c r="K12" s="113">
        <f ca="1">IFERROR(__xludf.DUMMYFUNCTION("IF(ISBLANK(K10),"""",HLOOKUP(REGEXEXTRACT(K10,"".*-(.*)""),INDIRECT(CONCATENATE(REGEXEXTRACT(K10,""(.*)-.*""),""!C3:V"")),3,FALSE))"),1750)</f>
        <v>1750</v>
      </c>
      <c r="L12" s="73"/>
      <c r="M12" s="140"/>
      <c r="N12" s="59">
        <f ca="1">IFERROR(__xludf.DUMMYFUNCTION("IF(ISBLANK(N10),"""",HLOOKUP(REGEXEXTRACT(N10,"".*-(.*)""),INDIRECT(CONCATENATE(REGEXEXTRACT(N10,""(.*)-.*""),""!C3:V"")),3,FALSE))"),1730)</f>
        <v>1730</v>
      </c>
      <c r="O12" s="59">
        <f ca="1">IFERROR(__xludf.DUMMYFUNCTION("IF(ISBLANK(O10),"""",HLOOKUP(REGEXEXTRACT(O10,"".*-(.*)""),INDIRECT(CONCATENATE(REGEXEXTRACT(O10,""(.*)-.*""),""!C3:V"")),3,FALSE))"),1730)</f>
        <v>1730</v>
      </c>
      <c r="P12" s="59">
        <f ca="1">IFERROR(__xludf.DUMMYFUNCTION("IF(ISBLANK(P10),"""",HLOOKUP(REGEXEXTRACT(P10,"".*-(.*)""),INDIRECT(CONCATENATE(REGEXEXTRACT(P10,""(.*)-.*""),""!C3:V"")),3,FALSE))"),1710)</f>
        <v>1710</v>
      </c>
      <c r="Q12" s="60" t="str">
        <f ca="1">IFERROR(__xludf.DUMMYFUNCTION("IF(ISBLANK(Q10),"""",HLOOKUP(REGEXEXTRACT(Q10,"".*-(.*)""),INDIRECT(CONCATENATE(REGEXEXTRACT(Q10,""(.*)-.*""),""!C3:V"")),3,FALSE))"),"")</f>
        <v/>
      </c>
      <c r="R12" s="73"/>
      <c r="S12" s="141"/>
      <c r="T12" s="59">
        <f ca="1">IFERROR(__xludf.DUMMYFUNCTION("IF(ISBLANK(T10),"""",HLOOKUP(REGEXEXTRACT(T10,"".*-(.*)""),INDIRECT(CONCATENATE(REGEXEXTRACT(T10,""(.*)-.*""),""!C3:V"")),3,FALSE))"),1750)</f>
        <v>1750</v>
      </c>
      <c r="U12" s="59">
        <f ca="1">IFERROR(__xludf.DUMMYFUNCTION("IF(ISBLANK(U10),"""",HLOOKUP(REGEXEXTRACT(U10,"".*-(.*)""),INDIRECT(CONCATENATE(REGEXEXTRACT(U10,""(.*)-.*""),""!C3:V"")),3,FALSE))"),1750)</f>
        <v>1750</v>
      </c>
      <c r="V12" s="59">
        <v>1750</v>
      </c>
      <c r="W12" s="61">
        <f ca="1">IFERROR(__xludf.DUMMYFUNCTION("IF(ISBLANK(W10),"""",HLOOKUP(REGEXEXTRACT(W10,"".*-(.*)""),INDIRECT(CONCATENATE(REGEXEXTRACT(W10,""(.*)-.*""),""!C3:V"")),3,FALSE))"),1750)</f>
        <v>1750</v>
      </c>
      <c r="X12" s="73"/>
    </row>
    <row r="13" spans="1:24">
      <c r="A13" s="73"/>
      <c r="B13" s="116"/>
      <c r="K13" s="117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</row>
    <row r="14" spans="1:24">
      <c r="A14" s="73"/>
      <c r="B14" s="142" t="s">
        <v>138</v>
      </c>
      <c r="C14" s="51" t="s">
        <v>100</v>
      </c>
      <c r="D14" s="52" t="s">
        <v>144</v>
      </c>
      <c r="E14" s="52" t="s">
        <v>93</v>
      </c>
      <c r="F14" s="53" t="s">
        <v>87</v>
      </c>
      <c r="G14" s="143" t="s">
        <v>156</v>
      </c>
      <c r="H14" s="51" t="s">
        <v>100</v>
      </c>
      <c r="I14" s="52" t="s">
        <v>121</v>
      </c>
      <c r="J14" s="52" t="s">
        <v>93</v>
      </c>
      <c r="K14" s="119" t="s">
        <v>87</v>
      </c>
      <c r="L14" s="73"/>
      <c r="M14" s="73"/>
      <c r="N14" s="73"/>
      <c r="O14" s="73"/>
      <c r="P14" s="73"/>
      <c r="Q14" s="73"/>
      <c r="R14" s="73"/>
      <c r="S14" s="144" t="s">
        <v>156</v>
      </c>
      <c r="T14" s="51" t="s">
        <v>19</v>
      </c>
      <c r="U14" s="52" t="s">
        <v>55</v>
      </c>
      <c r="V14" s="52" t="s">
        <v>90</v>
      </c>
      <c r="W14" s="53" t="s">
        <v>91</v>
      </c>
      <c r="X14" s="73"/>
    </row>
    <row r="15" spans="1:24">
      <c r="A15" s="73"/>
      <c r="B15" s="135" t="s">
        <v>161</v>
      </c>
      <c r="C15" s="55" t="str">
        <f ca="1">IFERROR(__xludf.DUMMYFUNCTION("IF(ISBLANK(C14),"""",HLOOKUP(REGEXEXTRACT(C14,"".*-(.*)""),INDIRECT(CONCATENATE(REGEXEXTRACT(C14,""(.*)-.*""),""!C3:V"")),2,FALSE))"),"Glaivier")</f>
        <v>Glaivier</v>
      </c>
      <c r="D15" s="55" t="str">
        <f ca="1">IFERROR(__xludf.DUMMYFUNCTION("IF(ISBLANK(D14),"""",HLOOKUP(REGEXEXTRACT(D14,"".*-(.*)""),INDIRECT(CONCATENATE(REGEXEXTRACT(D14,""(.*)-.*""),""!C3:V"")),2,FALSE))"),"Gunlancer")</f>
        <v>Gunlancer</v>
      </c>
      <c r="E15" s="55" t="str">
        <f ca="1">IFERROR(__xludf.DUMMYFUNCTION("IF(ISBLANK(E14),"""",HLOOKUP(REGEXEXTRACT(E14,"".*-(.*)""),INDIRECT(CONCATENATE(REGEXEXTRACT(E14,""(.*)-.*""),""!C3:V"")),2,FALSE))"),"Arcana")</f>
        <v>Arcana</v>
      </c>
      <c r="F15" s="57" t="s">
        <v>150</v>
      </c>
      <c r="G15" s="135" t="s">
        <v>161</v>
      </c>
      <c r="H15" s="55" t="str">
        <f ca="1">IFERROR(__xludf.DUMMYFUNCTION("IF(ISBLANK(H14),"""",HLOOKUP(REGEXEXTRACT(H14,"".*-(.*)""),INDIRECT(CONCATENATE(REGEXEXTRACT(H14,""(.*)-.*""),""!C3:V"")),2,FALSE))"),"Glaivier")</f>
        <v>Glaivier</v>
      </c>
      <c r="I15" s="55" t="str">
        <f ca="1">IFERROR(__xludf.DUMMYFUNCTION("IF(ISBLANK(I14),"""",HLOOKUP(REGEXEXTRACT(I14,"".*-(.*)""),INDIRECT(CONCATENATE(REGEXEXTRACT(I14,""(.*)-.*""),""!C3:V"")),2,FALSE))"),"Deathblade")</f>
        <v>Deathblade</v>
      </c>
      <c r="J15" s="55" t="str">
        <f ca="1">IFERROR(__xludf.DUMMYFUNCTION("IF(ISBLANK(J14),"""",HLOOKUP(REGEXEXTRACT(J14,"".*-(.*)""),INDIRECT(CONCATENATE(REGEXEXTRACT(J14,""(.*)-.*""),""!C3:V"")),2,FALSE))"),"Arcana")</f>
        <v>Arcana</v>
      </c>
      <c r="K15" s="109" t="s">
        <v>150</v>
      </c>
      <c r="L15" s="73"/>
      <c r="M15" s="73"/>
      <c r="N15" s="73"/>
      <c r="O15" s="73"/>
      <c r="P15" s="73"/>
      <c r="Q15" s="73"/>
      <c r="R15" s="73"/>
      <c r="S15" s="145" t="s">
        <v>137</v>
      </c>
      <c r="T15" s="55" t="str">
        <f ca="1">IFERROR(__xludf.DUMMYFUNCTION("IF(ISBLANK(T14),"""",HLOOKUP(REGEXEXTRACT(T14,"".*-(.*)""),INDIRECT(CONCATENATE(REGEXEXTRACT(T14,""(.*)-.*""),""!C3:V"")),2,FALSE))"),"Slayer")</f>
        <v>Slayer</v>
      </c>
      <c r="U15" s="55" t="str">
        <f ca="1">IFERROR(__xludf.DUMMYFUNCTION("IF(ISBLANK(U14),"""",HLOOKUP(REGEXEXTRACT(U14,"".*-(.*)""),INDIRECT(CONCATENATE(REGEXEXTRACT(U14,""(.*)-.*""),""!C3:V"")),2,FALSE))"),"GL")</f>
        <v>GL</v>
      </c>
      <c r="V15" s="55" t="str">
        <f ca="1">IFERROR(__xludf.DUMMYFUNCTION("IF(ISBLANK(V14),"""",HLOOKUP(REGEXEXTRACT(V14,"".*-(.*)""),INDIRECT(CONCATENATE(REGEXEXTRACT(V14,""(.*)-.*""),""!C3:V"")),2,FALSE))"),"Wildsoul")</f>
        <v>Wildsoul</v>
      </c>
      <c r="W15" s="57" t="s">
        <v>158</v>
      </c>
      <c r="X15" s="73"/>
    </row>
    <row r="16" spans="1:24">
      <c r="A16" s="73"/>
      <c r="B16" s="146"/>
      <c r="C16" s="125">
        <f ca="1">IFERROR(__xludf.DUMMYFUNCTION("IF(ISBLANK(C14),"""",HLOOKUP(REGEXEXTRACT(C14,"".*-(.*)""),INDIRECT(CONCATENATE(REGEXEXTRACT(C14,""(.*)-.*""),""!C3:V"")),3,FALSE))"),1750)</f>
        <v>1750</v>
      </c>
      <c r="D16" s="125">
        <f ca="1">IFERROR(__xludf.DUMMYFUNCTION("IF(ISBLANK(D14),"""",HLOOKUP(REGEXEXTRACT(D14,"".*-(.*)""),INDIRECT(CONCATENATE(REGEXEXTRACT(D14,""(.*)-.*""),""!C3:V"")),3,FALSE))"),1730)</f>
        <v>1730</v>
      </c>
      <c r="E16" s="125">
        <f ca="1">IFERROR(__xludf.DUMMYFUNCTION("IF(ISBLANK(E14),"""",HLOOKUP(REGEXEXTRACT(E14,"".*-(.*)""),INDIRECT(CONCATENATE(REGEXEXTRACT(E14,""(.*)-.*""),""!C3:V"")),3,FALSE))"),1750)</f>
        <v>1750</v>
      </c>
      <c r="F16" s="126"/>
      <c r="G16" s="147"/>
      <c r="H16" s="125">
        <f ca="1">IFERROR(__xludf.DUMMYFUNCTION("IF(ISBLANK(H14),"""",HLOOKUP(REGEXEXTRACT(H14,"".*-(.*)""),INDIRECT(CONCATENATE(REGEXEXTRACT(H14,""(.*)-.*""),""!C3:V"")),3,FALSE))"),1750)</f>
        <v>1750</v>
      </c>
      <c r="I16" s="125">
        <f ca="1">IFERROR(__xludf.DUMMYFUNCTION("IF(ISBLANK(I14),"""",HLOOKUP(REGEXEXTRACT(I14,"".*-(.*)""),INDIRECT(CONCATENATE(REGEXEXTRACT(I14,""(.*)-.*""),""!C3:V"")),3,FALSE))"),1750)</f>
        <v>1750</v>
      </c>
      <c r="J16" s="125">
        <f ca="1">IFERROR(__xludf.DUMMYFUNCTION("IF(ISBLANK(J14),"""",HLOOKUP(REGEXEXTRACT(J14,"".*-(.*)""),INDIRECT(CONCATENATE(REGEXEXTRACT(J14,""(.*)-.*""),""!C3:V"")),3,FALSE))"),1750)</f>
        <v>1750</v>
      </c>
      <c r="K16" s="128">
        <v>1750</v>
      </c>
      <c r="L16" s="73"/>
      <c r="M16" s="73"/>
      <c r="N16" s="73"/>
      <c r="O16" s="73"/>
      <c r="P16" s="73"/>
      <c r="Q16" s="73"/>
      <c r="R16" s="73"/>
      <c r="S16" s="148"/>
      <c r="T16" s="59">
        <f ca="1">IFERROR(__xludf.DUMMYFUNCTION("IF(ISBLANK(T14),"""",HLOOKUP(REGEXEXTRACT(T14,"".*-(.*)""),INDIRECT(CONCATENATE(REGEXEXTRACT(T14,""(.*)-.*""),""!C3:V"")),3,FALSE))"),1750)</f>
        <v>1750</v>
      </c>
      <c r="U16" s="59">
        <f ca="1">IFERROR(__xludf.DUMMYFUNCTION("IF(ISBLANK(U14),"""",HLOOKUP(REGEXEXTRACT(U14,"".*-(.*)""),INDIRECT(CONCATENATE(REGEXEXTRACT(U14,""(.*)-.*""),""!C3:V"")),3,FALSE))"),1750)</f>
        <v>1750</v>
      </c>
      <c r="V16" s="59">
        <f ca="1">IFERROR(__xludf.DUMMYFUNCTION("IF(ISBLANK(V14),"""",HLOOKUP(REGEXEXTRACT(V14,"".*-(.*)""),INDIRECT(CONCATENATE(REGEXEXTRACT(V14,""(.*)-.*""),""!C3:V"")),3,FALSE))"),1750)</f>
        <v>1750</v>
      </c>
      <c r="W16" s="61">
        <v>1750</v>
      </c>
      <c r="X16" s="73"/>
    </row>
    <row r="17" spans="1:24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</row>
    <row r="18" spans="1:24">
      <c r="A18" s="73"/>
      <c r="B18" s="149" t="s">
        <v>138</v>
      </c>
      <c r="C18" s="101" t="s">
        <v>86</v>
      </c>
      <c r="D18" s="102" t="s">
        <v>110</v>
      </c>
      <c r="E18" s="102" t="s">
        <v>99</v>
      </c>
      <c r="F18" s="105" t="s">
        <v>65</v>
      </c>
      <c r="G18" s="149" t="s">
        <v>156</v>
      </c>
      <c r="H18" s="101" t="s">
        <v>86</v>
      </c>
      <c r="I18" s="102" t="s">
        <v>12</v>
      </c>
      <c r="J18" s="102" t="s">
        <v>99</v>
      </c>
      <c r="K18" s="105" t="s">
        <v>65</v>
      </c>
      <c r="L18" s="73"/>
      <c r="M18" s="73"/>
      <c r="N18" s="73"/>
      <c r="O18" s="73"/>
      <c r="P18" s="73"/>
      <c r="Q18" s="73"/>
      <c r="R18" s="73"/>
      <c r="S18" s="150" t="s">
        <v>159</v>
      </c>
      <c r="T18" s="101"/>
      <c r="U18" s="102" t="s">
        <v>87</v>
      </c>
      <c r="V18" s="102" t="s">
        <v>144</v>
      </c>
      <c r="W18" s="105" t="s">
        <v>92</v>
      </c>
      <c r="X18" s="73"/>
    </row>
    <row r="19" spans="1:24">
      <c r="A19" s="73"/>
      <c r="B19" s="151" t="s">
        <v>137</v>
      </c>
      <c r="C19" s="55" t="s">
        <v>131</v>
      </c>
      <c r="D19" s="55" t="str">
        <f ca="1">IFERROR(__xludf.DUMMYFUNCTION("IF(ISBLANK(D18),"""",HLOOKUP(REGEXEXTRACT(D18,"".*-(.*)""),INDIRECT(CONCATENATE(REGEXEXTRACT(D18,""(.*)-.*""),""!C3:V"")),2,FALSE))"),"Souleater")</f>
        <v>Souleater</v>
      </c>
      <c r="E19" s="55" t="str">
        <f ca="1">IFERROR(__xludf.DUMMYFUNCTION("IF(ISBLANK(E18),"""",HLOOKUP(REGEXEXTRACT(E18,"".*-(.*)""),INDIRECT(CONCATENATE(REGEXEXTRACT(E18,""(.*)-.*""),""!C3:V"")),2,FALSE))"),"Aeromancer")</f>
        <v>Aeromancer</v>
      </c>
      <c r="F19" s="109" t="str">
        <f ca="1">IFERROR(__xludf.DUMMYFUNCTION("IF(ISBLANK(F18),"""",HLOOKUP(REGEXEXTRACT(F18,"".*-(.*)""),INDIRECT(CONCATENATE(REGEXEXTRACT(F18,""(.*)-.*""),""!C3:V"")),2,FALSE))"),"Paladin")</f>
        <v>Paladin</v>
      </c>
      <c r="G19" s="151" t="s">
        <v>137</v>
      </c>
      <c r="H19" s="55" t="s">
        <v>131</v>
      </c>
      <c r="I19" s="55" t="str">
        <f ca="1">IFERROR(__xludf.DUMMYFUNCTION("IF(ISBLANK(I18),"""",HLOOKUP(REGEXEXTRACT(I18,"".*-(.*)""),INDIRECT(CONCATENATE(REGEXEXTRACT(I18,""(.*)-.*""),""!C3:V"")),2,FALSE))"),"Sorceress")</f>
        <v>Sorceress</v>
      </c>
      <c r="J19" s="55" t="str">
        <f ca="1">IFERROR(__xludf.DUMMYFUNCTION("IF(ISBLANK(J18),"""",HLOOKUP(REGEXEXTRACT(J18,"".*-(.*)""),INDIRECT(CONCATENATE(REGEXEXTRACT(J18,""(.*)-.*""),""!C3:V"")),2,FALSE))"),"Aeromancer")</f>
        <v>Aeromancer</v>
      </c>
      <c r="K19" s="109" t="str">
        <f ca="1">IFERROR(__xludf.DUMMYFUNCTION("IF(ISBLANK(K18),"""",HLOOKUP(REGEXEXTRACT(K18,"".*-(.*)""),INDIRECT(CONCATENATE(REGEXEXTRACT(K18,""(.*)-.*""),""!C3:V"")),2,FALSE))"),"Paladin")</f>
        <v>Paladin</v>
      </c>
      <c r="L19" s="73"/>
      <c r="M19" s="73"/>
      <c r="N19" s="73"/>
      <c r="O19" s="73"/>
      <c r="P19" s="73"/>
      <c r="Q19" s="73"/>
      <c r="R19" s="73"/>
      <c r="S19" s="152" t="s">
        <v>137</v>
      </c>
      <c r="T19" s="55"/>
      <c r="U19" s="55" t="s">
        <v>141</v>
      </c>
      <c r="V19" s="55" t="str">
        <f ca="1">IFERROR(__xludf.DUMMYFUNCTION("IF(ISBLANK(V18),"""",HLOOKUP(REGEXEXTRACT(V18,"".*-(.*)""),INDIRECT(CONCATENATE(REGEXEXTRACT(V18,""(.*)-.*""),""!C3:V"")),2,FALSE))"),"Gunlancer")</f>
        <v>Gunlancer</v>
      </c>
      <c r="W19" s="109" t="str">
        <f ca="1">IFERROR(__xludf.DUMMYFUNCTION("IF(ISBLANK(W18),"""",HLOOKUP(REGEXEXTRACT(W18,"".*-(.*)""),INDIRECT(CONCATENATE(REGEXEXTRACT(W18,""(.*)-.*""),""!C3:V"")),2,FALSE))"),"Artist")</f>
        <v>Artist</v>
      </c>
      <c r="X19" s="73"/>
    </row>
    <row r="20" spans="1:24">
      <c r="A20" s="73"/>
      <c r="B20" s="153"/>
      <c r="C20" s="59"/>
      <c r="D20" s="59">
        <f ca="1">IFERROR(__xludf.DUMMYFUNCTION("IF(ISBLANK(D18),"""",HLOOKUP(REGEXEXTRACT(D18,"".*-(.*)""),INDIRECT(CONCATENATE(REGEXEXTRACT(D18,""(.*)-.*""),""!C3:V"")),3,FALSE))"),1750)</f>
        <v>1750</v>
      </c>
      <c r="E20" s="59">
        <f ca="1">IFERROR(__xludf.DUMMYFUNCTION("IF(ISBLANK(E18),"""",HLOOKUP(REGEXEXTRACT(E18,"".*-(.*)""),INDIRECT(CONCATENATE(REGEXEXTRACT(E18,""(.*)-.*""),""!C3:V"")),3,FALSE))"),1750)</f>
        <v>1750</v>
      </c>
      <c r="F20" s="113">
        <f ca="1">IFERROR(__xludf.DUMMYFUNCTION("IF(ISBLANK(F18),"""",HLOOKUP(REGEXEXTRACT(F18,"".*-(.*)""),INDIRECT(CONCATENATE(REGEXEXTRACT(F18,""(.*)-.*""),""!C3:V"")),3,FALSE))"),1750)</f>
        <v>1750</v>
      </c>
      <c r="G20" s="153"/>
      <c r="H20" s="59">
        <v>1750</v>
      </c>
      <c r="I20" s="59">
        <f ca="1">IFERROR(__xludf.DUMMYFUNCTION("IF(ISBLANK(I18),"""",HLOOKUP(REGEXEXTRACT(I18,"".*-(.*)""),INDIRECT(CONCATENATE(REGEXEXTRACT(I18,""(.*)-.*""),""!C3:V"")),3,FALSE))"),1750)</f>
        <v>1750</v>
      </c>
      <c r="J20" s="59">
        <f ca="1">IFERROR(__xludf.DUMMYFUNCTION("IF(ISBLANK(J18),"""",HLOOKUP(REGEXEXTRACT(J18,"".*-(.*)""),INDIRECT(CONCATENATE(REGEXEXTRACT(J18,""(.*)-.*""),""!C3:V"")),3,FALSE))"),1750)</f>
        <v>1750</v>
      </c>
      <c r="K20" s="113">
        <f ca="1">IFERROR(__xludf.DUMMYFUNCTION("IF(ISBLANK(K18),"""",HLOOKUP(REGEXEXTRACT(K18,"".*-(.*)""),INDIRECT(CONCATENATE(REGEXEXTRACT(K18,""(.*)-.*""),""!C3:V"")),3,FALSE))"),1750)</f>
        <v>1750</v>
      </c>
      <c r="L20" s="73"/>
      <c r="M20" s="73"/>
      <c r="N20" s="73"/>
      <c r="O20" s="73"/>
      <c r="P20" s="73"/>
      <c r="Q20" s="73"/>
      <c r="R20" s="73"/>
      <c r="S20" s="154"/>
      <c r="T20" s="59"/>
      <c r="U20" s="59">
        <v>1730</v>
      </c>
      <c r="V20" s="59">
        <f ca="1">IFERROR(__xludf.DUMMYFUNCTION("IF(ISBLANK(V18),"""",HLOOKUP(REGEXEXTRACT(V18,"".*-(.*)""),INDIRECT(CONCATENATE(REGEXEXTRACT(V18,""(.*)-.*""),""!C3:V"")),3,FALSE))"),1730)</f>
        <v>1730</v>
      </c>
      <c r="W20" s="113">
        <f ca="1">IFERROR(__xludf.DUMMYFUNCTION("IF(ISBLANK(W18),"""",HLOOKUP(REGEXEXTRACT(W18,"".*-(.*)""),INDIRECT(CONCATENATE(REGEXEXTRACT(W18,""(.*)-.*""),""!C3:V"")),3,FALSE))"),1730)</f>
        <v>1730</v>
      </c>
      <c r="X20" s="73"/>
    </row>
    <row r="21" spans="1:24">
      <c r="A21" s="73"/>
      <c r="B21" s="116"/>
      <c r="F21" s="117"/>
      <c r="G21" s="116"/>
      <c r="I21" s="7"/>
      <c r="K21" s="117"/>
      <c r="L21" s="73"/>
      <c r="M21" s="73"/>
      <c r="N21" s="73"/>
      <c r="O21" s="73"/>
      <c r="P21" s="73"/>
      <c r="Q21" s="73"/>
      <c r="R21" s="73"/>
      <c r="S21" s="116"/>
      <c r="W21" s="117"/>
      <c r="X21" s="73"/>
    </row>
    <row r="22" spans="1:24">
      <c r="A22" s="73"/>
      <c r="B22" s="155" t="s">
        <v>138</v>
      </c>
      <c r="C22" s="51" t="s">
        <v>86</v>
      </c>
      <c r="D22" s="52" t="s">
        <v>70</v>
      </c>
      <c r="E22" s="52" t="s">
        <v>122</v>
      </c>
      <c r="F22" s="119" t="s">
        <v>40</v>
      </c>
      <c r="G22" s="155" t="s">
        <v>156</v>
      </c>
      <c r="H22" s="51" t="s">
        <v>86</v>
      </c>
      <c r="I22" s="52" t="s">
        <v>70</v>
      </c>
      <c r="J22" s="52" t="s">
        <v>122</v>
      </c>
      <c r="K22" s="119" t="s">
        <v>40</v>
      </c>
      <c r="L22" s="73"/>
      <c r="M22" s="73"/>
      <c r="N22" s="73"/>
      <c r="O22" s="73"/>
      <c r="P22" s="73"/>
      <c r="Q22" s="73"/>
      <c r="R22" s="73"/>
      <c r="S22" s="156" t="s">
        <v>159</v>
      </c>
      <c r="T22" s="51"/>
      <c r="U22" s="52" t="s">
        <v>87</v>
      </c>
      <c r="V22" s="52" t="s">
        <v>153</v>
      </c>
      <c r="W22" s="119" t="s">
        <v>151</v>
      </c>
      <c r="X22" s="73"/>
    </row>
    <row r="23" spans="1:24">
      <c r="A23" s="73"/>
      <c r="B23" s="151" t="s">
        <v>137</v>
      </c>
      <c r="C23" s="55" t="s">
        <v>152</v>
      </c>
      <c r="D23" s="55" t="str">
        <f ca="1">IFERROR(__xludf.DUMMYFUNCTION("IF(ISBLANK(D22),"""",HLOOKUP(REGEXEXTRACT(D22,"".*-(.*)""),INDIRECT(CONCATENATE(REGEXEXTRACT(D22,""(.*)-.*""),""!C3:V"")),2,FALSE))"),"Artill")</f>
        <v>Artill</v>
      </c>
      <c r="E23" s="55" t="str">
        <f ca="1">IFERROR(__xludf.DUMMYFUNCTION("IF(ISBLANK(E22),"""",HLOOKUP(REGEXEXTRACT(E22,"".*-(.*)""),INDIRECT(CONCATENATE(REGEXEXTRACT(E22,""(.*)-.*""),""!C3:V"")),2,FALSE))"),"Sorc")</f>
        <v>Sorc</v>
      </c>
      <c r="F23" s="109" t="str">
        <f ca="1">IFERROR(__xludf.DUMMYFUNCTION("IF(ISBLANK(F22),"""",HLOOKUP(REGEXEXTRACT(F22,"".*-(.*)""),INDIRECT(CONCATENATE(REGEXEXTRACT(F22,""(.*)-.*""),""!C3:V"")),2,FALSE))"),"Paladin")</f>
        <v>Paladin</v>
      </c>
      <c r="G23" s="151" t="s">
        <v>137</v>
      </c>
      <c r="H23" s="55" t="s">
        <v>152</v>
      </c>
      <c r="I23" s="55" t="str">
        <f ca="1">IFERROR(__xludf.DUMMYFUNCTION("IF(ISBLANK(I22),"""",HLOOKUP(REGEXEXTRACT(I22,"".*-(.*)""),INDIRECT(CONCATENATE(REGEXEXTRACT(I22,""(.*)-.*""),""!C3:V"")),2,FALSE))"),"Artill")</f>
        <v>Artill</v>
      </c>
      <c r="J23" s="55" t="str">
        <f ca="1">IFERROR(__xludf.DUMMYFUNCTION("IF(ISBLANK(J22),"""",HLOOKUP(REGEXEXTRACT(J22,"".*-(.*)""),INDIRECT(CONCATENATE(REGEXEXTRACT(J22,""(.*)-.*""),""!C3:V"")),2,FALSE))"),"Sorc")</f>
        <v>Sorc</v>
      </c>
      <c r="K23" s="109" t="str">
        <f ca="1">IFERROR(__xludf.DUMMYFUNCTION("IF(ISBLANK(K22),"""",HLOOKUP(REGEXEXTRACT(K22,"".*-(.*)""),INDIRECT(CONCATENATE(REGEXEXTRACT(K22,""(.*)-.*""),""!C3:V"")),2,FALSE))"),"Paladin")</f>
        <v>Paladin</v>
      </c>
      <c r="L23" s="73"/>
      <c r="M23" s="73"/>
      <c r="N23" s="73"/>
      <c r="O23" s="157"/>
      <c r="P23" s="157"/>
      <c r="Q23" s="157"/>
      <c r="R23" s="73"/>
      <c r="S23" s="152" t="s">
        <v>137</v>
      </c>
      <c r="T23" s="55"/>
      <c r="U23" s="55" t="s">
        <v>140</v>
      </c>
      <c r="V23" s="55" t="str">
        <f ca="1">IFERROR(__xludf.DUMMYFUNCTION("IF(ISBLANK(V22),"""",HLOOKUP(REGEXEXTRACT(V22,"".*-(.*)""),INDIRECT(CONCATENATE(REGEXEXTRACT(V22,""(.*)-.*""),""!C3:V"")),2,FALSE))"),"Aeromancer")</f>
        <v>Aeromancer</v>
      </c>
      <c r="W23" s="109" t="str">
        <f ca="1">IFERROR(__xludf.DUMMYFUNCTION("IF(ISBLANK(W22),"""",HLOOKUP(REGEXEXTRACT(W22,"".*-(.*)""),INDIRECT(CONCATENATE(REGEXEXTRACT(W22,""(.*)-.*""),""!C3:V"")),2,FALSE))"),"Valkyrie")</f>
        <v>Valkyrie</v>
      </c>
      <c r="X23" s="73"/>
    </row>
    <row r="24" spans="1:24">
      <c r="A24" s="73"/>
      <c r="B24" s="158"/>
      <c r="C24" s="125"/>
      <c r="D24" s="125">
        <f ca="1">IFERROR(__xludf.DUMMYFUNCTION("IF(ISBLANK(D22),"""",HLOOKUP(REGEXEXTRACT(D22,"".*-(.*)""),INDIRECT(CONCATENATE(REGEXEXTRACT(D22,""(.*)-.*""),""!C3:V"")),3,FALSE))"),1750)</f>
        <v>1750</v>
      </c>
      <c r="E24" s="125">
        <f ca="1">IFERROR(__xludf.DUMMYFUNCTION("IF(ISBLANK(E22),"""",HLOOKUP(REGEXEXTRACT(E22,"".*-(.*)""),INDIRECT(CONCATENATE(REGEXEXTRACT(E22,""(.*)-.*""),""!C3:V"")),3,FALSE))"),1750)</f>
        <v>1750</v>
      </c>
      <c r="F24" s="128">
        <f ca="1">IFERROR(__xludf.DUMMYFUNCTION("IF(ISBLANK(F22),"""",HLOOKUP(REGEXEXTRACT(F22,"".*-(.*)""),INDIRECT(CONCATENATE(REGEXEXTRACT(F22,""(.*)-.*""),""!C3:V"")),3,FALSE))"),1750)</f>
        <v>1750</v>
      </c>
      <c r="G24" s="158"/>
      <c r="H24" s="125">
        <v>1750</v>
      </c>
      <c r="I24" s="125">
        <f ca="1">IFERROR(__xludf.DUMMYFUNCTION("IF(ISBLANK(I22),"""",HLOOKUP(REGEXEXTRACT(I22,"".*-(.*)""),INDIRECT(CONCATENATE(REGEXEXTRACT(I22,""(.*)-.*""),""!C3:V"")),3,FALSE))"),1750)</f>
        <v>1750</v>
      </c>
      <c r="J24" s="125">
        <f ca="1">IFERROR(__xludf.DUMMYFUNCTION("IF(ISBLANK(J22),"""",HLOOKUP(REGEXEXTRACT(J22,"".*-(.*)""),INDIRECT(CONCATENATE(REGEXEXTRACT(J22,""(.*)-.*""),""!C3:V"")),3,FALSE))"),1750)</f>
        <v>1750</v>
      </c>
      <c r="K24" s="128">
        <f ca="1">IFERROR(__xludf.DUMMYFUNCTION("IF(ISBLANK(K22),"""",HLOOKUP(REGEXEXTRACT(K22,"".*-(.*)""),INDIRECT(CONCATENATE(REGEXEXTRACT(K22,""(.*)-.*""),""!C3:V"")),3,FALSE))"),1750)</f>
        <v>1750</v>
      </c>
      <c r="L24" s="73"/>
      <c r="M24" s="73"/>
      <c r="N24" s="73"/>
      <c r="O24" s="157"/>
      <c r="P24" s="157"/>
      <c r="Q24" s="157"/>
      <c r="R24" s="73"/>
      <c r="S24" s="159"/>
      <c r="T24" s="125"/>
      <c r="U24" s="125">
        <v>1730</v>
      </c>
      <c r="V24" s="125">
        <f ca="1">IFERROR(__xludf.DUMMYFUNCTION("IF(ISBLANK(V22),"""",HLOOKUP(REGEXEXTRACT(V22,"".*-(.*)""),INDIRECT(CONCATENATE(REGEXEXTRACT(V22,""(.*)-.*""),""!C3:V"")),3,FALSE))"),1730)</f>
        <v>1730</v>
      </c>
      <c r="W24" s="128">
        <f ca="1">IFERROR(__xludf.DUMMYFUNCTION("IF(ISBLANK(W22),"""",HLOOKUP(REGEXEXTRACT(W22,"".*-(.*)""),INDIRECT(CONCATENATE(REGEXEXTRACT(W22,""(.*)-.*""),""!C3:V"")),3,FALSE))"),1730)</f>
        <v>1730</v>
      </c>
      <c r="X24" s="73"/>
    </row>
    <row r="25" spans="1:24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157"/>
      <c r="P25" s="157"/>
      <c r="Q25" s="157"/>
      <c r="R25" s="73"/>
      <c r="S25" s="73"/>
      <c r="T25" s="73"/>
      <c r="U25" s="73"/>
      <c r="V25" s="73"/>
      <c r="W25" s="73"/>
      <c r="X25" s="73"/>
    </row>
    <row r="26" spans="1:24">
      <c r="A26" s="73"/>
      <c r="B26" s="160" t="s">
        <v>134</v>
      </c>
      <c r="C26" s="101" t="s">
        <v>87</v>
      </c>
      <c r="D26" s="102" t="s">
        <v>112</v>
      </c>
      <c r="E26" s="102" t="s">
        <v>55</v>
      </c>
      <c r="F26" s="105" t="s">
        <v>123</v>
      </c>
      <c r="G26" s="160" t="s">
        <v>156</v>
      </c>
      <c r="H26" s="101" t="s">
        <v>87</v>
      </c>
      <c r="I26" s="102" t="s">
        <v>143</v>
      </c>
      <c r="J26" s="102" t="s">
        <v>89</v>
      </c>
      <c r="K26" s="105" t="s">
        <v>128</v>
      </c>
      <c r="L26" s="73"/>
      <c r="M26" s="73"/>
      <c r="N26" s="73"/>
      <c r="O26" s="157"/>
      <c r="P26" s="157"/>
      <c r="Q26" s="157"/>
      <c r="R26" s="73"/>
      <c r="S26" s="161" t="s">
        <v>159</v>
      </c>
      <c r="T26" s="51"/>
      <c r="U26" s="52" t="s">
        <v>47</v>
      </c>
      <c r="V26" s="52" t="s">
        <v>154</v>
      </c>
      <c r="W26" s="53" t="s">
        <v>145</v>
      </c>
      <c r="X26" s="73"/>
    </row>
    <row r="27" spans="1:24">
      <c r="A27" s="73"/>
      <c r="B27" s="162" t="s">
        <v>137</v>
      </c>
      <c r="C27" s="55" t="s">
        <v>146</v>
      </c>
      <c r="D27" s="55" t="str">
        <f ca="1">IFERROR(__xludf.DUMMYFUNCTION("IF(ISBLANK(D26),"""",HLOOKUP(REGEXEXTRACT(D26,"".*-(.*)""),INDIRECT(CONCATENATE(REGEXEXTRACT(D26,""(.*)-.*""),""!C3:V"")),2,FALSE))"),"Slayer")</f>
        <v>Slayer</v>
      </c>
      <c r="E27" s="55" t="str">
        <f ca="1">IFERROR(__xludf.DUMMYFUNCTION("IF(ISBLANK(E26),"""",HLOOKUP(REGEXEXTRACT(E26,"".*-(.*)""),INDIRECT(CONCATENATE(REGEXEXTRACT(E26,""(.*)-.*""),""!C3:V"")),2,FALSE))"),"GL")</f>
        <v>GL</v>
      </c>
      <c r="F27" s="109" t="str">
        <f ca="1">IFERROR(__xludf.DUMMYFUNCTION("IF(ISBLANK(F26),"""",HLOOKUP(REGEXEXTRACT(F26,"".*-(.*)""),INDIRECT(CONCATENATE(REGEXEXTRACT(F26,""(.*)-.*""),""!C3:V"")),2,FALSE))"),"Paladin")</f>
        <v>Paladin</v>
      </c>
      <c r="G27" s="162" t="s">
        <v>137</v>
      </c>
      <c r="H27" s="55" t="s">
        <v>149</v>
      </c>
      <c r="I27" s="55" t="str">
        <f ca="1">IFERROR(__xludf.DUMMYFUNCTION("IF(ISBLANK(I26),"""",HLOOKUP(REGEXEXTRACT(I26,"".*-(.*)""),INDIRECT(CONCATENATE(REGEXEXTRACT(I26,""(.*)-.*""),""!C3:V"")),2,FALSE))"),"Gunslinger")</f>
        <v>Gunslinger</v>
      </c>
      <c r="J27" s="55" t="str">
        <f ca="1">IFERROR(__xludf.DUMMYFUNCTION("IF(ISBLANK(J26),"""",HLOOKUP(REGEXEXTRACT(J26,"".*-(.*)""),INDIRECT(CONCATENATE(REGEXEXTRACT(J26,""(.*)-.*""),""!C3:V"")),2,FALSE))"),"G")</f>
        <v>G</v>
      </c>
      <c r="K27" s="109" t="str">
        <f ca="1">IFERROR(__xludf.DUMMYFUNCTION("IF(ISBLANK(K26),"""",HLOOKUP(REGEXEXTRACT(K26,"".*-(.*)""),INDIRECT(CONCATENATE(REGEXEXTRACT(K26,""(.*)-.*""),""!C3:V"")),2,FALSE))"),"Bard")</f>
        <v>Bard</v>
      </c>
      <c r="L27" s="73"/>
      <c r="M27" s="73"/>
      <c r="N27" s="73"/>
      <c r="O27" s="157"/>
      <c r="P27" s="157"/>
      <c r="Q27" s="157"/>
      <c r="R27" s="73"/>
      <c r="S27" s="163" t="s">
        <v>137</v>
      </c>
      <c r="T27" s="55" t="str">
        <f ca="1">IFERROR(__xludf.DUMMYFUNCTION("IF(ISBLANK(T26),"""",HLOOKUP(REGEXEXTRACT(T26,"".*-(.*)""),INDIRECT(CONCATENATE(REGEXEXTRACT(T26,""(.*)-.*""),""!C3:V"")),2,FALSE))"),"")</f>
        <v/>
      </c>
      <c r="U27" s="55" t="str">
        <f ca="1">IFERROR(__xludf.DUMMYFUNCTION("IF(ISBLANK(U26),"""",HLOOKUP(REGEXEXTRACT(U26,"".*-(.*)""),INDIRECT(CONCATENATE(REGEXEXTRACT(U26,""(.*)-.*""),""!C3:V"")),2,FALSE))"),"Breaker")</f>
        <v>Breaker</v>
      </c>
      <c r="V27" s="55" t="str">
        <f ca="1">IFERROR(__xludf.DUMMYFUNCTION("IF(ISBLANK(V26),"""",HLOOKUP(REGEXEXTRACT(V26,"".*-(.*)""),INDIRECT(CONCATENATE(REGEXEXTRACT(V26,""(.*)-.*""),""!C3:V"")),2,FALSE))"),"Souleater")</f>
        <v>Souleater</v>
      </c>
      <c r="W27" s="57" t="str">
        <f ca="1">IFERROR(__xludf.DUMMYFUNCTION("IF(ISBLANK(W26),"""",HLOOKUP(REGEXEXTRACT(W26,"".*-(.*)""),INDIRECT(CONCATENATE(REGEXEXTRACT(W26,""(.*)-.*""),""!C3:V"")),2,FALSE))"),"Valk")</f>
        <v>Valk</v>
      </c>
      <c r="X27" s="73"/>
    </row>
    <row r="28" spans="1:24">
      <c r="A28" s="73"/>
      <c r="B28" s="164"/>
      <c r="C28" s="59"/>
      <c r="D28" s="59">
        <f ca="1">IFERROR(__xludf.DUMMYFUNCTION("IF(ISBLANK(D26),"""",HLOOKUP(REGEXEXTRACT(D26,"".*-(.*)""),INDIRECT(CONCATENATE(REGEXEXTRACT(D26,""(.*)-.*""),""!C3:V"")),3,FALSE))"),1750)</f>
        <v>1750</v>
      </c>
      <c r="E28" s="59">
        <f ca="1">IFERROR(__xludf.DUMMYFUNCTION("IF(ISBLANK(E26),"""",HLOOKUP(REGEXEXTRACT(E26,"".*-(.*)""),INDIRECT(CONCATENATE(REGEXEXTRACT(E26,""(.*)-.*""),""!C3:V"")),3,FALSE))"),1750)</f>
        <v>1750</v>
      </c>
      <c r="F28" s="113">
        <f ca="1">IFERROR(__xludf.DUMMYFUNCTION("IF(ISBLANK(F26),"""",HLOOKUP(REGEXEXTRACT(F26,"".*-(.*)""),INDIRECT(CONCATENATE(REGEXEXTRACT(F26,""(.*)-.*""),""!C3:V"")),3,FALSE))"),1750)</f>
        <v>1750</v>
      </c>
      <c r="G28" s="165"/>
      <c r="H28" s="125">
        <v>1750</v>
      </c>
      <c r="I28" s="125">
        <f ca="1">IFERROR(__xludf.DUMMYFUNCTION("IF(ISBLANK(I26),"""",HLOOKUP(REGEXEXTRACT(I26,"".*-(.*)""),INDIRECT(CONCATENATE(REGEXEXTRACT(I26,""(.*)-.*""),""!C3:V"")),3,FALSE))"),1750)</f>
        <v>1750</v>
      </c>
      <c r="J28" s="125">
        <f ca="1">IFERROR(__xludf.DUMMYFUNCTION("IF(ISBLANK(J26),"""",HLOOKUP(REGEXEXTRACT(J26,"".*-(.*)""),INDIRECT(CONCATENATE(REGEXEXTRACT(J26,""(.*)-.*""),""!C3:V"")),3,FALSE))"),1750)</f>
        <v>1750</v>
      </c>
      <c r="K28" s="128">
        <f ca="1">IFERROR(__xludf.DUMMYFUNCTION("IF(ISBLANK(K26),"""",HLOOKUP(REGEXEXTRACT(K26,"".*-(.*)""),INDIRECT(CONCATENATE(REGEXEXTRACT(K26,""(.*)-.*""),""!C3:V"")),3,FALSE))"),1750)</f>
        <v>1750</v>
      </c>
      <c r="L28" s="73"/>
      <c r="M28" s="73"/>
      <c r="N28" s="73"/>
      <c r="O28" s="157"/>
      <c r="P28" s="157"/>
      <c r="Q28" s="157"/>
      <c r="R28" s="73"/>
      <c r="S28" s="166"/>
      <c r="T28" s="59" t="str">
        <f ca="1">IFERROR(__xludf.DUMMYFUNCTION("IF(ISBLANK(T26),"""",HLOOKUP(REGEXEXTRACT(T26,"".*-(.*)""),INDIRECT(CONCATENATE(REGEXEXTRACT(T26,""(.*)-.*""),""!C3:V"")),3,FALSE))"),"")</f>
        <v/>
      </c>
      <c r="U28" s="59">
        <f ca="1">IFERROR(__xludf.DUMMYFUNCTION("IF(ISBLANK(U26),"""",HLOOKUP(REGEXEXTRACT(U26,"".*-(.*)""),INDIRECT(CONCATENATE(REGEXEXTRACT(U26,""(.*)-.*""),""!C3:V"")),3,FALSE))"),1730)</f>
        <v>1730</v>
      </c>
      <c r="V28" s="59">
        <f ca="1">IFERROR(__xludf.DUMMYFUNCTION("IF(ISBLANK(V26),"""",HLOOKUP(REGEXEXTRACT(V26,"".*-(.*)""),INDIRECT(CONCATENATE(REGEXEXTRACT(V26,""(.*)-.*""),""!C3:V"")),3,FALSE))"),1730)</f>
        <v>1730</v>
      </c>
      <c r="W28" s="61">
        <f ca="1">IFERROR(__xludf.DUMMYFUNCTION("IF(ISBLANK(W26),"""",HLOOKUP(REGEXEXTRACT(W26,"".*-(.*)""),INDIRECT(CONCATENATE(REGEXEXTRACT(W26,""(.*)-.*""),""!C3:V"")),3,FALSE))"),1730)</f>
        <v>1730</v>
      </c>
      <c r="X28" s="73"/>
    </row>
    <row r="29" spans="1:24">
      <c r="A29" s="73"/>
      <c r="B29" s="116"/>
      <c r="F29" s="117"/>
      <c r="G29" s="73"/>
      <c r="H29" s="73"/>
      <c r="I29" s="73"/>
      <c r="J29" s="73"/>
      <c r="K29" s="73"/>
      <c r="L29" s="73"/>
      <c r="M29" s="73"/>
      <c r="N29" s="73"/>
      <c r="O29" s="157"/>
      <c r="P29" s="157"/>
      <c r="Q29" s="157"/>
      <c r="R29" s="73"/>
      <c r="S29" s="73"/>
      <c r="T29" s="73"/>
      <c r="U29" s="73"/>
      <c r="V29" s="73"/>
      <c r="W29" s="73"/>
      <c r="X29" s="73"/>
    </row>
    <row r="30" spans="1:24">
      <c r="A30" s="73"/>
      <c r="B30" s="167" t="s">
        <v>138</v>
      </c>
      <c r="C30" s="51" t="s">
        <v>87</v>
      </c>
      <c r="D30" s="52" t="s">
        <v>143</v>
      </c>
      <c r="E30" s="52" t="s">
        <v>89</v>
      </c>
      <c r="F30" s="119" t="s">
        <v>128</v>
      </c>
      <c r="G30" s="73"/>
      <c r="H30" s="73"/>
      <c r="I30" s="73"/>
      <c r="J30" s="73"/>
      <c r="K30" s="73"/>
      <c r="L30" s="73"/>
      <c r="M30" s="73"/>
      <c r="N30" s="73"/>
      <c r="O30" s="157"/>
      <c r="P30" s="157"/>
      <c r="Q30" s="157"/>
      <c r="R30" s="73"/>
      <c r="S30" s="73"/>
      <c r="T30" s="73"/>
      <c r="U30" s="73"/>
      <c r="V30" s="73"/>
      <c r="W30" s="73"/>
      <c r="X30" s="73"/>
    </row>
    <row r="31" spans="1:24">
      <c r="A31" s="73"/>
      <c r="B31" s="162" t="s">
        <v>137</v>
      </c>
      <c r="C31" s="55" t="s">
        <v>141</v>
      </c>
      <c r="D31" s="55" t="str">
        <f ca="1">IFERROR(__xludf.DUMMYFUNCTION("IF(ISBLANK(D30),"""",HLOOKUP(REGEXEXTRACT(D30,"".*-(.*)""),INDIRECT(CONCATENATE(REGEXEXTRACT(D30,""(.*)-.*""),""!C3:V"")),2,FALSE))"),"Gunslinger")</f>
        <v>Gunslinger</v>
      </c>
      <c r="E31" s="55" t="str">
        <f ca="1">IFERROR(__xludf.DUMMYFUNCTION("IF(ISBLANK(E30),"""",HLOOKUP(REGEXEXTRACT(E30,"".*-(.*)""),INDIRECT(CONCATENATE(REGEXEXTRACT(E30,""(.*)-.*""),""!C3:V"")),2,FALSE))"),"G")</f>
        <v>G</v>
      </c>
      <c r="F31" s="109" t="str">
        <f ca="1">IFERROR(__xludf.DUMMYFUNCTION("IF(ISBLANK(F30),"""",HLOOKUP(REGEXEXTRACT(F30,"".*-(.*)""),INDIRECT(CONCATENATE(REGEXEXTRACT(F30,""(.*)-.*""),""!C3:V"")),2,FALSE))"),"Bard")</f>
        <v>Bard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</row>
    <row r="32" spans="1:24">
      <c r="A32" s="73"/>
      <c r="B32" s="165"/>
      <c r="C32" s="125"/>
      <c r="D32" s="125">
        <f ca="1">IFERROR(__xludf.DUMMYFUNCTION("IF(ISBLANK(D30),"""",HLOOKUP(REGEXEXTRACT(D30,"".*-(.*)""),INDIRECT(CONCATENATE(REGEXEXTRACT(D30,""(.*)-.*""),""!C3:V"")),3,FALSE))"),1750)</f>
        <v>1750</v>
      </c>
      <c r="E32" s="125">
        <f ca="1">IFERROR(__xludf.DUMMYFUNCTION("IF(ISBLANK(E30),"""",HLOOKUP(REGEXEXTRACT(E30,"".*-(.*)""),INDIRECT(CONCATENATE(REGEXEXTRACT(E30,""(.*)-.*""),""!C3:V"")),3,FALSE))"),1750)</f>
        <v>1750</v>
      </c>
      <c r="F32" s="128">
        <f ca="1">IFERROR(__xludf.DUMMYFUNCTION("IF(ISBLANK(F30),"""",HLOOKUP(REGEXEXTRACT(F30,"".*-(.*)""),INDIRECT(CONCATENATE(REGEXEXTRACT(F30,""(.*)-.*""),""!C3:V"")),3,FALSE))"),1750)</f>
        <v>1750</v>
      </c>
      <c r="G32" s="73"/>
      <c r="H32" s="73"/>
      <c r="I32" s="73"/>
      <c r="J32" s="73"/>
      <c r="K32" s="73"/>
      <c r="L32" s="73"/>
      <c r="M32" s="73"/>
      <c r="N32" s="73"/>
      <c r="O32" s="157"/>
      <c r="P32" s="157"/>
      <c r="Q32" s="157"/>
      <c r="R32" s="157"/>
      <c r="S32" s="73"/>
      <c r="T32" s="73"/>
      <c r="U32" s="157"/>
      <c r="V32" s="157"/>
      <c r="W32" s="157"/>
      <c r="X32" s="73"/>
    </row>
    <row r="33" spans="1:24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157"/>
      <c r="P33" s="157"/>
      <c r="Q33" s="157"/>
      <c r="R33" s="157"/>
      <c r="S33" s="73"/>
      <c r="T33" s="73"/>
      <c r="U33" s="157"/>
      <c r="V33" s="157"/>
      <c r="W33" s="157"/>
      <c r="X33" s="73"/>
    </row>
    <row r="34" spans="1:24">
      <c r="A34" s="73"/>
      <c r="B34" s="168" t="s">
        <v>134</v>
      </c>
      <c r="C34" s="101" t="s">
        <v>27</v>
      </c>
      <c r="D34" s="102" t="s">
        <v>139</v>
      </c>
      <c r="E34" s="102" t="s">
        <v>124</v>
      </c>
      <c r="F34" s="103" t="s">
        <v>118</v>
      </c>
      <c r="G34" s="169" t="s">
        <v>156</v>
      </c>
      <c r="H34" s="101" t="s">
        <v>27</v>
      </c>
      <c r="I34" s="102" t="s">
        <v>139</v>
      </c>
      <c r="J34" s="102" t="s">
        <v>124</v>
      </c>
      <c r="K34" s="105" t="s">
        <v>118</v>
      </c>
      <c r="L34" s="73"/>
      <c r="M34" s="73"/>
      <c r="N34" s="73"/>
      <c r="O34" s="157"/>
      <c r="P34" s="157"/>
      <c r="Q34" s="157"/>
      <c r="R34" s="157"/>
      <c r="S34" s="73"/>
      <c r="T34" s="73"/>
      <c r="U34" s="157"/>
      <c r="V34" s="157"/>
      <c r="W34" s="157"/>
      <c r="X34" s="73"/>
    </row>
    <row r="35" spans="1:24">
      <c r="A35" s="73"/>
      <c r="B35" s="170" t="s">
        <v>137</v>
      </c>
      <c r="C35" s="55" t="str">
        <f ca="1">IFERROR(__xludf.DUMMYFUNCTION("IF(ISBLANK(C34),"""",HLOOKUP(REGEXEXTRACT(C34,"".*-(.*)""),INDIRECT(CONCATENATE(REGEXEXTRACT(C34,""(.*)-.*""),""!C3:V"")),2,FALSE))"),"Guardianknight")</f>
        <v>Guardianknight</v>
      </c>
      <c r="D35" s="55" t="str">
        <f ca="1">IFERROR(__xludf.DUMMYFUNCTION("IF(ISBLANK(D34),"""",HLOOKUP(REGEXEXTRACT(D34,"".*-(.*)""),INDIRECT(CONCATENATE(REGEXEXTRACT(D34,""(.*)-.*""),""!C3:V"")),2,FALSE))"),"Souleater")</f>
        <v>Souleater</v>
      </c>
      <c r="E35" s="55" t="str">
        <f ca="1">IFERROR(__xludf.DUMMYFUNCTION("IF(ISBLANK(E34),"""",HLOOKUP(REGEXEXTRACT(E34,"".*-(.*)""),INDIRECT(CONCATENATE(REGEXEXTRACT(E34,""(.*)-.*""),""!C3:V"")),2,FALSE))"),"Valk")</f>
        <v>Valk</v>
      </c>
      <c r="F35" s="57" t="str">
        <f ca="1">IFERROR(__xludf.DUMMYFUNCTION("IF(ISBLANK(F34),"""",HLOOKUP(REGEXEXTRACT(F34,"".*-(.*)""),INDIRECT(CONCATENATE(REGEXEXTRACT(F34,""(.*)-.*""),""!C3:V"")),2,FALSE))"),"Valk")</f>
        <v>Valk</v>
      </c>
      <c r="G35" s="71" t="s">
        <v>137</v>
      </c>
      <c r="H35" s="55" t="str">
        <f ca="1">IFERROR(__xludf.DUMMYFUNCTION("IF(ISBLANK(H34),"""",HLOOKUP(REGEXEXTRACT(H34,"".*-(.*)""),INDIRECT(CONCATENATE(REGEXEXTRACT(H34,""(.*)-.*""),""!C3:V"")),2,FALSE))"),"Guardianknight")</f>
        <v>Guardianknight</v>
      </c>
      <c r="I35" s="55" t="str">
        <f ca="1">IFERROR(__xludf.DUMMYFUNCTION("IF(ISBLANK(I34),"""",HLOOKUP(REGEXEXTRACT(I34,"".*-(.*)""),INDIRECT(CONCATENATE(REGEXEXTRACT(I34,""(.*)-.*""),""!C3:V"")),2,FALSE))"),"Souleater")</f>
        <v>Souleater</v>
      </c>
      <c r="J35" s="55" t="str">
        <f ca="1">IFERROR(__xludf.DUMMYFUNCTION("IF(ISBLANK(J34),"""",HLOOKUP(REGEXEXTRACT(J34,"".*-(.*)""),INDIRECT(CONCATENATE(REGEXEXTRACT(J34,""(.*)-.*""),""!C3:V"")),2,FALSE))"),"Valk")</f>
        <v>Valk</v>
      </c>
      <c r="K35" s="109" t="str">
        <f ca="1">IFERROR(__xludf.DUMMYFUNCTION("IF(ISBLANK(K34),"""",HLOOKUP(REGEXEXTRACT(K34,"".*-(.*)""),INDIRECT(CONCATENATE(REGEXEXTRACT(K34,""(.*)-.*""),""!C3:V"")),2,FALSE))"),"Valk")</f>
        <v>Valk</v>
      </c>
      <c r="L35" s="73"/>
      <c r="M35" s="73"/>
      <c r="N35" s="73"/>
      <c r="O35" s="157"/>
      <c r="P35" s="157"/>
      <c r="Q35" s="157"/>
      <c r="R35" s="157"/>
      <c r="S35" s="73"/>
      <c r="T35" s="73"/>
      <c r="U35" s="157"/>
      <c r="V35" s="157"/>
      <c r="W35" s="157"/>
      <c r="X35" s="73"/>
    </row>
    <row r="36" spans="1:24">
      <c r="A36" s="73"/>
      <c r="B36" s="171"/>
      <c r="C36" s="125">
        <f ca="1">IFERROR(__xludf.DUMMYFUNCTION("IF(ISBLANK(C34),"""",HLOOKUP(REGEXEXTRACT(C34,"".*-(.*)""),INDIRECT(CONCATENATE(REGEXEXTRACT(C34,""(.*)-.*""),""!C3:V"")),3,FALSE))"),1750)</f>
        <v>1750</v>
      </c>
      <c r="D36" s="125">
        <f ca="1">IFERROR(__xludf.DUMMYFUNCTION("IF(ISBLANK(D34),"""",HLOOKUP(REGEXEXTRACT(D34,"".*-(.*)""),INDIRECT(CONCATENATE(REGEXEXTRACT(D34,""(.*)-.*""),""!C3:V"")),3,FALSE))"),1750)</f>
        <v>1750</v>
      </c>
      <c r="E36" s="125">
        <f ca="1">IFERROR(__xludf.DUMMYFUNCTION("IF(ISBLANK(E34),"""",HLOOKUP(REGEXEXTRACT(E34,"".*-(.*)""),INDIRECT(CONCATENATE(REGEXEXTRACT(E34,""(.*)-.*""),""!C3:V"")),3,FALSE))"),1750)</f>
        <v>1750</v>
      </c>
      <c r="F36" s="126">
        <f ca="1">IFERROR(__xludf.DUMMYFUNCTION("IF(ISBLANK(F34),"""",HLOOKUP(REGEXEXTRACT(F34,"".*-(.*)""),INDIRECT(CONCATENATE(REGEXEXTRACT(F34,""(.*)-.*""),""!C3:V"")),3,FALSE))"),1750)</f>
        <v>1750</v>
      </c>
      <c r="G36" s="172"/>
      <c r="H36" s="125">
        <f ca="1">IFERROR(__xludf.DUMMYFUNCTION("IF(ISBLANK(H34),"""",HLOOKUP(REGEXEXTRACT(H34,"".*-(.*)""),INDIRECT(CONCATENATE(REGEXEXTRACT(H34,""(.*)-.*""),""!C3:V"")),3,FALSE))"),1750)</f>
        <v>1750</v>
      </c>
      <c r="I36" s="125">
        <f ca="1">IFERROR(__xludf.DUMMYFUNCTION("IF(ISBLANK(I34),"""",HLOOKUP(REGEXEXTRACT(I34,"".*-(.*)""),INDIRECT(CONCATENATE(REGEXEXTRACT(I34,""(.*)-.*""),""!C3:V"")),3,FALSE))"),1750)</f>
        <v>1750</v>
      </c>
      <c r="J36" s="125">
        <f ca="1">IFERROR(__xludf.DUMMYFUNCTION("IF(ISBLANK(J34),"""",HLOOKUP(REGEXEXTRACT(J34,"".*-(.*)""),INDIRECT(CONCATENATE(REGEXEXTRACT(J34,""(.*)-.*""),""!C3:V"")),3,FALSE))"),1750)</f>
        <v>1750</v>
      </c>
      <c r="K36" s="128">
        <f ca="1">IFERROR(__xludf.DUMMYFUNCTION("IF(ISBLANK(K34),"""",HLOOKUP(REGEXEXTRACT(K34,"".*-(.*)""),INDIRECT(CONCATENATE(REGEXEXTRACT(K34,""(.*)-.*""),""!C3:V"")),3,FALSE))"),1750)</f>
        <v>1750</v>
      </c>
      <c r="L36" s="73"/>
      <c r="M36" s="73"/>
      <c r="N36" s="73"/>
      <c r="O36" s="157"/>
      <c r="P36" s="157"/>
      <c r="Q36" s="157"/>
      <c r="R36" s="157"/>
      <c r="S36" s="73"/>
      <c r="T36" s="73"/>
      <c r="U36" s="157"/>
      <c r="V36" s="157"/>
      <c r="W36" s="157"/>
      <c r="X36" s="73"/>
    </row>
    <row r="37" spans="1:24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157"/>
      <c r="P37" s="157"/>
      <c r="Q37" s="157"/>
      <c r="R37" s="157"/>
      <c r="S37" s="73"/>
      <c r="T37" s="73"/>
      <c r="U37" s="157"/>
      <c r="V37" s="157"/>
      <c r="W37" s="157"/>
      <c r="X37" s="73"/>
    </row>
    <row r="38" spans="1:24">
      <c r="A38" s="73"/>
      <c r="B38" s="173" t="s">
        <v>134</v>
      </c>
      <c r="C38" s="101" t="s">
        <v>39</v>
      </c>
      <c r="D38" s="102" t="s">
        <v>24</v>
      </c>
      <c r="E38" s="102" t="s">
        <v>90</v>
      </c>
      <c r="F38" s="103" t="s">
        <v>92</v>
      </c>
      <c r="G38" s="73"/>
      <c r="H38" s="73"/>
      <c r="I38" s="73"/>
      <c r="J38" s="73"/>
      <c r="K38" s="73"/>
      <c r="L38" s="73"/>
      <c r="M38" s="73"/>
      <c r="N38" s="73"/>
      <c r="O38" s="157"/>
      <c r="P38" s="157"/>
      <c r="Q38" s="157"/>
      <c r="R38" s="157"/>
      <c r="S38" s="73"/>
      <c r="T38" s="73"/>
      <c r="U38" s="73"/>
      <c r="V38" s="73"/>
      <c r="W38" s="73"/>
      <c r="X38" s="73"/>
    </row>
    <row r="39" spans="1:24">
      <c r="A39" s="73"/>
      <c r="B39" s="174" t="s">
        <v>137</v>
      </c>
      <c r="C39" s="55" t="str">
        <f ca="1">IFERROR(__xludf.DUMMYFUNCTION("IF(ISBLANK(C38),"""",HLOOKUP(REGEXEXTRACT(C38,"".*-(.*)""),INDIRECT(CONCATENATE(REGEXEXTRACT(C38,""(.*)-.*""),""!C3:V"")),2,FALSE))"),"Summoner")</f>
        <v>Summoner</v>
      </c>
      <c r="D39" s="55" t="str">
        <f ca="1">IFERROR(__xludf.DUMMYFUNCTION("IF(ISBLANK(D38),"""",HLOOKUP(REGEXEXTRACT(D38,"".*-(.*)""),INDIRECT(CONCATENATE(REGEXEXTRACT(D38,""(.*)-.*""),""!C3:V"")),2,FALSE))"),"Glaivier")</f>
        <v>Glaivier</v>
      </c>
      <c r="E39" s="55" t="str">
        <f ca="1">IFERROR(__xludf.DUMMYFUNCTION("IF(ISBLANK(E38),"""",HLOOKUP(REGEXEXTRACT(E38,"".*-(.*)""),INDIRECT(CONCATENATE(REGEXEXTRACT(E38,""(.*)-.*""),""!C3:V"")),2,FALSE))"),"Wildsoul")</f>
        <v>Wildsoul</v>
      </c>
      <c r="F39" s="57" t="str">
        <f ca="1">IFERROR(__xludf.DUMMYFUNCTION("IF(ISBLANK(F38),"""",HLOOKUP(REGEXEXTRACT(F38,"".*-(.*)""),INDIRECT(CONCATENATE(REGEXEXTRACT(F38,""(.*)-.*""),""!C3:V"")),2,FALSE))"),"Artist")</f>
        <v>Artist</v>
      </c>
      <c r="G39" s="73"/>
      <c r="H39" s="73"/>
      <c r="I39" s="73"/>
      <c r="J39" s="73"/>
      <c r="K39" s="73"/>
      <c r="L39" s="73"/>
      <c r="M39" s="73"/>
      <c r="N39" s="73"/>
      <c r="O39" s="157"/>
      <c r="P39" s="157"/>
      <c r="Q39" s="157"/>
      <c r="R39" s="157"/>
      <c r="S39" s="73"/>
      <c r="T39" s="73"/>
      <c r="U39" s="73"/>
      <c r="V39" s="73"/>
      <c r="W39" s="73"/>
      <c r="X39" s="73"/>
    </row>
    <row r="40" spans="1:24">
      <c r="A40" s="73"/>
      <c r="B40" s="175"/>
      <c r="C40" s="59">
        <f ca="1">IFERROR(__xludf.DUMMYFUNCTION("IF(ISBLANK(C38),"""",HLOOKUP(REGEXEXTRACT(C38,"".*-(.*)""),INDIRECT(CONCATENATE(REGEXEXTRACT(C38,""(.*)-.*""),""!C3:V"")),3,FALSE))"),1750)</f>
        <v>1750</v>
      </c>
      <c r="D40" s="59">
        <f ca="1">IFERROR(__xludf.DUMMYFUNCTION("IF(ISBLANK(D38),"""",HLOOKUP(REGEXEXTRACT(D38,"".*-(.*)""),INDIRECT(CONCATENATE(REGEXEXTRACT(D38,""(.*)-.*""),""!C3:V"")),3,FALSE))"),1750)</f>
        <v>1750</v>
      </c>
      <c r="E40" s="59">
        <f ca="1">IFERROR(__xludf.DUMMYFUNCTION("IF(ISBLANK(E38),"""",HLOOKUP(REGEXEXTRACT(E38,"".*-(.*)""),INDIRECT(CONCATENATE(REGEXEXTRACT(E38,""(.*)-.*""),""!C3:V"")),3,FALSE))"),1750)</f>
        <v>1750</v>
      </c>
      <c r="F40" s="61">
        <f ca="1">IFERROR(__xludf.DUMMYFUNCTION("IF(ISBLANK(F38),"""",HLOOKUP(REGEXEXTRACT(F38,"".*-(.*)""),INDIRECT(CONCATENATE(REGEXEXTRACT(F38,""(.*)-.*""),""!C3:V"")),3,FALSE))"),1730)</f>
        <v>1730</v>
      </c>
      <c r="G40" s="73"/>
      <c r="H40" s="73"/>
      <c r="I40" s="73"/>
      <c r="J40" s="73"/>
      <c r="K40" s="73"/>
      <c r="L40" s="73"/>
      <c r="M40" s="73"/>
      <c r="N40" s="73"/>
      <c r="O40" s="157"/>
      <c r="P40" s="157"/>
      <c r="Q40" s="157"/>
      <c r="R40" s="157"/>
      <c r="S40" s="73"/>
      <c r="T40" s="73"/>
      <c r="U40" s="73"/>
      <c r="V40" s="73"/>
      <c r="W40" s="73"/>
      <c r="X40" s="73"/>
    </row>
    <row r="41" spans="1:24">
      <c r="A41" s="73"/>
      <c r="B41" s="116"/>
      <c r="G41" s="73"/>
      <c r="H41" s="73"/>
      <c r="I41" s="73"/>
      <c r="J41" s="73"/>
      <c r="K41" s="73"/>
      <c r="L41" s="73"/>
      <c r="M41" s="73"/>
      <c r="N41" s="73"/>
      <c r="O41" s="157"/>
      <c r="P41" s="157"/>
      <c r="Q41" s="157"/>
      <c r="R41" s="157"/>
      <c r="S41" s="73"/>
      <c r="T41" s="73"/>
      <c r="U41" s="73"/>
      <c r="V41" s="73"/>
      <c r="W41" s="73"/>
      <c r="X41" s="73"/>
    </row>
    <row r="42" spans="1:24">
      <c r="A42" s="73"/>
      <c r="B42" s="176" t="s">
        <v>138</v>
      </c>
      <c r="C42" s="52" t="s">
        <v>30</v>
      </c>
      <c r="D42" s="52" t="s">
        <v>19</v>
      </c>
      <c r="E42" s="52" t="s">
        <v>111</v>
      </c>
      <c r="F42" s="53" t="s">
        <v>145</v>
      </c>
      <c r="G42" s="73"/>
      <c r="H42" s="73"/>
      <c r="I42" s="73"/>
      <c r="J42" s="73"/>
      <c r="K42" s="73"/>
      <c r="L42" s="73"/>
      <c r="M42" s="73"/>
      <c r="N42" s="73"/>
      <c r="O42" s="157"/>
      <c r="P42" s="157"/>
      <c r="Q42" s="157"/>
      <c r="R42" s="157"/>
      <c r="S42" s="73"/>
      <c r="T42" s="73"/>
      <c r="U42" s="73"/>
      <c r="V42" s="73"/>
      <c r="W42" s="73"/>
      <c r="X42" s="73"/>
    </row>
    <row r="43" spans="1:24">
      <c r="A43" s="73"/>
      <c r="B43" s="177" t="s">
        <v>137</v>
      </c>
      <c r="C43" s="55" t="str">
        <f ca="1">IFERROR(__xludf.DUMMYFUNCTION("IF(ISBLANK(C42),"""",HLOOKUP(REGEXEXTRACT(C42,"".*-(.*)""),INDIRECT(CONCATENATE(REGEXEXTRACT(C42,""(.*)-.*""),""!C3:V"")),2,FALSE))"),"Soulfist")</f>
        <v>Soulfist</v>
      </c>
      <c r="D43" s="55" t="str">
        <f ca="1">IFERROR(__xludf.DUMMYFUNCTION("IF(ISBLANK(D42),"""",HLOOKUP(REGEXEXTRACT(D42,"".*-(.*)""),INDIRECT(CONCATENATE(REGEXEXTRACT(D42,""(.*)-.*""),""!C3:V"")),2,FALSE))"),"Slayer")</f>
        <v>Slayer</v>
      </c>
      <c r="E43" s="55" t="str">
        <f ca="1">IFERROR(__xludf.DUMMYFUNCTION("IF(ISBLANK(E42),"""",HLOOKUP(REGEXEXTRACT(E42,"".*-(.*)""),INDIRECT(CONCATENATE(REGEXEXTRACT(E42,""(.*)-.*""),""!C3:V"")),2,FALSE))"),"Guardianknight")</f>
        <v>Guardianknight</v>
      </c>
      <c r="F43" s="57" t="str">
        <f ca="1">IFERROR(__xludf.DUMMYFUNCTION("IF(ISBLANK(F42),"""",HLOOKUP(REGEXEXTRACT(F42,"".*-(.*)""),INDIRECT(CONCATENATE(REGEXEXTRACT(F42,""(.*)-.*""),""!C3:V"")),2,FALSE))"),"Valk")</f>
        <v>Valk</v>
      </c>
      <c r="G43" s="73"/>
      <c r="H43" s="73"/>
      <c r="I43" s="73"/>
      <c r="J43" s="73"/>
      <c r="K43" s="73"/>
      <c r="L43" s="73"/>
      <c r="M43" s="73"/>
      <c r="N43" s="73"/>
      <c r="O43" s="157"/>
      <c r="P43" s="157"/>
      <c r="Q43" s="157"/>
      <c r="R43" s="157"/>
      <c r="S43" s="73"/>
      <c r="T43" s="73"/>
      <c r="U43" s="73"/>
      <c r="V43" s="73"/>
      <c r="W43" s="73"/>
      <c r="X43" s="73"/>
    </row>
    <row r="44" spans="1:24">
      <c r="A44" s="73"/>
      <c r="B44" s="178"/>
      <c r="C44" s="125">
        <f ca="1">IFERROR(__xludf.DUMMYFUNCTION("IF(ISBLANK(C42),"""",HLOOKUP(REGEXEXTRACT(C42,"".*-(.*)""),INDIRECT(CONCATENATE(REGEXEXTRACT(C42,""(.*)-.*""),""!C3:V"")),3,FALSE))"),1750)</f>
        <v>1750</v>
      </c>
      <c r="D44" s="125">
        <f ca="1">IFERROR(__xludf.DUMMYFUNCTION("IF(ISBLANK(D42),"""",HLOOKUP(REGEXEXTRACT(D42,"".*-(.*)""),INDIRECT(CONCATENATE(REGEXEXTRACT(D42,""(.*)-.*""),""!C3:V"")),3,FALSE))"),1750)</f>
        <v>1750</v>
      </c>
      <c r="E44" s="125">
        <f ca="1">IFERROR(__xludf.DUMMYFUNCTION("IF(ISBLANK(E42),"""",HLOOKUP(REGEXEXTRACT(E42,"".*-(.*)""),INDIRECT(CONCATENATE(REGEXEXTRACT(E42,""(.*)-.*""),""!C3:V"")),3,FALSE))"),1750)</f>
        <v>1750</v>
      </c>
      <c r="F44" s="126">
        <f ca="1">IFERROR(__xludf.DUMMYFUNCTION("IF(ISBLANK(F42),"""",HLOOKUP(REGEXEXTRACT(F42,"".*-(.*)""),INDIRECT(CONCATENATE(REGEXEXTRACT(F42,""(.*)-.*""),""!C3:V"")),3,FALSE))"),1730)</f>
        <v>1730</v>
      </c>
      <c r="G44" s="73"/>
      <c r="H44" s="73"/>
      <c r="I44" s="73"/>
      <c r="J44" s="73"/>
      <c r="K44" s="73"/>
      <c r="L44" s="73"/>
      <c r="M44" s="73"/>
      <c r="N44" s="73"/>
      <c r="O44" s="157"/>
      <c r="P44" s="157"/>
      <c r="Q44" s="157"/>
      <c r="R44" s="157"/>
      <c r="S44" s="73"/>
      <c r="T44" s="73"/>
      <c r="U44" s="73"/>
      <c r="V44" s="73"/>
      <c r="W44" s="73"/>
      <c r="X44" s="73"/>
    </row>
    <row r="45" spans="1:24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</row>
    <row r="46" spans="1:24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</row>
    <row r="47" spans="1:24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</row>
    <row r="48" spans="1:24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</row>
    <row r="49" spans="1:2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</row>
    <row r="50" spans="1:24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</row>
    <row r="51" spans="1:24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</row>
    <row r="52" spans="1:24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</row>
    <row r="53" spans="1:24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900-000000000000}">
          <x14:formula1>
            <xm:f>chars!$B$2:$Z932</xm:f>
          </x14:formula1>
          <xm:sqref>C2:F2 H2:K2 N2:Q2 T2:W2 C6:F6 H6:K6 N6:Q6 T6:W6 C10:F10 H10:K10 N10:Q10 T10:W10 C14:F14 H14:K14 T14:W14 C18:F18 H18:K18 T18:W18 C22:F22 H22:K22 T22:W22 C26:F26 H26:K26 T26:W26 C30:F30 C34:F34 H34:K34 C38:F38 C42:F42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D9:Q80"/>
  <sheetViews>
    <sheetView workbookViewId="0"/>
  </sheetViews>
  <sheetFormatPr defaultColWidth="12.5703125" defaultRowHeight="15.75" customHeight="1"/>
  <cols>
    <col min="5" max="5" width="16" customWidth="1"/>
    <col min="7" max="7" width="14" customWidth="1"/>
    <col min="12" max="12" width="15.28515625" customWidth="1"/>
  </cols>
  <sheetData>
    <row r="9" spans="4:17">
      <c r="D9" s="7" t="s">
        <v>168</v>
      </c>
      <c r="I9" s="7" t="s">
        <v>169</v>
      </c>
      <c r="N9" s="7" t="s">
        <v>170</v>
      </c>
    </row>
    <row r="10" spans="4:17">
      <c r="D10" s="179" t="s">
        <v>171</v>
      </c>
      <c r="E10" s="180"/>
      <c r="F10" s="181" t="s">
        <v>172</v>
      </c>
      <c r="G10" s="182"/>
      <c r="I10" s="179" t="s">
        <v>171</v>
      </c>
      <c r="J10" s="180"/>
      <c r="K10" s="181" t="s">
        <v>172</v>
      </c>
      <c r="L10" s="182"/>
      <c r="N10" s="179" t="s">
        <v>171</v>
      </c>
      <c r="O10" s="180"/>
      <c r="P10" s="181" t="s">
        <v>172</v>
      </c>
      <c r="Q10" s="182"/>
    </row>
    <row r="11" spans="4:17">
      <c r="D11" s="183">
        <v>1</v>
      </c>
      <c r="E11" s="184" t="s">
        <v>173</v>
      </c>
      <c r="F11" s="184">
        <v>1</v>
      </c>
      <c r="G11" s="184" t="s">
        <v>174</v>
      </c>
      <c r="I11" s="183">
        <v>1</v>
      </c>
      <c r="J11" s="184" t="s">
        <v>175</v>
      </c>
      <c r="K11" s="184">
        <v>1</v>
      </c>
      <c r="L11" s="184" t="s">
        <v>176</v>
      </c>
      <c r="N11" s="183">
        <v>1</v>
      </c>
      <c r="O11" s="184" t="s">
        <v>177</v>
      </c>
      <c r="P11" s="184">
        <v>1</v>
      </c>
      <c r="Q11" s="184" t="s">
        <v>178</v>
      </c>
    </row>
    <row r="12" spans="4:17">
      <c r="D12" s="183">
        <v>2</v>
      </c>
      <c r="E12" s="184" t="s">
        <v>179</v>
      </c>
      <c r="F12" s="184">
        <v>2</v>
      </c>
      <c r="G12" s="184" t="s">
        <v>180</v>
      </c>
      <c r="I12" s="183">
        <v>2</v>
      </c>
      <c r="J12" s="184" t="s">
        <v>181</v>
      </c>
      <c r="K12" s="184">
        <v>2</v>
      </c>
      <c r="L12" s="184" t="s">
        <v>182</v>
      </c>
      <c r="N12" s="183">
        <v>2</v>
      </c>
      <c r="O12" s="184" t="s">
        <v>183</v>
      </c>
      <c r="P12" s="184">
        <v>2</v>
      </c>
      <c r="Q12" s="184" t="s">
        <v>184</v>
      </c>
    </row>
    <row r="13" spans="4:17">
      <c r="D13" s="183">
        <v>3</v>
      </c>
      <c r="E13" s="184" t="s">
        <v>185</v>
      </c>
      <c r="F13" s="184">
        <v>3</v>
      </c>
      <c r="G13" s="184" t="s">
        <v>186</v>
      </c>
      <c r="I13" s="183">
        <v>3</v>
      </c>
      <c r="J13" s="184" t="s">
        <v>187</v>
      </c>
      <c r="K13" s="184">
        <v>3</v>
      </c>
      <c r="L13" s="184" t="s">
        <v>188</v>
      </c>
      <c r="N13" s="183">
        <v>3</v>
      </c>
      <c r="O13" s="184" t="s">
        <v>189</v>
      </c>
      <c r="P13" s="184">
        <v>3</v>
      </c>
      <c r="Q13" s="184" t="s">
        <v>190</v>
      </c>
    </row>
    <row r="14" spans="4:17">
      <c r="D14" s="183">
        <v>4</v>
      </c>
      <c r="E14" s="184" t="s">
        <v>191</v>
      </c>
      <c r="F14" s="184">
        <v>4</v>
      </c>
      <c r="G14" s="184" t="s">
        <v>192</v>
      </c>
      <c r="I14" s="183">
        <v>4</v>
      </c>
      <c r="J14" s="184" t="s">
        <v>193</v>
      </c>
      <c r="K14" s="184">
        <v>4</v>
      </c>
      <c r="L14" s="184" t="s">
        <v>194</v>
      </c>
      <c r="N14" s="183">
        <v>4</v>
      </c>
      <c r="O14" s="184" t="s">
        <v>195</v>
      </c>
      <c r="P14" s="184">
        <v>4</v>
      </c>
      <c r="Q14" s="184" t="s">
        <v>196</v>
      </c>
    </row>
    <row r="15" spans="4:17">
      <c r="D15" s="185" t="s">
        <v>197</v>
      </c>
      <c r="E15" s="186"/>
      <c r="F15" s="187" t="s">
        <v>198</v>
      </c>
      <c r="G15" s="188"/>
      <c r="I15" s="185" t="s">
        <v>197</v>
      </c>
      <c r="J15" s="186"/>
      <c r="K15" s="187" t="s">
        <v>198</v>
      </c>
      <c r="L15" s="188"/>
      <c r="N15" s="185" t="s">
        <v>197</v>
      </c>
      <c r="O15" s="186"/>
      <c r="P15" s="187" t="s">
        <v>198</v>
      </c>
      <c r="Q15" s="188"/>
    </row>
    <row r="16" spans="4:17">
      <c r="D16" s="183">
        <v>1</v>
      </c>
      <c r="E16" s="184" t="s">
        <v>199</v>
      </c>
      <c r="F16" s="183">
        <v>1</v>
      </c>
      <c r="G16" s="184" t="s">
        <v>200</v>
      </c>
      <c r="I16" s="183">
        <v>1</v>
      </c>
      <c r="J16" s="184" t="s">
        <v>201</v>
      </c>
      <c r="K16" s="183">
        <v>1</v>
      </c>
      <c r="L16" s="184" t="s">
        <v>202</v>
      </c>
      <c r="N16" s="183">
        <v>1</v>
      </c>
      <c r="O16" s="184" t="s">
        <v>201</v>
      </c>
      <c r="P16" s="183">
        <v>1</v>
      </c>
      <c r="Q16" s="184" t="s">
        <v>203</v>
      </c>
    </row>
    <row r="17" spans="4:17">
      <c r="D17" s="183">
        <v>2</v>
      </c>
      <c r="E17" s="189" t="s">
        <v>204</v>
      </c>
      <c r="F17" s="183">
        <v>2</v>
      </c>
      <c r="G17" s="184" t="s">
        <v>205</v>
      </c>
      <c r="I17" s="183">
        <v>2</v>
      </c>
      <c r="J17" s="189" t="s">
        <v>206</v>
      </c>
      <c r="K17" s="183">
        <v>2</v>
      </c>
      <c r="L17" s="184" t="s">
        <v>207</v>
      </c>
      <c r="N17" s="183">
        <v>2</v>
      </c>
      <c r="O17" s="189" t="s">
        <v>208</v>
      </c>
      <c r="P17" s="183">
        <v>2</v>
      </c>
      <c r="Q17" s="184" t="s">
        <v>209</v>
      </c>
    </row>
    <row r="18" spans="4:17">
      <c r="D18" s="183">
        <v>3</v>
      </c>
      <c r="E18" s="184" t="s">
        <v>210</v>
      </c>
      <c r="F18" s="183">
        <v>3</v>
      </c>
      <c r="G18" s="184" t="s">
        <v>211</v>
      </c>
      <c r="I18" s="183">
        <v>3</v>
      </c>
      <c r="J18" s="184" t="s">
        <v>212</v>
      </c>
      <c r="K18" s="183">
        <v>3</v>
      </c>
      <c r="L18" s="184"/>
      <c r="N18" s="183">
        <v>3</v>
      </c>
      <c r="O18" s="184" t="s">
        <v>213</v>
      </c>
      <c r="P18" s="183">
        <v>3</v>
      </c>
      <c r="Q18" s="184" t="s">
        <v>214</v>
      </c>
    </row>
    <row r="19" spans="4:17">
      <c r="D19" s="183">
        <v>4</v>
      </c>
      <c r="E19" s="184" t="s">
        <v>215</v>
      </c>
      <c r="F19" s="183">
        <v>4</v>
      </c>
      <c r="G19" s="184" t="s">
        <v>216</v>
      </c>
      <c r="I19" s="183">
        <v>4</v>
      </c>
      <c r="J19" s="184" t="s">
        <v>217</v>
      </c>
      <c r="K19" s="183">
        <v>4</v>
      </c>
      <c r="L19" s="184" t="s">
        <v>218</v>
      </c>
      <c r="N19" s="183">
        <v>4</v>
      </c>
      <c r="O19" s="184" t="s">
        <v>219</v>
      </c>
      <c r="P19" s="183">
        <v>4</v>
      </c>
      <c r="Q19" s="184" t="s">
        <v>220</v>
      </c>
    </row>
    <row r="21" spans="4:17">
      <c r="D21" s="63" t="s">
        <v>41</v>
      </c>
      <c r="I21" s="63" t="s">
        <v>41</v>
      </c>
      <c r="N21" s="63" t="s">
        <v>221</v>
      </c>
    </row>
    <row r="22" spans="4:17">
      <c r="D22" s="63" t="s">
        <v>42</v>
      </c>
      <c r="I22" s="63" t="s">
        <v>42</v>
      </c>
      <c r="N22" s="63" t="s">
        <v>222</v>
      </c>
    </row>
    <row r="23" spans="4:17">
      <c r="D23" s="63" t="s">
        <v>44</v>
      </c>
      <c r="I23" s="63" t="s">
        <v>223</v>
      </c>
      <c r="N23" s="63" t="s">
        <v>43</v>
      </c>
    </row>
    <row r="24" spans="4:17">
      <c r="D24" s="63" t="s">
        <v>224</v>
      </c>
      <c r="I24" s="63" t="s">
        <v>224</v>
      </c>
      <c r="N24" s="63" t="s">
        <v>225</v>
      </c>
    </row>
    <row r="25" spans="4:17">
      <c r="D25" s="63" t="s">
        <v>226</v>
      </c>
      <c r="I25" s="63" t="s">
        <v>221</v>
      </c>
      <c r="N25" s="63" t="s">
        <v>227</v>
      </c>
    </row>
    <row r="26" spans="4:17">
      <c r="D26" s="63" t="s">
        <v>221</v>
      </c>
      <c r="I26" s="63" t="s">
        <v>222</v>
      </c>
      <c r="N26" s="63" t="s">
        <v>228</v>
      </c>
    </row>
    <row r="27" spans="4:17">
      <c r="D27" s="63" t="s">
        <v>222</v>
      </c>
      <c r="I27" s="63" t="s">
        <v>45</v>
      </c>
      <c r="N27" s="63" t="s">
        <v>229</v>
      </c>
    </row>
    <row r="28" spans="4:17">
      <c r="D28" s="63" t="s">
        <v>45</v>
      </c>
      <c r="I28" s="63" t="s">
        <v>230</v>
      </c>
      <c r="N28" s="63" t="s">
        <v>231</v>
      </c>
    </row>
    <row r="29" spans="4:17">
      <c r="D29" s="63" t="s">
        <v>230</v>
      </c>
      <c r="I29" s="63" t="s">
        <v>43</v>
      </c>
      <c r="N29" s="63" t="s">
        <v>232</v>
      </c>
    </row>
    <row r="30" spans="4:17">
      <c r="D30" s="63" t="s">
        <v>43</v>
      </c>
      <c r="I30" s="63" t="s">
        <v>225</v>
      </c>
      <c r="N30" s="63" t="s">
        <v>233</v>
      </c>
    </row>
    <row r="31" spans="4:17">
      <c r="D31" s="63" t="s">
        <v>225</v>
      </c>
      <c r="I31" s="63" t="s">
        <v>227</v>
      </c>
      <c r="N31" s="63" t="s">
        <v>234</v>
      </c>
    </row>
    <row r="32" spans="4:17">
      <c r="D32" s="63" t="s">
        <v>227</v>
      </c>
      <c r="I32" s="63" t="s">
        <v>228</v>
      </c>
      <c r="N32" s="63" t="s">
        <v>42</v>
      </c>
    </row>
    <row r="33" spans="4:14">
      <c r="D33" s="63" t="s">
        <v>228</v>
      </c>
      <c r="I33" s="63" t="s">
        <v>232</v>
      </c>
      <c r="N33" s="63" t="s">
        <v>44</v>
      </c>
    </row>
    <row r="34" spans="4:14">
      <c r="D34" s="63" t="s">
        <v>229</v>
      </c>
      <c r="I34" s="63" t="s">
        <v>234</v>
      </c>
      <c r="N34" s="63" t="s">
        <v>224</v>
      </c>
    </row>
    <row r="35" spans="4:14">
      <c r="D35" s="63" t="s">
        <v>234</v>
      </c>
      <c r="N35" s="63" t="s">
        <v>223</v>
      </c>
    </row>
    <row r="42" spans="4:14">
      <c r="I42" s="7" t="s">
        <v>235</v>
      </c>
    </row>
    <row r="43" spans="4:14">
      <c r="I43" s="7" t="s">
        <v>236</v>
      </c>
    </row>
    <row r="44" spans="4:14">
      <c r="I44" s="7" t="s">
        <v>237</v>
      </c>
    </row>
    <row r="45" spans="4:14">
      <c r="I45" s="7" t="s">
        <v>238</v>
      </c>
    </row>
    <row r="46" spans="4:14">
      <c r="I46" s="7" t="s">
        <v>239</v>
      </c>
    </row>
    <row r="71" spans="10:13">
      <c r="J71" s="179" t="s">
        <v>171</v>
      </c>
      <c r="K71" s="180"/>
      <c r="L71" s="181" t="s">
        <v>172</v>
      </c>
      <c r="M71" s="182"/>
    </row>
    <row r="72" spans="10:13">
      <c r="J72" s="183">
        <v>1</v>
      </c>
      <c r="K72" s="184" t="s">
        <v>240</v>
      </c>
      <c r="L72" s="184">
        <v>1</v>
      </c>
      <c r="M72" s="184"/>
    </row>
    <row r="73" spans="10:13">
      <c r="J73" s="183">
        <v>2</v>
      </c>
      <c r="K73" s="184" t="s">
        <v>241</v>
      </c>
      <c r="L73" s="184">
        <v>2</v>
      </c>
      <c r="M73" s="184"/>
    </row>
    <row r="74" spans="10:13">
      <c r="J74" s="183">
        <v>3</v>
      </c>
      <c r="K74" s="184" t="s">
        <v>242</v>
      </c>
      <c r="L74" s="184">
        <v>3</v>
      </c>
      <c r="M74" s="184"/>
    </row>
    <row r="75" spans="10:13">
      <c r="J75" s="183">
        <v>4</v>
      </c>
      <c r="K75" s="184" t="s">
        <v>243</v>
      </c>
      <c r="L75" s="184">
        <v>4</v>
      </c>
      <c r="M75" s="184" t="s">
        <v>217</v>
      </c>
    </row>
    <row r="76" spans="10:13">
      <c r="J76" s="185" t="s">
        <v>197</v>
      </c>
      <c r="K76" s="186"/>
      <c r="L76" s="187" t="s">
        <v>198</v>
      </c>
      <c r="M76" s="188"/>
    </row>
    <row r="77" spans="10:13">
      <c r="J77" s="183">
        <v>1</v>
      </c>
      <c r="K77" s="184" t="s">
        <v>244</v>
      </c>
      <c r="L77" s="183">
        <v>1</v>
      </c>
      <c r="M77" s="184"/>
    </row>
    <row r="78" spans="10:13">
      <c r="J78" s="183">
        <v>2</v>
      </c>
      <c r="K78" s="189" t="s">
        <v>245</v>
      </c>
      <c r="L78" s="183">
        <v>2</v>
      </c>
      <c r="M78" s="184"/>
    </row>
    <row r="79" spans="10:13">
      <c r="J79" s="183">
        <v>3</v>
      </c>
      <c r="K79" s="184"/>
      <c r="L79" s="183">
        <v>3</v>
      </c>
      <c r="M79" s="184"/>
    </row>
    <row r="80" spans="10:13">
      <c r="J80" s="183">
        <v>4</v>
      </c>
      <c r="K80" s="184" t="s">
        <v>246</v>
      </c>
      <c r="L80" s="183">
        <v>4</v>
      </c>
      <c r="M80" s="184" t="s">
        <v>247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L67"/>
  <sheetViews>
    <sheetView workbookViewId="0"/>
  </sheetViews>
  <sheetFormatPr defaultColWidth="12.5703125" defaultRowHeight="15.75" customHeight="1"/>
  <cols>
    <col min="6" max="6" width="15" customWidth="1"/>
  </cols>
  <sheetData>
    <row r="1" spans="1:12" ht="12.75">
      <c r="A1" s="7" t="s">
        <v>248</v>
      </c>
    </row>
    <row r="2" spans="1:12" ht="15">
      <c r="B2" s="7" t="s">
        <v>249</v>
      </c>
      <c r="C2" s="7" t="s">
        <v>250</v>
      </c>
      <c r="D2" s="7" t="s">
        <v>251</v>
      </c>
      <c r="F2" s="190" t="s">
        <v>252</v>
      </c>
    </row>
    <row r="3" spans="1:12" ht="12.75">
      <c r="A3" s="7" t="s">
        <v>253</v>
      </c>
      <c r="B3" s="7" t="s">
        <v>254</v>
      </c>
      <c r="C3" s="7" t="s">
        <v>79</v>
      </c>
      <c r="D3" s="7" t="s">
        <v>80</v>
      </c>
      <c r="E3" s="7" t="s">
        <v>82</v>
      </c>
      <c r="F3" s="7" t="s">
        <v>255</v>
      </c>
      <c r="G3" s="7" t="s">
        <v>256</v>
      </c>
      <c r="H3" s="7" t="s">
        <v>87</v>
      </c>
    </row>
    <row r="4" spans="1:12" ht="12.75">
      <c r="A4" s="7">
        <v>6</v>
      </c>
      <c r="B4" s="7">
        <v>3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1</v>
      </c>
      <c r="L4" s="7" t="s">
        <v>257</v>
      </c>
    </row>
    <row r="5" spans="1:12" ht="12.75">
      <c r="A5" s="7">
        <v>4</v>
      </c>
      <c r="B5" s="7">
        <v>3</v>
      </c>
      <c r="C5" s="7">
        <v>6</v>
      </c>
      <c r="D5" s="7">
        <v>6</v>
      </c>
      <c r="E5" s="7">
        <v>3</v>
      </c>
      <c r="F5" s="7">
        <v>2</v>
      </c>
      <c r="G5" s="7">
        <v>6</v>
      </c>
      <c r="H5" s="7">
        <v>1</v>
      </c>
      <c r="L5" s="7" t="s">
        <v>258</v>
      </c>
    </row>
    <row r="6" spans="1:12" ht="12.75">
      <c r="A6" s="7">
        <v>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L6" s="7" t="s">
        <v>259</v>
      </c>
    </row>
    <row r="12" spans="1:12" ht="12.75">
      <c r="A12" s="246"/>
      <c r="B12" s="50" t="s">
        <v>260</v>
      </c>
      <c r="C12" s="191" t="s">
        <v>2</v>
      </c>
      <c r="D12" s="192"/>
      <c r="E12" s="192"/>
      <c r="F12" s="192"/>
      <c r="G12" s="192" t="s">
        <v>9</v>
      </c>
      <c r="H12" s="192"/>
      <c r="I12" s="192"/>
      <c r="J12" s="193"/>
    </row>
    <row r="13" spans="1:12" ht="12.75">
      <c r="A13" s="247"/>
      <c r="B13" s="54" t="s">
        <v>261</v>
      </c>
      <c r="C13" s="8" t="str">
        <f ca="1">IFERROR(__xludf.DUMMYFUNCTION("IF(ISBLANK(C12),"""",HLOOKUP(REGEXEXTRACT(C12,"".*-(.*)""),INDIRECT(CONCATENATE(REGEXEXTRACT(C12,""(.*)-.*""),""!C3:P"")),2,FALSE))"),"Slayer")</f>
        <v>Slayer</v>
      </c>
      <c r="D13" s="8" t="str">
        <f ca="1">IFERROR(__xludf.DUMMYFUNCTION("IF(ISBLANK(D12),"""",HLOOKUP(REGEXEXTRACT(D12,"".*-(.*)""),INDIRECT(CONCATENATE(REGEXEXTRACT(D12,""(.*)-.*""),""!C3:P"")),2,FALSE))"),"")</f>
        <v/>
      </c>
      <c r="E13" s="48" t="str">
        <f ca="1">IFERROR(__xludf.DUMMYFUNCTION("IF(ISBLANK(E12),"""",HLOOKUP(REGEXEXTRACT(E12,"".*-(.*)""),INDIRECT(CONCATENATE(REGEXEXTRACT(E12,""(.*)-.*""),""!C3:I"")),2,FALSE))"),"")</f>
        <v/>
      </c>
      <c r="F13" s="48" t="str">
        <f ca="1">IFERROR(__xludf.DUMMYFUNCTION("IF(ISBLANK(F12),"""",HLOOKUP(REGEXEXTRACT(F12,"".*-(.*)""),INDIRECT(CONCATENATE(REGEXEXTRACT(F12,""(.*)-.*""),""!C3:I"")),2,FALSE))"),"")</f>
        <v/>
      </c>
      <c r="G13" s="8" t="str">
        <f ca="1">IFERROR(__xludf.DUMMYFUNCTION("IF(ISBLANK(G12),"""",HLOOKUP(REGEXEXTRACT(G12,"".*-(.*)""),INDIRECT(CONCATENATE(REGEXEXTRACT(G12,""(.*)-.*""),""!C3:P"")),2,FALSE))"),"#REF!")</f>
        <v>#REF!</v>
      </c>
      <c r="H13" s="48" t="str">
        <f ca="1">IFERROR(__xludf.DUMMYFUNCTION("IF(ISBLANK(H12),"""",HLOOKUP(REGEXEXTRACT(H12,"".*-(.*)""),INDIRECT(CONCATENATE(REGEXEXTRACT(H12,""(.*)-.*""),""!C3:I"")),2,FALSE))"),"")</f>
        <v/>
      </c>
      <c r="I13" s="48" t="str">
        <f ca="1">IFERROR(__xludf.DUMMYFUNCTION("IF(ISBLANK(I12),"""",HLOOKUP(REGEXEXTRACT(I12,"".*-(.*)""),INDIRECT(CONCATENATE(REGEXEXTRACT(I12,""(.*)-.*""),""!C3:I"")),2,FALSE))"),"")</f>
        <v/>
      </c>
      <c r="J13" s="194" t="str">
        <f ca="1">IFERROR(__xludf.DUMMYFUNCTION("IF(ISBLANK(J12),"""",HLOOKUP(REGEXEXTRACT(J12,"".*-(.*)""),INDIRECT(CONCATENATE(REGEXEXTRACT(J12,""(.*)-.*""),""!C3:I"")),2,FALSE))"),"")</f>
        <v/>
      </c>
    </row>
    <row r="14" spans="1:12" ht="12.75">
      <c r="A14" s="247"/>
      <c r="B14" s="58" t="s">
        <v>262</v>
      </c>
      <c r="C14" s="10">
        <f ca="1">IFERROR(__xludf.DUMMYFUNCTION("IF(ISBLANK(C12),"""",HLOOKUP(REGEXEXTRACT(C12,"".*-(.*)""),INDIRECT(CONCATENATE(REGEXEXTRACT(C12,""(.*)-.*""),""!C3:P"")),3,FALSE))"),1560)</f>
        <v>1560</v>
      </c>
      <c r="D14" s="10" t="str">
        <f ca="1">IFERROR(__xludf.DUMMYFUNCTION("IF(ISBLANK(D12),"""",HLOOKUP(REGEXEXTRACT(D12,"".*-(.*)""),INDIRECT(CONCATENATE(REGEXEXTRACT(D12,""(.*)-.*""),""!C3:P"")),3,FALSE))"),"")</f>
        <v/>
      </c>
      <c r="E14" s="195" t="str">
        <f ca="1">IFERROR(__xludf.DUMMYFUNCTION("IF(ISBLANK(E12),"""",HLOOKUP(REGEXEXTRACT(E12,"".*-(.*)""),INDIRECT(CONCATENATE(REGEXEXTRACT(E12,""(.*)-.*""),""!C3:I"")),3,FALSE))"),"")</f>
        <v/>
      </c>
      <c r="F14" s="195" t="str">
        <f ca="1">IFERROR(__xludf.DUMMYFUNCTION("IF(ISBLANK(F12),"""",HLOOKUP(REGEXEXTRACT(F12,"".*-(.*)""),INDIRECT(CONCATENATE(REGEXEXTRACT(F12,""(.*)-.*""),""!C3:I"")),3,FALSE))"),"")</f>
        <v/>
      </c>
      <c r="G14" s="10" t="str">
        <f ca="1">IFERROR(__xludf.DUMMYFUNCTION("IF(ISBLANK(G12),"""",HLOOKUP(REGEXEXTRACT(G12,"".*-(.*)""),INDIRECT(CONCATENATE(REGEXEXTRACT(G12,""(.*)-.*""),""!C3:P"")),3,FALSE))"),"#REF!")</f>
        <v>#REF!</v>
      </c>
      <c r="H14" s="195" t="str">
        <f ca="1">IFERROR(__xludf.DUMMYFUNCTION("IF(ISBLANK(H12),"""",HLOOKUP(REGEXEXTRACT(H12,"".*-(.*)""),INDIRECT(CONCATENATE(REGEXEXTRACT(H12,""(.*)-.*""),""!C3:I"")),3,FALSE))"),"")</f>
        <v/>
      </c>
      <c r="I14" s="195" t="str">
        <f ca="1">IFERROR(__xludf.DUMMYFUNCTION("IF(ISBLANK(I12),"""",HLOOKUP(REGEXEXTRACT(I12,"".*-(.*)""),INDIRECT(CONCATENATE(REGEXEXTRACT(I12,""(.*)-.*""),""!C3:I"")),3,FALSE))"),"")</f>
        <v/>
      </c>
      <c r="J14" s="196" t="str">
        <f ca="1">IFERROR(__xludf.DUMMYFUNCTION("IF(ISBLANK(J12),"""",HLOOKUP(REGEXEXTRACT(J12,"".*-(.*)""),INDIRECT(CONCATENATE(REGEXEXTRACT(J12,""(.*)-.*""),""!C3:I"")),3,FALSE))"),"")</f>
        <v/>
      </c>
    </row>
    <row r="16" spans="1:12" ht="12.75">
      <c r="A16" s="246"/>
      <c r="B16" s="50" t="s">
        <v>260</v>
      </c>
      <c r="C16" s="191"/>
      <c r="D16" s="192" t="s">
        <v>39</v>
      </c>
      <c r="E16" s="192"/>
      <c r="F16" s="192"/>
      <c r="G16" s="192"/>
      <c r="H16" s="192"/>
      <c r="I16" s="192"/>
      <c r="J16" s="193"/>
    </row>
    <row r="17" spans="1:10" ht="12.75">
      <c r="A17" s="247"/>
      <c r="B17" s="54" t="s">
        <v>261</v>
      </c>
      <c r="C17" s="8" t="str">
        <f ca="1">IFERROR(__xludf.DUMMYFUNCTION("IF(ISBLANK(C16),"""",HLOOKUP(REGEXEXTRACT(C16,"".*-(.*)""),INDIRECT(CONCATENATE(REGEXEXTRACT(C16,""(.*)-.*""),""!C3:P"")),2,FALSE))"),"")</f>
        <v/>
      </c>
      <c r="D17" s="8" t="str">
        <f ca="1">IFERROR(__xludf.DUMMYFUNCTION("IF(ISBLANK(D16),"""",HLOOKUP(REGEXEXTRACT(D16,"".*-(.*)""),INDIRECT(CONCATENATE(REGEXEXTRACT(D16,""(.*)-.*""),""!C3:P"")),2,FALSE))"),"Summoner")</f>
        <v>Summoner</v>
      </c>
      <c r="E17" s="48" t="str">
        <f ca="1">IFERROR(__xludf.DUMMYFUNCTION("IF(ISBLANK(E16),"""",HLOOKUP(REGEXEXTRACT(E16,"".*-(.*)""),INDIRECT(CONCATENATE(REGEXEXTRACT(E16,""(.*)-.*""),""!C3:I"")),2,FALSE))"),"")</f>
        <v/>
      </c>
      <c r="F17" s="48" t="str">
        <f ca="1">IFERROR(__xludf.DUMMYFUNCTION("IF(ISBLANK(F16),"""",HLOOKUP(REGEXEXTRACT(F16,"".*-(.*)""),INDIRECT(CONCATENATE(REGEXEXTRACT(F16,""(.*)-.*""),""!C3:I"")),2,FALSE))"),"")</f>
        <v/>
      </c>
      <c r="G17" s="8" t="str">
        <f ca="1">IFERROR(__xludf.DUMMYFUNCTION("IF(ISBLANK(G16),"""",HLOOKUP(REGEXEXTRACT(G16,"".*-(.*)""),INDIRECT(CONCATENATE(REGEXEXTRACT(G16,""(.*)-.*""),""!C3:P"")),2,FALSE))"),"")</f>
        <v/>
      </c>
      <c r="H17" s="48" t="str">
        <f ca="1">IFERROR(__xludf.DUMMYFUNCTION("IF(ISBLANK(H16),"""",HLOOKUP(REGEXEXTRACT(H16,"".*-(.*)""),INDIRECT(CONCATENATE(REGEXEXTRACT(H16,""(.*)-.*""),""!C3:I"")),2,FALSE))"),"")</f>
        <v/>
      </c>
      <c r="I17" s="48" t="str">
        <f ca="1">IFERROR(__xludf.DUMMYFUNCTION("IF(ISBLANK(I16),"""",HLOOKUP(REGEXEXTRACT(I16,"".*-(.*)""),INDIRECT(CONCATENATE(REGEXEXTRACT(I16,""(.*)-.*""),""!C3:I"")),2,FALSE))"),"")</f>
        <v/>
      </c>
      <c r="J17" s="194" t="str">
        <f ca="1">IFERROR(__xludf.DUMMYFUNCTION("IF(ISBLANK(J16),"""",HLOOKUP(REGEXEXTRACT(J16,"".*-(.*)""),INDIRECT(CONCATENATE(REGEXEXTRACT(J16,""(.*)-.*""),""!C3:I"")),2,FALSE))"),"")</f>
        <v/>
      </c>
    </row>
    <row r="18" spans="1:10" ht="12.75">
      <c r="A18" s="247"/>
      <c r="B18" s="58" t="s">
        <v>262</v>
      </c>
      <c r="C18" s="10" t="str">
        <f ca="1">IFERROR(__xludf.DUMMYFUNCTION("IF(ISBLANK(C16),"""",HLOOKUP(REGEXEXTRACT(C16,"".*-(.*)""),INDIRECT(CONCATENATE(REGEXEXTRACT(C16,""(.*)-.*""),""!C3:P"")),3,FALSE))"),"")</f>
        <v/>
      </c>
      <c r="D18" s="10">
        <f ca="1">IFERROR(__xludf.DUMMYFUNCTION("IF(ISBLANK(D16),"""",HLOOKUP(REGEXEXTRACT(D16,"".*-(.*)""),INDIRECT(CONCATENATE(REGEXEXTRACT(D16,""(.*)-.*""),""!C3:P"")),3,FALSE))"),1750)</f>
        <v>1750</v>
      </c>
      <c r="E18" s="195" t="str">
        <f ca="1">IFERROR(__xludf.DUMMYFUNCTION("IF(ISBLANK(E16),"""",HLOOKUP(REGEXEXTRACT(E16,"".*-(.*)""),INDIRECT(CONCATENATE(REGEXEXTRACT(E16,""(.*)-.*""),""!C3:I"")),3,FALSE))"),"")</f>
        <v/>
      </c>
      <c r="F18" s="195" t="str">
        <f ca="1">IFERROR(__xludf.DUMMYFUNCTION("IF(ISBLANK(F16),"""",HLOOKUP(REGEXEXTRACT(F16,"".*-(.*)""),INDIRECT(CONCATENATE(REGEXEXTRACT(F16,""(.*)-.*""),""!C3:I"")),3,FALSE))"),"")</f>
        <v/>
      </c>
      <c r="G18" s="10" t="str">
        <f ca="1">IFERROR(__xludf.DUMMYFUNCTION("IF(ISBLANK(G16),"""",HLOOKUP(REGEXEXTRACT(G16,"".*-(.*)""),INDIRECT(CONCATENATE(REGEXEXTRACT(G16,""(.*)-.*""),""!C3:P"")),3,FALSE))"),"")</f>
        <v/>
      </c>
      <c r="H18" s="195" t="str">
        <f ca="1">IFERROR(__xludf.DUMMYFUNCTION("IF(ISBLANK(H16),"""",HLOOKUP(REGEXEXTRACT(H16,"".*-(.*)""),INDIRECT(CONCATENATE(REGEXEXTRACT(H16,""(.*)-.*""),""!C3:I"")),3,FALSE))"),"")</f>
        <v/>
      </c>
      <c r="I18" s="195" t="str">
        <f ca="1">IFERROR(__xludf.DUMMYFUNCTION("IF(ISBLANK(I16),"""",HLOOKUP(REGEXEXTRACT(I16,"".*-(.*)""),INDIRECT(CONCATENATE(REGEXEXTRACT(I16,""(.*)-.*""),""!C3:I"")),3,FALSE))"),"")</f>
        <v/>
      </c>
      <c r="J18" s="196" t="str">
        <f ca="1">IFERROR(__xludf.DUMMYFUNCTION("IF(ISBLANK(J16),"""",HLOOKUP(REGEXEXTRACT(J16,"".*-(.*)""),INDIRECT(CONCATENATE(REGEXEXTRACT(J16,""(.*)-.*""),""!C3:I"")),3,FALSE))"),"")</f>
        <v/>
      </c>
    </row>
    <row r="20" spans="1:10" ht="12.75">
      <c r="A20" s="246"/>
      <c r="B20" s="50" t="s">
        <v>260</v>
      </c>
      <c r="C20" s="191" t="s">
        <v>38</v>
      </c>
      <c r="D20" s="192"/>
      <c r="E20" s="192"/>
      <c r="F20" s="192"/>
      <c r="G20" s="192" t="s">
        <v>32</v>
      </c>
      <c r="H20" s="192"/>
      <c r="I20" s="192"/>
      <c r="J20" s="193"/>
    </row>
    <row r="21" spans="1:10" ht="12.75">
      <c r="A21" s="247"/>
      <c r="B21" s="54" t="s">
        <v>261</v>
      </c>
      <c r="C21" s="8" t="str">
        <f ca="1">IFERROR(__xludf.DUMMYFUNCTION("IF(ISBLANK(C20),"""",HLOOKUP(REGEXEXTRACT(C20,"".*-(.*)""),INDIRECT(CONCATENATE(REGEXEXTRACT(C20,""(.*)-.*""),""!C3:P"")),2,FALSE))"),"Gunslinger")</f>
        <v>Gunslinger</v>
      </c>
      <c r="D21" s="8" t="str">
        <f ca="1">IFERROR(__xludf.DUMMYFUNCTION("IF(ISBLANK(D20),"""",HLOOKUP(REGEXEXTRACT(D20,"".*-(.*)""),INDIRECT(CONCATENATE(REGEXEXTRACT(D20,""(.*)-.*""),""!C3:P"")),2,FALSE))"),"")</f>
        <v/>
      </c>
      <c r="E21" s="48" t="str">
        <f ca="1">IFERROR(__xludf.DUMMYFUNCTION("IF(ISBLANK(E20),"""",HLOOKUP(REGEXEXTRACT(E20,"".*-(.*)""),INDIRECT(CONCATENATE(REGEXEXTRACT(E20,""(.*)-.*""),""!C3:I"")),2,FALSE))"),"")</f>
        <v/>
      </c>
      <c r="F21" s="48" t="str">
        <f ca="1">IFERROR(__xludf.DUMMYFUNCTION("IF(ISBLANK(F20),"""",HLOOKUP(REGEXEXTRACT(F20,"".*-(.*)""),INDIRECT(CONCATENATE(REGEXEXTRACT(F20,""(.*)-.*""),""!C3:I"")),2,FALSE))"),"")</f>
        <v/>
      </c>
      <c r="G21" s="8" t="str">
        <f ca="1">IFERROR(__xludf.DUMMYFUNCTION("IF(ISBLANK(G20),"""",HLOOKUP(REGEXEXTRACT(G20,"".*-(.*)""),INDIRECT(CONCATENATE(REGEXEXTRACT(G20,""(.*)-.*""),""!C3:P"")),2,FALSE))"),"#REF!")</f>
        <v>#REF!</v>
      </c>
      <c r="H21" s="48" t="str">
        <f ca="1">IFERROR(__xludf.DUMMYFUNCTION("IF(ISBLANK(H20),"""",HLOOKUP(REGEXEXTRACT(H20,"".*-(.*)""),INDIRECT(CONCATENATE(REGEXEXTRACT(H20,""(.*)-.*""),""!C3:I"")),2,FALSE))"),"")</f>
        <v/>
      </c>
      <c r="I21" s="48" t="str">
        <f ca="1">IFERROR(__xludf.DUMMYFUNCTION("IF(ISBLANK(I20),"""",HLOOKUP(REGEXEXTRACT(I20,"".*-(.*)""),INDIRECT(CONCATENATE(REGEXEXTRACT(I20,""(.*)-.*""),""!C3:I"")),2,FALSE))"),"")</f>
        <v/>
      </c>
      <c r="J21" s="194" t="str">
        <f ca="1">IFERROR(__xludf.DUMMYFUNCTION("IF(ISBLANK(J20),"""",HLOOKUP(REGEXEXTRACT(J20,"".*-(.*)""),INDIRECT(CONCATENATE(REGEXEXTRACT(J20,""(.*)-.*""),""!C3:I"")),2,FALSE))"),"")</f>
        <v/>
      </c>
    </row>
    <row r="22" spans="1:10" ht="12.75">
      <c r="A22" s="247"/>
      <c r="B22" s="58" t="s">
        <v>263</v>
      </c>
      <c r="C22" s="10">
        <f ca="1">IFERROR(__xludf.DUMMYFUNCTION("IF(ISBLANK(C20),"""",HLOOKUP(REGEXEXTRACT(C20,"".*-(.*)""),INDIRECT(CONCATENATE(REGEXEXTRACT(C20,""(.*)-.*""),""!C3:P"")),3,FALSE))"),1600)</f>
        <v>1600</v>
      </c>
      <c r="D22" s="10" t="str">
        <f ca="1">IFERROR(__xludf.DUMMYFUNCTION("IF(ISBLANK(D20),"""",HLOOKUP(REGEXEXTRACT(D20,"".*-(.*)""),INDIRECT(CONCATENATE(REGEXEXTRACT(D20,""(.*)-.*""),""!C3:P"")),3,FALSE))"),"")</f>
        <v/>
      </c>
      <c r="E22" s="195" t="str">
        <f ca="1">IFERROR(__xludf.DUMMYFUNCTION("IF(ISBLANK(E20),"""",HLOOKUP(REGEXEXTRACT(E20,"".*-(.*)""),INDIRECT(CONCATENATE(REGEXEXTRACT(E20,""(.*)-.*""),""!C3:I"")),3,FALSE))"),"")</f>
        <v/>
      </c>
      <c r="F22" s="195" t="str">
        <f ca="1">IFERROR(__xludf.DUMMYFUNCTION("IF(ISBLANK(F20),"""",HLOOKUP(REGEXEXTRACT(F20,"".*-(.*)""),INDIRECT(CONCATENATE(REGEXEXTRACT(F20,""(.*)-.*""),""!C3:I"")),3,FALSE))"),"")</f>
        <v/>
      </c>
      <c r="G22" s="10" t="str">
        <f ca="1">IFERROR(__xludf.DUMMYFUNCTION("IF(ISBLANK(G20),"""",HLOOKUP(REGEXEXTRACT(G20,"".*-(.*)""),INDIRECT(CONCATENATE(REGEXEXTRACT(G20,""(.*)-.*""),""!C3:P"")),3,FALSE))"),"#REF!")</f>
        <v>#REF!</v>
      </c>
      <c r="H22" s="195" t="str">
        <f ca="1">IFERROR(__xludf.DUMMYFUNCTION("IF(ISBLANK(H20),"""",HLOOKUP(REGEXEXTRACT(H20,"".*-(.*)""),INDIRECT(CONCATENATE(REGEXEXTRACT(H20,""(.*)-.*""),""!C3:I"")),3,FALSE))"),"")</f>
        <v/>
      </c>
      <c r="I22" s="195" t="str">
        <f ca="1">IFERROR(__xludf.DUMMYFUNCTION("IF(ISBLANK(I20),"""",HLOOKUP(REGEXEXTRACT(I20,"".*-(.*)""),INDIRECT(CONCATENATE(REGEXEXTRACT(I20,""(.*)-.*""),""!C3:I"")),3,FALSE))"),"")</f>
        <v/>
      </c>
      <c r="J22" s="196" t="str">
        <f ca="1">IFERROR(__xludf.DUMMYFUNCTION("IF(ISBLANK(J20),"""",HLOOKUP(REGEXEXTRACT(J20,"".*-(.*)""),INDIRECT(CONCATENATE(REGEXEXTRACT(J20,""(.*)-.*""),""!C3:I"")),3,FALSE))"),"")</f>
        <v/>
      </c>
    </row>
    <row r="24" spans="1:10" ht="12.75">
      <c r="A24" s="246"/>
      <c r="B24" s="50" t="s">
        <v>260</v>
      </c>
      <c r="C24" s="191" t="s">
        <v>6</v>
      </c>
      <c r="D24" s="192" t="s">
        <v>35</v>
      </c>
      <c r="E24" s="192" t="s">
        <v>4</v>
      </c>
      <c r="F24" s="192" t="s">
        <v>26</v>
      </c>
      <c r="G24" s="192" t="s">
        <v>21</v>
      </c>
      <c r="H24" s="192" t="s">
        <v>28</v>
      </c>
      <c r="I24" s="192"/>
      <c r="J24" s="193"/>
    </row>
    <row r="25" spans="1:10" ht="12.75">
      <c r="A25" s="247"/>
      <c r="B25" s="54" t="s">
        <v>261</v>
      </c>
      <c r="C25" s="8" t="str">
        <f ca="1">IFERROR(__xludf.DUMMYFUNCTION("IF(ISBLANK(C24),"""",HLOOKUP(REGEXEXTRACT(C24,"".*-(.*)""),INDIRECT(CONCATENATE(REGEXEXTRACT(C24,""(.*)-.*""),""!C3:P"")),2,FALSE))"),"Wardancer")</f>
        <v>Wardancer</v>
      </c>
      <c r="D25" s="8" t="str">
        <f ca="1">IFERROR(__xludf.DUMMYFUNCTION("IF(ISBLANK(D24),"""",HLOOKUP(REGEXEXTRACT(D24,"".*-(.*)""),INDIRECT(CONCATENATE(REGEXEXTRACT(D24,""(.*)-.*""),""!C3:P"")),2,FALSE))"),"Bard")</f>
        <v>Bard</v>
      </c>
      <c r="E25" s="48" t="str">
        <f ca="1">IFERROR(__xludf.DUMMYFUNCTION("IF(ISBLANK(E24),"""",HLOOKUP(REGEXEXTRACT(E24,"".*-(.*)""),INDIRECT(CONCATENATE(REGEXEXTRACT(E24,""(.*)-.*""),""!C3:I"")),2,FALSE))"),"Gunslinger")</f>
        <v>Gunslinger</v>
      </c>
      <c r="F25" s="48" t="str">
        <f ca="1">IFERROR(__xludf.DUMMYFUNCTION("IF(ISBLANK(F24),"""",HLOOKUP(REGEXEXTRACT(F24,"".*-(.*)""),INDIRECT(CONCATENATE(REGEXEXTRACT(F24,""(.*)-.*""),""!C3:I"")),2,FALSE))"),"#N/A")</f>
        <v>#N/A</v>
      </c>
      <c r="G25" s="8" t="str">
        <f ca="1">IFERROR(__xludf.DUMMYFUNCTION("IF(ISBLANK(G24),"""",HLOOKUP(REGEXEXTRACT(G24,"".*-(.*)""),INDIRECT(CONCATENATE(REGEXEXTRACT(G24,""(.*)-.*""),""!C3:P"")),2,FALSE))"),"#REF!")</f>
        <v>#REF!</v>
      </c>
      <c r="H25" s="48" t="str">
        <f ca="1">IFERROR(__xludf.DUMMYFUNCTION("IF(ISBLANK(H24),"""",HLOOKUP(REGEXEXTRACT(H24,"".*-(.*)""),INDIRECT(CONCATENATE(REGEXEXTRACT(H24,""(.*)-.*""),""!C3:I"")),2,FALSE))"),"#REF!")</f>
        <v>#REF!</v>
      </c>
      <c r="I25" s="48" t="str">
        <f ca="1">IFERROR(__xludf.DUMMYFUNCTION("IF(ISBLANK(I24),"""",HLOOKUP(REGEXEXTRACT(I24,"".*-(.*)""),INDIRECT(CONCATENATE(REGEXEXTRACT(I24,""(.*)-.*""),""!C3:I"")),2,FALSE))"),"")</f>
        <v/>
      </c>
      <c r="J25" s="194" t="str">
        <f ca="1">IFERROR(__xludf.DUMMYFUNCTION("IF(ISBLANK(J24),"""",HLOOKUP(REGEXEXTRACT(J24,"".*-(.*)""),INDIRECT(CONCATENATE(REGEXEXTRACT(J24,""(.*)-.*""),""!C3:I"")),2,FALSE))"),"")</f>
        <v/>
      </c>
    </row>
    <row r="26" spans="1:10" ht="12.75">
      <c r="A26" s="247"/>
      <c r="B26" s="58" t="s">
        <v>264</v>
      </c>
      <c r="C26" s="10">
        <f ca="1">IFERROR(__xludf.DUMMYFUNCTION("IF(ISBLANK(C24),"""",HLOOKUP(REGEXEXTRACT(C24,"".*-(.*)""),INDIRECT(CONCATENATE(REGEXEXTRACT(C24,""(.*)-.*""),""!C3:P"")),3,FALSE))"),1620)</f>
        <v>1620</v>
      </c>
      <c r="D26" s="10">
        <f ca="1">IFERROR(__xludf.DUMMYFUNCTION("IF(ISBLANK(D24),"""",HLOOKUP(REGEXEXTRACT(D24,"".*-(.*)""),INDIRECT(CONCATENATE(REGEXEXTRACT(D24,""(.*)-.*""),""!C3:P"")),3,FALSE))"),1730)</f>
        <v>1730</v>
      </c>
      <c r="E26" s="195">
        <f ca="1">IFERROR(__xludf.DUMMYFUNCTION("IF(ISBLANK(E24),"""",HLOOKUP(REGEXEXTRACT(E24,"".*-(.*)""),INDIRECT(CONCATENATE(REGEXEXTRACT(E24,""(.*)-.*""),""!C3:I"")),3,FALSE))"),1750)</f>
        <v>1750</v>
      </c>
      <c r="F26" s="195" t="str">
        <f ca="1">IFERROR(__xludf.DUMMYFUNCTION("IF(ISBLANK(F24),"""",HLOOKUP(REGEXEXTRACT(F24,"".*-(.*)""),INDIRECT(CONCATENATE(REGEXEXTRACT(F24,""(.*)-.*""),""!C3:I"")),3,FALSE))"),"#N/A")</f>
        <v>#N/A</v>
      </c>
      <c r="G26" s="10" t="str">
        <f ca="1">IFERROR(__xludf.DUMMYFUNCTION("IF(ISBLANK(G24),"""",HLOOKUP(REGEXEXTRACT(G24,"".*-(.*)""),INDIRECT(CONCATENATE(REGEXEXTRACT(G24,""(.*)-.*""),""!C3:P"")),3,FALSE))"),"#REF!")</f>
        <v>#REF!</v>
      </c>
      <c r="H26" s="195" t="str">
        <f ca="1">IFERROR(__xludf.DUMMYFUNCTION("IF(ISBLANK(H24),"""",HLOOKUP(REGEXEXTRACT(H24,"".*-(.*)""),INDIRECT(CONCATENATE(REGEXEXTRACT(H24,""(.*)-.*""),""!C3:I"")),3,FALSE))"),"#REF!")</f>
        <v>#REF!</v>
      </c>
      <c r="I26" s="195" t="str">
        <f ca="1">IFERROR(__xludf.DUMMYFUNCTION("IF(ISBLANK(I24),"""",HLOOKUP(REGEXEXTRACT(I24,"".*-(.*)""),INDIRECT(CONCATENATE(REGEXEXTRACT(I24,""(.*)-.*""),""!C3:I"")),3,FALSE))"),"")</f>
        <v/>
      </c>
      <c r="J26" s="196" t="str">
        <f ca="1">IFERROR(__xludf.DUMMYFUNCTION("IF(ISBLANK(J24),"""",HLOOKUP(REGEXEXTRACT(J24,"".*-(.*)""),INDIRECT(CONCATENATE(REGEXEXTRACT(J24,""(.*)-.*""),""!C3:I"")),3,FALSE))"),"")</f>
        <v/>
      </c>
    </row>
    <row r="28" spans="1:10" ht="12.75">
      <c r="A28" s="246"/>
      <c r="B28" s="197" t="s">
        <v>260</v>
      </c>
      <c r="C28" s="191" t="s">
        <v>34</v>
      </c>
      <c r="D28" s="192" t="s">
        <v>27</v>
      </c>
      <c r="E28" s="192" t="s">
        <v>24</v>
      </c>
      <c r="F28" s="192" t="s">
        <v>36</v>
      </c>
      <c r="G28" s="192" t="s">
        <v>5</v>
      </c>
      <c r="H28" s="192"/>
      <c r="I28" s="192"/>
      <c r="J28" s="193"/>
    </row>
    <row r="29" spans="1:10" ht="12.75">
      <c r="A29" s="247"/>
      <c r="B29" s="198" t="s">
        <v>265</v>
      </c>
      <c r="C29" s="8" t="str">
        <f ca="1">IFERROR(__xludf.DUMMYFUNCTION("IF(ISBLANK(C28),"""",HLOOKUP(REGEXEXTRACT(C28,"".*-(.*)""),INDIRECT(CONCATENATE(REGEXEXTRACT(C28,""(.*)-.*""),""!C3:P"")),2,FALSE))"),"Arcana")</f>
        <v>Arcana</v>
      </c>
      <c r="D29" s="8" t="str">
        <f ca="1">IFERROR(__xludf.DUMMYFUNCTION("IF(ISBLANK(D28),"""",HLOOKUP(REGEXEXTRACT(D28,"".*-(.*)""),INDIRECT(CONCATENATE(REGEXEXTRACT(D28,""(.*)-.*""),""!C3:P"")),2,FALSE))"),"Guardianknight")</f>
        <v>Guardianknight</v>
      </c>
      <c r="E29" s="48" t="str">
        <f ca="1">IFERROR(__xludf.DUMMYFUNCTION("IF(ISBLANK(E28),"""",HLOOKUP(REGEXEXTRACT(E28,"".*-(.*)""),INDIRECT(CONCATENATE(REGEXEXTRACT(E28,""(.*)-.*""),""!C3:I"")),2,FALSE))"),"Glaivier")</f>
        <v>Glaivier</v>
      </c>
      <c r="F29" s="48" t="str">
        <f ca="1">IFERROR(__xludf.DUMMYFUNCTION("IF(ISBLANK(F28),"""",HLOOKUP(REGEXEXTRACT(F28,"".*-(.*)""),INDIRECT(CONCATENATE(REGEXEXTRACT(F28,""(.*)-.*""),""!C3:I"")),2,FALSE))"),"#N/A")</f>
        <v>#N/A</v>
      </c>
      <c r="G29" s="8" t="str">
        <f ca="1">IFERROR(__xludf.DUMMYFUNCTION("IF(ISBLANK(G28),"""",HLOOKUP(REGEXEXTRACT(G28,"".*-(.*)""),INDIRECT(CONCATENATE(REGEXEXTRACT(G28,""(.*)-.*""),""!C3:P"")),2,FALSE))"),"#REF!")</f>
        <v>#REF!</v>
      </c>
      <c r="H29" s="48" t="str">
        <f ca="1">IFERROR(__xludf.DUMMYFUNCTION("IF(ISBLANK(H28),"""",HLOOKUP(REGEXEXTRACT(H28,"".*-(.*)""),INDIRECT(CONCATENATE(REGEXEXTRACT(H28,""(.*)-.*""),""!C3:I"")),2,FALSE))"),"")</f>
        <v/>
      </c>
      <c r="I29" s="48" t="str">
        <f ca="1">IFERROR(__xludf.DUMMYFUNCTION("IF(ISBLANK(I28),"""",HLOOKUP(REGEXEXTRACT(I28,"".*-(.*)""),INDIRECT(CONCATENATE(REGEXEXTRACT(I28,""(.*)-.*""),""!C3:I"")),2,FALSE))"),"")</f>
        <v/>
      </c>
      <c r="J29" s="194" t="str">
        <f ca="1">IFERROR(__xludf.DUMMYFUNCTION("IF(ISBLANK(J28),"""",HLOOKUP(REGEXEXTRACT(J28,"".*-(.*)""),INDIRECT(CONCATENATE(REGEXEXTRACT(J28,""(.*)-.*""),""!C3:I"")),2,FALSE))"),"")</f>
        <v/>
      </c>
    </row>
    <row r="30" spans="1:10" ht="12.75">
      <c r="A30" s="247"/>
      <c r="B30" s="199" t="s">
        <v>266</v>
      </c>
      <c r="C30" s="10">
        <f ca="1">IFERROR(__xludf.DUMMYFUNCTION("IF(ISBLANK(C28),"""",HLOOKUP(REGEXEXTRACT(C28,"".*-(.*)""),INDIRECT(CONCATENATE(REGEXEXTRACT(C28,""(.*)-.*""),""!C3:P"")),3,FALSE))"),1570)</f>
        <v>1570</v>
      </c>
      <c r="D30" s="10">
        <f ca="1">IFERROR(__xludf.DUMMYFUNCTION("IF(ISBLANK(D28),"""",HLOOKUP(REGEXEXTRACT(D28,"".*-(.*)""),INDIRECT(CONCATENATE(REGEXEXTRACT(D28,""(.*)-.*""),""!C3:P"")),3,FALSE))"),1750)</f>
        <v>1750</v>
      </c>
      <c r="E30" s="195">
        <f ca="1">IFERROR(__xludf.DUMMYFUNCTION("IF(ISBLANK(E28),"""",HLOOKUP(REGEXEXTRACT(E28,"".*-(.*)""),INDIRECT(CONCATENATE(REGEXEXTRACT(E28,""(.*)-.*""),""!C3:I"")),3,FALSE))"),1750)</f>
        <v>1750</v>
      </c>
      <c r="F30" s="195" t="str">
        <f ca="1">IFERROR(__xludf.DUMMYFUNCTION("IF(ISBLANK(F28),"""",HLOOKUP(REGEXEXTRACT(F28,"".*-(.*)""),INDIRECT(CONCATENATE(REGEXEXTRACT(F28,""(.*)-.*""),""!C3:I"")),3,FALSE))"),"#N/A")</f>
        <v>#N/A</v>
      </c>
      <c r="G30" s="10" t="str">
        <f ca="1">IFERROR(__xludf.DUMMYFUNCTION("IF(ISBLANK(G28),"""",HLOOKUP(REGEXEXTRACT(G28,"".*-(.*)""),INDIRECT(CONCATENATE(REGEXEXTRACT(G28,""(.*)-.*""),""!C3:P"")),3,FALSE))"),"#REF!")</f>
        <v>#REF!</v>
      </c>
      <c r="H30" s="195" t="str">
        <f ca="1">IFERROR(__xludf.DUMMYFUNCTION("IF(ISBLANK(H28),"""",HLOOKUP(REGEXEXTRACT(H28,"".*-(.*)""),INDIRECT(CONCATENATE(REGEXEXTRACT(H28,""(.*)-.*""),""!C3:I"")),3,FALSE))"),"")</f>
        <v/>
      </c>
      <c r="I30" s="195" t="str">
        <f ca="1">IFERROR(__xludf.DUMMYFUNCTION("IF(ISBLANK(I28),"""",HLOOKUP(REGEXEXTRACT(I28,"".*-(.*)""),INDIRECT(CONCATENATE(REGEXEXTRACT(I28,""(.*)-.*""),""!C3:I"")),3,FALSE))"),"")</f>
        <v/>
      </c>
      <c r="J30" s="196" t="str">
        <f ca="1">IFERROR(__xludf.DUMMYFUNCTION("IF(ISBLANK(J28),"""",HLOOKUP(REGEXEXTRACT(J28,"".*-(.*)""),INDIRECT(CONCATENATE(REGEXEXTRACT(J28,""(.*)-.*""),""!C3:I"")),3,FALSE))"),"")</f>
        <v/>
      </c>
    </row>
    <row r="32" spans="1:10" ht="12.75">
      <c r="A32" s="246"/>
      <c r="B32" s="197" t="s">
        <v>260</v>
      </c>
      <c r="C32" s="191" t="s">
        <v>10</v>
      </c>
      <c r="D32" s="192" t="s">
        <v>30</v>
      </c>
      <c r="E32" s="192" t="s">
        <v>12</v>
      </c>
      <c r="F32" s="192"/>
      <c r="G32" s="192" t="s">
        <v>17</v>
      </c>
      <c r="H32" s="192"/>
      <c r="I32" s="192"/>
      <c r="J32" s="193"/>
    </row>
    <row r="33" spans="1:10" ht="12.75">
      <c r="A33" s="247"/>
      <c r="B33" s="198" t="s">
        <v>265</v>
      </c>
      <c r="C33" s="8" t="str">
        <f ca="1">IFERROR(__xludf.DUMMYFUNCTION("IF(ISBLANK(C32),"""",HLOOKUP(REGEXEXTRACT(C32,"".*-(.*)""),INDIRECT(CONCATENATE(REGEXEXTRACT(C32,""(.*)-.*""),""!C3:P"")),2,FALSE))"),"Bard")</f>
        <v>Bard</v>
      </c>
      <c r="D33" s="8" t="str">
        <f ca="1">IFERROR(__xludf.DUMMYFUNCTION("IF(ISBLANK(D32),"""",HLOOKUP(REGEXEXTRACT(D32,"".*-(.*)""),INDIRECT(CONCATENATE(REGEXEXTRACT(D32,""(.*)-.*""),""!C3:P"")),2,FALSE))"),"Soulfist")</f>
        <v>Soulfist</v>
      </c>
      <c r="E33" s="48" t="str">
        <f ca="1">IFERROR(__xludf.DUMMYFUNCTION("IF(ISBLANK(E32),"""",HLOOKUP(REGEXEXTRACT(E32,"".*-(.*)""),INDIRECT(CONCATENATE(REGEXEXTRACT(E32,""(.*)-.*""),""!C3:I"")),2,FALSE))"),"Sorceress")</f>
        <v>Sorceress</v>
      </c>
      <c r="F33" s="48" t="str">
        <f ca="1">IFERROR(__xludf.DUMMYFUNCTION("IF(ISBLANK(F32),"""",HLOOKUP(REGEXEXTRACT(F32,"".*-(.*)""),INDIRECT(CONCATENATE(REGEXEXTRACT(F32,""(.*)-.*""),""!C3:I"")),2,FALSE))"),"")</f>
        <v/>
      </c>
      <c r="G33" s="8" t="str">
        <f ca="1">IFERROR(__xludf.DUMMYFUNCTION("IF(ISBLANK(G32),"""",HLOOKUP(REGEXEXTRACT(G32,"".*-(.*)""),INDIRECT(CONCATENATE(REGEXEXTRACT(G32,""(.*)-.*""),""!C3:P"")),2,FALSE))"),"#REF!")</f>
        <v>#REF!</v>
      </c>
      <c r="H33" s="48" t="str">
        <f ca="1">IFERROR(__xludf.DUMMYFUNCTION("IF(ISBLANK(H32),"""",HLOOKUP(REGEXEXTRACT(H32,"".*-(.*)""),INDIRECT(CONCATENATE(REGEXEXTRACT(H32,""(.*)-.*""),""!C3:I"")),2,FALSE))"),"")</f>
        <v/>
      </c>
      <c r="I33" s="48" t="str">
        <f ca="1">IFERROR(__xludf.DUMMYFUNCTION("IF(ISBLANK(I32),"""",HLOOKUP(REGEXEXTRACT(I32,"".*-(.*)""),INDIRECT(CONCATENATE(REGEXEXTRACT(I32,""(.*)-.*""),""!C3:I"")),2,FALSE))"),"")</f>
        <v/>
      </c>
      <c r="J33" s="194" t="str">
        <f ca="1">IFERROR(__xludf.DUMMYFUNCTION("IF(ISBLANK(J32),"""",HLOOKUP(REGEXEXTRACT(J32,"".*-(.*)""),INDIRECT(CONCATENATE(REGEXEXTRACT(J32,""(.*)-.*""),""!C3:I"")),2,FALSE))"),"")</f>
        <v/>
      </c>
    </row>
    <row r="34" spans="1:10" ht="12.75">
      <c r="A34" s="247"/>
      <c r="B34" s="199" t="s">
        <v>267</v>
      </c>
      <c r="C34" s="10">
        <f ca="1">IFERROR(__xludf.DUMMYFUNCTION("IF(ISBLANK(C32),"""",HLOOKUP(REGEXEXTRACT(C32,"".*-(.*)""),INDIRECT(CONCATENATE(REGEXEXTRACT(C32,""(.*)-.*""),""!C3:P"")),3,FALSE))"),1560)</f>
        <v>1560</v>
      </c>
      <c r="D34" s="10">
        <f ca="1">IFERROR(__xludf.DUMMYFUNCTION("IF(ISBLANK(D32),"""",HLOOKUP(REGEXEXTRACT(D32,"".*-(.*)""),INDIRECT(CONCATENATE(REGEXEXTRACT(D32,""(.*)-.*""),""!C3:P"")),3,FALSE))"),1750)</f>
        <v>1750</v>
      </c>
      <c r="E34" s="195">
        <f ca="1">IFERROR(__xludf.DUMMYFUNCTION("IF(ISBLANK(E32),"""",HLOOKUP(REGEXEXTRACT(E32,"".*-(.*)""),INDIRECT(CONCATENATE(REGEXEXTRACT(E32,""(.*)-.*""),""!C3:I"")),3,FALSE))"),1750)</f>
        <v>1750</v>
      </c>
      <c r="F34" s="195" t="str">
        <f ca="1">IFERROR(__xludf.DUMMYFUNCTION("IF(ISBLANK(F32),"""",HLOOKUP(REGEXEXTRACT(F32,"".*-(.*)""),INDIRECT(CONCATENATE(REGEXEXTRACT(F32,""(.*)-.*""),""!C3:I"")),3,FALSE))"),"")</f>
        <v/>
      </c>
      <c r="G34" s="10" t="str">
        <f ca="1">IFERROR(__xludf.DUMMYFUNCTION("IF(ISBLANK(G32),"""",HLOOKUP(REGEXEXTRACT(G32,"".*-(.*)""),INDIRECT(CONCATENATE(REGEXEXTRACT(G32,""(.*)-.*""),""!C3:P"")),3,FALSE))"),"#REF!")</f>
        <v>#REF!</v>
      </c>
      <c r="H34" s="195" t="str">
        <f ca="1">IFERROR(__xludf.DUMMYFUNCTION("IF(ISBLANK(H32),"""",HLOOKUP(REGEXEXTRACT(H32,"".*-(.*)""),INDIRECT(CONCATENATE(REGEXEXTRACT(H32,""(.*)-.*""),""!C3:I"")),3,FALSE))"),"")</f>
        <v/>
      </c>
      <c r="I34" s="195" t="str">
        <f ca="1">IFERROR(__xludf.DUMMYFUNCTION("IF(ISBLANK(I32),"""",HLOOKUP(REGEXEXTRACT(I32,"".*-(.*)""),INDIRECT(CONCATENATE(REGEXEXTRACT(I32,""(.*)-.*""),""!C3:I"")),3,FALSE))"),"")</f>
        <v/>
      </c>
      <c r="J34" s="196" t="str">
        <f ca="1">IFERROR(__xludf.DUMMYFUNCTION("IF(ISBLANK(J32),"""",HLOOKUP(REGEXEXTRACT(J32,"".*-(.*)""),INDIRECT(CONCATENATE(REGEXEXTRACT(J32,""(.*)-.*""),""!C3:I"")),3,FALSE))"),"")</f>
        <v/>
      </c>
    </row>
    <row r="36" spans="1:10" ht="12.75">
      <c r="A36" s="246"/>
      <c r="B36" s="200" t="s">
        <v>260</v>
      </c>
      <c r="C36" s="191" t="s">
        <v>29</v>
      </c>
      <c r="D36" s="192" t="s">
        <v>3</v>
      </c>
      <c r="E36" s="192" t="s">
        <v>8</v>
      </c>
      <c r="F36" s="192" t="s">
        <v>20</v>
      </c>
      <c r="G36" s="192" t="s">
        <v>13</v>
      </c>
      <c r="H36" s="192"/>
      <c r="I36" s="192"/>
      <c r="J36" s="193"/>
    </row>
    <row r="37" spans="1:10" ht="12.75">
      <c r="A37" s="247"/>
      <c r="B37" s="201" t="s">
        <v>95</v>
      </c>
      <c r="C37" s="8" t="str">
        <f ca="1">IFERROR(__xludf.DUMMYFUNCTION("IF(ISBLANK(C36),"""",HLOOKUP(REGEXEXTRACT(C36,"".*-(.*)""),INDIRECT(CONCATENATE(REGEXEXTRACT(C36,""(.*)-.*""),""!C3:P"")),2,FALSE))"),"Bard")</f>
        <v>Bard</v>
      </c>
      <c r="D37" s="8" t="str">
        <f ca="1">IFERROR(__xludf.DUMMYFUNCTION("IF(ISBLANK(D36),"""",HLOOKUP(REGEXEXTRACT(D36,"".*-(.*)""),INDIRECT(CONCATENATE(REGEXEXTRACT(D36,""(.*)-.*""),""!C3:P"")),2,FALSE))"),"Sorceress")</f>
        <v>Sorceress</v>
      </c>
      <c r="E37" s="48" t="str">
        <f ca="1">IFERROR(__xludf.DUMMYFUNCTION("IF(ISBLANK(E36),"""",HLOOKUP(REGEXEXTRACT(E36,"".*-(.*)""),INDIRECT(CONCATENATE(REGEXEXTRACT(E36,""(.*)-.*""),""!C3:I"")),2,FALSE))"),"Deathblade")</f>
        <v>Deathblade</v>
      </c>
      <c r="F37" s="48" t="str">
        <f ca="1">IFERROR(__xludf.DUMMYFUNCTION("IF(ISBLANK(F36),"""",HLOOKUP(REGEXEXTRACT(F36,"".*-(.*)""),INDIRECT(CONCATENATE(REGEXEXTRACT(F36,""(.*)-.*""),""!C3:I"")),2,FALSE))"),"#N/A")</f>
        <v>#N/A</v>
      </c>
      <c r="G37" s="8" t="str">
        <f ca="1">IFERROR(__xludf.DUMMYFUNCTION("IF(ISBLANK(G36),"""",HLOOKUP(REGEXEXTRACT(G36,"".*-(.*)""),INDIRECT(CONCATENATE(REGEXEXTRACT(G36,""(.*)-.*""),""!C3:P"")),2,FALSE))"),"#REF!")</f>
        <v>#REF!</v>
      </c>
      <c r="H37" s="48" t="str">
        <f ca="1">IFERROR(__xludf.DUMMYFUNCTION("IF(ISBLANK(H36),"""",HLOOKUP(REGEXEXTRACT(H36,"".*-(.*)""),INDIRECT(CONCATENATE(REGEXEXTRACT(H36,""(.*)-.*""),""!C3:I"")),2,FALSE))"),"")</f>
        <v/>
      </c>
      <c r="I37" s="48" t="str">
        <f ca="1">IFERROR(__xludf.DUMMYFUNCTION("IF(ISBLANK(I36),"""",HLOOKUP(REGEXEXTRACT(I36,"".*-(.*)""),INDIRECT(CONCATENATE(REGEXEXTRACT(I36,""(.*)-.*""),""!C3:I"")),2,FALSE))"),"")</f>
        <v/>
      </c>
      <c r="J37" s="194" t="str">
        <f ca="1">IFERROR(__xludf.DUMMYFUNCTION("IF(ISBLANK(J36),"""",HLOOKUP(REGEXEXTRACT(J36,"".*-(.*)""),INDIRECT(CONCATENATE(REGEXEXTRACT(J36,""(.*)-.*""),""!C3:I"")),2,FALSE))"),"")</f>
        <v/>
      </c>
    </row>
    <row r="38" spans="1:10" ht="12.75">
      <c r="A38" s="247"/>
      <c r="B38" s="202" t="s">
        <v>268</v>
      </c>
      <c r="C38" s="10">
        <f ca="1">IFERROR(__xludf.DUMMYFUNCTION("IF(ISBLANK(C36),"""",HLOOKUP(REGEXEXTRACT(C36,"".*-(.*)""),INDIRECT(CONCATENATE(REGEXEXTRACT(C36,""(.*)-.*""),""!C3:P"")),3,FALSE))"),1540)</f>
        <v>1540</v>
      </c>
      <c r="D38" s="10">
        <f ca="1">IFERROR(__xludf.DUMMYFUNCTION("IF(ISBLANK(D36),"""",HLOOKUP(REGEXEXTRACT(D36,"".*-(.*)""),INDIRECT(CONCATENATE(REGEXEXTRACT(D36,""(.*)-.*""),""!C3:P"")),3,FALSE))"),1600)</f>
        <v>1600</v>
      </c>
      <c r="E38" s="195">
        <f ca="1">IFERROR(__xludf.DUMMYFUNCTION("IF(ISBLANK(E36),"""",HLOOKUP(REGEXEXTRACT(E36,"".*-(.*)""),INDIRECT(CONCATENATE(REGEXEXTRACT(E36,""(.*)-.*""),""!C3:I"")),3,FALSE))"),1600)</f>
        <v>1600</v>
      </c>
      <c r="F38" s="195" t="str">
        <f ca="1">IFERROR(__xludf.DUMMYFUNCTION("IF(ISBLANK(F36),"""",HLOOKUP(REGEXEXTRACT(F36,"".*-(.*)""),INDIRECT(CONCATENATE(REGEXEXTRACT(F36,""(.*)-.*""),""!C3:I"")),3,FALSE))"),"#N/A")</f>
        <v>#N/A</v>
      </c>
      <c r="G38" s="10" t="str">
        <f ca="1">IFERROR(__xludf.DUMMYFUNCTION("IF(ISBLANK(G36),"""",HLOOKUP(REGEXEXTRACT(G36,"".*-(.*)""),INDIRECT(CONCATENATE(REGEXEXTRACT(G36,""(.*)-.*""),""!C3:P"")),3,FALSE))"),"#REF!")</f>
        <v>#REF!</v>
      </c>
      <c r="H38" s="195" t="str">
        <f ca="1">IFERROR(__xludf.DUMMYFUNCTION("IF(ISBLANK(H36),"""",HLOOKUP(REGEXEXTRACT(H36,"".*-(.*)""),INDIRECT(CONCATENATE(REGEXEXTRACT(H36,""(.*)-.*""),""!C3:I"")),3,FALSE))"),"")</f>
        <v/>
      </c>
      <c r="I38" s="195" t="str">
        <f ca="1">IFERROR(__xludf.DUMMYFUNCTION("IF(ISBLANK(I36),"""",HLOOKUP(REGEXEXTRACT(I36,"".*-(.*)""),INDIRECT(CONCATENATE(REGEXEXTRACT(I36,""(.*)-.*""),""!C3:I"")),3,FALSE))"),"")</f>
        <v/>
      </c>
      <c r="J38" s="196" t="str">
        <f ca="1">IFERROR(__xludf.DUMMYFUNCTION("IF(ISBLANK(J36),"""",HLOOKUP(REGEXEXTRACT(J36,"".*-(.*)""),INDIRECT(CONCATENATE(REGEXEXTRACT(J36,""(.*)-.*""),""!C3:I"")),3,FALSE))"),"")</f>
        <v/>
      </c>
    </row>
    <row r="40" spans="1:10" ht="12.75">
      <c r="A40" s="246"/>
      <c r="B40" s="200" t="s">
        <v>260</v>
      </c>
      <c r="C40" s="191" t="s">
        <v>14</v>
      </c>
      <c r="D40" s="192" t="s">
        <v>7</v>
      </c>
      <c r="E40" s="192" t="s">
        <v>40</v>
      </c>
      <c r="F40" s="192" t="s">
        <v>15</v>
      </c>
      <c r="G40" s="192" t="s">
        <v>25</v>
      </c>
      <c r="H40" s="192"/>
      <c r="I40" s="192"/>
      <c r="J40" s="193"/>
    </row>
    <row r="41" spans="1:10" ht="12.75">
      <c r="A41" s="247"/>
      <c r="B41" s="201" t="s">
        <v>95</v>
      </c>
      <c r="C41" s="8" t="str">
        <f ca="1">IFERROR(__xludf.DUMMYFUNCTION("IF(ISBLANK(C40),"""",HLOOKUP(REGEXEXTRACT(C40,"".*-(.*)""),INDIRECT(CONCATENATE(REGEXEXTRACT(C40,""(.*)-.*""),""!C3:P"")),2,FALSE))"),"Deathblade")</f>
        <v>Deathblade</v>
      </c>
      <c r="D41" s="8" t="str">
        <f ca="1">IFERROR(__xludf.DUMMYFUNCTION("IF(ISBLANK(D40),"""",HLOOKUP(REGEXEXTRACT(D40,"".*-(.*)""),INDIRECT(CONCATENATE(REGEXEXTRACT(D40,""(.*)-.*""),""!C3:P"")),2,FALSE))"),"#N/A")</f>
        <v>#N/A</v>
      </c>
      <c r="E41" s="48" t="str">
        <f ca="1">IFERROR(__xludf.DUMMYFUNCTION("IF(ISBLANK(E40),"""",HLOOKUP(REGEXEXTRACT(E40,"".*-(.*)""),INDIRECT(CONCATENATE(REGEXEXTRACT(E40,""(.*)-.*""),""!C3:I"")),2,FALSE))"),"Paladin")</f>
        <v>Paladin</v>
      </c>
      <c r="F41" s="48" t="str">
        <f ca="1">IFERROR(__xludf.DUMMYFUNCTION("IF(ISBLANK(F40),"""",HLOOKUP(REGEXEXTRACT(F40,"".*-(.*)""),INDIRECT(CONCATENATE(REGEXEXTRACT(F40,""(.*)-.*""),""!C3:I"")),2,FALSE))"),"#N/A")</f>
        <v>#N/A</v>
      </c>
      <c r="G41" s="8" t="str">
        <f ca="1">IFERROR(__xludf.DUMMYFUNCTION("IF(ISBLANK(G40),"""",HLOOKUP(REGEXEXTRACT(G40,"".*-(.*)""),INDIRECT(CONCATENATE(REGEXEXTRACT(G40,""(.*)-.*""),""!C3:P"")),2,FALSE))"),"#REF!")</f>
        <v>#REF!</v>
      </c>
      <c r="H41" s="48" t="str">
        <f ca="1">IFERROR(__xludf.DUMMYFUNCTION("IF(ISBLANK(H40),"""",HLOOKUP(REGEXEXTRACT(H40,"".*-(.*)""),INDIRECT(CONCATENATE(REGEXEXTRACT(H40,""(.*)-.*""),""!C3:I"")),2,FALSE))"),"")</f>
        <v/>
      </c>
      <c r="I41" s="48" t="str">
        <f ca="1">IFERROR(__xludf.DUMMYFUNCTION("IF(ISBLANK(I40),"""",HLOOKUP(REGEXEXTRACT(I40,"".*-(.*)""),INDIRECT(CONCATENATE(REGEXEXTRACT(I40,""(.*)-.*""),""!C3:I"")),2,FALSE))"),"")</f>
        <v/>
      </c>
      <c r="J41" s="194" t="str">
        <f ca="1">IFERROR(__xludf.DUMMYFUNCTION("IF(ISBLANK(J40),"""",HLOOKUP(REGEXEXTRACT(J40,"".*-(.*)""),INDIRECT(CONCATENATE(REGEXEXTRACT(J40,""(.*)-.*""),""!C3:I"")),2,FALSE))"),"")</f>
        <v/>
      </c>
    </row>
    <row r="42" spans="1:10" ht="12.75">
      <c r="A42" s="247"/>
      <c r="B42" s="202" t="s">
        <v>268</v>
      </c>
      <c r="C42" s="10">
        <f ca="1">IFERROR(__xludf.DUMMYFUNCTION("IF(ISBLANK(C40),"""",HLOOKUP(REGEXEXTRACT(C40,"".*-(.*)""),INDIRECT(CONCATENATE(REGEXEXTRACT(C40,""(.*)-.*""),""!C3:P"")),3,FALSE))"),1540)</f>
        <v>1540</v>
      </c>
      <c r="D42" s="10" t="str">
        <f ca="1">IFERROR(__xludf.DUMMYFUNCTION("IF(ISBLANK(D40),"""",HLOOKUP(REGEXEXTRACT(D40,"".*-(.*)""),INDIRECT(CONCATENATE(REGEXEXTRACT(D40,""(.*)-.*""),""!C3:P"")),3,FALSE))"),"#N/A")</f>
        <v>#N/A</v>
      </c>
      <c r="E42" s="195">
        <f ca="1">IFERROR(__xludf.DUMMYFUNCTION("IF(ISBLANK(E40),"""",HLOOKUP(REGEXEXTRACT(E40,"".*-(.*)""),INDIRECT(CONCATENATE(REGEXEXTRACT(E40,""(.*)-.*""),""!C3:I"")),3,FALSE))"),1750)</f>
        <v>1750</v>
      </c>
      <c r="F42" s="195" t="str">
        <f ca="1">IFERROR(__xludf.DUMMYFUNCTION("IF(ISBLANK(F40),"""",HLOOKUP(REGEXEXTRACT(F40,"".*-(.*)""),INDIRECT(CONCATENATE(REGEXEXTRACT(F40,""(.*)-.*""),""!C3:I"")),3,FALSE))"),"#N/A")</f>
        <v>#N/A</v>
      </c>
      <c r="G42" s="10" t="str">
        <f ca="1">IFERROR(__xludf.DUMMYFUNCTION("IF(ISBLANK(G40),"""",HLOOKUP(REGEXEXTRACT(G40,"".*-(.*)""),INDIRECT(CONCATENATE(REGEXEXTRACT(G40,""(.*)-.*""),""!C3:P"")),3,FALSE))"),"#REF!")</f>
        <v>#REF!</v>
      </c>
      <c r="H42" s="195" t="str">
        <f ca="1">IFERROR(__xludf.DUMMYFUNCTION("IF(ISBLANK(H40),"""",HLOOKUP(REGEXEXTRACT(H40,"".*-(.*)""),INDIRECT(CONCATENATE(REGEXEXTRACT(H40,""(.*)-.*""),""!C3:I"")),3,FALSE))"),"")</f>
        <v/>
      </c>
      <c r="I42" s="195" t="str">
        <f ca="1">IFERROR(__xludf.DUMMYFUNCTION("IF(ISBLANK(I40),"""",HLOOKUP(REGEXEXTRACT(I40,"".*-(.*)""),INDIRECT(CONCATENATE(REGEXEXTRACT(I40,""(.*)-.*""),""!C3:I"")),3,FALSE))"),"")</f>
        <v/>
      </c>
      <c r="J42" s="196" t="str">
        <f ca="1">IFERROR(__xludf.DUMMYFUNCTION("IF(ISBLANK(J40),"""",HLOOKUP(REGEXEXTRACT(J40,"".*-(.*)""),INDIRECT(CONCATENATE(REGEXEXTRACT(J40,""(.*)-.*""),""!C3:I"")),3,FALSE))"),"")</f>
        <v/>
      </c>
    </row>
    <row r="44" spans="1:10" ht="12.75">
      <c r="A44" s="246"/>
      <c r="B44" s="203" t="s">
        <v>269</v>
      </c>
      <c r="C44" s="191"/>
      <c r="D44" s="192"/>
      <c r="E44" s="192" t="s">
        <v>19</v>
      </c>
      <c r="F44" s="192" t="s">
        <v>31</v>
      </c>
      <c r="G44" s="192"/>
      <c r="H44" s="192" t="s">
        <v>270</v>
      </c>
      <c r="I44" s="192"/>
      <c r="J44" s="193"/>
    </row>
    <row r="45" spans="1:10" ht="12.75">
      <c r="A45" s="247"/>
      <c r="B45" s="204" t="s">
        <v>265</v>
      </c>
      <c r="C45" s="8" t="str">
        <f ca="1">IFERROR(__xludf.DUMMYFUNCTION("IF(ISBLANK(C44),"""",HLOOKUP(REGEXEXTRACT(C44,"".*-(.*)""),INDIRECT(CONCATENATE(REGEXEXTRACT(C44,""(.*)-.*""),""!C3:P"")),2,FALSE))"),"")</f>
        <v/>
      </c>
      <c r="D45" s="8" t="str">
        <f ca="1">IFERROR(__xludf.DUMMYFUNCTION("IF(ISBLANK(D44),"""",HLOOKUP(REGEXEXTRACT(D44,"".*-(.*)""),INDIRECT(CONCATENATE(REGEXEXTRACT(D44,""(.*)-.*""),""!C3:P"")),2,FALSE))"),"")</f>
        <v/>
      </c>
      <c r="E45" s="48" t="str">
        <f ca="1">IFERROR(__xludf.DUMMYFUNCTION("IF(ISBLANK(E44),"""",HLOOKUP(REGEXEXTRACT(E44,"".*-(.*)""),INDIRECT(CONCATENATE(REGEXEXTRACT(E44,""(.*)-.*""),""!C3:Q"")),2,FALSE))"),"Slayer")</f>
        <v>Slayer</v>
      </c>
      <c r="F45" s="48" t="str">
        <f ca="1">IFERROR(__xludf.DUMMYFUNCTION("IF(ISBLANK(F44),"""",HLOOKUP(REGEXEXTRACT(F44,"".*-(.*)""),INDIRECT(CONCATENATE(REGEXEXTRACT(F44,""(.*)-.*""),""!C3:I"")),2,FALSE))"),"#N/A")</f>
        <v>#N/A</v>
      </c>
      <c r="G45" s="8" t="str">
        <f ca="1">IFERROR(__xludf.DUMMYFUNCTION("IF(ISBLANK(G44),"""",HLOOKUP(REGEXEXTRACT(G44,"".*-(.*)""),INDIRECT(CONCATENATE(REGEXEXTRACT(G44,""(.*)-.*""),""!C3:P"")),2,FALSE))"),"")</f>
        <v/>
      </c>
      <c r="H45" s="48" t="str">
        <f ca="1">IFERROR(__xludf.DUMMYFUNCTION("IF(ISBLANK(H44),"""",HLOOKUP(REGEXEXTRACT(H44,"".*-(.*)""),INDIRECT(CONCATENATE(REGEXEXTRACT(H44,""(.*)-.*""),""!C3:I"")),2,FALSE))"),"#REF!")</f>
        <v>#REF!</v>
      </c>
      <c r="I45" s="48" t="str">
        <f ca="1">IFERROR(__xludf.DUMMYFUNCTION("IF(ISBLANK(I44),"""",HLOOKUP(REGEXEXTRACT(I44,"".*-(.*)""),INDIRECT(CONCATENATE(REGEXEXTRACT(I44,""(.*)-.*""),""!C3:I"")),2,FALSE))"),"")</f>
        <v/>
      </c>
      <c r="J45" s="194" t="str">
        <f ca="1">IFERROR(__xludf.DUMMYFUNCTION("IF(ISBLANK(J44),"""",HLOOKUP(REGEXEXTRACT(J44,"".*-(.*)""),INDIRECT(CONCATENATE(REGEXEXTRACT(J44,""(.*)-.*""),""!C3:I"")),2,FALSE))"),"")</f>
        <v/>
      </c>
    </row>
    <row r="46" spans="1:10" ht="12.75">
      <c r="A46" s="247"/>
      <c r="B46" s="205" t="s">
        <v>271</v>
      </c>
      <c r="C46" s="10" t="str">
        <f ca="1">IFERROR(__xludf.DUMMYFUNCTION("IF(ISBLANK(C44),"""",HLOOKUP(REGEXEXTRACT(C44,"".*-(.*)""),INDIRECT(CONCATENATE(REGEXEXTRACT(C44,""(.*)-.*""),""!C3:P"")),3,FALSE))"),"")</f>
        <v/>
      </c>
      <c r="D46" s="10" t="str">
        <f ca="1">IFERROR(__xludf.DUMMYFUNCTION("IF(ISBLANK(D44),"""",HLOOKUP(REGEXEXTRACT(D44,"".*-(.*)""),INDIRECT(CONCATENATE(REGEXEXTRACT(D44,""(.*)-.*""),""!C3:P"")),3,FALSE))"),"")</f>
        <v/>
      </c>
      <c r="E46" s="195">
        <f ca="1">IFERROR(__xludf.DUMMYFUNCTION("IF(ISBLANK(E44),"""",HLOOKUP(REGEXEXTRACT(E44,"".*-(.*)""),INDIRECT(CONCATENATE(REGEXEXTRACT(E44,""(.*)-.*""),""!C3:Q"")),3,FALSE))"),1750)</f>
        <v>1750</v>
      </c>
      <c r="F46" s="195" t="str">
        <f ca="1">IFERROR(__xludf.DUMMYFUNCTION("IF(ISBLANK(F44),"""",HLOOKUP(REGEXEXTRACT(F44,"".*-(.*)""),INDIRECT(CONCATENATE(REGEXEXTRACT(F44,""(.*)-.*""),""!C3:I"")),3,FALSE))"),"#N/A")</f>
        <v>#N/A</v>
      </c>
      <c r="G46" s="10" t="str">
        <f ca="1">IFERROR(__xludf.DUMMYFUNCTION("IF(ISBLANK(G44),"""",HLOOKUP(REGEXEXTRACT(G44,"".*-(.*)""),INDIRECT(CONCATENATE(REGEXEXTRACT(G44,""(.*)-.*""),""!C3:P"")),3,FALSE))"),"")</f>
        <v/>
      </c>
      <c r="H46" s="195" t="str">
        <f ca="1">IFERROR(__xludf.DUMMYFUNCTION("IF(ISBLANK(H44),"""",HLOOKUP(REGEXEXTRACT(H44,"".*-(.*)""),INDIRECT(CONCATENATE(REGEXEXTRACT(H44,""(.*)-.*""),""!C3:I"")),3,FALSE))"),"#REF!")</f>
        <v>#REF!</v>
      </c>
      <c r="I46" s="195" t="str">
        <f ca="1">IFERROR(__xludf.DUMMYFUNCTION("IF(ISBLANK(I44),"""",HLOOKUP(REGEXEXTRACT(I44,"".*-(.*)""),INDIRECT(CONCATENATE(REGEXEXTRACT(I44,""(.*)-.*""),""!C3:I"")),3,FALSE))"),"")</f>
        <v/>
      </c>
      <c r="J46" s="196" t="str">
        <f ca="1">IFERROR(__xludf.DUMMYFUNCTION("IF(ISBLANK(J44),"""",HLOOKUP(REGEXEXTRACT(J44,"".*-(.*)""),INDIRECT(CONCATENATE(REGEXEXTRACT(J44,""(.*)-.*""),""!C3:I"")),3,FALSE))"),"")</f>
        <v/>
      </c>
    </row>
    <row r="47" spans="1:10" ht="12.75">
      <c r="A47" s="2"/>
      <c r="D47" s="7" t="s">
        <v>248</v>
      </c>
    </row>
    <row r="48" spans="1:10" ht="12.75">
      <c r="A48" s="246"/>
      <c r="B48" s="203" t="s">
        <v>269</v>
      </c>
      <c r="C48" s="191"/>
      <c r="D48" s="192"/>
      <c r="E48" s="192"/>
      <c r="F48" s="192"/>
      <c r="G48" s="192"/>
      <c r="H48" s="192"/>
      <c r="I48" s="192"/>
      <c r="J48" s="193"/>
    </row>
    <row r="49" spans="1:10" ht="12.75">
      <c r="A49" s="247"/>
      <c r="B49" s="204" t="s">
        <v>95</v>
      </c>
      <c r="C49" s="8" t="str">
        <f ca="1">IFERROR(__xludf.DUMMYFUNCTION("IF(ISBLANK(C48),"""",HLOOKUP(REGEXEXTRACT(C48,"".*-(.*)""),INDIRECT(CONCATENATE(REGEXEXTRACT(C48,""(.*)-.*""),""!C3:P"")),2,FALSE))"),"")</f>
        <v/>
      </c>
      <c r="D49" s="8" t="str">
        <f ca="1">IFERROR(__xludf.DUMMYFUNCTION("IF(ISBLANK(D48),"""",HLOOKUP(REGEXEXTRACT(D48,"".*-(.*)""),INDIRECT(CONCATENATE(REGEXEXTRACT(D48,""(.*)-.*""),""!C3:P"")),2,FALSE))"),"")</f>
        <v/>
      </c>
      <c r="E49" s="48" t="str">
        <f ca="1">IFERROR(__xludf.DUMMYFUNCTION("IF(ISBLANK(E48),"""",HLOOKUP(REGEXEXTRACT(E48,"".*-(.*)""),INDIRECT(CONCATENATE(REGEXEXTRACT(E48,""(.*)-.*""),""!C3:I"")),2,FALSE))"),"")</f>
        <v/>
      </c>
      <c r="F49" s="48" t="str">
        <f ca="1">IFERROR(__xludf.DUMMYFUNCTION("IF(ISBLANK(F48),"""",HLOOKUP(REGEXEXTRACT(F48,"".*-(.*)""),INDIRECT(CONCATENATE(REGEXEXTRACT(F48,""(.*)-.*""),""!C3:I"")),2,FALSE))"),"")</f>
        <v/>
      </c>
      <c r="G49" s="8" t="str">
        <f ca="1">IFERROR(__xludf.DUMMYFUNCTION("IF(ISBLANK(G48),"""",HLOOKUP(REGEXEXTRACT(G48,"".*-(.*)""),INDIRECT(CONCATENATE(REGEXEXTRACT(G48,""(.*)-.*""),""!C3:P"")),2,FALSE))"),"")</f>
        <v/>
      </c>
      <c r="H49" s="48" t="str">
        <f ca="1">IFERROR(__xludf.DUMMYFUNCTION("IF(ISBLANK(H48),"""",HLOOKUP(REGEXEXTRACT(H48,"".*-(.*)""),INDIRECT(CONCATENATE(REGEXEXTRACT(H48,""(.*)-.*""),""!C3:I"")),2,FALSE))"),"")</f>
        <v/>
      </c>
      <c r="I49" s="48" t="str">
        <f ca="1">IFERROR(__xludf.DUMMYFUNCTION("IF(ISBLANK(I48),"""",HLOOKUP(REGEXEXTRACT(I48,"".*-(.*)""),INDIRECT(CONCATENATE(REGEXEXTRACT(I48,""(.*)-.*""),""!C3:I"")),2,FALSE))"),"")</f>
        <v/>
      </c>
      <c r="J49" s="194" t="str">
        <f ca="1">IFERROR(__xludf.DUMMYFUNCTION("IF(ISBLANK(J48),"""",HLOOKUP(REGEXEXTRACT(J48,"".*-(.*)""),INDIRECT(CONCATENATE(REGEXEXTRACT(J48,""(.*)-.*""),""!C3:I"")),2,FALSE))"),"")</f>
        <v/>
      </c>
    </row>
    <row r="50" spans="1:10" ht="12.75">
      <c r="A50" s="247"/>
      <c r="B50" s="205" t="s">
        <v>272</v>
      </c>
      <c r="C50" s="10" t="str">
        <f ca="1">IFERROR(__xludf.DUMMYFUNCTION("IF(ISBLANK(C48),"""",HLOOKUP(REGEXEXTRACT(C48,"".*-(.*)""),INDIRECT(CONCATENATE(REGEXEXTRACT(C48,""(.*)-.*""),""!C3:P"")),3,FALSE))"),"")</f>
        <v/>
      </c>
      <c r="D50" s="10" t="str">
        <f ca="1">IFERROR(__xludf.DUMMYFUNCTION("IF(ISBLANK(D48),"""",HLOOKUP(REGEXEXTRACT(D48,"".*-(.*)""),INDIRECT(CONCATENATE(REGEXEXTRACT(D48,""(.*)-.*""),""!C3:P"")),3,FALSE))"),"")</f>
        <v/>
      </c>
      <c r="E50" s="195" t="str">
        <f ca="1">IFERROR(__xludf.DUMMYFUNCTION("IF(ISBLANK(E48),"""",HLOOKUP(REGEXEXTRACT(E48,"".*-(.*)""),INDIRECT(CONCATENATE(REGEXEXTRACT(E48,""(.*)-.*""),""!C3:I"")),3,FALSE))"),"")</f>
        <v/>
      </c>
      <c r="F50" s="195" t="str">
        <f ca="1">IFERROR(__xludf.DUMMYFUNCTION("IF(ISBLANK(F48),"""",HLOOKUP(REGEXEXTRACT(F48,"".*-(.*)""),INDIRECT(CONCATENATE(REGEXEXTRACT(F48,""(.*)-.*""),""!C3:I"")),3,FALSE))"),"")</f>
        <v/>
      </c>
      <c r="G50" s="10" t="str">
        <f ca="1">IFERROR(__xludf.DUMMYFUNCTION("IF(ISBLANK(G48),"""",HLOOKUP(REGEXEXTRACT(G48,"".*-(.*)""),INDIRECT(CONCATENATE(REGEXEXTRACT(G48,""(.*)-.*""),""!C3:P"")),3,FALSE))"),"")</f>
        <v/>
      </c>
      <c r="H50" s="195" t="str">
        <f ca="1">IFERROR(__xludf.DUMMYFUNCTION("IF(ISBLANK(H48),"""",HLOOKUP(REGEXEXTRACT(H48,"".*-(.*)""),INDIRECT(CONCATENATE(REGEXEXTRACT(H48,""(.*)-.*""),""!C3:I"")),3,FALSE))"),"")</f>
        <v/>
      </c>
      <c r="I50" s="195" t="str">
        <f ca="1">IFERROR(__xludf.DUMMYFUNCTION("IF(ISBLANK(I48),"""",HLOOKUP(REGEXEXTRACT(I48,"".*-(.*)""),INDIRECT(CONCATENATE(REGEXEXTRACT(I48,""(.*)-.*""),""!C3:I"")),3,FALSE))"),"")</f>
        <v/>
      </c>
      <c r="J50" s="196" t="str">
        <f ca="1">IFERROR(__xludf.DUMMYFUNCTION("IF(ISBLANK(J48),"""",HLOOKUP(REGEXEXTRACT(J48,"".*-(.*)""),INDIRECT(CONCATENATE(REGEXEXTRACT(J48,""(.*)-.*""),""!C3:I"")),3,FALSE))"),"")</f>
        <v/>
      </c>
    </row>
    <row r="52" spans="1:10" ht="12.75">
      <c r="A52" s="246"/>
      <c r="B52" s="206" t="s">
        <v>273</v>
      </c>
      <c r="C52" s="191" t="s">
        <v>59</v>
      </c>
      <c r="D52" s="192" t="s">
        <v>25</v>
      </c>
      <c r="E52" s="192"/>
      <c r="F52" s="192"/>
      <c r="G52" s="192"/>
      <c r="H52" s="192"/>
      <c r="I52" s="192"/>
      <c r="J52" s="193"/>
    </row>
    <row r="53" spans="1:10" ht="12.75">
      <c r="A53" s="247"/>
      <c r="B53" s="98"/>
      <c r="C53" s="8" t="str">
        <f ca="1">IFERROR(__xludf.DUMMYFUNCTION("IF(ISBLANK(C52),"""",HLOOKUP(REGEXEXTRACT(C52,"".*-(.*)""),INDIRECT(CONCATENATE(REGEXEXTRACT(C52,""(.*)-.*""),""!C3:P"")),2,FALSE))"),"#REF!")</f>
        <v>#REF!</v>
      </c>
      <c r="D53" s="8" t="str">
        <f ca="1">IFERROR(__xludf.DUMMYFUNCTION("IF(ISBLANK(D52),"""",HLOOKUP(REGEXEXTRACT(D52,"".*-(.*)""),INDIRECT(CONCATENATE(REGEXEXTRACT(D52,""(.*)-.*""),""!C3:P"")),2,FALSE))"),"#REF!")</f>
        <v>#REF!</v>
      </c>
      <c r="E53" s="48" t="str">
        <f ca="1">IFERROR(__xludf.DUMMYFUNCTION("IF(ISBLANK(E52),"""",HLOOKUP(REGEXEXTRACT(E52,"".*-(.*)""),INDIRECT(CONCATENATE(REGEXEXTRACT(E52,""(.*)-.*""),""!C3:I"")),2,FALSE))"),"")</f>
        <v/>
      </c>
      <c r="F53" s="48" t="str">
        <f ca="1">IFERROR(__xludf.DUMMYFUNCTION("IF(ISBLANK(F52),"""",HLOOKUP(REGEXEXTRACT(F52,"".*-(.*)""),INDIRECT(CONCATENATE(REGEXEXTRACT(F52,""(.*)-.*""),""!C3:I"")),2,FALSE))"),"")</f>
        <v/>
      </c>
      <c r="G53" s="8" t="str">
        <f ca="1">IFERROR(__xludf.DUMMYFUNCTION("IF(ISBLANK(G52),"""",HLOOKUP(REGEXEXTRACT(G52,"".*-(.*)""),INDIRECT(CONCATENATE(REGEXEXTRACT(G52,""(.*)-.*""),""!C3:P"")),2,FALSE))"),"")</f>
        <v/>
      </c>
      <c r="H53" s="48" t="str">
        <f ca="1">IFERROR(__xludf.DUMMYFUNCTION("IF(ISBLANK(H52),"""",HLOOKUP(REGEXEXTRACT(H52,"".*-(.*)""),INDIRECT(CONCATENATE(REGEXEXTRACT(H52,""(.*)-.*""),""!C3:I"")),2,FALSE))"),"")</f>
        <v/>
      </c>
      <c r="I53" s="48" t="str">
        <f ca="1">IFERROR(__xludf.DUMMYFUNCTION("IF(ISBLANK(I52),"""",HLOOKUP(REGEXEXTRACT(I52,"".*-(.*)""),INDIRECT(CONCATENATE(REGEXEXTRACT(I52,""(.*)-.*""),""!C3:I"")),2,FALSE))"),"")</f>
        <v/>
      </c>
      <c r="J53" s="194" t="str">
        <f ca="1">IFERROR(__xludf.DUMMYFUNCTION("IF(ISBLANK(J52),"""",HLOOKUP(REGEXEXTRACT(J52,"".*-(.*)""),INDIRECT(CONCATENATE(REGEXEXTRACT(J52,""(.*)-.*""),""!C3:I"")),2,FALSE))"),"")</f>
        <v/>
      </c>
    </row>
    <row r="54" spans="1:10" ht="12.75">
      <c r="A54" s="247"/>
      <c r="B54" s="99"/>
      <c r="C54" s="10" t="str">
        <f ca="1">IFERROR(__xludf.DUMMYFUNCTION("IF(ISBLANK(C52),"""",HLOOKUP(REGEXEXTRACT(C52,"".*-(.*)""),INDIRECT(CONCATENATE(REGEXEXTRACT(C52,""(.*)-.*""),""!C3:P"")),3,FALSE))"),"#REF!")</f>
        <v>#REF!</v>
      </c>
      <c r="D54" s="10" t="str">
        <f ca="1">IFERROR(__xludf.DUMMYFUNCTION("IF(ISBLANK(D52),"""",HLOOKUP(REGEXEXTRACT(D52,"".*-(.*)""),INDIRECT(CONCATENATE(REGEXEXTRACT(D52,""(.*)-.*""),""!C3:P"")),3,FALSE))"),"#REF!")</f>
        <v>#REF!</v>
      </c>
      <c r="E54" s="195" t="str">
        <f ca="1">IFERROR(__xludf.DUMMYFUNCTION("IF(ISBLANK(E52),"""",HLOOKUP(REGEXEXTRACT(E52,"".*-(.*)""),INDIRECT(CONCATENATE(REGEXEXTRACT(E52,""(.*)-.*""),""!C3:I"")),3,FALSE))"),"")</f>
        <v/>
      </c>
      <c r="F54" s="195" t="str">
        <f ca="1">IFERROR(__xludf.DUMMYFUNCTION("IF(ISBLANK(F52),"""",HLOOKUP(REGEXEXTRACT(F52,"".*-(.*)""),INDIRECT(CONCATENATE(REGEXEXTRACT(F52,""(.*)-.*""),""!C3:I"")),3,FALSE))"),"")</f>
        <v/>
      </c>
      <c r="G54" s="10" t="str">
        <f ca="1">IFERROR(__xludf.DUMMYFUNCTION("IF(ISBLANK(G52),"""",HLOOKUP(REGEXEXTRACT(G52,"".*-(.*)""),INDIRECT(CONCATENATE(REGEXEXTRACT(G52,""(.*)-.*""),""!C3:P"")),3,FALSE))"),"")</f>
        <v/>
      </c>
      <c r="H54" s="195" t="str">
        <f ca="1">IFERROR(__xludf.DUMMYFUNCTION("IF(ISBLANK(H52),"""",HLOOKUP(REGEXEXTRACT(H52,"".*-(.*)""),INDIRECT(CONCATENATE(REGEXEXTRACT(H52,""(.*)-.*""),""!C3:I"")),3,FALSE))"),"")</f>
        <v/>
      </c>
      <c r="I54" s="195" t="str">
        <f ca="1">IFERROR(__xludf.DUMMYFUNCTION("IF(ISBLANK(I52),"""",HLOOKUP(REGEXEXTRACT(I52,"".*-(.*)""),INDIRECT(CONCATENATE(REGEXEXTRACT(I52,""(.*)-.*""),""!C3:I"")),3,FALSE))"),"")</f>
        <v/>
      </c>
      <c r="J54" s="196" t="str">
        <f ca="1">IFERROR(__xludf.DUMMYFUNCTION("IF(ISBLANK(J52),"""",HLOOKUP(REGEXEXTRACT(J52,"".*-(.*)""),INDIRECT(CONCATENATE(REGEXEXTRACT(J52,""(.*)-.*""),""!C3:I"")),3,FALSE))"),"")</f>
        <v/>
      </c>
    </row>
    <row r="60" spans="1:10" ht="12.75">
      <c r="A60" s="7" t="s">
        <v>253</v>
      </c>
      <c r="B60" s="7" t="s">
        <v>254</v>
      </c>
      <c r="C60" s="7" t="s">
        <v>79</v>
      </c>
      <c r="D60" s="7" t="s">
        <v>80</v>
      </c>
      <c r="E60" s="7" t="s">
        <v>82</v>
      </c>
      <c r="F60" s="7" t="s">
        <v>255</v>
      </c>
      <c r="G60" s="7" t="s">
        <v>256</v>
      </c>
    </row>
    <row r="61" spans="1:10" ht="12.75">
      <c r="A61" s="7" t="s">
        <v>78</v>
      </c>
      <c r="B61" s="207" t="s">
        <v>274</v>
      </c>
      <c r="C61" s="207" t="s">
        <v>274</v>
      </c>
      <c r="D61" s="208" t="s">
        <v>274</v>
      </c>
      <c r="E61" s="207" t="s">
        <v>275</v>
      </c>
      <c r="F61" s="208" t="s">
        <v>275</v>
      </c>
      <c r="G61" s="208" t="s">
        <v>276</v>
      </c>
    </row>
    <row r="62" spans="1:10" ht="12.75">
      <c r="A62" s="7" t="s">
        <v>94</v>
      </c>
      <c r="B62" s="207" t="s">
        <v>274</v>
      </c>
      <c r="C62" s="207" t="s">
        <v>274</v>
      </c>
      <c r="D62" s="208" t="s">
        <v>274</v>
      </c>
      <c r="E62" s="207" t="s">
        <v>275</v>
      </c>
      <c r="F62" s="208" t="s">
        <v>275</v>
      </c>
      <c r="G62" s="208" t="s">
        <v>276</v>
      </c>
    </row>
    <row r="63" spans="1:10" ht="12.75">
      <c r="A63" s="7" t="s">
        <v>107</v>
      </c>
      <c r="B63" s="207" t="s">
        <v>274</v>
      </c>
      <c r="C63" s="207" t="s">
        <v>274</v>
      </c>
      <c r="D63" s="208" t="s">
        <v>274</v>
      </c>
      <c r="E63" s="207" t="s">
        <v>275</v>
      </c>
      <c r="F63" s="208" t="s">
        <v>275</v>
      </c>
      <c r="G63" s="209" t="s">
        <v>277</v>
      </c>
    </row>
    <row r="64" spans="1:10" ht="12.75">
      <c r="A64" s="7" t="s">
        <v>133</v>
      </c>
      <c r="B64" s="207" t="s">
        <v>274</v>
      </c>
      <c r="C64" s="207" t="s">
        <v>274</v>
      </c>
      <c r="D64" s="208" t="s">
        <v>274</v>
      </c>
      <c r="E64" s="208" t="s">
        <v>275</v>
      </c>
      <c r="F64" s="207" t="s">
        <v>275</v>
      </c>
      <c r="G64" s="207" t="s">
        <v>274</v>
      </c>
    </row>
    <row r="65" spans="1:7" ht="12.75">
      <c r="A65" s="7" t="s">
        <v>162</v>
      </c>
      <c r="B65" s="207" t="s">
        <v>274</v>
      </c>
      <c r="C65" s="207" t="s">
        <v>274</v>
      </c>
      <c r="D65" s="207" t="s">
        <v>274</v>
      </c>
      <c r="E65" s="208" t="s">
        <v>275</v>
      </c>
      <c r="F65" s="207" t="s">
        <v>275</v>
      </c>
      <c r="G65" s="207" t="s">
        <v>274</v>
      </c>
    </row>
    <row r="66" spans="1:7" ht="12.75">
      <c r="A66" s="7" t="s">
        <v>163</v>
      </c>
      <c r="B66" s="207" t="s">
        <v>274</v>
      </c>
      <c r="C66" s="207" t="s">
        <v>274</v>
      </c>
      <c r="D66" s="207" t="s">
        <v>274</v>
      </c>
      <c r="E66" s="207" t="s">
        <v>275</v>
      </c>
      <c r="F66" s="208" t="s">
        <v>275</v>
      </c>
      <c r="G66" s="209" t="s">
        <v>277</v>
      </c>
    </row>
    <row r="67" spans="1:7" ht="15" customHeight="1">
      <c r="A67" s="7" t="s">
        <v>164</v>
      </c>
      <c r="B67" s="207" t="s">
        <v>274</v>
      </c>
      <c r="C67" s="207" t="s">
        <v>274</v>
      </c>
      <c r="D67" s="209" t="s">
        <v>278</v>
      </c>
      <c r="E67" s="207" t="s">
        <v>275</v>
      </c>
      <c r="F67" s="208" t="s">
        <v>275</v>
      </c>
      <c r="G67" s="209" t="s">
        <v>277</v>
      </c>
    </row>
  </sheetData>
  <mergeCells count="11">
    <mergeCell ref="A40:A42"/>
    <mergeCell ref="A44:A46"/>
    <mergeCell ref="A48:A50"/>
    <mergeCell ref="A52:A54"/>
    <mergeCell ref="A12:A14"/>
    <mergeCell ref="A16:A18"/>
    <mergeCell ref="A20:A22"/>
    <mergeCell ref="A24:A26"/>
    <mergeCell ref="A28:A30"/>
    <mergeCell ref="A32:A34"/>
    <mergeCell ref="A36:A38"/>
  </mergeCells>
  <conditionalFormatting sqref="A12:A14 A16:A18 A20:A22 A24:A26 A28:A30 A32:A34 A36:A38 A40:A50 A52:A54">
    <cfRule type="cellIs" dxfId="12" priority="1" operator="equal">
      <formula>"DONE"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D00-000000000000}">
          <x14:formula1>
            <xm:f>chars!$B$2:$Z965</xm:f>
          </x14:formula1>
          <xm:sqref>C12:J12 C16:J16 C20:J20 C24:J24 C28:J28 C32:J32 C36:J36 C40:J40 C44:J44 C48:J48 C52:J52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K43"/>
  <sheetViews>
    <sheetView workbookViewId="0"/>
  </sheetViews>
  <sheetFormatPr defaultColWidth="12.5703125" defaultRowHeight="15.75" customHeight="1"/>
  <cols>
    <col min="1" max="1" width="15" customWidth="1"/>
    <col min="5" max="5" width="6.42578125" customWidth="1"/>
    <col min="7" max="8" width="12.5703125" hidden="1"/>
    <col min="9" max="9" width="21.85546875" hidden="1" customWidth="1"/>
    <col min="10" max="11" width="12.5703125" hidden="1"/>
  </cols>
  <sheetData>
    <row r="1" spans="1:11">
      <c r="A1" s="210" t="s">
        <v>279</v>
      </c>
    </row>
    <row r="2" spans="1:11">
      <c r="A2" s="63" t="s">
        <v>280</v>
      </c>
    </row>
    <row r="3" spans="1:11">
      <c r="G3" s="7" t="s">
        <v>281</v>
      </c>
      <c r="H3" s="7">
        <f>COUNTIF(H20:J20,"&gt;0")</f>
        <v>2</v>
      </c>
    </row>
    <row r="4" spans="1:11">
      <c r="A4" s="210" t="s">
        <v>282</v>
      </c>
      <c r="G4" s="7"/>
    </row>
    <row r="5" spans="1:11">
      <c r="A5" s="7" t="s">
        <v>283</v>
      </c>
      <c r="G5" s="7" t="s">
        <v>284</v>
      </c>
    </row>
    <row r="6" spans="1:11">
      <c r="A6" s="7" t="s">
        <v>285</v>
      </c>
    </row>
    <row r="7" spans="1:11">
      <c r="A7" s="7" t="s">
        <v>286</v>
      </c>
      <c r="G7" s="7" t="s">
        <v>287</v>
      </c>
    </row>
    <row r="8" spans="1:11">
      <c r="A8" s="7" t="s">
        <v>288</v>
      </c>
      <c r="G8" s="7" t="e">
        <f ca="1">_xludf.IFS(H20&gt;0,H19,I20&gt;0,I19,J20&gt;0,J19)</f>
        <v>#NAME?</v>
      </c>
      <c r="H8" s="7" t="s">
        <v>289</v>
      </c>
      <c r="I8" s="7" t="e">
        <f ca="1">IF(G8=H19,I19,H19)</f>
        <v>#NAME?</v>
      </c>
      <c r="J8" s="7" t="s">
        <v>290</v>
      </c>
      <c r="K8" s="211" t="e">
        <f ca="1">IF(G8=H19,I20,H20)</f>
        <v>#NAME?</v>
      </c>
    </row>
    <row r="9" spans="1:11">
      <c r="A9" s="7" t="s">
        <v>291</v>
      </c>
      <c r="G9" s="7" t="e">
        <f ca="1">_xludf.IFS(H20&gt;0,H19,I20&gt;0,I19,J20&gt;0,J19)</f>
        <v>#NAME?</v>
      </c>
      <c r="H9" s="7" t="s">
        <v>289</v>
      </c>
      <c r="I9" s="7" t="e">
        <f ca="1">_xludf.IFS(G9=H19,J19,G9=I19,J19,G9=J19,I19)</f>
        <v>#NAME?</v>
      </c>
      <c r="J9" s="7" t="s">
        <v>290</v>
      </c>
      <c r="K9" s="7" t="e">
        <f ca="1">_xludf.IFS(G9=H19,J20,G9=I19,J20,G9=J19,I20)</f>
        <v>#NAME?</v>
      </c>
    </row>
    <row r="11" spans="1:11">
      <c r="B11" s="212" t="s">
        <v>254</v>
      </c>
      <c r="C11" s="212" t="s">
        <v>79</v>
      </c>
      <c r="D11" s="212" t="s">
        <v>80</v>
      </c>
      <c r="G11" s="7" t="s">
        <v>292</v>
      </c>
    </row>
    <row r="12" spans="1:11">
      <c r="B12" s="7" t="s">
        <v>293</v>
      </c>
      <c r="C12" s="7" t="s">
        <v>294</v>
      </c>
      <c r="D12" s="7" t="s">
        <v>295</v>
      </c>
      <c r="G12" s="7" t="e">
        <f ca="1">IF(I12=H19,I19,H19)</f>
        <v>#NAME?</v>
      </c>
      <c r="H12" s="7" t="s">
        <v>289</v>
      </c>
      <c r="I12" s="7" t="e">
        <f ca="1">_xludf.IFS(H20&lt;0,H19,I20&lt;0,I19,J20&lt;0,J19)</f>
        <v>#NAME?</v>
      </c>
      <c r="J12" s="7" t="s">
        <v>290</v>
      </c>
      <c r="K12" s="7" t="e">
        <f t="shared" ref="K12:K13" ca="1" si="0">_xludf.IFS(G12=$H$19,$H$20,G12=$I$19,$I$20,G12=$J$19,$J$20)</f>
        <v>#NAME?</v>
      </c>
    </row>
    <row r="13" spans="1:11">
      <c r="B13" s="213">
        <v>110348</v>
      </c>
      <c r="C13" s="213">
        <v>103400</v>
      </c>
      <c r="D13" s="213">
        <v>113710</v>
      </c>
      <c r="G13" s="7" t="e">
        <f ca="1">_xludf.IFS(I12=H19,J19,I12=I19,J19,I12=J19,I19)</f>
        <v>#NAME?</v>
      </c>
      <c r="H13" s="7" t="s">
        <v>289</v>
      </c>
      <c r="I13" s="7" t="e">
        <f ca="1">_xludf.IFS(H20&lt;0,H19,I20&lt;0,I19,J20&lt;0,J19)</f>
        <v>#NAME?</v>
      </c>
      <c r="J13" s="7" t="s">
        <v>290</v>
      </c>
      <c r="K13" s="7" t="e">
        <f t="shared" ca="1" si="0"/>
        <v>#NAME?</v>
      </c>
    </row>
    <row r="14" spans="1:11">
      <c r="B14" s="213"/>
      <c r="C14" s="213"/>
      <c r="D14" s="213"/>
    </row>
    <row r="15" spans="1:11">
      <c r="B15" s="213"/>
      <c r="C15" s="213"/>
      <c r="D15" s="213"/>
    </row>
    <row r="16" spans="1:11">
      <c r="B16" s="213"/>
      <c r="C16" s="213"/>
      <c r="D16" s="213"/>
      <c r="F16" s="210"/>
      <c r="G16" s="7" t="s">
        <v>296</v>
      </c>
      <c r="H16" s="211">
        <f>SUM(B40:D40)</f>
        <v>448355.75</v>
      </c>
    </row>
    <row r="17" spans="2:10">
      <c r="B17" s="213"/>
      <c r="C17" s="213"/>
      <c r="D17" s="213"/>
      <c r="G17" s="7" t="s">
        <v>297</v>
      </c>
      <c r="H17" s="211">
        <f>H16/3</f>
        <v>149451.91666666666</v>
      </c>
    </row>
    <row r="18" spans="2:10">
      <c r="B18" s="213"/>
      <c r="C18" s="213"/>
      <c r="D18" s="213"/>
    </row>
    <row r="19" spans="2:10">
      <c r="B19" s="213"/>
      <c r="C19" s="213"/>
      <c r="D19" s="213"/>
      <c r="H19" s="212" t="e">
        <f t="shared" ref="H19:J19" ca="1" si="1">_xludf.CONCAT(B12,B11)</f>
        <v>#NAME?</v>
      </c>
      <c r="I19" s="212" t="e">
        <f t="shared" ca="1" si="1"/>
        <v>#NAME?</v>
      </c>
      <c r="J19" s="212" t="e">
        <f t="shared" ca="1" si="1"/>
        <v>#NAME?</v>
      </c>
    </row>
    <row r="20" spans="2:10">
      <c r="B20" s="213"/>
      <c r="C20" s="213"/>
      <c r="D20" s="213"/>
      <c r="G20" s="7" t="s">
        <v>298</v>
      </c>
      <c r="H20" s="211">
        <f t="shared" ref="H20:J20" si="2">$H$17-B40</f>
        <v>-1378.8833333333314</v>
      </c>
      <c r="I20" s="211">
        <f t="shared" si="2"/>
        <v>259.61666666666861</v>
      </c>
      <c r="J20" s="211">
        <f t="shared" si="2"/>
        <v>1119.2666666666628</v>
      </c>
    </row>
    <row r="21" spans="2:10">
      <c r="B21" s="213"/>
      <c r="C21" s="213"/>
      <c r="D21" s="213"/>
    </row>
    <row r="22" spans="2:10">
      <c r="B22" s="213"/>
      <c r="C22" s="213"/>
      <c r="D22" s="213"/>
    </row>
    <row r="23" spans="2:10">
      <c r="B23" s="213"/>
      <c r="C23" s="213"/>
      <c r="D23" s="213"/>
    </row>
    <row r="24" spans="2:10">
      <c r="B24" s="213"/>
      <c r="C24" s="213"/>
      <c r="D24" s="213"/>
      <c r="J24" s="7"/>
    </row>
    <row r="25" spans="2:10">
      <c r="B25" s="213"/>
      <c r="C25" s="213"/>
      <c r="D25" s="213"/>
      <c r="J25" s="7"/>
    </row>
    <row r="26" spans="2:10">
      <c r="B26" s="213"/>
      <c r="C26" s="213"/>
      <c r="D26" s="213"/>
      <c r="J26" s="7"/>
    </row>
    <row r="27" spans="2:10">
      <c r="B27" s="213"/>
      <c r="C27" s="213"/>
      <c r="D27" s="213"/>
      <c r="J27" s="7"/>
    </row>
    <row r="28" spans="2:10">
      <c r="B28" s="213"/>
      <c r="C28" s="213"/>
      <c r="D28" s="213"/>
      <c r="F28" s="7"/>
      <c r="J28" s="7"/>
    </row>
    <row r="29" spans="2:10">
      <c r="B29" s="213"/>
      <c r="C29" s="213"/>
      <c r="D29" s="213"/>
      <c r="J29" s="7"/>
    </row>
    <row r="30" spans="2:10">
      <c r="B30" s="213"/>
      <c r="C30" s="213"/>
      <c r="D30" s="213"/>
      <c r="J30" s="7"/>
    </row>
    <row r="31" spans="2:10">
      <c r="B31" s="213"/>
      <c r="C31" s="213"/>
      <c r="D31" s="213"/>
      <c r="J31" s="7"/>
    </row>
    <row r="32" spans="2:10">
      <c r="B32" s="62">
        <v>41977</v>
      </c>
      <c r="C32" s="62">
        <v>48914</v>
      </c>
      <c r="D32" s="62">
        <v>40127</v>
      </c>
      <c r="J32" s="7"/>
    </row>
    <row r="33" spans="1:10">
      <c r="B33" s="214">
        <v>510</v>
      </c>
      <c r="C33" s="214">
        <v>450</v>
      </c>
      <c r="D33" s="214">
        <v>400</v>
      </c>
      <c r="J33" s="7"/>
    </row>
    <row r="34" spans="1:10">
      <c r="B34" s="62">
        <v>140</v>
      </c>
      <c r="C34" s="62">
        <v>2475</v>
      </c>
      <c r="D34" s="62">
        <v>570</v>
      </c>
      <c r="J34" s="7"/>
    </row>
    <row r="35" spans="1:10">
      <c r="B35" s="214">
        <v>50</v>
      </c>
      <c r="C35" s="214">
        <v>200</v>
      </c>
      <c r="D35" s="214">
        <v>749</v>
      </c>
      <c r="J35" s="7"/>
    </row>
    <row r="36" spans="1:10">
      <c r="B36" s="62">
        <v>6999</v>
      </c>
      <c r="C36" s="62">
        <v>3045</v>
      </c>
      <c r="D36" s="62">
        <v>3100</v>
      </c>
    </row>
    <row r="37" spans="1:10">
      <c r="B37" s="215">
        <v>100</v>
      </c>
      <c r="C37" s="215">
        <v>100</v>
      </c>
      <c r="D37" s="215">
        <v>150</v>
      </c>
    </row>
    <row r="38" spans="1:10">
      <c r="A38" s="7" t="s">
        <v>299</v>
      </c>
      <c r="B38" s="7">
        <f t="shared" ref="B38:D38" si="3">SUM(B13:B31)</f>
        <v>110348</v>
      </c>
      <c r="C38" s="7">
        <f t="shared" si="3"/>
        <v>103400</v>
      </c>
      <c r="D38" s="7">
        <f t="shared" si="3"/>
        <v>113710</v>
      </c>
    </row>
    <row r="39" spans="1:10">
      <c r="A39" s="7" t="s">
        <v>300</v>
      </c>
      <c r="B39" s="216">
        <f t="shared" ref="B39:D39" si="4">SUM(IF(ISNUMBER(B32),B32,0),IF(ISNUMBER(B34),B34,0),IF(ISNUMBER(B36),B36,0)) *0.95 - SUM(IF(ISNUMBER(B33),B33,0),IF(ISNUMBER(B35),B35,0),IF(ISNUMBER(B37),B37,0))</f>
        <v>46000.2</v>
      </c>
      <c r="C39" s="216">
        <f t="shared" si="4"/>
        <v>50962.299999999996</v>
      </c>
      <c r="D39" s="216">
        <f t="shared" si="4"/>
        <v>40308.15</v>
      </c>
    </row>
    <row r="40" spans="1:10">
      <c r="A40" s="7" t="s">
        <v>301</v>
      </c>
      <c r="B40" s="211">
        <f t="shared" ref="B40:D40" si="5">B38*0.95+B39</f>
        <v>150830.79999999999</v>
      </c>
      <c r="C40" s="211">
        <f t="shared" si="5"/>
        <v>149192.29999999999</v>
      </c>
      <c r="D40" s="211">
        <f t="shared" si="5"/>
        <v>148332.65</v>
      </c>
    </row>
    <row r="42" spans="1:10">
      <c r="A42" s="63" t="e">
        <f t="shared" ref="A42:D42" ca="1" si="6">IF($H$3=1,G8,G12)</f>
        <v>#NAME?</v>
      </c>
      <c r="B42" s="210" t="str">
        <f t="shared" si="6"/>
        <v>lists gem for</v>
      </c>
      <c r="C42" s="63" t="e">
        <f t="shared" ca="1" si="6"/>
        <v>#NAME?</v>
      </c>
      <c r="D42" s="210" t="str">
        <f t="shared" si="6"/>
        <v>at price</v>
      </c>
      <c r="E42" s="211" t="e">
        <f t="shared" ref="E42:E43" ca="1" si="7">ABS(IF($H$3=1,K8,K12))</f>
        <v>#NAME?</v>
      </c>
    </row>
    <row r="43" spans="1:10">
      <c r="A43" s="63" t="e">
        <f t="shared" ref="A43:D43" ca="1" si="8">IF($H$3=1,G9,G13)</f>
        <v>#NAME?</v>
      </c>
      <c r="B43" s="210" t="str">
        <f t="shared" si="8"/>
        <v>lists gem for</v>
      </c>
      <c r="C43" s="63" t="e">
        <f t="shared" ca="1" si="8"/>
        <v>#NAME?</v>
      </c>
      <c r="D43" s="210" t="str">
        <f t="shared" si="8"/>
        <v>at price</v>
      </c>
      <c r="E43" s="211" t="e">
        <f t="shared" ca="1" si="7"/>
        <v>#NAME?</v>
      </c>
    </row>
  </sheetData>
  <conditionalFormatting sqref="B32:D32 B34:D34 B36:D36">
    <cfRule type="containsText" dxfId="11" priority="4" operator="containsText" text="Book">
      <formula>NOT(ISERROR(SEARCH(("Book"),(B32))))</formula>
    </cfRule>
  </conditionalFormatting>
  <conditionalFormatting sqref="B33:D33 B35:D35 B37:D37">
    <cfRule type="containsText" dxfId="10" priority="5" operator="containsText" text="Book">
      <formula>NOT(ISERROR(SEARCH(("Book"),(B33))))</formula>
    </cfRule>
  </conditionalFormatting>
  <conditionalFormatting sqref="H20:J20">
    <cfRule type="cellIs" dxfId="9" priority="2" operator="lessThan">
      <formula>0</formula>
    </cfRule>
    <cfRule type="cellIs" dxfId="8" priority="3" operator="greaterThan">
      <formula>0</formula>
    </cfRule>
  </conditionalFormatting>
  <conditionalFormatting sqref="J1:K1 B11:D11 H19:J19">
    <cfRule type="containsText" dxfId="7" priority="1" operator="containsText" text="Name">
      <formula>NOT(ISERROR(SEARCH(("Name"),(J1))))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2:M73"/>
  <sheetViews>
    <sheetView workbookViewId="0"/>
  </sheetViews>
  <sheetFormatPr defaultColWidth="12.5703125" defaultRowHeight="15.75" customHeight="1"/>
  <cols>
    <col min="2" max="2" width="11.140625" customWidth="1"/>
    <col min="3" max="3" width="14.140625" customWidth="1"/>
    <col min="4" max="4" width="20" customWidth="1"/>
    <col min="5" max="5" width="20.140625" customWidth="1"/>
    <col min="6" max="6" width="16.7109375" customWidth="1"/>
  </cols>
  <sheetData>
    <row r="2" spans="1:13">
      <c r="A2" s="246"/>
      <c r="B2" s="206" t="s">
        <v>302</v>
      </c>
      <c r="C2" s="217" t="s">
        <v>10</v>
      </c>
      <c r="D2" s="217" t="s">
        <v>27</v>
      </c>
      <c r="E2" s="217" t="s">
        <v>4</v>
      </c>
      <c r="F2" s="217"/>
      <c r="H2" s="246" t="s">
        <v>0</v>
      </c>
      <c r="I2" s="206" t="s">
        <v>303</v>
      </c>
      <c r="J2" s="217"/>
      <c r="K2" s="217"/>
      <c r="L2" s="217"/>
      <c r="M2" s="217"/>
    </row>
    <row r="3" spans="1:13">
      <c r="A3" s="247"/>
      <c r="B3" s="98"/>
      <c r="C3" s="7" t="str">
        <f ca="1">IFERROR(__xludf.DUMMYFUNCTION("IF(ISBLANK(C2),"""",HLOOKUP(REGEXEXTRACT(C2,"".*-(.*)""),INDIRECT(CONCATENATE(REGEXEXTRACT(C2,""(.*)-.*""),""!C3:I"")),2,FALSE))"),"Bard")</f>
        <v>Bard</v>
      </c>
      <c r="D3" s="7" t="str">
        <f ca="1">IFERROR(__xludf.DUMMYFUNCTION("IF(ISBLANK(D2),"""",HLOOKUP(REGEXEXTRACT(D2,"".*-(.*)""),INDIRECT(CONCATENATE(REGEXEXTRACT(D2,""(.*)-.*""),""!C3:I"")),2,FALSE))"),"Guardianknight")</f>
        <v>Guardianknight</v>
      </c>
      <c r="E3" s="7" t="str">
        <f ca="1">IFERROR(__xludf.DUMMYFUNCTION("IF(ISBLANK(E2),"""",HLOOKUP(REGEXEXTRACT(E2,"".*-(.*)""),INDIRECT(CONCATENATE(REGEXEXTRACT(E2,""(.*)-.*""),""!C3:I"")),2,FALSE))"),"Gunslinger")</f>
        <v>Gunslinger</v>
      </c>
      <c r="H3" s="247"/>
      <c r="I3" s="98"/>
      <c r="J3" s="7" t="str">
        <f ca="1">IFERROR(__xludf.DUMMYFUNCTION("IF(ISBLANK(J2),"""",HLOOKUP(REGEXEXTRACT(J2,"".*-(.*)""),INDIRECT(CONCATENATE(REGEXEXTRACT(J2,""(.*)-.*""),""!C3:I"")),2,FALSE))"),"")</f>
        <v/>
      </c>
      <c r="K3" s="7" t="str">
        <f ca="1">IFERROR(__xludf.DUMMYFUNCTION("IF(ISBLANK(K2),"""",HLOOKUP(REGEXEXTRACT(K2,"".*-(.*)""),INDIRECT(CONCATENATE(REGEXEXTRACT(K2,""(.*)-.*""),""!C3:I"")),2,FALSE))"),"")</f>
        <v/>
      </c>
      <c r="L3" s="7" t="str">
        <f ca="1">IFERROR(__xludf.DUMMYFUNCTION("IF(ISBLANK(L2),"""",HLOOKUP(REGEXEXTRACT(L2,"".*-(.*)""),INDIRECT(CONCATENATE(REGEXEXTRACT(L2,""(.*)-.*""),""!C3:I"")),2,FALSE))"),"")</f>
        <v/>
      </c>
      <c r="M3" s="7" t="str">
        <f ca="1">IFERROR(__xludf.DUMMYFUNCTION("IF(ISBLANK(M2),"""",HLOOKUP(REGEXEXTRACT(M2,"".*-(.*)""),INDIRECT(CONCATENATE(REGEXEXTRACT(M2,""(.*)-.*""),""!C3:I"")),2,FALSE))"),"")</f>
        <v/>
      </c>
    </row>
    <row r="4" spans="1:13">
      <c r="A4" s="247"/>
      <c r="B4" s="218"/>
      <c r="C4" s="7">
        <f ca="1">IFERROR(__xludf.DUMMYFUNCTION("IF(ISBLANK(C2),"""",HLOOKUP(REGEXEXTRACT(C2,"".*-(.*)""),INDIRECT(CONCATENATE(REGEXEXTRACT(C2,""(.*)-.*""),""!C3:I"")),3,FALSE))"),1560)</f>
        <v>1560</v>
      </c>
      <c r="D4" s="7">
        <f ca="1">IFERROR(__xludf.DUMMYFUNCTION("IF(ISBLANK(D2),"""",HLOOKUP(REGEXEXTRACT(D2,"".*-(.*)""),INDIRECT(CONCATENATE(REGEXEXTRACT(D2,""(.*)-.*""),""!C3:I"")),3,FALSE))"),1750)</f>
        <v>1750</v>
      </c>
      <c r="E4" s="7">
        <f ca="1">IFERROR(__xludf.DUMMYFUNCTION("IF(ISBLANK(E2),"""",HLOOKUP(REGEXEXTRACT(E2,"".*-(.*)""),INDIRECT(CONCATENATE(REGEXEXTRACT(E2,""(.*)-.*""),""!C3:I"")),3,FALSE))"),1750)</f>
        <v>1750</v>
      </c>
      <c r="H4" s="247"/>
      <c r="I4" s="218"/>
      <c r="J4" s="7" t="str">
        <f ca="1">IFERROR(__xludf.DUMMYFUNCTION("IF(ISBLANK(J2),"""",HLOOKUP(REGEXEXTRACT(J2,"".*-(.*)""),INDIRECT(CONCATENATE(REGEXEXTRACT(J2,""(.*)-.*""),""!C3:I"")),3,FALSE))"),"")</f>
        <v/>
      </c>
      <c r="K4" s="7" t="str">
        <f ca="1">IFERROR(__xludf.DUMMYFUNCTION("IF(ISBLANK(K2),"""",HLOOKUP(REGEXEXTRACT(K2,"".*-(.*)""),INDIRECT(CONCATENATE(REGEXEXTRACT(K2,""(.*)-.*""),""!C3:I"")),3,FALSE))"),"")</f>
        <v/>
      </c>
      <c r="L4" s="7" t="str">
        <f ca="1">IFERROR(__xludf.DUMMYFUNCTION("IF(ISBLANK(L2),"""",HLOOKUP(REGEXEXTRACT(L2,"".*-(.*)""),INDIRECT(CONCATENATE(REGEXEXTRACT(L2,""(.*)-.*""),""!C3:I"")),3,FALSE))"),"")</f>
        <v/>
      </c>
      <c r="M4" s="7" t="str">
        <f ca="1">IFERROR(__xludf.DUMMYFUNCTION("IF(ISBLANK(M2),"""",HLOOKUP(REGEXEXTRACT(M2,"".*-(.*)""),INDIRECT(CONCATENATE(REGEXEXTRACT(M2,""(.*)-.*""),""!C3:I"")),3,FALSE))"),"")</f>
        <v/>
      </c>
    </row>
    <row r="5" spans="1:13">
      <c r="L5" s="246"/>
    </row>
    <row r="6" spans="1:13">
      <c r="A6" s="246"/>
      <c r="B6" s="206" t="s">
        <v>302</v>
      </c>
      <c r="C6" s="217" t="s">
        <v>6</v>
      </c>
      <c r="D6" s="217" t="s">
        <v>3</v>
      </c>
      <c r="E6" s="217" t="s">
        <v>24</v>
      </c>
      <c r="F6" s="217"/>
      <c r="I6" s="7" t="s">
        <v>41</v>
      </c>
      <c r="J6" s="7" t="s">
        <v>79</v>
      </c>
      <c r="K6" s="7" t="s">
        <v>80</v>
      </c>
      <c r="L6" s="247"/>
    </row>
    <row r="7" spans="1:13">
      <c r="A7" s="247"/>
      <c r="B7" s="98"/>
      <c r="C7" s="7" t="str">
        <f ca="1">IFERROR(__xludf.DUMMYFUNCTION("IF(ISBLANK(C6),"""",HLOOKUP(REGEXEXTRACT(C6,"".*-(.*)""),INDIRECT(CONCATENATE(REGEXEXTRACT(C6,""(.*)-.*""),""!C3:I"")),2,FALSE))"),"Wardancer")</f>
        <v>Wardancer</v>
      </c>
      <c r="D7" s="7" t="str">
        <f ca="1">IFERROR(__xludf.DUMMYFUNCTION("IF(ISBLANK(D6),"""",HLOOKUP(REGEXEXTRACT(D6,"".*-(.*)""),INDIRECT(CONCATENATE(REGEXEXTRACT(D6,""(.*)-.*""),""!C3:I"")),2,FALSE))"),"Sorceress")</f>
        <v>Sorceress</v>
      </c>
      <c r="E7" s="7" t="str">
        <f ca="1">IFERROR(__xludf.DUMMYFUNCTION("IF(ISBLANK(E6),"""",HLOOKUP(REGEXEXTRACT(E6,"".*-(.*)""),INDIRECT(CONCATENATE(REGEXEXTRACT(E6,""(.*)-.*""),""!C3:I"")),2,FALSE))"),"Glaivier")</f>
        <v>Glaivier</v>
      </c>
      <c r="H7" s="7" t="s">
        <v>304</v>
      </c>
      <c r="I7" s="63">
        <f t="shared" ref="I7:K7" si="0">SUM(I8:I41)</f>
        <v>19362</v>
      </c>
      <c r="J7" s="63">
        <f t="shared" si="0"/>
        <v>19362</v>
      </c>
      <c r="K7" s="63">
        <f t="shared" si="0"/>
        <v>19362</v>
      </c>
      <c r="L7" s="247"/>
    </row>
    <row r="8" spans="1:13">
      <c r="A8" s="247"/>
      <c r="B8" s="218"/>
      <c r="C8" s="7">
        <f ca="1">IFERROR(__xludf.DUMMYFUNCTION("IF(ISBLANK(C6),"""",HLOOKUP(REGEXEXTRACT(C6,"".*-(.*)""),INDIRECT(CONCATENATE(REGEXEXTRACT(C6,""(.*)-.*""),""!C3:I"")),3,FALSE))"),1620)</f>
        <v>1620</v>
      </c>
      <c r="D8" s="7">
        <f ca="1">IFERROR(__xludf.DUMMYFUNCTION("IF(ISBLANK(D6),"""",HLOOKUP(REGEXEXTRACT(D6,"".*-(.*)""),INDIRECT(CONCATENATE(REGEXEXTRACT(D6,""(.*)-.*""),""!C3:I"")),3,FALSE))"),1600)</f>
        <v>1600</v>
      </c>
      <c r="E8" s="7">
        <f ca="1">IFERROR(__xludf.DUMMYFUNCTION("IF(ISBLANK(E6),"""",HLOOKUP(REGEXEXTRACT(E6,"".*-(.*)""),INDIRECT(CONCATENATE(REGEXEXTRACT(E6,""(.*)-.*""),""!C3:I"")),3,FALSE))"),1750)</f>
        <v>1750</v>
      </c>
      <c r="H8" s="7" t="s">
        <v>305</v>
      </c>
      <c r="I8" s="7">
        <v>2000</v>
      </c>
      <c r="J8" s="7">
        <v>4000</v>
      </c>
      <c r="K8" s="7">
        <v>4000</v>
      </c>
    </row>
    <row r="9" spans="1:13">
      <c r="H9" s="7" t="s">
        <v>306</v>
      </c>
      <c r="I9" s="7">
        <v>2700</v>
      </c>
      <c r="J9" s="7">
        <v>900</v>
      </c>
      <c r="K9" s="7">
        <v>900</v>
      </c>
    </row>
    <row r="10" spans="1:13">
      <c r="A10" s="246"/>
      <c r="B10" s="206" t="s">
        <v>302</v>
      </c>
      <c r="C10" s="217" t="s">
        <v>38</v>
      </c>
      <c r="D10" s="217" t="s">
        <v>63</v>
      </c>
      <c r="E10" s="217" t="s">
        <v>40</v>
      </c>
      <c r="F10" s="217"/>
      <c r="H10" s="7" t="s">
        <v>306</v>
      </c>
      <c r="I10" s="7">
        <v>2000</v>
      </c>
      <c r="J10" s="7">
        <v>1000</v>
      </c>
      <c r="K10" s="7">
        <v>2000</v>
      </c>
    </row>
    <row r="11" spans="1:13">
      <c r="A11" s="247"/>
      <c r="B11" s="98"/>
      <c r="C11" s="7" t="str">
        <f ca="1">IFERROR(__xludf.DUMMYFUNCTION("IF(ISBLANK(C10),"""",HLOOKUP(REGEXEXTRACT(C10,"".*-(.*)""),INDIRECT(CONCATENATE(REGEXEXTRACT(C10,""(.*)-.*""),""!C3:I"")),2,FALSE))"),"Gunslinger")</f>
        <v>Gunslinger</v>
      </c>
      <c r="D11" s="7" t="str">
        <f ca="1">IFERROR(__xludf.DUMMYFUNCTION("IF(ISBLANK(D10),"""",HLOOKUP(REGEXEXTRACT(D10,"".*-(.*)""),INDIRECT(CONCATENATE(REGEXEXTRACT(D10,""(.*)-.*""),""!C3:I"")),2,FALSE))"),"#N/A")</f>
        <v>#N/A</v>
      </c>
      <c r="E11" s="48" t="str">
        <f ca="1">IFERROR(__xludf.DUMMYFUNCTION("IF(ISBLANK(E10),"""",HLOOKUP(REGEXEXTRACT(E10,"".*-(.*)""),INDIRECT(CONCATENATE(REGEXEXTRACT(E10,""(.*)-.*""),""!C3:I"")),2,FALSE))"),"Paladin")</f>
        <v>Paladin</v>
      </c>
      <c r="F11" s="48" t="str">
        <f ca="1">IFERROR(__xludf.DUMMYFUNCTION("IF(ISBLANK(F10),"""",HLOOKUP(REGEXEXTRACT(F10,"".*-(.*)""),INDIRECT(CONCATENATE(REGEXEXTRACT(F10,""(.*)-.*""),""!C3:I"")),2,FALSE))"),"")</f>
        <v/>
      </c>
      <c r="H11" s="7" t="s">
        <v>307</v>
      </c>
      <c r="I11" s="7">
        <f>1440-440</f>
        <v>1000</v>
      </c>
      <c r="J11" s="7">
        <v>62</v>
      </c>
      <c r="K11" s="7">
        <v>62</v>
      </c>
    </row>
    <row r="12" spans="1:13">
      <c r="A12" s="247"/>
      <c r="B12" s="218"/>
      <c r="C12" s="7">
        <f ca="1">IFERROR(__xludf.DUMMYFUNCTION("IF(ISBLANK(C10),"""",HLOOKUP(REGEXEXTRACT(C10,"".*-(.*)""),INDIRECT(CONCATENATE(REGEXEXTRACT(C10,""(.*)-.*""),""!C3:I"")),3,FALSE))"),1600)</f>
        <v>1600</v>
      </c>
      <c r="D12" s="7" t="str">
        <f ca="1">IFERROR(__xludf.DUMMYFUNCTION("IF(ISBLANK(D10),"""",HLOOKUP(REGEXEXTRACT(D10,"".*-(.*)""),INDIRECT(CONCATENATE(REGEXEXTRACT(D10,""(.*)-.*""),""!C3:I"")),3,FALSE))"),"#N/A")</f>
        <v>#N/A</v>
      </c>
      <c r="E12" s="48">
        <f ca="1">IFERROR(__xludf.DUMMYFUNCTION("IF(ISBLANK(E10),"""",HLOOKUP(REGEXEXTRACT(E10,"".*-(.*)""),INDIRECT(CONCATENATE(REGEXEXTRACT(E10,""(.*)-.*""),""!C3:I"")),3,FALSE))"),1750)</f>
        <v>1750</v>
      </c>
      <c r="F12" s="48" t="str">
        <f ca="1">IFERROR(__xludf.DUMMYFUNCTION("IF(ISBLANK(F10),"""",HLOOKUP(REGEXEXTRACT(F10,"".*-(.*)""),INDIRECT(CONCATENATE(REGEXEXTRACT(F10,""(.*)-.*""),""!C3:I"")),3,FALSE))"),"")</f>
        <v/>
      </c>
      <c r="H12" s="7" t="s">
        <v>308</v>
      </c>
      <c r="I12" s="7">
        <v>1000</v>
      </c>
      <c r="J12" s="7">
        <v>2000</v>
      </c>
      <c r="K12" s="7">
        <v>2000</v>
      </c>
    </row>
    <row r="13" spans="1:13">
      <c r="H13" s="7" t="s">
        <v>306</v>
      </c>
      <c r="I13" s="7">
        <v>1800</v>
      </c>
      <c r="J13" s="7">
        <v>1800</v>
      </c>
      <c r="K13" s="7">
        <v>900</v>
      </c>
    </row>
    <row r="14" spans="1:13">
      <c r="A14" s="246"/>
      <c r="B14" s="206" t="s">
        <v>302</v>
      </c>
      <c r="C14" s="217"/>
      <c r="D14" s="217"/>
      <c r="E14" s="217"/>
      <c r="F14" s="217"/>
      <c r="H14" s="7" t="s">
        <v>306</v>
      </c>
      <c r="I14" s="7">
        <v>850</v>
      </c>
      <c r="J14" s="7">
        <v>1700</v>
      </c>
      <c r="K14" s="7">
        <v>1700</v>
      </c>
    </row>
    <row r="15" spans="1:13">
      <c r="A15" s="247"/>
      <c r="B15" s="98"/>
      <c r="C15" s="7" t="str">
        <f ca="1">IFERROR(__xludf.DUMMYFUNCTION("IF(ISBLANK(C14),"""",HLOOKUP(REGEXEXTRACT(C14,"".*-(.*)""),INDIRECT(CONCATENATE(REGEXEXTRACT(C14,""(.*)-.*""),""!C3:I"")),2,FALSE))"),"")</f>
        <v/>
      </c>
      <c r="D15" s="7" t="str">
        <f ca="1">IFERROR(__xludf.DUMMYFUNCTION("IF(ISBLANK(D14),"""",HLOOKUP(REGEXEXTRACT(D14,"".*-(.*)""),INDIRECT(CONCATENATE(REGEXEXTRACT(D14,""(.*)-.*""),""!C3:I"")),2,FALSE))"),"")</f>
        <v/>
      </c>
      <c r="E15" s="7" t="str">
        <f ca="1">IFERROR(__xludf.DUMMYFUNCTION("IF(ISBLANK(E14),"""",HLOOKUP(REGEXEXTRACT(E14,"".*-(.*)""),INDIRECT(CONCATENATE(REGEXEXTRACT(E14,""(.*)-.*""),""!C3:I"")),2,FALSE))"),"")</f>
        <v/>
      </c>
      <c r="H15" s="7" t="s">
        <v>306</v>
      </c>
      <c r="I15" s="7">
        <v>2600</v>
      </c>
      <c r="J15" s="7">
        <v>2600</v>
      </c>
      <c r="K15" s="7">
        <v>1300</v>
      </c>
    </row>
    <row r="16" spans="1:13">
      <c r="A16" s="247"/>
      <c r="B16" s="218"/>
      <c r="C16" s="7" t="str">
        <f ca="1">IFERROR(__xludf.DUMMYFUNCTION("IF(ISBLANK(C14),"""",HLOOKUP(REGEXEXTRACT(C14,"".*-(.*)""),INDIRECT(CONCATENATE(REGEXEXTRACT(C14,""(.*)-.*""),""!C3:I"")),3,FALSE))"),"")</f>
        <v/>
      </c>
      <c r="D16" s="7" t="str">
        <f ca="1">IFERROR(__xludf.DUMMYFUNCTION("IF(ISBLANK(D14),"""",HLOOKUP(REGEXEXTRACT(D14,"".*-(.*)""),INDIRECT(CONCATENATE(REGEXEXTRACT(D14,""(.*)-.*""),""!C3:I"")),3,FALSE))"),"")</f>
        <v/>
      </c>
      <c r="E16" s="7" t="str">
        <f ca="1">IFERROR(__xludf.DUMMYFUNCTION("IF(ISBLANK(E14),"""",HLOOKUP(REGEXEXTRACT(E14,"".*-(.*)""),INDIRECT(CONCATENATE(REGEXEXTRACT(E14,""(.*)-.*""),""!C3:I"")),3,FALSE))"),"")</f>
        <v/>
      </c>
      <c r="H16" s="7" t="s">
        <v>309</v>
      </c>
      <c r="I16" s="7">
        <v>310</v>
      </c>
      <c r="J16" s="7">
        <v>0</v>
      </c>
      <c r="K16" s="7">
        <v>310</v>
      </c>
    </row>
    <row r="17" spans="1:11">
      <c r="H17" s="7" t="s">
        <v>309</v>
      </c>
      <c r="I17" s="7">
        <v>1675</v>
      </c>
      <c r="J17" s="7">
        <v>0</v>
      </c>
      <c r="K17" s="7">
        <v>1675</v>
      </c>
    </row>
    <row r="18" spans="1:11">
      <c r="H18" s="7" t="s">
        <v>306</v>
      </c>
      <c r="I18" s="7">
        <v>950</v>
      </c>
      <c r="J18" s="7">
        <v>1900</v>
      </c>
      <c r="K18" s="7">
        <v>1900</v>
      </c>
    </row>
    <row r="19" spans="1:11">
      <c r="H19" s="7" t="s">
        <v>309</v>
      </c>
      <c r="I19" s="7">
        <v>225</v>
      </c>
      <c r="J19" s="7">
        <v>0</v>
      </c>
      <c r="K19" s="7">
        <v>225</v>
      </c>
    </row>
    <row r="20" spans="1:11">
      <c r="H20" s="7" t="s">
        <v>306</v>
      </c>
      <c r="I20" s="7">
        <v>800</v>
      </c>
      <c r="J20" s="7">
        <v>2400</v>
      </c>
      <c r="K20" s="7">
        <v>800</v>
      </c>
    </row>
    <row r="21" spans="1:11">
      <c r="A21" s="246"/>
      <c r="B21" s="206" t="s">
        <v>305</v>
      </c>
      <c r="C21" s="217"/>
      <c r="D21" s="217"/>
      <c r="E21" s="217"/>
      <c r="F21" s="217"/>
      <c r="H21" s="7" t="s">
        <v>306</v>
      </c>
      <c r="I21" s="7">
        <v>2000</v>
      </c>
      <c r="J21" s="7">
        <v>1000</v>
      </c>
      <c r="K21" s="7">
        <v>2000</v>
      </c>
    </row>
    <row r="22" spans="1:11">
      <c r="A22" s="247"/>
      <c r="B22" s="98"/>
      <c r="C22" s="7" t="str">
        <f ca="1">IFERROR(__xludf.DUMMYFUNCTION("IF(ISBLANK(C21),"""",HLOOKUP(REGEXEXTRACT(C21,"".*-(.*)""),INDIRECT(CONCATENATE(REGEXEXTRACT(C21,""(.*)-.*""),""!C3:I"")),2,FALSE))"),"")</f>
        <v/>
      </c>
      <c r="D22" s="7" t="str">
        <f ca="1">IFERROR(__xludf.DUMMYFUNCTION("IF(ISBLANK(D21),"""",HLOOKUP(REGEXEXTRACT(D21,"".*-(.*)""),INDIRECT(CONCATENATE(REGEXEXTRACT(D21,""(.*)-.*""),""!C3:I"")),2,FALSE))"),"")</f>
        <v/>
      </c>
      <c r="E22" s="7" t="str">
        <f ca="1">IFERROR(__xludf.DUMMYFUNCTION("IF(ISBLANK(E21),"""",HLOOKUP(REGEXEXTRACT(E21,"".*-(.*)""),INDIRECT(CONCATENATE(REGEXEXTRACT(E21,""(.*)-.*""),""!C3:I"")),2,FALSE))"),"")</f>
        <v/>
      </c>
      <c r="F22" s="7" t="str">
        <f ca="1">IFERROR(__xludf.DUMMYFUNCTION("IF(ISBLANK(F21),"""",HLOOKUP(REGEXEXTRACT(F21,"".*-(.*)""),INDIRECT(CONCATENATE(REGEXEXTRACT(F21,""(.*)-.*""),""!C3:I"")),2,FALSE))"),"")</f>
        <v/>
      </c>
      <c r="H22" s="7" t="s">
        <v>310</v>
      </c>
      <c r="I22" s="7">
        <v>-548</v>
      </c>
      <c r="J22" s="7">
        <v>0</v>
      </c>
      <c r="K22" s="7">
        <v>-410</v>
      </c>
    </row>
    <row r="23" spans="1:11">
      <c r="A23" s="247"/>
      <c r="B23" s="218"/>
      <c r="C23" s="7" t="str">
        <f ca="1">IFERROR(__xludf.DUMMYFUNCTION("IF(ISBLANK(C21),"""",HLOOKUP(REGEXEXTRACT(C21,"".*-(.*)""),INDIRECT(CONCATENATE(REGEXEXTRACT(C21,""(.*)-.*""),""!C3:I"")),3,FALSE))"),"")</f>
        <v/>
      </c>
      <c r="D23" s="7" t="str">
        <f ca="1">IFERROR(__xludf.DUMMYFUNCTION("IF(ISBLANK(D21),"""",HLOOKUP(REGEXEXTRACT(D21,"".*-(.*)""),INDIRECT(CONCATENATE(REGEXEXTRACT(D21,""(.*)-.*""),""!C3:I"")),3,FALSE))"),"")</f>
        <v/>
      </c>
      <c r="E23" s="7" t="str">
        <f ca="1">IFERROR(__xludf.DUMMYFUNCTION("IF(ISBLANK(E21),"""",HLOOKUP(REGEXEXTRACT(E21,"".*-(.*)""),INDIRECT(CONCATENATE(REGEXEXTRACT(E21,""(.*)-.*""),""!C3:I"")),3,FALSE))"),"")</f>
        <v/>
      </c>
      <c r="F23" s="7" t="str">
        <f ca="1">IFERROR(__xludf.DUMMYFUNCTION("IF(ISBLANK(F21),"""",HLOOKUP(REGEXEXTRACT(F21,"".*-(.*)""),INDIRECT(CONCATENATE(REGEXEXTRACT(F21,""(.*)-.*""),""!C3:I"")),3,FALSE))"),"")</f>
        <v/>
      </c>
    </row>
    <row r="25" spans="1:11">
      <c r="A25" s="246"/>
      <c r="B25" s="206" t="s">
        <v>305</v>
      </c>
      <c r="C25" s="217"/>
      <c r="D25" s="217"/>
      <c r="E25" s="217"/>
      <c r="F25" s="217"/>
    </row>
    <row r="26" spans="1:11">
      <c r="A26" s="247"/>
      <c r="B26" s="98"/>
      <c r="C26" s="7" t="str">
        <f ca="1">IFERROR(__xludf.DUMMYFUNCTION("IF(ISBLANK(C25),"""",HLOOKUP(REGEXEXTRACT(C25,"".*-(.*)""),INDIRECT(CONCATENATE(REGEXEXTRACT(C25,""(.*)-.*""),""!C3:I"")),2,FALSE))"),"")</f>
        <v/>
      </c>
      <c r="D26" s="7" t="str">
        <f ca="1">IFERROR(__xludf.DUMMYFUNCTION("IF(ISBLANK(D25),"""",HLOOKUP(REGEXEXTRACT(D25,"".*-(.*)""),INDIRECT(CONCATENATE(REGEXEXTRACT(D25,""(.*)-.*""),""!C3:I"")),2,FALSE))"),"")</f>
        <v/>
      </c>
      <c r="E26" s="7" t="str">
        <f ca="1">IFERROR(__xludf.DUMMYFUNCTION("IF(ISBLANK(E25),"""",HLOOKUP(REGEXEXTRACT(E25,"".*-(.*)""),INDIRECT(CONCATENATE(REGEXEXTRACT(E25,""(.*)-.*""),""!C3:I"")),2,FALSE))"),"")</f>
        <v/>
      </c>
      <c r="F26" s="7" t="str">
        <f ca="1">IFERROR(__xludf.DUMMYFUNCTION("IF(ISBLANK(F25),"""",HLOOKUP(REGEXEXTRACT(F25,"".*-(.*)""),INDIRECT(CONCATENATE(REGEXEXTRACT(F25,""(.*)-.*""),""!C3:I"")),2,FALSE))"),"")</f>
        <v/>
      </c>
    </row>
    <row r="27" spans="1:11">
      <c r="A27" s="247"/>
      <c r="B27" s="218"/>
      <c r="C27" s="7" t="str">
        <f ca="1">IFERROR(__xludf.DUMMYFUNCTION("IF(ISBLANK(C25),"""",HLOOKUP(REGEXEXTRACT(C25,"".*-(.*)""),INDIRECT(CONCATENATE(REGEXEXTRACT(C25,""(.*)-.*""),""!C3:I"")),3,FALSE))"),"")</f>
        <v/>
      </c>
      <c r="D27" s="7" t="str">
        <f ca="1">IFERROR(__xludf.DUMMYFUNCTION("IF(ISBLANK(D25),"""",HLOOKUP(REGEXEXTRACT(D25,"".*-(.*)""),INDIRECT(CONCATENATE(REGEXEXTRACT(D25,""(.*)-.*""),""!C3:I"")),3,FALSE))"),"")</f>
        <v/>
      </c>
      <c r="E27" s="7" t="str">
        <f ca="1">IFERROR(__xludf.DUMMYFUNCTION("IF(ISBLANK(E25),"""",HLOOKUP(REGEXEXTRACT(E25,"".*-(.*)""),INDIRECT(CONCATENATE(REGEXEXTRACT(E25,""(.*)-.*""),""!C3:I"")),3,FALSE))"),"")</f>
        <v/>
      </c>
      <c r="F27" s="7" t="str">
        <f ca="1">IFERROR(__xludf.DUMMYFUNCTION("IF(ISBLANK(F25),"""",HLOOKUP(REGEXEXTRACT(F25,"".*-(.*)""),INDIRECT(CONCATENATE(REGEXEXTRACT(F25,""(.*)-.*""),""!C3:I"")),3,FALSE))"),"")</f>
        <v/>
      </c>
    </row>
    <row r="29" spans="1:11">
      <c r="A29" s="246"/>
      <c r="B29" s="206" t="s">
        <v>305</v>
      </c>
      <c r="C29" s="217"/>
      <c r="D29" s="217"/>
      <c r="E29" s="217"/>
      <c r="F29" s="217"/>
    </row>
    <row r="30" spans="1:11">
      <c r="A30" s="247"/>
      <c r="B30" s="98"/>
      <c r="C30" s="7" t="str">
        <f ca="1">IFERROR(__xludf.DUMMYFUNCTION("IF(ISBLANK(C29),"""",HLOOKUP(REGEXEXTRACT(C29,"".*-(.*)""),INDIRECT(CONCATENATE(REGEXEXTRACT(C29,""(.*)-.*""),""!C3:I"")),2,FALSE))"),"")</f>
        <v/>
      </c>
      <c r="D30" s="7" t="str">
        <f ca="1">IFERROR(__xludf.DUMMYFUNCTION("IF(ISBLANK(D29),"""",HLOOKUP(REGEXEXTRACT(D29,"".*-(.*)""),INDIRECT(CONCATENATE(REGEXEXTRACT(D29,""(.*)-.*""),""!C3:I"")),2,FALSE))"),"")</f>
        <v/>
      </c>
      <c r="E30" s="7" t="str">
        <f ca="1">IFERROR(__xludf.DUMMYFUNCTION("IF(ISBLANK(E29),"""",HLOOKUP(REGEXEXTRACT(E29,"".*-(.*)""),INDIRECT(CONCATENATE(REGEXEXTRACT(E29,""(.*)-.*""),""!C3:I"")),2,FALSE))"),"")</f>
        <v/>
      </c>
      <c r="F30" s="7" t="str">
        <f ca="1">IFERROR(__xludf.DUMMYFUNCTION("IF(ISBLANK(F29),"""",HLOOKUP(REGEXEXTRACT(F29,"".*-(.*)""),INDIRECT(CONCATENATE(REGEXEXTRACT(F29,""(.*)-.*""),""!C3:I"")),2,FALSE))"),"")</f>
        <v/>
      </c>
    </row>
    <row r="31" spans="1:11">
      <c r="A31" s="247"/>
      <c r="B31" s="218"/>
      <c r="C31" s="7" t="str">
        <f ca="1">IFERROR(__xludf.DUMMYFUNCTION("IF(ISBLANK(C29),"""",HLOOKUP(REGEXEXTRACT(C29,"".*-(.*)""),INDIRECT(CONCATENATE(REGEXEXTRACT(C29,""(.*)-.*""),""!C3:I"")),3,FALSE))"),"")</f>
        <v/>
      </c>
      <c r="D31" s="7" t="str">
        <f ca="1">IFERROR(__xludf.DUMMYFUNCTION("IF(ISBLANK(D29),"""",HLOOKUP(REGEXEXTRACT(D29,"".*-(.*)""),INDIRECT(CONCATENATE(REGEXEXTRACT(D29,""(.*)-.*""),""!C3:I"")),3,FALSE))"),"")</f>
        <v/>
      </c>
      <c r="E31" s="7" t="str">
        <f ca="1">IFERROR(__xludf.DUMMYFUNCTION("IF(ISBLANK(E29),"""",HLOOKUP(REGEXEXTRACT(E29,"".*-(.*)""),INDIRECT(CONCATENATE(REGEXEXTRACT(E29,""(.*)-.*""),""!C3:I"")),3,FALSE))"),"")</f>
        <v/>
      </c>
      <c r="F31" s="7" t="str">
        <f ca="1">IFERROR(__xludf.DUMMYFUNCTION("IF(ISBLANK(F29),"""",HLOOKUP(REGEXEXTRACT(F29,"".*-(.*)""),INDIRECT(CONCATENATE(REGEXEXTRACT(F29,""(.*)-.*""),""!C3:I"")),3,FALSE))"),"")</f>
        <v/>
      </c>
    </row>
    <row r="36" spans="1:6">
      <c r="A36" s="246"/>
      <c r="B36" s="206" t="s">
        <v>311</v>
      </c>
      <c r="C36" s="217" t="s">
        <v>38</v>
      </c>
      <c r="D36" s="217" t="s">
        <v>312</v>
      </c>
      <c r="E36" s="217"/>
      <c r="F36" s="217"/>
    </row>
    <row r="37" spans="1:6">
      <c r="A37" s="247"/>
      <c r="B37" s="98"/>
      <c r="C37" s="7" t="str">
        <f ca="1">IFERROR(__xludf.DUMMYFUNCTION("IF(ISBLANK(C36),"""",HLOOKUP(REGEXEXTRACT(C36,"".*-(.*)""),INDIRECT(CONCATENATE(REGEXEXTRACT(C36,""(.*)-.*""),""!C3:I"")),2,FALSE))"),"Gunslinger")</f>
        <v>Gunslinger</v>
      </c>
      <c r="D37" s="7" t="str">
        <f ca="1">IFERROR(__xludf.DUMMYFUNCTION("IF(ISBLANK(D36),"""",HLOOKUP(REGEXEXTRACT(D36,"".*-(.*)""),INDIRECT(CONCATENATE(REGEXEXTRACT(D36,""(.*)-.*""),""!C3:I"")),2,FALSE))"),"#N/A")</f>
        <v>#N/A</v>
      </c>
      <c r="E37" s="7" t="str">
        <f ca="1">IFERROR(__xludf.DUMMYFUNCTION("IF(ISBLANK(E36),"""",HLOOKUP(REGEXEXTRACT(E36,"".*-(.*)""),INDIRECT(CONCATENATE(REGEXEXTRACT(E36,""(.*)-.*""),""!C3:I"")),2,FALSE))"),"")</f>
        <v/>
      </c>
      <c r="F37" s="7" t="str">
        <f ca="1">IFERROR(__xludf.DUMMYFUNCTION("IF(ISBLANK(F36),"""",HLOOKUP(REGEXEXTRACT(F36,"".*-(.*)""),INDIRECT(CONCATENATE(REGEXEXTRACT(F36,""(.*)-.*""),""!C3:I"")),2,FALSE))"),"")</f>
        <v/>
      </c>
    </row>
    <row r="38" spans="1:6">
      <c r="A38" s="247"/>
      <c r="B38" s="218"/>
      <c r="C38" s="7">
        <f ca="1">IFERROR(__xludf.DUMMYFUNCTION("IF(ISBLANK(C36),"""",HLOOKUP(REGEXEXTRACT(C36,"".*-(.*)""),INDIRECT(CONCATENATE(REGEXEXTRACT(C36,""(.*)-.*""),""!C3:I"")),3,FALSE))"),1600)</f>
        <v>1600</v>
      </c>
      <c r="D38" s="7" t="str">
        <f ca="1">IFERROR(__xludf.DUMMYFUNCTION("IF(ISBLANK(D36),"""",HLOOKUP(REGEXEXTRACT(D36,"".*-(.*)""),INDIRECT(CONCATENATE(REGEXEXTRACT(D36,""(.*)-.*""),""!C3:I"")),3,FALSE))"),"#N/A")</f>
        <v>#N/A</v>
      </c>
      <c r="E38" s="7" t="str">
        <f ca="1">IFERROR(__xludf.DUMMYFUNCTION("IF(ISBLANK(E36),"""",HLOOKUP(REGEXEXTRACT(E36,"".*-(.*)""),INDIRECT(CONCATENATE(REGEXEXTRACT(E36,""(.*)-.*""),""!C3:I"")),3,FALSE))"),"")</f>
        <v/>
      </c>
      <c r="F38" s="7" t="str">
        <f ca="1">IFERROR(__xludf.DUMMYFUNCTION("IF(ISBLANK(F36),"""",HLOOKUP(REGEXEXTRACT(F36,"".*-(.*)""),INDIRECT(CONCATENATE(REGEXEXTRACT(F36,""(.*)-.*""),""!C3:I"")),3,FALSE))"),"")</f>
        <v/>
      </c>
    </row>
    <row r="40" spans="1:6">
      <c r="A40" s="246"/>
      <c r="B40" s="206" t="s">
        <v>311</v>
      </c>
      <c r="C40" s="217" t="s">
        <v>27</v>
      </c>
      <c r="D40" s="217" t="s">
        <v>313</v>
      </c>
      <c r="E40" s="217"/>
      <c r="F40" s="217"/>
    </row>
    <row r="41" spans="1:6">
      <c r="A41" s="247"/>
      <c r="B41" s="98"/>
      <c r="C41" s="7" t="str">
        <f ca="1">IFERROR(__xludf.DUMMYFUNCTION("IF(ISBLANK(C40),"""",HLOOKUP(REGEXEXTRACT(C40,"".*-(.*)""),INDIRECT(CONCATENATE(REGEXEXTRACT(C40,""(.*)-.*""),""!C3:I"")),2,FALSE))"),"Guardianknight")</f>
        <v>Guardianknight</v>
      </c>
      <c r="D41" s="7" t="str">
        <f ca="1">IFERROR(__xludf.DUMMYFUNCTION("IF(ISBLANK(D40),"""",HLOOKUP(REGEXEXTRACT(D40,"".*-(.*)""),INDIRECT(CONCATENATE(REGEXEXTRACT(D40,""(.*)-.*""),""!C3:I"")),2,FALSE))"),"#N/A")</f>
        <v>#N/A</v>
      </c>
      <c r="E41" s="7" t="str">
        <f ca="1">IFERROR(__xludf.DUMMYFUNCTION("IF(ISBLANK(E40),"""",HLOOKUP(REGEXEXTRACT(E40,"".*-(.*)""),INDIRECT(CONCATENATE(REGEXEXTRACT(E40,""(.*)-.*""),""!C3:I"")),2,FALSE))"),"")</f>
        <v/>
      </c>
      <c r="F41" s="7" t="str">
        <f ca="1">IFERROR(__xludf.DUMMYFUNCTION("IF(ISBLANK(F40),"""",HLOOKUP(REGEXEXTRACT(F40,"".*-(.*)""),INDIRECT(CONCATENATE(REGEXEXTRACT(F40,""(.*)-.*""),""!C3:I"")),2,FALSE))"),"")</f>
        <v/>
      </c>
    </row>
    <row r="42" spans="1:6">
      <c r="A42" s="247"/>
      <c r="B42" s="218"/>
      <c r="C42" s="7">
        <f ca="1">IFERROR(__xludf.DUMMYFUNCTION("IF(ISBLANK(C40),"""",HLOOKUP(REGEXEXTRACT(C40,"".*-(.*)""),INDIRECT(CONCATENATE(REGEXEXTRACT(C40,""(.*)-.*""),""!C3:I"")),3,FALSE))"),1750)</f>
        <v>1750</v>
      </c>
      <c r="D42" s="7" t="str">
        <f ca="1">IFERROR(__xludf.DUMMYFUNCTION("IF(ISBLANK(D40),"""",HLOOKUP(REGEXEXTRACT(D40,"".*-(.*)""),INDIRECT(CONCATENATE(REGEXEXTRACT(D40,""(.*)-.*""),""!C3:I"")),3,FALSE))"),"#N/A")</f>
        <v>#N/A</v>
      </c>
      <c r="E42" s="7" t="str">
        <f ca="1">IFERROR(__xludf.DUMMYFUNCTION("IF(ISBLANK(E40),"""",HLOOKUP(REGEXEXTRACT(E40,"".*-(.*)""),INDIRECT(CONCATENATE(REGEXEXTRACT(E40,""(.*)-.*""),""!C3:I"")),3,FALSE))"),"")</f>
        <v/>
      </c>
      <c r="F42" s="7" t="str">
        <f ca="1">IFERROR(__xludf.DUMMYFUNCTION("IF(ISBLANK(F40),"""",HLOOKUP(REGEXEXTRACT(F40,"".*-(.*)""),INDIRECT(CONCATENATE(REGEXEXTRACT(F40,""(.*)-.*""),""!C3:I"")),3,FALSE))"),"")</f>
        <v/>
      </c>
    </row>
    <row r="44" spans="1:6">
      <c r="A44" s="246"/>
      <c r="B44" s="206" t="s">
        <v>311</v>
      </c>
      <c r="C44" s="217" t="s">
        <v>3</v>
      </c>
      <c r="D44" s="217" t="s">
        <v>270</v>
      </c>
      <c r="E44" s="217"/>
      <c r="F44" s="217"/>
    </row>
    <row r="45" spans="1:6">
      <c r="A45" s="247"/>
      <c r="B45" s="98"/>
      <c r="C45" s="7" t="str">
        <f ca="1">IFERROR(__xludf.DUMMYFUNCTION("IF(ISBLANK(C44),"""",HLOOKUP(REGEXEXTRACT(C44,"".*-(.*)""),INDIRECT(CONCATENATE(REGEXEXTRACT(C44,""(.*)-.*""),""!C3:I"")),2,FALSE))"),"Sorceress")</f>
        <v>Sorceress</v>
      </c>
      <c r="D45" s="7" t="str">
        <f ca="1">IFERROR(__xludf.DUMMYFUNCTION("IF(ISBLANK(D44),"""",HLOOKUP(REGEXEXTRACT(D44,"".*-(.*)""),INDIRECT(CONCATENATE(REGEXEXTRACT(D44,""(.*)-.*""),""!C3:I"")),2,FALSE))"),"#REF!")</f>
        <v>#REF!</v>
      </c>
      <c r="E45" s="7" t="str">
        <f ca="1">IFERROR(__xludf.DUMMYFUNCTION("IF(ISBLANK(E44),"""",HLOOKUP(REGEXEXTRACT(E44,"".*-(.*)""),INDIRECT(CONCATENATE(REGEXEXTRACT(E44,""(.*)-.*""),""!C3:I"")),2,FALSE))"),"")</f>
        <v/>
      </c>
      <c r="F45" s="7" t="str">
        <f ca="1">IFERROR(__xludf.DUMMYFUNCTION("IF(ISBLANK(F44),"""",HLOOKUP(REGEXEXTRACT(F44,"".*-(.*)""),INDIRECT(CONCATENATE(REGEXEXTRACT(F44,""(.*)-.*""),""!C3:I"")),2,FALSE))"),"")</f>
        <v/>
      </c>
    </row>
    <row r="46" spans="1:6">
      <c r="A46" s="247"/>
      <c r="B46" s="218"/>
      <c r="C46" s="7">
        <f ca="1">IFERROR(__xludf.DUMMYFUNCTION("IF(ISBLANK(C44),"""",HLOOKUP(REGEXEXTRACT(C44,"".*-(.*)""),INDIRECT(CONCATENATE(REGEXEXTRACT(C44,""(.*)-.*""),""!C3:I"")),3,FALSE))"),1600)</f>
        <v>1600</v>
      </c>
      <c r="D46" s="7" t="str">
        <f ca="1">IFERROR(__xludf.DUMMYFUNCTION("IF(ISBLANK(D44),"""",HLOOKUP(REGEXEXTRACT(D44,"".*-(.*)""),INDIRECT(CONCATENATE(REGEXEXTRACT(D44,""(.*)-.*""),""!C3:I"")),3,FALSE))"),"#REF!")</f>
        <v>#REF!</v>
      </c>
      <c r="E46" s="7" t="str">
        <f ca="1">IFERROR(__xludf.DUMMYFUNCTION("IF(ISBLANK(E44),"""",HLOOKUP(REGEXEXTRACT(E44,"".*-(.*)""),INDIRECT(CONCATENATE(REGEXEXTRACT(E44,""(.*)-.*""),""!C3:I"")),3,FALSE))"),"")</f>
        <v/>
      </c>
      <c r="F46" s="7" t="str">
        <f ca="1">IFERROR(__xludf.DUMMYFUNCTION("IF(ISBLANK(F44),"""",HLOOKUP(REGEXEXTRACT(F44,"".*-(.*)""),INDIRECT(CONCATENATE(REGEXEXTRACT(F44,""(.*)-.*""),""!C3:I"")),3,FALSE))"),"")</f>
        <v/>
      </c>
    </row>
    <row r="48" spans="1:6">
      <c r="A48" s="246" t="s">
        <v>0</v>
      </c>
      <c r="B48" s="206" t="s">
        <v>311</v>
      </c>
      <c r="C48" s="217" t="s">
        <v>30</v>
      </c>
      <c r="D48" s="217" t="s">
        <v>10</v>
      </c>
      <c r="E48" s="217" t="s">
        <v>8</v>
      </c>
      <c r="F48" s="217"/>
    </row>
    <row r="49" spans="1:6">
      <c r="A49" s="247"/>
      <c r="B49" s="98"/>
      <c r="C49" s="7" t="str">
        <f ca="1">IFERROR(__xludf.DUMMYFUNCTION("IF(ISBLANK(C48),"""",HLOOKUP(REGEXEXTRACT(C48,"".*-(.*)""),INDIRECT(CONCATENATE(REGEXEXTRACT(C48,""(.*)-.*""),""!C3:I"")),2,FALSE))"),"Soulfist")</f>
        <v>Soulfist</v>
      </c>
      <c r="D49" s="7" t="str">
        <f ca="1">IFERROR(__xludf.DUMMYFUNCTION("IF(ISBLANK(D48),"""",HLOOKUP(REGEXEXTRACT(D48,"".*-(.*)""),INDIRECT(CONCATENATE(REGEXEXTRACT(D48,""(.*)-.*""),""!C3:I"")),2,FALSE))"),"Bard")</f>
        <v>Bard</v>
      </c>
      <c r="E49" s="7" t="str">
        <f ca="1">IFERROR(__xludf.DUMMYFUNCTION("IF(ISBLANK(E48),"""",HLOOKUP(REGEXEXTRACT(E48,"".*-(.*)""),INDIRECT(CONCATENATE(REGEXEXTRACT(E48,""(.*)-.*""),""!C3:I"")),2,FALSE))"),"Deathblade")</f>
        <v>Deathblade</v>
      </c>
      <c r="F49" s="7" t="str">
        <f ca="1">IFERROR(__xludf.DUMMYFUNCTION("IF(ISBLANK(F48),"""",HLOOKUP(REGEXEXTRACT(F48,"".*-(.*)""),INDIRECT(CONCATENATE(REGEXEXTRACT(F48,""(.*)-.*""),""!C3:I"")),2,FALSE))"),"")</f>
        <v/>
      </c>
    </row>
    <row r="50" spans="1:6">
      <c r="A50" s="247"/>
      <c r="B50" s="218"/>
      <c r="C50" s="7">
        <f ca="1">IFERROR(__xludf.DUMMYFUNCTION("IF(ISBLANK(C48),"""",HLOOKUP(REGEXEXTRACT(C48,"".*-(.*)""),INDIRECT(CONCATENATE(REGEXEXTRACT(C48,""(.*)-.*""),""!C3:I"")),3,FALSE))"),1750)</f>
        <v>1750</v>
      </c>
      <c r="D50" s="7">
        <f ca="1">IFERROR(__xludf.DUMMYFUNCTION("IF(ISBLANK(D48),"""",HLOOKUP(REGEXEXTRACT(D48,"".*-(.*)""),INDIRECT(CONCATENATE(REGEXEXTRACT(D48,""(.*)-.*""),""!C3:I"")),3,FALSE))"),1560)</f>
        <v>1560</v>
      </c>
      <c r="E50" s="7">
        <f ca="1">IFERROR(__xludf.DUMMYFUNCTION("IF(ISBLANK(E48),"""",HLOOKUP(REGEXEXTRACT(E48,"".*-(.*)""),INDIRECT(CONCATENATE(REGEXEXTRACT(E48,""(.*)-.*""),""!C3:I"")),3,FALSE))"),1600)</f>
        <v>1600</v>
      </c>
      <c r="F50" s="7" t="str">
        <f ca="1">IFERROR(__xludf.DUMMYFUNCTION("IF(ISBLANK(F48),"""",HLOOKUP(REGEXEXTRACT(F48,"".*-(.*)""),INDIRECT(CONCATENATE(REGEXEXTRACT(F48,""(.*)-.*""),""!C3:I"")),3,FALSE))"),"")</f>
        <v/>
      </c>
    </row>
    <row r="51" spans="1:6">
      <c r="A51" s="49"/>
    </row>
    <row r="52" spans="1:6">
      <c r="A52" s="246" t="s">
        <v>0</v>
      </c>
      <c r="B52" s="219" t="s">
        <v>311</v>
      </c>
      <c r="C52" s="217" t="s">
        <v>14</v>
      </c>
      <c r="D52" s="217" t="s">
        <v>35</v>
      </c>
      <c r="E52" s="217" t="s">
        <v>4</v>
      </c>
      <c r="F52" s="217"/>
    </row>
    <row r="53" spans="1:6">
      <c r="A53" s="247"/>
      <c r="B53" s="220"/>
      <c r="C53" s="48" t="str">
        <f ca="1">IFERROR(__xludf.DUMMYFUNCTION("IF(ISBLANK(C52),"""",HLOOKUP(REGEXEXTRACT(C52,"".*-(.*)""),INDIRECT(CONCATENATE(REGEXEXTRACT(C52,""(.*)-.*""),""!C3:I"")),2,FALSE))"),"Deathblade")</f>
        <v>Deathblade</v>
      </c>
      <c r="D53" s="48" t="str">
        <f ca="1">IFERROR(__xludf.DUMMYFUNCTION("IF(ISBLANK(D52),"""",HLOOKUP(REGEXEXTRACT(D52,"".*-(.*)""),INDIRECT(CONCATENATE(REGEXEXTRACT(D52,""(.*)-.*""),""!C3:I"")),2,FALSE))"),"Bard")</f>
        <v>Bard</v>
      </c>
      <c r="E53" s="7" t="str">
        <f ca="1">IFERROR(__xludf.DUMMYFUNCTION("IF(ISBLANK(E52),"""",HLOOKUP(REGEXEXTRACT(E52,"".*-(.*)""),INDIRECT(CONCATENATE(REGEXEXTRACT(E52,""(.*)-.*""),""!C3:I"")),2,FALSE))"),"Gunslinger")</f>
        <v>Gunslinger</v>
      </c>
      <c r="F53" s="48"/>
    </row>
    <row r="54" spans="1:6">
      <c r="A54" s="247"/>
      <c r="B54" s="221"/>
      <c r="C54" s="48">
        <f ca="1">IFERROR(__xludf.DUMMYFUNCTION("IF(ISBLANK(C52),"""",HLOOKUP(REGEXEXTRACT(C52,"".*-(.*)""),INDIRECT(CONCATENATE(REGEXEXTRACT(C52,""(.*)-.*""),""!C3:I"")),3,FALSE))"),1540)</f>
        <v>1540</v>
      </c>
      <c r="D54" s="48">
        <f ca="1">IFERROR(__xludf.DUMMYFUNCTION("IF(ISBLANK(D52),"""",HLOOKUP(REGEXEXTRACT(D52,"".*-(.*)""),INDIRECT(CONCATENATE(REGEXEXTRACT(D52,""(.*)-.*""),""!C3:I"")),3,FALSE))"),1730)</f>
        <v>1730</v>
      </c>
      <c r="E54" s="7">
        <f ca="1">IFERROR(__xludf.DUMMYFUNCTION("IF(ISBLANK(E52),"""",HLOOKUP(REGEXEXTRACT(E52,"".*-(.*)""),INDIRECT(CONCATENATE(REGEXEXTRACT(E52,""(.*)-.*""),""!C3:I"")),3,FALSE))"),1750)</f>
        <v>1750</v>
      </c>
      <c r="F54" s="48"/>
    </row>
    <row r="56" spans="1:6">
      <c r="A56" s="246"/>
      <c r="B56" s="219" t="s">
        <v>311</v>
      </c>
      <c r="C56" s="217" t="s">
        <v>6</v>
      </c>
      <c r="D56" s="217" t="s">
        <v>12</v>
      </c>
      <c r="E56" s="217"/>
      <c r="F56" s="217"/>
    </row>
    <row r="57" spans="1:6">
      <c r="A57" s="247"/>
      <c r="B57" s="220"/>
      <c r="C57" s="48" t="str">
        <f ca="1">IFERROR(__xludf.DUMMYFUNCTION("IF(ISBLANK(C56),"""",HLOOKUP(REGEXEXTRACT(C56,"".*-(.*)""),INDIRECT(CONCATENATE(REGEXEXTRACT(C56,""(.*)-.*""),""!C3:I"")),2,FALSE))"),"Wardancer")</f>
        <v>Wardancer</v>
      </c>
      <c r="D57" s="7" t="str">
        <f ca="1">IFERROR(__xludf.DUMMYFUNCTION("IF(ISBLANK(D56),"""",HLOOKUP(REGEXEXTRACT(D56,"".*-(.*)""),INDIRECT(CONCATENATE(REGEXEXTRACT(D56,""(.*)-.*""),""!C3:N"")),2,FALSE))"),"Sorceress")</f>
        <v>Sorceress</v>
      </c>
      <c r="E57" s="48" t="str">
        <f ca="1">IFERROR(__xludf.DUMMYFUNCTION("IF(ISBLANK(E56),"""",HLOOKUP(REGEXEXTRACT(E56,"".*-(.*)""),INDIRECT(CONCATENATE(REGEXEXTRACT(E56,""(.*)-.*""),""!C3:I"")),2,FALSE))"),"")</f>
        <v/>
      </c>
      <c r="F57" s="48"/>
    </row>
    <row r="58" spans="1:6">
      <c r="A58" s="247"/>
      <c r="B58" s="221"/>
      <c r="C58" s="48">
        <f ca="1">IFERROR(__xludf.DUMMYFUNCTION("IF(ISBLANK(C56),"""",HLOOKUP(REGEXEXTRACT(C56,"".*-(.*)""),INDIRECT(CONCATENATE(REGEXEXTRACT(C56,""(.*)-.*""),""!C3:I"")),3,FALSE))"),1620)</f>
        <v>1620</v>
      </c>
      <c r="D58" s="7">
        <f ca="1">IFERROR(__xludf.DUMMYFUNCTION("IF(ISBLANK(D56),"""",HLOOKUP(REGEXEXTRACT(D56,"".*-(.*)""),INDIRECT(CONCATENATE(REGEXEXTRACT(D56,""(.*)-.*""),""!C3:N"")),3,FALSE))"),1750)</f>
        <v>1750</v>
      </c>
      <c r="E58" s="48" t="str">
        <f ca="1">IFERROR(__xludf.DUMMYFUNCTION("IF(ISBLANK(E56),"""",HLOOKUP(REGEXEXTRACT(E56,"".*-(.*)""),INDIRECT(CONCATENATE(REGEXEXTRACT(E56,""(.*)-.*""),""!C3:I"")),3,FALSE))"),"")</f>
        <v/>
      </c>
      <c r="F58" s="48"/>
    </row>
    <row r="63" spans="1:6">
      <c r="A63" s="246" t="s">
        <v>0</v>
      </c>
      <c r="B63" s="206" t="s">
        <v>314</v>
      </c>
      <c r="C63" s="217" t="s">
        <v>14</v>
      </c>
      <c r="D63" s="217" t="s">
        <v>63</v>
      </c>
      <c r="E63" s="217" t="s">
        <v>24</v>
      </c>
      <c r="F63" s="217"/>
    </row>
    <row r="64" spans="1:6">
      <c r="A64" s="247"/>
      <c r="B64" s="98"/>
      <c r="C64" s="7" t="str">
        <f ca="1">IFERROR(__xludf.DUMMYFUNCTION("IF(ISBLANK(C63),"""",HLOOKUP(REGEXEXTRACT(C63,"".*-(.*)""),INDIRECT(CONCATENATE(REGEXEXTRACT(C63,""(.*)-.*""),""!C3:I"")),2,FALSE))"),"Deathblade")</f>
        <v>Deathblade</v>
      </c>
      <c r="D64" s="7" t="str">
        <f ca="1">IFERROR(__xludf.DUMMYFUNCTION("IF(ISBLANK(D63),"""",HLOOKUP(REGEXEXTRACT(D63,"".*-(.*)""),INDIRECT(CONCATENATE(REGEXEXTRACT(D63,""(.*)-.*""),""!C3:I"")),2,FALSE))"),"#N/A")</f>
        <v>#N/A</v>
      </c>
      <c r="E64" s="7" t="str">
        <f ca="1">IFERROR(__xludf.DUMMYFUNCTION("IF(ISBLANK(E63),"""",HLOOKUP(REGEXEXTRACT(E63,"".*-(.*)""),INDIRECT(CONCATENATE(REGEXEXTRACT(E63,""(.*)-.*""),""!C3:I"")),2,FALSE))"),"Glaivier")</f>
        <v>Glaivier</v>
      </c>
    </row>
    <row r="65" spans="1:6">
      <c r="A65" s="247"/>
      <c r="B65" s="218"/>
      <c r="C65" s="7">
        <f ca="1">IFERROR(__xludf.DUMMYFUNCTION("IF(ISBLANK(C63),"""",HLOOKUP(REGEXEXTRACT(C63,"".*-(.*)""),INDIRECT(CONCATENATE(REGEXEXTRACT(C63,""(.*)-.*""),""!C3:I"")),3,FALSE))"),1540)</f>
        <v>1540</v>
      </c>
      <c r="D65" s="7" t="str">
        <f ca="1">IFERROR(__xludf.DUMMYFUNCTION("IF(ISBLANK(D63),"""",HLOOKUP(REGEXEXTRACT(D63,"".*-(.*)""),INDIRECT(CONCATENATE(REGEXEXTRACT(D63,""(.*)-.*""),""!C3:I"")),3,FALSE))"),"#N/A")</f>
        <v>#N/A</v>
      </c>
      <c r="E65" s="7">
        <f ca="1">IFERROR(__xludf.DUMMYFUNCTION("IF(ISBLANK(E63),"""",HLOOKUP(REGEXEXTRACT(E63,"".*-(.*)""),INDIRECT(CONCATENATE(REGEXEXTRACT(E63,""(.*)-.*""),""!C3:I"")),3,FALSE))"),1750)</f>
        <v>1750</v>
      </c>
      <c r="F65" s="7" t="str">
        <f ca="1">IFERROR(__xludf.DUMMYFUNCTION("IF(ISBLANK(F63),"""",HLOOKUP(REGEXEXTRACT(F63,"".*-(.*)""),INDIRECT(CONCATENATE(REGEXEXTRACT(F63,""(.*)-.*""),""!C3:I"")),3,FALSE))"),"")</f>
        <v/>
      </c>
    </row>
    <row r="67" spans="1:6">
      <c r="A67" s="246"/>
      <c r="B67" s="206" t="s">
        <v>314</v>
      </c>
      <c r="C67" s="217" t="s">
        <v>6</v>
      </c>
      <c r="D67" s="217" t="s">
        <v>27</v>
      </c>
      <c r="E67" s="217" t="s">
        <v>40</v>
      </c>
      <c r="F67" s="217"/>
    </row>
    <row r="68" spans="1:6">
      <c r="A68" s="247"/>
      <c r="B68" s="98"/>
      <c r="C68" s="7" t="str">
        <f ca="1">IFERROR(__xludf.DUMMYFUNCTION("IF(ISBLANK(C67),"""",HLOOKUP(REGEXEXTRACT(C67,"".*-(.*)""),INDIRECT(CONCATENATE(REGEXEXTRACT(C67,""(.*)-.*""),""!C3:I"")),2,FALSE))"),"Wardancer")</f>
        <v>Wardancer</v>
      </c>
      <c r="D68" s="7" t="str">
        <f ca="1">IFERROR(__xludf.DUMMYFUNCTION("IF(ISBLANK(D67),"""",HLOOKUP(REGEXEXTRACT(D67,"".*-(.*)""),INDIRECT(CONCATENATE(REGEXEXTRACT(D67,""(.*)-.*""),""!C3:I"")),2,FALSE))"),"Guardianknight")</f>
        <v>Guardianknight</v>
      </c>
      <c r="E68" s="7" t="str">
        <f ca="1">IFERROR(__xludf.DUMMYFUNCTION("IF(ISBLANK(E67),"""",HLOOKUP(REGEXEXTRACT(E67,"".*-(.*)""),INDIRECT(CONCATENATE(REGEXEXTRACT(E67,""(.*)-.*""),""!C3:I"")),2,FALSE))"),"Paladin")</f>
        <v>Paladin</v>
      </c>
    </row>
    <row r="69" spans="1:6">
      <c r="A69" s="247"/>
      <c r="B69" s="218"/>
      <c r="C69" s="7">
        <f ca="1">IFERROR(__xludf.DUMMYFUNCTION("IF(ISBLANK(C67),"""",HLOOKUP(REGEXEXTRACT(C67,"".*-(.*)""),INDIRECT(CONCATENATE(REGEXEXTRACT(C67,""(.*)-.*""),""!C3:I"")),3,FALSE))"),1620)</f>
        <v>1620</v>
      </c>
      <c r="D69" s="7">
        <f ca="1">IFERROR(__xludf.DUMMYFUNCTION("IF(ISBLANK(D67),"""",HLOOKUP(REGEXEXTRACT(D67,"".*-(.*)""),INDIRECT(CONCATENATE(REGEXEXTRACT(D67,""(.*)-.*""),""!C3:I"")),3,FALSE))"),1750)</f>
        <v>1750</v>
      </c>
      <c r="E69" s="7">
        <f ca="1">IFERROR(__xludf.DUMMYFUNCTION("IF(ISBLANK(E67),"""",HLOOKUP(REGEXEXTRACT(E67,"".*-(.*)""),INDIRECT(CONCATENATE(REGEXEXTRACT(E67,""(.*)-.*""),""!C3:I"")),3,FALSE))"),1750)</f>
        <v>1750</v>
      </c>
      <c r="F69" s="7" t="str">
        <f ca="1">IFERROR(__xludf.DUMMYFUNCTION("IF(ISBLANK(F67),"""",HLOOKUP(REGEXEXTRACT(F67,"".*-(.*)""),INDIRECT(CONCATENATE(REGEXEXTRACT(F67,""(.*)-.*""),""!C3:I"")),3,FALSE))"),"")</f>
        <v/>
      </c>
    </row>
    <row r="71" spans="1:6">
      <c r="A71" s="246"/>
      <c r="B71" s="206" t="s">
        <v>314</v>
      </c>
      <c r="C71" s="217" t="s">
        <v>10</v>
      </c>
      <c r="D71" s="217" t="s">
        <v>3</v>
      </c>
      <c r="E71" s="217" t="s">
        <v>12</v>
      </c>
      <c r="F71" s="217"/>
    </row>
    <row r="72" spans="1:6">
      <c r="A72" s="247"/>
      <c r="B72" s="98"/>
      <c r="C72" s="7" t="str">
        <f ca="1">IFERROR(__xludf.DUMMYFUNCTION("IF(ISBLANK(C71),"""",HLOOKUP(REGEXEXTRACT(C71,"".*-(.*)""),INDIRECT(CONCATENATE(REGEXEXTRACT(C71,""(.*)-.*""),""!C3:I"")),2,FALSE))"),"Bard")</f>
        <v>Bard</v>
      </c>
      <c r="D72" s="7" t="str">
        <f ca="1">IFERROR(__xludf.DUMMYFUNCTION("IF(ISBLANK(D71),"""",HLOOKUP(REGEXEXTRACT(D71,"".*-(.*)""),INDIRECT(CONCATENATE(REGEXEXTRACT(D71,""(.*)-.*""),""!C3:I"")),2,FALSE))"),"Sorceress")</f>
        <v>Sorceress</v>
      </c>
      <c r="E72" s="7" t="str">
        <f ca="1">IFERROR(__xludf.DUMMYFUNCTION("IF(ISBLANK(E71),"""",HLOOKUP(REGEXEXTRACT(E71,"".*-(.*)""),INDIRECT(CONCATENATE(REGEXEXTRACT(E71,""(.*)-.*""),""!C3:I"")),2,FALSE))"),"Sorceress")</f>
        <v>Sorceress</v>
      </c>
    </row>
    <row r="73" spans="1:6">
      <c r="A73" s="247"/>
      <c r="B73" s="218"/>
      <c r="C73" s="7">
        <f ca="1">IFERROR(__xludf.DUMMYFUNCTION("IF(ISBLANK(C71),"""",HLOOKUP(REGEXEXTRACT(C71,"".*-(.*)""),INDIRECT(CONCATENATE(REGEXEXTRACT(C71,""(.*)-.*""),""!C3:I"")),3,FALSE))"),1560)</f>
        <v>1560</v>
      </c>
      <c r="D73" s="7">
        <f ca="1">IFERROR(__xludf.DUMMYFUNCTION("IF(ISBLANK(D71),"""",HLOOKUP(REGEXEXTRACT(D71,"".*-(.*)""),INDIRECT(CONCATENATE(REGEXEXTRACT(D71,""(.*)-.*""),""!C3:I"")),3,FALSE))"),1600)</f>
        <v>1600</v>
      </c>
      <c r="E73" s="7">
        <f ca="1">IFERROR(__xludf.DUMMYFUNCTION("IF(ISBLANK(E71),"""",HLOOKUP(REGEXEXTRACT(E71,"".*-(.*)""),INDIRECT(CONCATENATE(REGEXEXTRACT(E71,""(.*)-.*""),""!C3:I"")),3,FALSE))"),1750)</f>
        <v>1750</v>
      </c>
      <c r="F73" s="7" t="str">
        <f ca="1">IFERROR(__xludf.DUMMYFUNCTION("IF(ISBLANK(F71),"""",HLOOKUP(REGEXEXTRACT(F71,"".*-(.*)""),INDIRECT(CONCATENATE(REGEXEXTRACT(F71,""(.*)-.*""),""!C3:I"")),3,FALSE))"),"")</f>
        <v/>
      </c>
    </row>
  </sheetData>
  <mergeCells count="18">
    <mergeCell ref="A71:A73"/>
    <mergeCell ref="A25:A27"/>
    <mergeCell ref="A29:A31"/>
    <mergeCell ref="A36:A38"/>
    <mergeCell ref="A40:A42"/>
    <mergeCell ref="A44:A46"/>
    <mergeCell ref="A48:A50"/>
    <mergeCell ref="A52:A54"/>
    <mergeCell ref="A14:A16"/>
    <mergeCell ref="A21:A23"/>
    <mergeCell ref="A56:A58"/>
    <mergeCell ref="A63:A65"/>
    <mergeCell ref="A67:A69"/>
    <mergeCell ref="A2:A4"/>
    <mergeCell ref="H2:H4"/>
    <mergeCell ref="L5:L7"/>
    <mergeCell ref="A6:A8"/>
    <mergeCell ref="A10:A12"/>
  </mergeCells>
  <conditionalFormatting sqref="H2:H4 A2:A58 L5:L7 A63:A65 A67:A69 A71:A73">
    <cfRule type="cellIs" dxfId="6" priority="1" operator="equal">
      <formula>"DONE"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F00-000000000000}">
          <x14:formula1>
            <xm:f>chars!$B$2:$Z996</xm:f>
          </x14:formula1>
          <xm:sqref>C2:F2 J2:M2 C6:F6 C10:F10 C14:F14 C21:F21 C25:F25 C29:F29 C36:F36 C40:F40 C44:F44 C48:F48 C52:F52 C56:F56 C63:F63 C67:F67 C71:F71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F52"/>
  <sheetViews>
    <sheetView workbookViewId="0"/>
  </sheetViews>
  <sheetFormatPr defaultColWidth="12.5703125" defaultRowHeight="15.75" customHeight="1"/>
  <sheetData>
    <row r="1" spans="1:6">
      <c r="C1" s="1"/>
      <c r="D1" s="1"/>
      <c r="E1" s="1"/>
      <c r="F1" s="1"/>
    </row>
    <row r="2" spans="1:6">
      <c r="A2" s="246"/>
      <c r="B2" s="222" t="s">
        <v>1</v>
      </c>
      <c r="C2" s="223" t="s">
        <v>6</v>
      </c>
      <c r="D2" s="223" t="s">
        <v>8</v>
      </c>
      <c r="E2" s="223" t="s">
        <v>315</v>
      </c>
      <c r="F2" s="53" t="s">
        <v>316</v>
      </c>
    </row>
    <row r="3" spans="1:6">
      <c r="A3" s="247"/>
      <c r="B3" s="224"/>
      <c r="C3" s="48" t="str">
        <f ca="1">IFERROR(__xludf.DUMMYFUNCTION("IF(ISBLANK(C2),"""",HLOOKUP(REGEXEXTRACT(C2,"".*-(.*)""),INDIRECT(CONCATENATE(REGEXEXTRACT(C2,""(.*)-.*""),""!C3:I"")),2,FALSE))"),"Wardancer")</f>
        <v>Wardancer</v>
      </c>
      <c r="D3" s="48" t="str">
        <f ca="1">IFERROR(__xludf.DUMMYFUNCTION("IF(ISBLANK(D2),"""",HLOOKUP(REGEXEXTRACT(D2,"".*-(.*)""),INDIRECT(CONCATENATE(REGEXEXTRACT(D2,""(.*)-.*""),""!C3:P"")),2,FALSE))"),"Deathblade")</f>
        <v>Deathblade</v>
      </c>
      <c r="E3" s="48" t="s">
        <v>317</v>
      </c>
      <c r="F3" s="194" t="s">
        <v>318</v>
      </c>
    </row>
    <row r="4" spans="1:6">
      <c r="A4" s="247"/>
      <c r="B4" s="225"/>
      <c r="C4" s="226">
        <f ca="1">IFERROR(__xludf.DUMMYFUNCTION("IF(ISBLANK(C2),"""",HLOOKUP(REGEXEXTRACT(C2,"".*-(.*)""),INDIRECT(CONCATENATE(REGEXEXTRACT(C2,""(.*)-.*""),""!C3:P"")),3,FALSE))"),1620)</f>
        <v>1620</v>
      </c>
      <c r="D4" s="226">
        <f ca="1">IFERROR(__xludf.DUMMYFUNCTION("IF(ISBLANK(D2),"""",HLOOKUP(REGEXEXTRACT(D2,"".*-(.*)""),INDIRECT(CONCATENATE(REGEXEXTRACT(D2,""(.*)-.*""),""!C3:P"")),3,FALSE))"),1600)</f>
        <v>1600</v>
      </c>
      <c r="E4" s="195"/>
      <c r="F4" s="196"/>
    </row>
    <row r="5" spans="1:6">
      <c r="B5" s="195"/>
      <c r="C5" s="195"/>
      <c r="D5" s="195"/>
      <c r="E5" s="195"/>
      <c r="F5" s="195"/>
    </row>
    <row r="6" spans="1:6">
      <c r="A6" s="246"/>
      <c r="B6" s="227" t="s">
        <v>1</v>
      </c>
      <c r="C6" s="228" t="s">
        <v>319</v>
      </c>
      <c r="D6" s="228" t="s">
        <v>4</v>
      </c>
      <c r="E6" s="228" t="s">
        <v>315</v>
      </c>
      <c r="F6" s="229" t="s">
        <v>316</v>
      </c>
    </row>
    <row r="7" spans="1:6">
      <c r="A7" s="247"/>
      <c r="B7" s="224"/>
      <c r="C7" s="48" t="str">
        <f ca="1">IFERROR(__xludf.DUMMYFUNCTION("IF(ISBLANK(C6),"""",HLOOKUP(REGEXEXTRACT(C6,"".*-(.*)""),INDIRECT(CONCATENATE(REGEXEXTRACT(C6,""(.*)-.*""),""!C3:I"")),2,FALSE))"),"Reaper")</f>
        <v>Reaper</v>
      </c>
      <c r="D7" s="48" t="str">
        <f ca="1">IFERROR(__xludf.DUMMYFUNCTION("IF(ISBLANK(D6),"""",HLOOKUP(REGEXEXTRACT(D6,"".*-(.*)""),INDIRECT(CONCATENATE(REGEXEXTRACT(D6,""(.*)-.*""),""!C3:P"")),2,FALSE))"),"Gunslinger")</f>
        <v>Gunslinger</v>
      </c>
      <c r="E7" s="48" t="s">
        <v>320</v>
      </c>
      <c r="F7" s="194" t="s">
        <v>321</v>
      </c>
    </row>
    <row r="8" spans="1:6">
      <c r="A8" s="247"/>
      <c r="B8" s="225"/>
      <c r="C8" s="226">
        <f ca="1">IFERROR(__xludf.DUMMYFUNCTION("IF(ISBLANK(C6),"""",HLOOKUP(REGEXEXTRACT(C6,"".*-(.*)""),INDIRECT(CONCATENATE(REGEXEXTRACT(C6,""(.*)-.*""),""!C3:P"")),3,FALSE))"),1520)</f>
        <v>1520</v>
      </c>
      <c r="D8" s="226">
        <f ca="1">IFERROR(__xludf.DUMMYFUNCTION("IF(ISBLANK(D6),"""",HLOOKUP(REGEXEXTRACT(D6,"".*-(.*)""),INDIRECT(CONCATENATE(REGEXEXTRACT(D6,""(.*)-.*""),""!C3:P"")),3,FALSE))"),1750)</f>
        <v>1750</v>
      </c>
      <c r="E8" s="195"/>
      <c r="F8" s="196"/>
    </row>
    <row r="9" spans="1:6">
      <c r="B9" s="195"/>
      <c r="C9" s="195"/>
      <c r="D9" s="195"/>
      <c r="E9" s="195"/>
      <c r="F9" s="195"/>
    </row>
    <row r="10" spans="1:6">
      <c r="A10" s="246"/>
      <c r="B10" s="227" t="s">
        <v>1</v>
      </c>
      <c r="C10" s="228" t="s">
        <v>53</v>
      </c>
      <c r="D10" s="228" t="s">
        <v>36</v>
      </c>
      <c r="E10" s="228" t="s">
        <v>315</v>
      </c>
      <c r="F10" s="229" t="s">
        <v>316</v>
      </c>
    </row>
    <row r="11" spans="1:6">
      <c r="A11" s="247"/>
      <c r="B11" s="230"/>
      <c r="C11" s="48" t="str">
        <f ca="1">IFERROR(__xludf.DUMMYFUNCTION("IF(ISBLANK(C10),"""",HLOOKUP(REGEXEXTRACT(C10,"".*-(.*)""),INDIRECT(CONCATENATE(REGEXEXTRACT(C10,""(.*)-.*""),""!C3:I"")),2,FALSE))"),"#REF!")</f>
        <v>#REF!</v>
      </c>
      <c r="D11" s="48" t="str">
        <f ca="1">IFERROR(__xludf.DUMMYFUNCTION("IF(ISBLANK(D10),"""",HLOOKUP(REGEXEXTRACT(D10,"".*-(.*)""),INDIRECT(CONCATENATE(REGEXEXTRACT(D10,""(.*)-.*""),""!C3:P"")),2,FALSE))"),"#N/A")</f>
        <v>#N/A</v>
      </c>
      <c r="E11" s="48" t="s">
        <v>322</v>
      </c>
      <c r="F11" s="194" t="s">
        <v>323</v>
      </c>
    </row>
    <row r="12" spans="1:6">
      <c r="A12" s="247"/>
      <c r="B12" s="231"/>
      <c r="C12" s="226" t="str">
        <f ca="1">IFERROR(__xludf.DUMMYFUNCTION("IF(ISBLANK(C10),"""",HLOOKUP(REGEXEXTRACT(C10,"".*-(.*)""),INDIRECT(CONCATENATE(REGEXEXTRACT(C10,""(.*)-.*""),""!C3:P"")),3,FALSE))"),"#REF!")</f>
        <v>#REF!</v>
      </c>
      <c r="D12" s="226" t="str">
        <f ca="1">IFERROR(__xludf.DUMMYFUNCTION("IF(ISBLANK(D10),"""",HLOOKUP(REGEXEXTRACT(D10,"".*-(.*)""),INDIRECT(CONCATENATE(REGEXEXTRACT(D10,""(.*)-.*""),""!C3:P"")),3,FALSE))"),"#N/A")</f>
        <v>#N/A</v>
      </c>
      <c r="E12" s="195"/>
      <c r="F12" s="196"/>
    </row>
    <row r="13" spans="1:6">
      <c r="B13" s="195"/>
      <c r="C13" s="1"/>
      <c r="D13" s="1"/>
      <c r="E13" s="1"/>
      <c r="F13" s="1"/>
    </row>
    <row r="14" spans="1:6">
      <c r="A14" s="246"/>
      <c r="B14" s="232" t="s">
        <v>1</v>
      </c>
      <c r="C14" s="228" t="s">
        <v>32</v>
      </c>
      <c r="D14" s="228" t="s">
        <v>22</v>
      </c>
      <c r="E14" s="228" t="s">
        <v>315</v>
      </c>
      <c r="F14" s="229" t="s">
        <v>316</v>
      </c>
    </row>
    <row r="15" spans="1:6">
      <c r="A15" s="247"/>
      <c r="B15" s="230"/>
      <c r="C15" s="48" t="str">
        <f ca="1">IFERROR(__xludf.DUMMYFUNCTION("IF(ISBLANK(C14),"""",HLOOKUP(REGEXEXTRACT(C14,"".*-(.*)""),INDIRECT(CONCATENATE(REGEXEXTRACT(C14,""(.*)-.*""),""!C3:I"")),2,FALSE))"),"#REF!")</f>
        <v>#REF!</v>
      </c>
      <c r="D15" s="48" t="str">
        <f ca="1">IFERROR(__xludf.DUMMYFUNCTION("IF(ISBLANK(D14),"""",HLOOKUP(REGEXEXTRACT(D14,"".*-(.*)""),INDIRECT(CONCATENATE(REGEXEXTRACT(D14,""(.*)-.*""),""!C3:P"")),2,FALSE))"),"#N/A")</f>
        <v>#N/A</v>
      </c>
      <c r="E15" s="48" t="s">
        <v>324</v>
      </c>
      <c r="F15" s="194" t="s">
        <v>325</v>
      </c>
    </row>
    <row r="16" spans="1:6">
      <c r="A16" s="247"/>
      <c r="B16" s="231"/>
      <c r="C16" s="195" t="str">
        <f ca="1">IFERROR(__xludf.DUMMYFUNCTION("IF(ISBLANK(C14),"""",HLOOKUP(REGEXEXTRACT(C14,"".*-(.*)""),INDIRECT(CONCATENATE(REGEXEXTRACT(C14,""(.*)-.*""),""!C3:P"")),3,FALSE))"),"#REF!")</f>
        <v>#REF!</v>
      </c>
      <c r="D16" s="226" t="str">
        <f ca="1">IFERROR(__xludf.DUMMYFUNCTION("IF(ISBLANK(D14),"""",HLOOKUP(REGEXEXTRACT(D14,"".*-(.*)""),INDIRECT(CONCATENATE(REGEXEXTRACT(D14,""(.*)-.*""),""!C3:P"")),3,FALSE))"),"#N/A")</f>
        <v>#N/A</v>
      </c>
      <c r="E16" s="195"/>
      <c r="F16" s="196"/>
    </row>
    <row r="17" spans="1:6">
      <c r="B17" s="195"/>
      <c r="C17" s="1"/>
      <c r="D17" s="1"/>
      <c r="E17" s="1"/>
      <c r="F17" s="1"/>
    </row>
    <row r="18" spans="1:6">
      <c r="A18" s="246"/>
      <c r="B18" s="227" t="s">
        <v>1</v>
      </c>
      <c r="C18" s="228" t="s">
        <v>17</v>
      </c>
      <c r="D18" s="228" t="s">
        <v>3</v>
      </c>
      <c r="E18" s="228" t="s">
        <v>315</v>
      </c>
      <c r="F18" s="229" t="s">
        <v>316</v>
      </c>
    </row>
    <row r="19" spans="1:6">
      <c r="A19" s="247"/>
      <c r="B19" s="233"/>
      <c r="C19" s="48" t="str">
        <f ca="1">IFERROR(__xludf.DUMMYFUNCTION("IF(ISBLANK(C18),"""",HLOOKUP(REGEXEXTRACT(C18,"".*-(.*)""),INDIRECT(CONCATENATE(REGEXEXTRACT(C18,""(.*)-.*""),""!C3:L"")),2,FALSE))"),"#REF!")</f>
        <v>#REF!</v>
      </c>
      <c r="D19" s="48" t="str">
        <f ca="1">IFERROR(__xludf.DUMMYFUNCTION("IF(ISBLANK(D18),"""",HLOOKUP(REGEXEXTRACT(D18,"".*-(.*)""),INDIRECT(CONCATENATE(REGEXEXTRACT(D18,""(.*)-.*""),""!C3:P"")),2,FALSE))"),"Sorceress")</f>
        <v>Sorceress</v>
      </c>
      <c r="E19" s="48" t="s">
        <v>326</v>
      </c>
      <c r="F19" s="194" t="s">
        <v>322</v>
      </c>
    </row>
    <row r="20" spans="1:6">
      <c r="A20" s="247"/>
      <c r="B20" s="234"/>
      <c r="C20" s="195" t="str">
        <f ca="1">IFERROR(__xludf.DUMMYFUNCTION("IF(ISBLANK(C18),"""",HLOOKUP(REGEXEXTRACT(C18,"".*-(.*)""),INDIRECT(CONCATENATE(REGEXEXTRACT(C18,""(.*)-.*""),""!C3:P"")),3,FALSE))"),"#REF!")</f>
        <v>#REF!</v>
      </c>
      <c r="D20" s="226">
        <f ca="1">IFERROR(__xludf.DUMMYFUNCTION("IF(ISBLANK(D18),"""",HLOOKUP(REGEXEXTRACT(D18,"".*-(.*)""),INDIRECT(CONCATENATE(REGEXEXTRACT(D18,""(.*)-.*""),""!C3:P"")),3,FALSE))"),1600)</f>
        <v>1600</v>
      </c>
      <c r="E20" s="195"/>
      <c r="F20" s="196"/>
    </row>
    <row r="21" spans="1:6">
      <c r="B21" s="195"/>
      <c r="C21" s="195"/>
      <c r="D21" s="195"/>
      <c r="E21" s="195"/>
      <c r="F21" s="195"/>
    </row>
    <row r="22" spans="1:6">
      <c r="A22" s="246"/>
      <c r="B22" s="227" t="s">
        <v>1</v>
      </c>
      <c r="C22" s="228" t="s">
        <v>5</v>
      </c>
      <c r="D22" s="228" t="s">
        <v>30</v>
      </c>
      <c r="E22" s="228" t="s">
        <v>315</v>
      </c>
      <c r="F22" s="229" t="s">
        <v>316</v>
      </c>
    </row>
    <row r="23" spans="1:6">
      <c r="A23" s="247"/>
      <c r="B23" s="233"/>
      <c r="C23" s="48" t="str">
        <f ca="1">IFERROR(__xludf.DUMMYFUNCTION("IF(ISBLANK(C22),"""",HLOOKUP(REGEXEXTRACT(C22,"".*-(.*)""),INDIRECT(CONCATENATE(REGEXEXTRACT(C22,""(.*)-.*""),""!C3:I"")),2,FALSE))"),"#REF!")</f>
        <v>#REF!</v>
      </c>
      <c r="D23" s="48" t="str">
        <f ca="1">IFERROR(__xludf.DUMMYFUNCTION("IF(ISBLANK(D22),"""",HLOOKUP(REGEXEXTRACT(D22,"".*-(.*)""),INDIRECT(CONCATENATE(REGEXEXTRACT(D22,""(.*)-.*""),""!C3:P"")),2,FALSE))"),"Soulfist")</f>
        <v>Soulfist</v>
      </c>
      <c r="E23" s="48" t="s">
        <v>321</v>
      </c>
      <c r="F23" s="194" t="s">
        <v>324</v>
      </c>
    </row>
    <row r="24" spans="1:6">
      <c r="A24" s="247"/>
      <c r="B24" s="234"/>
      <c r="C24" s="195" t="str">
        <f ca="1">IFERROR(__xludf.DUMMYFUNCTION("IF(ISBLANK(C22),"""",HLOOKUP(REGEXEXTRACT(C22,"".*-(.*)""),INDIRECT(CONCATENATE(REGEXEXTRACT(C22,""(.*)-.*""),""!C3:P"")),3,FALSE))"),"#REF!")</f>
        <v>#REF!</v>
      </c>
      <c r="D24" s="226">
        <f ca="1">IFERROR(__xludf.DUMMYFUNCTION("IF(ISBLANK(D22),"""",HLOOKUP(REGEXEXTRACT(D22,"".*-(.*)""),INDIRECT(CONCATENATE(REGEXEXTRACT(D22,""(.*)-.*""),""!C3:P"")),3,FALSE))"),1750)</f>
        <v>1750</v>
      </c>
      <c r="E24" s="195"/>
      <c r="F24" s="196"/>
    </row>
    <row r="25" spans="1:6">
      <c r="B25" s="195"/>
      <c r="C25" s="195"/>
      <c r="D25" s="195"/>
      <c r="E25" s="195"/>
      <c r="F25" s="195"/>
    </row>
    <row r="26" spans="1:6">
      <c r="A26" s="246"/>
      <c r="B26" s="12" t="s">
        <v>1</v>
      </c>
      <c r="C26" s="4" t="s">
        <v>18</v>
      </c>
      <c r="D26" s="5" t="s">
        <v>24</v>
      </c>
      <c r="E26" s="5" t="s">
        <v>59</v>
      </c>
      <c r="F26" s="229" t="s">
        <v>31</v>
      </c>
    </row>
    <row r="27" spans="1:6">
      <c r="A27" s="247"/>
      <c r="B27" s="13"/>
      <c r="C27" s="8" t="str">
        <f ca="1">IFERROR(__xludf.DUMMYFUNCTION("IF(ISBLANK(C26),"""",HLOOKUP(REGEXEXTRACT(C26,"".*-(.*)""),INDIRECT(CONCATENATE(REGEXEXTRACT(C26,""(.*)-.*""),""!C3:I"")),2,FALSE))"),"#REF!")</f>
        <v>#REF!</v>
      </c>
      <c r="D27" s="8" t="str">
        <f ca="1">IFERROR(__xludf.DUMMYFUNCTION("IF(ISBLANK(D26),"""",HLOOKUP(REGEXEXTRACT(D26,"".*-(.*)""),INDIRECT(CONCATENATE(REGEXEXTRACT(D26,""(.*)-.*""),""!C3:P"")),2,FALSE))"),"Glaivier")</f>
        <v>Glaivier</v>
      </c>
      <c r="E27" s="8" t="str">
        <f ca="1">IFERROR(__xludf.DUMMYFUNCTION("IF(ISBLANK(E26),"""",HLOOKUP(REGEXEXTRACT(E26,"".*-(.*)""),INDIRECT(CONCATENATE(REGEXEXTRACT(E26,""(.*)-.*""),""!C3:P"")),2,FALSE))"),"#REF!")</f>
        <v>#REF!</v>
      </c>
      <c r="F27" s="9" t="str">
        <f ca="1">IFERROR(__xludf.DUMMYFUNCTION("IF(ISBLANK(F26),"""",HLOOKUP(REGEXEXTRACT(F26,"".*-(.*)""),INDIRECT(CONCATENATE(REGEXEXTRACT(F26,""(.*)-.*""),""!C3:P"")),2,FALSE))"),"#N/A")</f>
        <v>#N/A</v>
      </c>
    </row>
    <row r="28" spans="1:6">
      <c r="A28" s="247"/>
      <c r="B28" s="14"/>
      <c r="C28" s="10" t="str">
        <f ca="1">IFERROR(__xludf.DUMMYFUNCTION("IF(ISBLANK(C26),"""",HLOOKUP(REGEXEXTRACT(C26,"".*-(.*)""),INDIRECT(CONCATENATE(REGEXEXTRACT(C26,""(.*)-.*""),""!C3:P"")),3,FALSE))"),"#REF!")</f>
        <v>#REF!</v>
      </c>
      <c r="D28" s="10">
        <f ca="1">IFERROR(__xludf.DUMMYFUNCTION("IF(ISBLANK(D26),"""",HLOOKUP(REGEXEXTRACT(D26,"".*-(.*)""),INDIRECT(CONCATENATE(REGEXEXTRACT(D26,""(.*)-.*""),""!C3:P"")),3,FALSE))"),1750)</f>
        <v>1750</v>
      </c>
      <c r="E28" s="10" t="str">
        <f ca="1">IFERROR(__xludf.DUMMYFUNCTION("IF(ISBLANK(E26),"""",HLOOKUP(REGEXEXTRACT(E26,"".*-(.*)""),INDIRECT(CONCATENATE(REGEXEXTRACT(E26,""(.*)-.*""),""!C3:P"")),3,FALSE))"),"#REF!")</f>
        <v>#REF!</v>
      </c>
      <c r="F28" s="11" t="str">
        <f ca="1">IFERROR(__xludf.DUMMYFUNCTION("IF(ISBLANK(F26),"""",HLOOKUP(REGEXEXTRACT(F26,"".*-(.*)""),INDIRECT(CONCATENATE(REGEXEXTRACT(F26,""(.*)-.*""),""!C3:P"")),3,FALSE))"),"#N/A")</f>
        <v>#N/A</v>
      </c>
    </row>
    <row r="29" spans="1:6">
      <c r="B29" s="195"/>
      <c r="C29" s="195"/>
      <c r="D29" s="195"/>
      <c r="E29" s="195"/>
      <c r="F29" s="195"/>
    </row>
    <row r="30" spans="1:6">
      <c r="A30" s="246"/>
      <c r="B30" s="12" t="s">
        <v>1</v>
      </c>
      <c r="C30" s="228" t="s">
        <v>15</v>
      </c>
      <c r="D30" s="5" t="s">
        <v>21</v>
      </c>
      <c r="E30" s="5" t="s">
        <v>16</v>
      </c>
      <c r="F30" s="6" t="s">
        <v>23</v>
      </c>
    </row>
    <row r="31" spans="1:6">
      <c r="A31" s="247"/>
      <c r="B31" s="13"/>
      <c r="C31" s="8" t="str">
        <f ca="1">IFERROR(__xludf.DUMMYFUNCTION("IF(ISBLANK(C30),"""",HLOOKUP(REGEXEXTRACT(C30,"".*-(.*)""),INDIRECT(CONCATENATE(REGEXEXTRACT(C30,""(.*)-.*""),""!C3:I"")),2,FALSE))"),"#N/A")</f>
        <v>#N/A</v>
      </c>
      <c r="D31" s="8" t="str">
        <f ca="1">IFERROR(__xludf.DUMMYFUNCTION("IF(ISBLANK(D30),"""",HLOOKUP(REGEXEXTRACT(D30,"".*-(.*)""),INDIRECT(CONCATENATE(REGEXEXTRACT(D30,""(.*)-.*""),""!C3:P"")),2,FALSE))"),"#REF!")</f>
        <v>#REF!</v>
      </c>
      <c r="E31" s="8" t="str">
        <f ca="1">IFERROR(__xludf.DUMMYFUNCTION("IF(ISBLANK(E30),"""",HLOOKUP(REGEXEXTRACT(E30,"".*-(.*)""),INDIRECT(CONCATENATE(REGEXEXTRACT(E30,""(.*)-.*""),""!C3:P"")),2,FALSE))"),"Striker")</f>
        <v>Striker</v>
      </c>
      <c r="F31" s="9" t="str">
        <f ca="1">IFERROR(__xludf.DUMMYFUNCTION("IF(ISBLANK(F30),"""",HLOOKUP(REGEXEXTRACT(F30,"".*-(.*)""),INDIRECT(CONCATENATE(REGEXEXTRACT(F30,""(.*)-.*""),""!C3:P"")),2,FALSE))"),"#REF!")</f>
        <v>#REF!</v>
      </c>
    </row>
    <row r="32" spans="1:6">
      <c r="A32" s="247"/>
      <c r="B32" s="14"/>
      <c r="C32" s="10" t="str">
        <f ca="1">IFERROR(__xludf.DUMMYFUNCTION("IF(ISBLANK(C30),"""",HLOOKUP(REGEXEXTRACT(C30,"".*-(.*)""),INDIRECT(CONCATENATE(REGEXEXTRACT(C30,""(.*)-.*""),""!C3:P"")),3,FALSE))"),"#N/A")</f>
        <v>#N/A</v>
      </c>
      <c r="D32" s="10" t="str">
        <f ca="1">IFERROR(__xludf.DUMMYFUNCTION("IF(ISBLANK(D30),"""",HLOOKUP(REGEXEXTRACT(D30,"".*-(.*)""),INDIRECT(CONCATENATE(REGEXEXTRACT(D30,""(.*)-.*""),""!C3:P"")),3,FALSE))"),"#REF!")</f>
        <v>#REF!</v>
      </c>
      <c r="E32" s="10">
        <f ca="1">IFERROR(__xludf.DUMMYFUNCTION("IF(ISBLANK(E30),"""",HLOOKUP(REGEXEXTRACT(E30,"".*-(.*)""),INDIRECT(CONCATENATE(REGEXEXTRACT(E30,""(.*)-.*""),""!C3:P"")),3,FALSE))"),1540)</f>
        <v>1540</v>
      </c>
      <c r="F32" s="11" t="str">
        <f ca="1">IFERROR(__xludf.DUMMYFUNCTION("IF(ISBLANK(F30),"""",HLOOKUP(REGEXEXTRACT(F30,"".*-(.*)""),INDIRECT(CONCATENATE(REGEXEXTRACT(F30,""(.*)-.*""),""!C3:P"")),3,FALSE))"),"#REF!")</f>
        <v>#REF!</v>
      </c>
    </row>
    <row r="33" spans="1:6">
      <c r="B33" s="195"/>
      <c r="C33" s="195"/>
      <c r="D33" s="195"/>
      <c r="E33" s="195"/>
      <c r="F33" s="195"/>
    </row>
    <row r="34" spans="1:6">
      <c r="A34" s="246"/>
      <c r="B34" s="232" t="s">
        <v>1</v>
      </c>
      <c r="C34" s="228" t="s">
        <v>9</v>
      </c>
      <c r="D34" s="228" t="s">
        <v>63</v>
      </c>
      <c r="E34" s="228" t="s">
        <v>14</v>
      </c>
      <c r="F34" s="228" t="s">
        <v>11</v>
      </c>
    </row>
    <row r="35" spans="1:6">
      <c r="A35" s="247"/>
      <c r="B35" s="235"/>
      <c r="C35" s="48" t="str">
        <f ca="1">IFERROR(__xludf.DUMMYFUNCTION("IF(ISBLANK(C34),"""",HLOOKUP(REGEXEXTRACT(C34,"".*-(.*)""),INDIRECT(CONCATENATE(REGEXEXTRACT(C34,""(.*)-.*""),""!C3:I"")),2,FALSE))"),"#REF!")</f>
        <v>#REF!</v>
      </c>
      <c r="D35" s="48" t="str">
        <f ca="1">IFERROR(__xludf.DUMMYFUNCTION("IF(ISBLANK(D34),"""",HLOOKUP(REGEXEXTRACT(D34,"".*-(.*)""),INDIRECT(CONCATENATE(REGEXEXTRACT(D34,""(.*)-.*""),""!C3:P"")),2,FALSE))"),"Scrapper")</f>
        <v>Scrapper</v>
      </c>
      <c r="E35" s="48" t="str">
        <f ca="1">IFERROR(__xludf.DUMMYFUNCTION("IF(ISBLANK(E34),"""",HLOOKUP(REGEXEXTRACT(E34,"".*-(.*)""),INDIRECT(CONCATENATE(REGEXEXTRACT(E34,""(.*)-.*""),""!C3:P"")),2,FALSE))"),"Deathblade")</f>
        <v>Deathblade</v>
      </c>
      <c r="F35" s="194" t="str">
        <f ca="1">IFERROR(__xludf.DUMMYFUNCTION("IF(ISBLANK(F34),"""",HLOOKUP(REGEXEXTRACT(F34,"".*-(.*)""),INDIRECT(CONCATENATE(REGEXEXTRACT(F34,""(.*)-.*""),""!C3:P"")),2,FALSE))"),"Arcana")</f>
        <v>Arcana</v>
      </c>
    </row>
    <row r="36" spans="1:6">
      <c r="A36" s="247"/>
      <c r="B36" s="236"/>
      <c r="C36" s="195" t="str">
        <f ca="1">IFERROR(__xludf.DUMMYFUNCTION("IF(ISBLANK(C34),"""",HLOOKUP(REGEXEXTRACT(C34,"".*-(.*)""),INDIRECT(CONCATENATE(REGEXEXTRACT(C34,""(.*)-.*""),""!C3:P"")),3,FALSE))"),"#REF!")</f>
        <v>#REF!</v>
      </c>
      <c r="D36" s="226">
        <f ca="1">IFERROR(__xludf.DUMMYFUNCTION("IF(ISBLANK(D34),"""",HLOOKUP(REGEXEXTRACT(D34,"".*-(.*)""),INDIRECT(CONCATENATE(REGEXEXTRACT(D34,""(.*)-.*""),""!C3:P"")),3,FALSE))"),1730)</f>
        <v>1730</v>
      </c>
      <c r="E36" s="226">
        <f ca="1">IFERROR(__xludf.DUMMYFUNCTION("IF(ISBLANK(E34),"""",HLOOKUP(REGEXEXTRACT(E34,"".*-(.*)""),INDIRECT(CONCATENATE(REGEXEXTRACT(E34,""(.*)-.*""),""!C3:P"")),3,FALSE))"),1540)</f>
        <v>1540</v>
      </c>
      <c r="F36" s="237">
        <f ca="1">IFERROR(__xludf.DUMMYFUNCTION("IF(ISBLANK(F34),"""",HLOOKUP(REGEXEXTRACT(F34,"".*-(.*)""),INDIRECT(CONCATENATE(REGEXEXTRACT(F34,""(.*)-.*""),""!C3:P"")),3,FALSE))"),1560)</f>
        <v>1560</v>
      </c>
    </row>
    <row r="38" spans="1:6">
      <c r="A38" s="246"/>
      <c r="B38" s="12" t="s">
        <v>1</v>
      </c>
      <c r="C38" s="4" t="s">
        <v>26</v>
      </c>
      <c r="D38" s="5" t="s">
        <v>27</v>
      </c>
      <c r="E38" s="5" t="s">
        <v>28</v>
      </c>
      <c r="F38" s="6" t="s">
        <v>29</v>
      </c>
    </row>
    <row r="39" spans="1:6">
      <c r="A39" s="247"/>
      <c r="B39" s="15"/>
      <c r="C39" s="8" t="str">
        <f ca="1">IFERROR(__xludf.DUMMYFUNCTION("IF(ISBLANK(C38),"""",HLOOKUP(REGEXEXTRACT(C38,"".*-(.*)""),INDIRECT(CONCATENATE(REGEXEXTRACT(C38,""(.*)-.*""),""!C3:I"")),2,FALSE))"),"#N/A")</f>
        <v>#N/A</v>
      </c>
      <c r="D39" s="8" t="str">
        <f ca="1">IFERROR(__xludf.DUMMYFUNCTION("IF(ISBLANK(D38),"""",HLOOKUP(REGEXEXTRACT(D38,"".*-(.*)""),INDIRECT(CONCATENATE(REGEXEXTRACT(D38,""(.*)-.*""),""!C3:P"")),2,FALSE))"),"Guardianknight")</f>
        <v>Guardianknight</v>
      </c>
      <c r="E39" s="8" t="str">
        <f ca="1">IFERROR(__xludf.DUMMYFUNCTION("IF(ISBLANK(E38),"""",HLOOKUP(REGEXEXTRACT(E38,"".*-(.*)""),INDIRECT(CONCATENATE(REGEXEXTRACT(E38,""(.*)-.*""),""!C3:P"")),2,FALSE))"),"#REF!")</f>
        <v>#REF!</v>
      </c>
      <c r="F39" s="9" t="str">
        <f ca="1">IFERROR(__xludf.DUMMYFUNCTION("IF(ISBLANK(F38),"""",HLOOKUP(REGEXEXTRACT(F38,"".*-(.*)""),INDIRECT(CONCATENATE(REGEXEXTRACT(F38,""(.*)-.*""),""!C3:P"")),2,FALSE))"),"Bard")</f>
        <v>Bard</v>
      </c>
    </row>
    <row r="40" spans="1:6">
      <c r="A40" s="247"/>
      <c r="B40" s="16"/>
      <c r="C40" s="10" t="str">
        <f ca="1">IFERROR(__xludf.DUMMYFUNCTION("IF(ISBLANK(C38),"""",HLOOKUP(REGEXEXTRACT(C38,"".*-(.*)""),INDIRECT(CONCATENATE(REGEXEXTRACT(C38,""(.*)-.*""),""!C3:P"")),3,FALSE))"),"#N/A")</f>
        <v>#N/A</v>
      </c>
      <c r="D40" s="10">
        <f ca="1">IFERROR(__xludf.DUMMYFUNCTION("IF(ISBLANK(D38),"""",HLOOKUP(REGEXEXTRACT(D38,"".*-(.*)""),INDIRECT(CONCATENATE(REGEXEXTRACT(D38,""(.*)-.*""),""!C3:P"")),3,FALSE))"),1750)</f>
        <v>1750</v>
      </c>
      <c r="E40" s="10" t="str">
        <f ca="1">IFERROR(__xludf.DUMMYFUNCTION("IF(ISBLANK(E38),"""",HLOOKUP(REGEXEXTRACT(E38,"".*-(.*)""),INDIRECT(CONCATENATE(REGEXEXTRACT(E38,""(.*)-.*""),""!C3:P"")),3,FALSE))"),"#REF!")</f>
        <v>#REF!</v>
      </c>
      <c r="F40" s="11">
        <f ca="1">IFERROR(__xludf.DUMMYFUNCTION("IF(ISBLANK(F38),"""",HLOOKUP(REGEXEXTRACT(F38,"".*-(.*)""),INDIRECT(CONCATENATE(REGEXEXTRACT(F38,""(.*)-.*""),""!C3:P"")),3,FALSE))"),1540)</f>
        <v>1540</v>
      </c>
    </row>
    <row r="42" spans="1:6">
      <c r="B42" s="12" t="s">
        <v>1</v>
      </c>
      <c r="C42" s="4" t="s">
        <v>7</v>
      </c>
      <c r="D42" s="228" t="s">
        <v>20</v>
      </c>
      <c r="E42" s="5" t="s">
        <v>12</v>
      </c>
      <c r="F42" s="228" t="s">
        <v>10</v>
      </c>
    </row>
    <row r="43" spans="1:6">
      <c r="B43" s="38"/>
      <c r="C43" s="8" t="str">
        <f ca="1">IFERROR(__xludf.DUMMYFUNCTION("IF(ISBLANK(C42),"""",HLOOKUP(REGEXEXTRACT(C42,"".*-(.*)""),INDIRECT(CONCATENATE(REGEXEXTRACT(C42,""(.*)-.*""),""!C3:K"")),2,FALSE))"),"#N/A")</f>
        <v>#N/A</v>
      </c>
      <c r="D43" s="8" t="str">
        <f ca="1">IFERROR(__xludf.DUMMYFUNCTION("IF(ISBLANK(D42),"""",HLOOKUP(REGEXEXTRACT(D42,"".*-(.*)""),INDIRECT(CONCATENATE(REGEXEXTRACT(D42,""(.*)-.*""),""!C3:P"")),2,FALSE))"),"#N/A")</f>
        <v>#N/A</v>
      </c>
      <c r="E43" s="8" t="str">
        <f ca="1">IFERROR(__xludf.DUMMYFUNCTION("IF(ISBLANK(E42),"""",HLOOKUP(REGEXEXTRACT(E42,"".*-(.*)""),INDIRECT(CONCATENATE(REGEXEXTRACT(E42,""(.*)-.*""),""!C3:P"")),2,FALSE))"),"Sorceress")</f>
        <v>Sorceress</v>
      </c>
      <c r="F43" s="9" t="str">
        <f ca="1">IFERROR(__xludf.DUMMYFUNCTION("IF(ISBLANK(F42),"""",HLOOKUP(REGEXEXTRACT(F42,"".*-(.*)""),INDIRECT(CONCATENATE(REGEXEXTRACT(F42,""(.*)-.*""),""!C3:P"")),2,FALSE))"),"Bard")</f>
        <v>Bard</v>
      </c>
    </row>
    <row r="44" spans="1:6">
      <c r="B44" s="40"/>
      <c r="C44" s="10" t="str">
        <f ca="1">IFERROR(__xludf.DUMMYFUNCTION("IF(ISBLANK(C42),"""",HLOOKUP(REGEXEXTRACT(C42,"".*-(.*)""),INDIRECT(CONCATENATE(REGEXEXTRACT(C42,""(.*)-.*""),""!C3:P"")),3,FALSE))"),"#N/A")</f>
        <v>#N/A</v>
      </c>
      <c r="D44" s="10" t="str">
        <f ca="1">IFERROR(__xludf.DUMMYFUNCTION("IF(ISBLANK(D42),"""",HLOOKUP(REGEXEXTRACT(D42,"".*-(.*)""),INDIRECT(CONCATENATE(REGEXEXTRACT(D42,""(.*)-.*""),""!C3:P"")),3,FALSE))"),"#N/A")</f>
        <v>#N/A</v>
      </c>
      <c r="E44" s="10">
        <f ca="1">IFERROR(__xludf.DUMMYFUNCTION("IF(ISBLANK(E42),"""",HLOOKUP(REGEXEXTRACT(E42,"".*-(.*)""),INDIRECT(CONCATENATE(REGEXEXTRACT(E42,""(.*)-.*""),""!C3:P"")),3,FALSE))"),1750)</f>
        <v>1750</v>
      </c>
      <c r="F44" s="11">
        <f ca="1">IFERROR(__xludf.DUMMYFUNCTION("IF(ISBLANK(F42),"""",HLOOKUP(REGEXEXTRACT(F42,"".*-(.*)""),INDIRECT(CONCATENATE(REGEXEXTRACT(F42,""(.*)-.*""),""!C3:P"")),3,FALSE))"),1560)</f>
        <v>1560</v>
      </c>
    </row>
    <row r="46" spans="1:6">
      <c r="B46" s="3" t="s">
        <v>33</v>
      </c>
      <c r="C46" s="4" t="s">
        <v>38</v>
      </c>
      <c r="D46" s="5" t="s">
        <v>35</v>
      </c>
      <c r="E46" s="5" t="s">
        <v>36</v>
      </c>
      <c r="F46" s="6"/>
    </row>
    <row r="47" spans="1:6">
      <c r="B47" s="17"/>
      <c r="C47" s="8" t="str">
        <f ca="1">IFERROR(__xludf.DUMMYFUNCTION("IF(ISBLANK(C46),"""",HLOOKUP(REGEXEXTRACT(C46,"".*-(.*)""),INDIRECT(CONCATENATE(REGEXEXTRACT(C46,""(.*)-.*""),""!C3:I"")),2,FALSE))"),"Gunslinger")</f>
        <v>Gunslinger</v>
      </c>
      <c r="D47" s="8" t="str">
        <f ca="1">IFERROR(__xludf.DUMMYFUNCTION("IF(ISBLANK(D46),"""",HLOOKUP(REGEXEXTRACT(D46,"".*-(.*)""),INDIRECT(CONCATENATE(REGEXEXTRACT(D46,""(.*)-.*""),""!C3:P"")),2,FALSE))"),"Bard")</f>
        <v>Bard</v>
      </c>
      <c r="E47" s="8" t="str">
        <f ca="1">IFERROR(__xludf.DUMMYFUNCTION("IF(ISBLANK(E46),"""",HLOOKUP(REGEXEXTRACT(E46,"".*-(.*)""),INDIRECT(CONCATENATE(REGEXEXTRACT(E46,""(.*)-.*""),""!C3:P"")),2,FALSE))"),"#N/A")</f>
        <v>#N/A</v>
      </c>
      <c r="F47" s="9" t="str">
        <f ca="1">IFERROR(__xludf.DUMMYFUNCTION("IF(ISBLANK(F46),"""",HLOOKUP(REGEXEXTRACT(F46,"".*-(.*)""),INDIRECT(CONCATENATE(REGEXEXTRACT(F46,""(.*)-.*""),""!C3:P"")),2,FALSE))"),"")</f>
        <v/>
      </c>
    </row>
    <row r="48" spans="1:6">
      <c r="B48" s="18"/>
      <c r="C48" s="10">
        <f ca="1">IFERROR(__xludf.DUMMYFUNCTION("IF(ISBLANK(C46),"""",HLOOKUP(REGEXEXTRACT(C46,"".*-(.*)""),INDIRECT(CONCATENATE(REGEXEXTRACT(C46,""(.*)-.*""),""!C3:P"")),3,FALSE))"),1600)</f>
        <v>1600</v>
      </c>
      <c r="D48" s="10">
        <f ca="1">IFERROR(__xludf.DUMMYFUNCTION("IF(ISBLANK(D46),"""",HLOOKUP(REGEXEXTRACT(D46,"".*-(.*)""),INDIRECT(CONCATENATE(REGEXEXTRACT(D46,""(.*)-.*""),""!C3:P"")),3,FALSE))"),1730)</f>
        <v>1730</v>
      </c>
      <c r="E48" s="10" t="str">
        <f ca="1">IFERROR(__xludf.DUMMYFUNCTION("IF(ISBLANK(E46),"""",HLOOKUP(REGEXEXTRACT(E46,"".*-(.*)""),INDIRECT(CONCATENATE(REGEXEXTRACT(E46,""(.*)-.*""),""!C3:P"")),3,FALSE))"),"#N/A")</f>
        <v>#N/A</v>
      </c>
      <c r="F48" s="11" t="str">
        <f ca="1">IFERROR(__xludf.DUMMYFUNCTION("IF(ISBLANK(F46),"""",HLOOKUP(REGEXEXTRACT(F46,"".*-(.*)""),INDIRECT(CONCATENATE(REGEXEXTRACT(F46,""(.*)-.*""),""!C3:P"")),3,FALSE))"),"")</f>
        <v/>
      </c>
    </row>
    <row r="50" spans="2:6">
      <c r="B50" s="3" t="s">
        <v>37</v>
      </c>
      <c r="C50" s="4" t="s">
        <v>34</v>
      </c>
      <c r="D50" s="5" t="s">
        <v>39</v>
      </c>
      <c r="E50" s="5" t="s">
        <v>40</v>
      </c>
      <c r="F50" s="6"/>
    </row>
    <row r="51" spans="2:6">
      <c r="B51" s="19"/>
      <c r="C51" s="8" t="str">
        <f ca="1">IFERROR(__xludf.DUMMYFUNCTION("IF(ISBLANK(C50),"""",HLOOKUP(REGEXEXTRACT(C50,"".*-(.*)""),INDIRECT(CONCATENATE(REGEXEXTRACT(C50,""(.*)-.*""),""!C3:I"")),2,FALSE))"),"Arcana")</f>
        <v>Arcana</v>
      </c>
      <c r="D51" s="8" t="str">
        <f ca="1">IFERROR(__xludf.DUMMYFUNCTION("IF(ISBLANK(D50),"""",HLOOKUP(REGEXEXTRACT(D50,"".*-(.*)""),INDIRECT(CONCATENATE(REGEXEXTRACT(D50,""(.*)-.*""),""!C3:P"")),2,FALSE))"),"Summoner")</f>
        <v>Summoner</v>
      </c>
      <c r="E51" s="8" t="str">
        <f ca="1">IFERROR(__xludf.DUMMYFUNCTION("IF(ISBLANK(E50),"""",HLOOKUP(REGEXEXTRACT(E50,"".*-(.*)""),INDIRECT(CONCATENATE(REGEXEXTRACT(E50,""(.*)-.*""),""!C3:P"")),2,FALSE))"),"Paladin")</f>
        <v>Paladin</v>
      </c>
      <c r="F51" s="9" t="str">
        <f ca="1">IFERROR(__xludf.DUMMYFUNCTION("IF(ISBLANK(F50),"""",HLOOKUP(REGEXEXTRACT(F50,"".*-(.*)""),INDIRECT(CONCATENATE(REGEXEXTRACT(F50,""(.*)-.*""),""!C3:P"")),2,FALSE))"),"")</f>
        <v/>
      </c>
    </row>
    <row r="52" spans="2:6">
      <c r="B52" s="20"/>
      <c r="C52" s="10">
        <f ca="1">IFERROR(__xludf.DUMMYFUNCTION("IF(ISBLANK(C50),"""",HLOOKUP(REGEXEXTRACT(C50,"".*-(.*)""),INDIRECT(CONCATENATE(REGEXEXTRACT(C50,""(.*)-.*""),""!C3:P"")),3,FALSE))"),1570)</f>
        <v>1570</v>
      </c>
      <c r="D52" s="10">
        <f ca="1">IFERROR(__xludf.DUMMYFUNCTION("IF(ISBLANK(D50),"""",HLOOKUP(REGEXEXTRACT(D50,"".*-(.*)""),INDIRECT(CONCATENATE(REGEXEXTRACT(D50,""(.*)-.*""),""!C3:P"")),3,FALSE))"),1750)</f>
        <v>1750</v>
      </c>
      <c r="E52" s="10">
        <f ca="1">IFERROR(__xludf.DUMMYFUNCTION("IF(ISBLANK(E50),"""",HLOOKUP(REGEXEXTRACT(E50,"".*-(.*)""),INDIRECT(CONCATENATE(REGEXEXTRACT(E50,""(.*)-.*""),""!C3:P"")),3,FALSE))"),1750)</f>
        <v>1750</v>
      </c>
      <c r="F52" s="11" t="str">
        <f ca="1">IFERROR(__xludf.DUMMYFUNCTION("IF(ISBLANK(F50),"""",HLOOKUP(REGEXEXTRACT(F50,"".*-(.*)""),INDIRECT(CONCATENATE(REGEXEXTRACT(F50,""(.*)-.*""),""!C3:P"")),3,FALSE))"),"")</f>
        <v/>
      </c>
    </row>
  </sheetData>
  <mergeCells count="10">
    <mergeCell ref="A30:A32"/>
    <mergeCell ref="A34:A36"/>
    <mergeCell ref="A38:A40"/>
    <mergeCell ref="A2:A4"/>
    <mergeCell ref="A6:A8"/>
    <mergeCell ref="A10:A12"/>
    <mergeCell ref="A14:A16"/>
    <mergeCell ref="A18:A20"/>
    <mergeCell ref="A22:A24"/>
    <mergeCell ref="A26:A28"/>
  </mergeCells>
  <conditionalFormatting sqref="A2:A12 A14:A28 A30:A32 A34:A36 A38:A40">
    <cfRule type="cellIs" dxfId="5" priority="1" operator="equal">
      <formula>"DONE"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1000-000000000000}">
          <x14:formula1>
            <xm:f>chars!$B$2:$Z972</xm:f>
          </x14:formula1>
          <xm:sqref>C2:F2 C6:F6 C10:F10 C14:F14 C18:F18 C22:F22 C26:F26 C30:F30 C34:F34 C38:F38 C42:F42 C46:F46 C50:F50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43"/>
  <sheetViews>
    <sheetView workbookViewId="0"/>
  </sheetViews>
  <sheetFormatPr defaultColWidth="12.5703125" defaultRowHeight="15.75" customHeight="1"/>
  <cols>
    <col min="1" max="1" width="15" customWidth="1"/>
    <col min="5" max="5" width="6.42578125" customWidth="1"/>
    <col min="7" max="8" width="12.5703125" hidden="1"/>
    <col min="9" max="9" width="21.85546875" hidden="1" customWidth="1"/>
    <col min="10" max="11" width="12.5703125" hidden="1"/>
  </cols>
  <sheetData>
    <row r="1" spans="1:11">
      <c r="A1" s="210" t="s">
        <v>279</v>
      </c>
    </row>
    <row r="2" spans="1:11">
      <c r="A2" s="63" t="s">
        <v>280</v>
      </c>
    </row>
    <row r="3" spans="1:11">
      <c r="G3" s="7" t="s">
        <v>281</v>
      </c>
      <c r="H3" s="7">
        <f>COUNTIF(H20:J20,"&gt;0")</f>
        <v>2</v>
      </c>
    </row>
    <row r="4" spans="1:11">
      <c r="A4" s="210" t="s">
        <v>282</v>
      </c>
      <c r="G4" s="7"/>
    </row>
    <row r="5" spans="1:11">
      <c r="A5" s="7" t="s">
        <v>327</v>
      </c>
      <c r="G5" s="7" t="s">
        <v>284</v>
      </c>
    </row>
    <row r="6" spans="1:11">
      <c r="A6" s="7" t="s">
        <v>328</v>
      </c>
    </row>
    <row r="7" spans="1:11">
      <c r="A7" s="7" t="s">
        <v>329</v>
      </c>
      <c r="G7" s="7" t="s">
        <v>287</v>
      </c>
    </row>
    <row r="8" spans="1:11">
      <c r="A8" s="7" t="s">
        <v>330</v>
      </c>
      <c r="G8" s="7" t="e">
        <f ca="1">_xludf.IFS(H20&gt;0,H19,I20&gt;0,I19,J20&gt;0,J19)</f>
        <v>#NAME?</v>
      </c>
      <c r="H8" s="7" t="s">
        <v>289</v>
      </c>
      <c r="I8" s="7" t="e">
        <f ca="1">IF(G8=H19,I19,H19)</f>
        <v>#NAME?</v>
      </c>
      <c r="J8" s="7" t="s">
        <v>290</v>
      </c>
      <c r="K8" s="211" t="e">
        <f ca="1">IF(G8=H19,I20,H20)</f>
        <v>#NAME?</v>
      </c>
    </row>
    <row r="9" spans="1:11">
      <c r="A9" s="7" t="s">
        <v>291</v>
      </c>
      <c r="G9" s="7" t="e">
        <f ca="1">_xludf.IFS(H20&gt;0,H19,I20&gt;0,I19,J20&gt;0,J19)</f>
        <v>#NAME?</v>
      </c>
      <c r="H9" s="7" t="s">
        <v>289</v>
      </c>
      <c r="I9" s="7" t="e">
        <f ca="1">_xludf.IFS(G9=H19,J19,G9=I19,J19,G9=J19,I19)</f>
        <v>#NAME?</v>
      </c>
      <c r="J9" s="7" t="s">
        <v>290</v>
      </c>
      <c r="K9" s="7" t="e">
        <f ca="1">_xludf.IFS(G9=H19,J20,G9=I19,J20,G9=J19,I20)</f>
        <v>#NAME?</v>
      </c>
    </row>
    <row r="11" spans="1:11">
      <c r="B11" s="212" t="s">
        <v>254</v>
      </c>
      <c r="C11" s="212" t="s">
        <v>82</v>
      </c>
      <c r="D11" s="212" t="s">
        <v>79</v>
      </c>
      <c r="G11" s="7" t="s">
        <v>292</v>
      </c>
    </row>
    <row r="12" spans="1:11">
      <c r="B12" s="7" t="s">
        <v>293</v>
      </c>
      <c r="C12" s="7" t="s">
        <v>294</v>
      </c>
      <c r="D12" s="7" t="s">
        <v>295</v>
      </c>
      <c r="G12" s="7" t="e">
        <f ca="1">IF(I12=H19,I19,H19)</f>
        <v>#NAME?</v>
      </c>
      <c r="H12" s="7" t="s">
        <v>289</v>
      </c>
      <c r="I12" s="7" t="e">
        <f ca="1">_xludf.IFS(H20&lt;0,H19,I20&lt;0,I19,J20&lt;0,J19)</f>
        <v>#NAME?</v>
      </c>
      <c r="J12" s="7" t="s">
        <v>290</v>
      </c>
      <c r="K12" s="7" t="e">
        <f t="shared" ref="K12:K13" ca="1" si="0">_xludf.IFS(G12=$H$19,$H$20,G12=$I$19,$I$20,G12=$J$19,$J$20)</f>
        <v>#NAME?</v>
      </c>
    </row>
    <row r="13" spans="1:11">
      <c r="B13" s="213"/>
      <c r="C13" s="213"/>
      <c r="D13" s="213"/>
      <c r="G13" s="7" t="e">
        <f ca="1">_xludf.IFS(I12=H19,J19,I12=I19,J19,I12=J19,I19)</f>
        <v>#NAME?</v>
      </c>
      <c r="H13" s="7" t="s">
        <v>289</v>
      </c>
      <c r="I13" s="7" t="e">
        <f ca="1">_xludf.IFS(H20&lt;0,H19,I20&lt;0,I19,J20&lt;0,J19)</f>
        <v>#NAME?</v>
      </c>
      <c r="J13" s="7" t="s">
        <v>290</v>
      </c>
      <c r="K13" s="7" t="e">
        <f t="shared" ca="1" si="0"/>
        <v>#NAME?</v>
      </c>
    </row>
    <row r="14" spans="1:11">
      <c r="B14" s="213"/>
      <c r="C14" s="213"/>
      <c r="D14" s="213"/>
    </row>
    <row r="15" spans="1:11">
      <c r="B15" s="213"/>
      <c r="C15" s="213"/>
      <c r="D15" s="213"/>
    </row>
    <row r="16" spans="1:11">
      <c r="B16" s="213"/>
      <c r="C16" s="213"/>
      <c r="D16" s="213"/>
      <c r="F16" s="210"/>
      <c r="G16" s="7" t="s">
        <v>296</v>
      </c>
      <c r="H16" s="211">
        <f>SUM(B40:D40)</f>
        <v>22419.199999999997</v>
      </c>
    </row>
    <row r="17" spans="2:10">
      <c r="B17" s="213"/>
      <c r="C17" s="213"/>
      <c r="D17" s="213"/>
      <c r="G17" s="7" t="s">
        <v>297</v>
      </c>
      <c r="H17" s="211">
        <f>H16/3</f>
        <v>7473.0666666666657</v>
      </c>
    </row>
    <row r="18" spans="2:10">
      <c r="B18" s="213"/>
      <c r="C18" s="213"/>
      <c r="D18" s="213"/>
    </row>
    <row r="19" spans="2:10">
      <c r="B19" s="213"/>
      <c r="C19" s="213"/>
      <c r="D19" s="213"/>
      <c r="H19" s="212" t="e">
        <f t="shared" ref="H19:J19" ca="1" si="1">_xludf.CONCAT(B12,B11)</f>
        <v>#NAME?</v>
      </c>
      <c r="I19" s="212" t="e">
        <f t="shared" ca="1" si="1"/>
        <v>#NAME?</v>
      </c>
      <c r="J19" s="212" t="e">
        <f t="shared" ca="1" si="1"/>
        <v>#NAME?</v>
      </c>
    </row>
    <row r="20" spans="2:10">
      <c r="B20" s="213"/>
      <c r="C20" s="213"/>
      <c r="D20" s="213"/>
      <c r="G20" s="7" t="s">
        <v>298</v>
      </c>
      <c r="H20" s="211">
        <f t="shared" ref="H20:J20" si="2">$H$17-B40</f>
        <v>461.61666666666588</v>
      </c>
      <c r="I20" s="211">
        <f t="shared" si="2"/>
        <v>152.86666666666588</v>
      </c>
      <c r="J20" s="211">
        <f t="shared" si="2"/>
        <v>-614.48333333333358</v>
      </c>
    </row>
    <row r="21" spans="2:10">
      <c r="B21" s="213"/>
      <c r="C21" s="213"/>
      <c r="D21" s="213"/>
    </row>
    <row r="22" spans="2:10">
      <c r="B22" s="213"/>
      <c r="C22" s="213"/>
      <c r="D22" s="213"/>
    </row>
    <row r="23" spans="2:10">
      <c r="B23" s="213"/>
      <c r="C23" s="213"/>
      <c r="D23" s="213"/>
    </row>
    <row r="24" spans="2:10">
      <c r="B24" s="213"/>
      <c r="C24" s="213"/>
      <c r="D24" s="213"/>
      <c r="J24" s="7"/>
    </row>
    <row r="25" spans="2:10">
      <c r="B25" s="213"/>
      <c r="C25" s="213"/>
      <c r="D25" s="213"/>
      <c r="J25" s="7"/>
    </row>
    <row r="26" spans="2:10">
      <c r="B26" s="213"/>
      <c r="C26" s="213"/>
      <c r="D26" s="213"/>
      <c r="J26" s="7"/>
    </row>
    <row r="27" spans="2:10">
      <c r="B27" s="213"/>
      <c r="C27" s="213"/>
      <c r="D27" s="213"/>
      <c r="J27" s="7"/>
    </row>
    <row r="28" spans="2:10">
      <c r="B28" s="213"/>
      <c r="C28" s="213"/>
      <c r="D28" s="213"/>
      <c r="F28" s="7"/>
      <c r="J28" s="7"/>
    </row>
    <row r="29" spans="2:10">
      <c r="B29" s="213"/>
      <c r="C29" s="213"/>
      <c r="D29" s="213"/>
      <c r="J29" s="7"/>
    </row>
    <row r="30" spans="2:10">
      <c r="B30" s="213"/>
      <c r="C30" s="213"/>
      <c r="D30" s="213"/>
      <c r="J30" s="7"/>
    </row>
    <row r="31" spans="2:10">
      <c r="B31" s="213"/>
      <c r="C31" s="213"/>
      <c r="D31" s="213"/>
      <c r="J31" s="7"/>
    </row>
    <row r="32" spans="2:10">
      <c r="B32" s="62">
        <v>3400</v>
      </c>
      <c r="C32" s="62">
        <v>2220</v>
      </c>
      <c r="D32" s="62">
        <v>1481</v>
      </c>
      <c r="J32" s="7"/>
    </row>
    <row r="33" spans="1:10">
      <c r="B33" s="214">
        <v>50</v>
      </c>
      <c r="C33" s="214">
        <v>50</v>
      </c>
      <c r="D33" s="214">
        <v>150</v>
      </c>
      <c r="J33" s="7"/>
    </row>
    <row r="34" spans="1:10">
      <c r="B34" s="62">
        <v>2994</v>
      </c>
      <c r="C34" s="62">
        <v>4799</v>
      </c>
      <c r="D34" s="62">
        <v>5499</v>
      </c>
      <c r="J34" s="7"/>
    </row>
    <row r="35" spans="1:10">
      <c r="B35" s="214">
        <v>50</v>
      </c>
      <c r="C35" s="214">
        <v>100</v>
      </c>
      <c r="D35" s="214">
        <v>100</v>
      </c>
      <c r="J35" s="7"/>
    </row>
    <row r="36" spans="1:10">
      <c r="B36" s="62">
        <v>1197</v>
      </c>
      <c r="C36" s="62">
        <v>897</v>
      </c>
      <c r="D36" s="62">
        <v>1849</v>
      </c>
    </row>
    <row r="37" spans="1:10">
      <c r="B37" s="215">
        <v>100</v>
      </c>
      <c r="C37" s="215">
        <v>50</v>
      </c>
      <c r="D37" s="215">
        <v>50</v>
      </c>
    </row>
    <row r="38" spans="1:10">
      <c r="A38" s="7" t="s">
        <v>299</v>
      </c>
      <c r="B38" s="7">
        <f t="shared" ref="B38:D38" si="3">SUM(B13:B31)</f>
        <v>0</v>
      </c>
      <c r="C38" s="7">
        <f t="shared" si="3"/>
        <v>0</v>
      </c>
      <c r="D38" s="7">
        <f t="shared" si="3"/>
        <v>0</v>
      </c>
    </row>
    <row r="39" spans="1:10">
      <c r="A39" s="7" t="s">
        <v>300</v>
      </c>
      <c r="B39" s="216">
        <f t="shared" ref="B39:D39" si="4">SUM(IF(ISNUMBER(B32),B32,0),IF(ISNUMBER(B34),B34,0),IF(ISNUMBER(B36),B36,0)) *0.95 - SUM(IF(ISNUMBER(B33),B33,0),IF(ISNUMBER(B35),B35,0),IF(ISNUMBER(B37),B37,0))</f>
        <v>7011.45</v>
      </c>
      <c r="C39" s="216">
        <f t="shared" si="4"/>
        <v>7320.2</v>
      </c>
      <c r="D39" s="216">
        <f t="shared" si="4"/>
        <v>8087.5499999999993</v>
      </c>
    </row>
    <row r="40" spans="1:10">
      <c r="A40" s="7" t="s">
        <v>301</v>
      </c>
      <c r="B40" s="211">
        <f t="shared" ref="B40:D40" si="5">B38*0.95+B39</f>
        <v>7011.45</v>
      </c>
      <c r="C40" s="211">
        <f t="shared" si="5"/>
        <v>7320.2</v>
      </c>
      <c r="D40" s="211">
        <f t="shared" si="5"/>
        <v>8087.5499999999993</v>
      </c>
    </row>
    <row r="42" spans="1:10">
      <c r="A42" s="63" t="e">
        <f t="shared" ref="A42:D42" ca="1" si="6">IF($H$3=1,G8,G12)</f>
        <v>#NAME?</v>
      </c>
      <c r="B42" s="210" t="str">
        <f t="shared" si="6"/>
        <v>lists gem for</v>
      </c>
      <c r="C42" s="63" t="e">
        <f t="shared" ca="1" si="6"/>
        <v>#NAME?</v>
      </c>
      <c r="D42" s="210" t="str">
        <f t="shared" si="6"/>
        <v>at price</v>
      </c>
      <c r="E42" s="211" t="e">
        <f t="shared" ref="E42:E43" ca="1" si="7">ABS(IF($H$3=1,K8,K12))</f>
        <v>#NAME?</v>
      </c>
    </row>
    <row r="43" spans="1:10">
      <c r="A43" s="63" t="e">
        <f t="shared" ref="A43:D43" ca="1" si="8">IF($H$3=1,G9,G13)</f>
        <v>#NAME?</v>
      </c>
      <c r="B43" s="210" t="str">
        <f t="shared" si="8"/>
        <v>lists gem for</v>
      </c>
      <c r="C43" s="63" t="e">
        <f t="shared" ca="1" si="8"/>
        <v>#NAME?</v>
      </c>
      <c r="D43" s="210" t="str">
        <f t="shared" si="8"/>
        <v>at price</v>
      </c>
      <c r="E43" s="211" t="e">
        <f t="shared" ca="1" si="7"/>
        <v>#NAME?</v>
      </c>
    </row>
  </sheetData>
  <conditionalFormatting sqref="B32:D32 B34:D34 B36:D36">
    <cfRule type="containsText" dxfId="4" priority="4" operator="containsText" text="Book">
      <formula>NOT(ISERROR(SEARCH(("Book"),(B32))))</formula>
    </cfRule>
  </conditionalFormatting>
  <conditionalFormatting sqref="B33:D33 B35:D35 B37:D37">
    <cfRule type="containsText" dxfId="3" priority="5" operator="containsText" text="Book">
      <formula>NOT(ISERROR(SEARCH(("Book"),(B33))))</formula>
    </cfRule>
  </conditionalFormatting>
  <conditionalFormatting sqref="H20:J20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J1:K1 B11:D11 H19:J19">
    <cfRule type="containsText" dxfId="0" priority="1" operator="containsText" text="Name">
      <formula>NOT(ISERROR(SEARCH(("Name"),(J1))))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80</v>
      </c>
    </row>
    <row r="3" spans="1:23">
      <c r="B3" s="7" t="s">
        <v>167</v>
      </c>
      <c r="C3" s="7" t="s">
        <v>332</v>
      </c>
      <c r="D3" s="7" t="s">
        <v>333</v>
      </c>
      <c r="E3" s="7" t="s">
        <v>334</v>
      </c>
      <c r="F3" s="7" t="s">
        <v>335</v>
      </c>
      <c r="G3" s="7" t="s">
        <v>336</v>
      </c>
      <c r="H3" s="7" t="s">
        <v>337</v>
      </c>
      <c r="I3" s="7" t="s">
        <v>338</v>
      </c>
      <c r="J3" s="7" t="s">
        <v>339</v>
      </c>
      <c r="K3" s="7" t="s">
        <v>340</v>
      </c>
      <c r="L3" s="7" t="s">
        <v>341</v>
      </c>
      <c r="M3" s="7" t="s">
        <v>342</v>
      </c>
      <c r="N3" s="7" t="s">
        <v>343</v>
      </c>
      <c r="O3" s="7" t="s">
        <v>344</v>
      </c>
      <c r="P3" s="7" t="s">
        <v>345</v>
      </c>
      <c r="Q3" s="7" t="s">
        <v>346</v>
      </c>
      <c r="R3" s="7" t="s">
        <v>347</v>
      </c>
      <c r="S3" s="7" t="s">
        <v>348</v>
      </c>
      <c r="T3" s="7" t="s">
        <v>106</v>
      </c>
      <c r="U3" s="7"/>
      <c r="V3" s="7"/>
      <c r="W3" s="7"/>
    </row>
    <row r="4" spans="1:23">
      <c r="A4" s="7"/>
      <c r="B4" s="7" t="s">
        <v>349</v>
      </c>
      <c r="C4" s="7" t="s">
        <v>350</v>
      </c>
      <c r="D4" s="7" t="s">
        <v>351</v>
      </c>
      <c r="E4" s="7" t="s">
        <v>96</v>
      </c>
      <c r="F4" s="7" t="s">
        <v>352</v>
      </c>
      <c r="G4" s="7" t="s">
        <v>353</v>
      </c>
      <c r="H4" s="7" t="s">
        <v>354</v>
      </c>
      <c r="I4" s="7" t="s">
        <v>355</v>
      </c>
      <c r="J4" s="7" t="s">
        <v>356</v>
      </c>
      <c r="K4" s="7" t="s">
        <v>357</v>
      </c>
      <c r="L4" s="7" t="s">
        <v>358</v>
      </c>
      <c r="M4" s="7" t="s">
        <v>359</v>
      </c>
      <c r="N4" s="7" t="s">
        <v>322</v>
      </c>
      <c r="O4" s="7" t="s">
        <v>360</v>
      </c>
      <c r="P4" s="7" t="s">
        <v>353</v>
      </c>
      <c r="Q4" s="7" t="s">
        <v>105</v>
      </c>
      <c r="R4" s="7" t="s">
        <v>353</v>
      </c>
      <c r="S4" s="7" t="s">
        <v>361</v>
      </c>
      <c r="T4" s="7" t="s">
        <v>362</v>
      </c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1750</v>
      </c>
      <c r="F5" s="7">
        <v>1540</v>
      </c>
      <c r="G5" s="7">
        <v>1750</v>
      </c>
      <c r="H5" s="7">
        <v>1750</v>
      </c>
      <c r="I5" s="7">
        <v>1600</v>
      </c>
      <c r="J5" s="7">
        <v>1640</v>
      </c>
      <c r="K5" s="7">
        <v>1467.5</v>
      </c>
      <c r="L5" s="7">
        <v>1660</v>
      </c>
      <c r="M5" s="7">
        <v>1750</v>
      </c>
      <c r="N5" s="7">
        <v>1375</v>
      </c>
      <c r="O5" s="7">
        <v>1560</v>
      </c>
      <c r="P5" s="7">
        <v>1585</v>
      </c>
      <c r="Q5" s="7">
        <v>1600.83</v>
      </c>
      <c r="R5" s="7">
        <v>1640</v>
      </c>
      <c r="S5" s="7">
        <v>1670</v>
      </c>
      <c r="T5" s="7">
        <v>1750</v>
      </c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1</v>
      </c>
      <c r="D11" s="7" t="b">
        <v>1</v>
      </c>
      <c r="E11" s="7" t="b">
        <v>1</v>
      </c>
      <c r="F11" s="7" t="b">
        <v>1</v>
      </c>
      <c r="G11" s="7" t="b">
        <v>1</v>
      </c>
      <c r="H11" s="7" t="b">
        <v>1</v>
      </c>
      <c r="I11" s="7" t="b">
        <v>1</v>
      </c>
      <c r="J11" s="7" t="b">
        <v>1</v>
      </c>
      <c r="K11" s="7" t="b">
        <v>0</v>
      </c>
      <c r="L11" s="7" t="b">
        <v>1</v>
      </c>
      <c r="M11" s="7" t="b">
        <v>1</v>
      </c>
      <c r="N11" s="7" t="b">
        <v>0</v>
      </c>
      <c r="O11" s="7" t="b">
        <v>1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1</v>
      </c>
      <c r="D12" s="7" t="b">
        <v>1</v>
      </c>
      <c r="E12" s="7" t="b">
        <v>1</v>
      </c>
      <c r="F12" s="7" t="b">
        <v>1</v>
      </c>
      <c r="G12" s="7" t="b">
        <v>1</v>
      </c>
      <c r="H12" s="7" t="b">
        <v>1</v>
      </c>
      <c r="I12" s="7" t="b">
        <v>1</v>
      </c>
      <c r="J12" s="7" t="b">
        <v>1</v>
      </c>
      <c r="K12" s="7" t="b">
        <v>0</v>
      </c>
      <c r="L12" s="7" t="b">
        <v>1</v>
      </c>
      <c r="M12" s="7" t="b">
        <v>1</v>
      </c>
      <c r="N12" s="7" t="b">
        <v>0</v>
      </c>
      <c r="O12" s="7" t="b">
        <v>1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W21"/>
  <sheetViews>
    <sheetView workbookViewId="0"/>
  </sheetViews>
  <sheetFormatPr defaultColWidth="12.5703125" defaultRowHeight="15.75" customHeight="1"/>
  <sheetData>
    <row r="1" spans="1:23">
      <c r="A1" s="7"/>
      <c r="B1" s="7" t="s">
        <v>368</v>
      </c>
    </row>
    <row r="3" spans="1:23">
      <c r="B3" s="7" t="s">
        <v>167</v>
      </c>
      <c r="C3" s="7" t="s">
        <v>369</v>
      </c>
      <c r="D3" s="7" t="s">
        <v>370</v>
      </c>
      <c r="E3" s="7" t="s">
        <v>371</v>
      </c>
      <c r="F3" s="7" t="s">
        <v>372</v>
      </c>
      <c r="G3" s="7" t="s">
        <v>373</v>
      </c>
      <c r="H3" s="7" t="s">
        <v>374</v>
      </c>
      <c r="I3" s="7" t="s">
        <v>375</v>
      </c>
      <c r="J3" s="7" t="s">
        <v>376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355</v>
      </c>
      <c r="D4" s="7" t="s">
        <v>356</v>
      </c>
      <c r="E4" s="7" t="s">
        <v>377</v>
      </c>
      <c r="F4" s="7" t="s">
        <v>378</v>
      </c>
      <c r="G4" s="7" t="s">
        <v>357</v>
      </c>
      <c r="H4" s="7" t="s">
        <v>104</v>
      </c>
      <c r="I4" s="7" t="s">
        <v>105</v>
      </c>
      <c r="J4" s="7" t="s">
        <v>379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1490</v>
      </c>
      <c r="D5" s="7">
        <v>1490</v>
      </c>
      <c r="E5" s="7">
        <v>1460</v>
      </c>
      <c r="F5" s="7">
        <v>1487.5</v>
      </c>
      <c r="G5" s="7">
        <v>1460</v>
      </c>
      <c r="H5" s="7">
        <v>1430</v>
      </c>
      <c r="I5" s="7">
        <v>1415</v>
      </c>
      <c r="J5" s="7">
        <v>1460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8" spans="6:7">
      <c r="F18" s="7" t="s">
        <v>380</v>
      </c>
    </row>
    <row r="20" spans="6:7">
      <c r="F20" s="7" t="s">
        <v>381</v>
      </c>
    </row>
    <row r="21" spans="6:7">
      <c r="G21" s="7" t="s">
        <v>382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254</v>
      </c>
    </row>
    <row r="3" spans="1:23">
      <c r="B3" s="7"/>
      <c r="C3" s="7" t="s">
        <v>383</v>
      </c>
      <c r="D3" s="7" t="s">
        <v>384</v>
      </c>
      <c r="E3" s="7" t="s">
        <v>385</v>
      </c>
      <c r="F3" s="7" t="s">
        <v>386</v>
      </c>
      <c r="G3" s="7" t="s">
        <v>387</v>
      </c>
      <c r="H3" s="7" t="s">
        <v>388</v>
      </c>
      <c r="I3" s="7" t="s">
        <v>389</v>
      </c>
      <c r="J3" s="7" t="s">
        <v>390</v>
      </c>
      <c r="K3" s="7" t="s">
        <v>391</v>
      </c>
      <c r="L3" s="7" t="s">
        <v>392</v>
      </c>
      <c r="M3" s="7" t="s">
        <v>393</v>
      </c>
      <c r="N3" s="7" t="s">
        <v>394</v>
      </c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354</v>
      </c>
      <c r="D4" s="7" t="s">
        <v>104</v>
      </c>
      <c r="E4" s="7" t="s">
        <v>357</v>
      </c>
      <c r="F4" s="7" t="s">
        <v>355</v>
      </c>
      <c r="G4" s="7" t="s">
        <v>104</v>
      </c>
      <c r="H4" s="7" t="s">
        <v>395</v>
      </c>
      <c r="I4" s="7" t="s">
        <v>356</v>
      </c>
      <c r="J4" s="7" t="s">
        <v>350</v>
      </c>
      <c r="K4" s="7" t="s">
        <v>359</v>
      </c>
      <c r="L4" s="7" t="s">
        <v>379</v>
      </c>
      <c r="M4" s="7" t="s">
        <v>396</v>
      </c>
      <c r="N4" s="7" t="s">
        <v>397</v>
      </c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1600</v>
      </c>
      <c r="D5" s="7">
        <v>1560</v>
      </c>
      <c r="E5" s="7">
        <v>1620</v>
      </c>
      <c r="F5" s="7">
        <v>1540</v>
      </c>
      <c r="G5" s="7">
        <v>1540</v>
      </c>
      <c r="H5" s="7">
        <v>1570</v>
      </c>
      <c r="I5" s="7">
        <v>1520</v>
      </c>
      <c r="J5" s="7">
        <v>1462.5</v>
      </c>
      <c r="K5" s="7">
        <v>1560</v>
      </c>
      <c r="L5" s="7">
        <v>1370</v>
      </c>
      <c r="M5" s="7">
        <v>1340</v>
      </c>
      <c r="N5" s="7">
        <v>1500</v>
      </c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79</v>
      </c>
    </row>
    <row r="3" spans="1:23">
      <c r="B3" s="7" t="s">
        <v>167</v>
      </c>
      <c r="C3" s="7" t="s">
        <v>108</v>
      </c>
      <c r="D3" s="7" t="s">
        <v>398</v>
      </c>
      <c r="E3" s="7" t="s">
        <v>97</v>
      </c>
      <c r="F3" s="7" t="s">
        <v>399</v>
      </c>
      <c r="G3" s="7" t="s">
        <v>117</v>
      </c>
      <c r="H3" s="7" t="s">
        <v>400</v>
      </c>
      <c r="I3" s="7" t="s">
        <v>401</v>
      </c>
      <c r="J3" s="7" t="s">
        <v>402</v>
      </c>
      <c r="K3" s="7" t="s">
        <v>403</v>
      </c>
      <c r="L3" s="7" t="s">
        <v>404</v>
      </c>
      <c r="M3" s="7" t="s">
        <v>405</v>
      </c>
      <c r="N3" s="7" t="s">
        <v>406</v>
      </c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407</v>
      </c>
      <c r="D4" s="7" t="s">
        <v>397</v>
      </c>
      <c r="E4" s="7" t="s">
        <v>104</v>
      </c>
      <c r="F4" s="7" t="s">
        <v>351</v>
      </c>
      <c r="G4" s="7" t="s">
        <v>362</v>
      </c>
      <c r="H4" s="7" t="s">
        <v>322</v>
      </c>
      <c r="I4" s="7" t="s">
        <v>408</v>
      </c>
      <c r="J4" s="7" t="s">
        <v>396</v>
      </c>
      <c r="K4" s="7" t="s">
        <v>360</v>
      </c>
      <c r="L4" s="7" t="s">
        <v>353</v>
      </c>
      <c r="M4" s="7" t="s">
        <v>157</v>
      </c>
      <c r="N4" s="7" t="s">
        <v>361</v>
      </c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1730</v>
      </c>
      <c r="F5" s="7">
        <v>1600</v>
      </c>
      <c r="G5" s="7">
        <v>1750</v>
      </c>
      <c r="H5" s="7">
        <v>1730</v>
      </c>
      <c r="I5" s="7">
        <v>1750</v>
      </c>
      <c r="J5" s="7">
        <v>1730</v>
      </c>
      <c r="K5" s="7">
        <v>1730</v>
      </c>
      <c r="L5" s="7">
        <v>1750</v>
      </c>
      <c r="M5" s="7">
        <v>1730</v>
      </c>
      <c r="N5" s="7">
        <v>1750</v>
      </c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83</v>
      </c>
    </row>
    <row r="3" spans="1:23">
      <c r="B3" s="7" t="s">
        <v>167</v>
      </c>
      <c r="C3" s="7" t="s">
        <v>409</v>
      </c>
      <c r="D3" s="7" t="s">
        <v>410</v>
      </c>
      <c r="E3" s="7" t="s">
        <v>83</v>
      </c>
      <c r="F3" s="7" t="s">
        <v>411</v>
      </c>
      <c r="G3" s="7" t="s">
        <v>412</v>
      </c>
      <c r="H3" s="7" t="s">
        <v>413</v>
      </c>
      <c r="I3" s="7" t="s">
        <v>414</v>
      </c>
      <c r="J3" s="7" t="s">
        <v>415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379</v>
      </c>
      <c r="D4" s="7" t="s">
        <v>361</v>
      </c>
      <c r="E4" s="7" t="s">
        <v>350</v>
      </c>
      <c r="F4" s="7" t="s">
        <v>350</v>
      </c>
      <c r="G4" s="7" t="s">
        <v>353</v>
      </c>
      <c r="H4" s="7" t="s">
        <v>407</v>
      </c>
      <c r="I4" s="7" t="s">
        <v>353</v>
      </c>
      <c r="J4" s="7" t="s">
        <v>379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1750</v>
      </c>
      <c r="F5" s="7">
        <v>1750</v>
      </c>
      <c r="G5" s="7">
        <v>1750</v>
      </c>
      <c r="H5" s="7">
        <v>1750</v>
      </c>
      <c r="I5" s="7">
        <v>1750</v>
      </c>
      <c r="J5" s="7">
        <v>1710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132</v>
      </c>
    </row>
    <row r="3" spans="1:23">
      <c r="B3" s="7" t="s">
        <v>167</v>
      </c>
      <c r="C3" s="7" t="s">
        <v>132</v>
      </c>
      <c r="D3" s="7" t="s">
        <v>416</v>
      </c>
      <c r="E3" s="7" t="s">
        <v>417</v>
      </c>
      <c r="F3" s="7" t="s">
        <v>418</v>
      </c>
      <c r="G3" s="7" t="s">
        <v>419</v>
      </c>
      <c r="H3" s="7" t="s">
        <v>420</v>
      </c>
      <c r="I3" s="7" t="s">
        <v>421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104</v>
      </c>
      <c r="D4" s="7" t="s">
        <v>408</v>
      </c>
      <c r="E4" s="7" t="s">
        <v>104</v>
      </c>
      <c r="F4" s="7" t="s">
        <v>355</v>
      </c>
      <c r="G4" s="7" t="s">
        <v>104</v>
      </c>
      <c r="H4" s="7" t="s">
        <v>395</v>
      </c>
      <c r="I4" s="7" t="s">
        <v>396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1700</v>
      </c>
      <c r="D5" s="7">
        <v>1680</v>
      </c>
      <c r="E5" s="7">
        <v>1670</v>
      </c>
      <c r="F5" s="7">
        <v>1610</v>
      </c>
      <c r="G5" s="7">
        <v>1670</v>
      </c>
      <c r="H5" s="7">
        <v>1690</v>
      </c>
      <c r="I5" s="7">
        <v>1700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84</v>
      </c>
    </row>
    <row r="3" spans="1:23">
      <c r="B3" s="7" t="s">
        <v>167</v>
      </c>
      <c r="C3" s="7" t="s">
        <v>84</v>
      </c>
      <c r="D3" s="7" t="s">
        <v>422</v>
      </c>
      <c r="E3" s="7" t="s">
        <v>115</v>
      </c>
      <c r="F3" s="7" t="s">
        <v>423</v>
      </c>
      <c r="G3" s="7" t="s">
        <v>424</v>
      </c>
      <c r="H3" s="7" t="s">
        <v>425</v>
      </c>
      <c r="I3" s="7" t="s">
        <v>116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104</v>
      </c>
      <c r="D4" s="7" t="s">
        <v>395</v>
      </c>
      <c r="E4" s="7" t="s">
        <v>96</v>
      </c>
      <c r="F4" s="7" t="s">
        <v>354</v>
      </c>
      <c r="G4" s="7" t="s">
        <v>157</v>
      </c>
      <c r="H4" s="7" t="s">
        <v>361</v>
      </c>
      <c r="I4" s="7" t="s">
        <v>362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1750</v>
      </c>
      <c r="F5" s="7">
        <v>1750</v>
      </c>
      <c r="G5" s="7">
        <v>1670</v>
      </c>
      <c r="H5" s="7">
        <v>1670</v>
      </c>
      <c r="I5" s="7">
        <v>1750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81</v>
      </c>
    </row>
    <row r="3" spans="1:23">
      <c r="B3" s="7" t="s">
        <v>167</v>
      </c>
      <c r="C3" s="7" t="s">
        <v>426</v>
      </c>
      <c r="D3" s="7" t="s">
        <v>427</v>
      </c>
      <c r="E3" s="7" t="s">
        <v>428</v>
      </c>
      <c r="F3" s="7" t="s">
        <v>429</v>
      </c>
      <c r="G3" s="7" t="s">
        <v>430</v>
      </c>
      <c r="H3" s="7" t="s">
        <v>81</v>
      </c>
      <c r="I3" s="7" t="s">
        <v>431</v>
      </c>
      <c r="J3" s="7" t="s">
        <v>148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361</v>
      </c>
      <c r="D4" s="7" t="s">
        <v>360</v>
      </c>
      <c r="E4" s="7" t="s">
        <v>104</v>
      </c>
      <c r="F4" s="7" t="s">
        <v>353</v>
      </c>
      <c r="G4" s="7" t="s">
        <v>157</v>
      </c>
      <c r="H4" s="7" t="s">
        <v>359</v>
      </c>
      <c r="I4" s="7" t="s">
        <v>362</v>
      </c>
      <c r="J4" s="7" t="s">
        <v>140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1750</v>
      </c>
      <c r="F5" s="7">
        <v>1750</v>
      </c>
      <c r="G5" s="7">
        <v>1750</v>
      </c>
      <c r="H5" s="7">
        <v>1750</v>
      </c>
      <c r="I5" s="7">
        <v>1750</v>
      </c>
      <c r="J5" s="7">
        <v>1750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432</v>
      </c>
    </row>
    <row r="3" spans="1:23">
      <c r="B3" s="7" t="s">
        <v>167</v>
      </c>
      <c r="C3" s="7" t="s">
        <v>432</v>
      </c>
      <c r="D3" s="7" t="s">
        <v>433</v>
      </c>
      <c r="E3" s="7" t="s">
        <v>434</v>
      </c>
      <c r="F3" s="7" t="s">
        <v>435</v>
      </c>
      <c r="G3" s="7" t="s">
        <v>436</v>
      </c>
      <c r="H3" s="7" t="s">
        <v>98</v>
      </c>
      <c r="I3" s="7" t="s">
        <v>437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322</v>
      </c>
      <c r="D4" s="7" t="s">
        <v>322</v>
      </c>
      <c r="E4" s="7" t="s">
        <v>353</v>
      </c>
      <c r="F4" s="7" t="s">
        <v>379</v>
      </c>
      <c r="G4" s="7" t="s">
        <v>360</v>
      </c>
      <c r="H4" s="7" t="s">
        <v>362</v>
      </c>
      <c r="I4" s="7" t="s">
        <v>322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1720</v>
      </c>
      <c r="F5" s="7">
        <v>1700</v>
      </c>
      <c r="G5" s="7">
        <v>1730</v>
      </c>
      <c r="H5" s="7">
        <v>1730</v>
      </c>
      <c r="I5" s="7">
        <v>1730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85</v>
      </c>
    </row>
    <row r="3" spans="1:23">
      <c r="B3" s="7" t="s">
        <v>167</v>
      </c>
      <c r="C3" s="7" t="s">
        <v>438</v>
      </c>
      <c r="D3" s="7" t="s">
        <v>439</v>
      </c>
      <c r="E3" s="7" t="s">
        <v>440</v>
      </c>
      <c r="F3" s="7" t="s">
        <v>441</v>
      </c>
      <c r="G3" s="7" t="s">
        <v>442</v>
      </c>
      <c r="H3" s="7" t="s">
        <v>443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359</v>
      </c>
      <c r="D4" s="7" t="s">
        <v>444</v>
      </c>
      <c r="E4" s="7" t="s">
        <v>105</v>
      </c>
      <c r="F4" s="7" t="s">
        <v>353</v>
      </c>
      <c r="G4" s="7" t="s">
        <v>104</v>
      </c>
      <c r="H4" s="7" t="s">
        <v>355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1730</v>
      </c>
      <c r="E5" s="7">
        <v>1730</v>
      </c>
      <c r="F5" s="7">
        <v>1730</v>
      </c>
      <c r="G5" s="7">
        <v>1750</v>
      </c>
      <c r="H5" s="7">
        <v>1750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drawing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D16"/>
  <sheetViews>
    <sheetView workbookViewId="0"/>
  </sheetViews>
  <sheetFormatPr defaultColWidth="12.5703125" defaultRowHeight="15.75" customHeight="1"/>
  <sheetData>
    <row r="1" spans="1:4">
      <c r="B1" s="7" t="s">
        <v>41</v>
      </c>
      <c r="C1" s="7" t="s">
        <v>79</v>
      </c>
      <c r="D1" s="7" t="s">
        <v>80</v>
      </c>
    </row>
    <row r="2" spans="1:4">
      <c r="A2" s="7" t="s">
        <v>304</v>
      </c>
      <c r="B2" s="63">
        <f t="shared" ref="B2:D2" si="0">SUM(B3:B1000)</f>
        <v>19910</v>
      </c>
      <c r="C2" s="63">
        <f t="shared" si="0"/>
        <v>19362</v>
      </c>
      <c r="D2" s="63">
        <f t="shared" si="0"/>
        <v>19772</v>
      </c>
    </row>
    <row r="3" spans="1:4">
      <c r="A3" s="7" t="s">
        <v>305</v>
      </c>
      <c r="B3" s="7">
        <v>2000</v>
      </c>
      <c r="C3" s="7">
        <v>4000</v>
      </c>
      <c r="D3" s="7">
        <v>4000</v>
      </c>
    </row>
    <row r="4" spans="1:4">
      <c r="A4" s="7" t="s">
        <v>306</v>
      </c>
      <c r="B4" s="7">
        <v>2700</v>
      </c>
      <c r="C4" s="7">
        <v>900</v>
      </c>
      <c r="D4" s="7">
        <v>900</v>
      </c>
    </row>
    <row r="5" spans="1:4">
      <c r="A5" s="7" t="s">
        <v>306</v>
      </c>
      <c r="B5" s="7">
        <v>2000</v>
      </c>
      <c r="C5" s="7">
        <v>1000</v>
      </c>
      <c r="D5" s="7">
        <v>2000</v>
      </c>
    </row>
    <row r="6" spans="1:4">
      <c r="A6" s="7" t="s">
        <v>307</v>
      </c>
      <c r="B6" s="7">
        <f>1440-440</f>
        <v>1000</v>
      </c>
      <c r="C6" s="7">
        <v>62</v>
      </c>
      <c r="D6" s="7">
        <v>62</v>
      </c>
    </row>
    <row r="7" spans="1:4">
      <c r="A7" s="7" t="s">
        <v>308</v>
      </c>
      <c r="B7" s="7">
        <v>1000</v>
      </c>
      <c r="C7" s="7">
        <v>2000</v>
      </c>
      <c r="D7" s="7">
        <v>2000</v>
      </c>
    </row>
    <row r="8" spans="1:4">
      <c r="A8" s="7" t="s">
        <v>306</v>
      </c>
      <c r="B8" s="7">
        <v>1800</v>
      </c>
      <c r="C8" s="7">
        <v>1800</v>
      </c>
      <c r="D8" s="7">
        <v>900</v>
      </c>
    </row>
    <row r="9" spans="1:4">
      <c r="A9" s="7" t="s">
        <v>306</v>
      </c>
      <c r="B9" s="7">
        <v>850</v>
      </c>
      <c r="C9" s="7">
        <v>1700</v>
      </c>
      <c r="D9" s="7">
        <v>1700</v>
      </c>
    </row>
    <row r="10" spans="1:4">
      <c r="A10" s="7" t="s">
        <v>306</v>
      </c>
      <c r="B10" s="7">
        <v>2600</v>
      </c>
      <c r="C10" s="7">
        <v>2600</v>
      </c>
      <c r="D10" s="7">
        <v>1300</v>
      </c>
    </row>
    <row r="11" spans="1:4">
      <c r="A11" s="7" t="s">
        <v>309</v>
      </c>
      <c r="B11" s="7">
        <v>310</v>
      </c>
      <c r="C11" s="7">
        <v>0</v>
      </c>
      <c r="D11" s="7">
        <v>310</v>
      </c>
    </row>
    <row r="12" spans="1:4">
      <c r="A12" s="7" t="s">
        <v>309</v>
      </c>
      <c r="B12" s="7">
        <v>1675</v>
      </c>
      <c r="C12" s="7">
        <v>0</v>
      </c>
      <c r="D12" s="7">
        <v>1675</v>
      </c>
    </row>
    <row r="13" spans="1:4">
      <c r="A13" s="7" t="s">
        <v>306</v>
      </c>
      <c r="B13" s="7">
        <v>950</v>
      </c>
      <c r="C13" s="7">
        <v>1900</v>
      </c>
      <c r="D13" s="7">
        <v>1900</v>
      </c>
    </row>
    <row r="14" spans="1:4">
      <c r="A14" s="7" t="s">
        <v>309</v>
      </c>
      <c r="B14" s="7">
        <v>225</v>
      </c>
      <c r="C14" s="7">
        <v>0</v>
      </c>
      <c r="D14" s="7">
        <v>225</v>
      </c>
    </row>
    <row r="15" spans="1:4">
      <c r="A15" s="7" t="s">
        <v>306</v>
      </c>
      <c r="B15" s="7">
        <v>800</v>
      </c>
      <c r="C15" s="7">
        <v>2400</v>
      </c>
      <c r="D15" s="7">
        <v>800</v>
      </c>
    </row>
    <row r="16" spans="1:4">
      <c r="A16" s="7" t="s">
        <v>306</v>
      </c>
      <c r="B16" s="7">
        <v>2000</v>
      </c>
      <c r="C16" s="7">
        <v>1000</v>
      </c>
      <c r="D16" s="7">
        <v>2000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E17"/>
  <sheetViews>
    <sheetView workbookViewId="0"/>
  </sheetViews>
  <sheetFormatPr defaultColWidth="12.5703125" defaultRowHeight="15.75" customHeight="1"/>
  <cols>
    <col min="1" max="1" width="6.140625" customWidth="1"/>
    <col min="2" max="2" width="12.85546875" customWidth="1"/>
    <col min="3" max="3" width="16.7109375" customWidth="1"/>
    <col min="4" max="4" width="10.140625" customWidth="1"/>
    <col min="5" max="5" width="51.42578125" customWidth="1"/>
  </cols>
  <sheetData>
    <row r="1" spans="1:5">
      <c r="A1" s="7" t="s">
        <v>445</v>
      </c>
    </row>
    <row r="2" spans="1:5">
      <c r="A2" s="7">
        <v>1</v>
      </c>
      <c r="B2" s="7" t="s">
        <v>446</v>
      </c>
    </row>
    <row r="3" spans="1:5">
      <c r="A3" s="7">
        <v>2</v>
      </c>
      <c r="B3" s="7" t="s">
        <v>447</v>
      </c>
    </row>
    <row r="4" spans="1:5">
      <c r="A4" s="7">
        <v>3</v>
      </c>
      <c r="B4" s="7" t="s">
        <v>448</v>
      </c>
    </row>
    <row r="5" spans="1:5">
      <c r="A5" s="7">
        <v>4</v>
      </c>
      <c r="B5" s="7" t="s">
        <v>449</v>
      </c>
    </row>
    <row r="6" spans="1:5">
      <c r="A6" s="7" t="s">
        <v>450</v>
      </c>
      <c r="B6" s="7" t="s">
        <v>451</v>
      </c>
      <c r="C6" s="7" t="s">
        <v>452</v>
      </c>
      <c r="D6" s="7" t="s">
        <v>453</v>
      </c>
      <c r="E6" s="7" t="s">
        <v>454</v>
      </c>
    </row>
    <row r="7" spans="1:5">
      <c r="A7" s="7">
        <v>2</v>
      </c>
      <c r="B7" s="7" t="s">
        <v>455</v>
      </c>
      <c r="C7" s="7" t="s">
        <v>456</v>
      </c>
      <c r="D7" s="7" t="s">
        <v>457</v>
      </c>
      <c r="E7" s="7" t="s">
        <v>458</v>
      </c>
    </row>
    <row r="8" spans="1:5">
      <c r="A8" s="7">
        <v>3</v>
      </c>
      <c r="B8" s="7" t="s">
        <v>459</v>
      </c>
      <c r="C8" s="7" t="s">
        <v>460</v>
      </c>
      <c r="D8" s="7" t="s">
        <v>461</v>
      </c>
      <c r="E8" s="7" t="s">
        <v>462</v>
      </c>
    </row>
    <row r="9" spans="1:5">
      <c r="A9" s="7">
        <v>3</v>
      </c>
      <c r="B9" s="7" t="s">
        <v>463</v>
      </c>
      <c r="C9" s="7" t="s">
        <v>464</v>
      </c>
      <c r="D9" s="7" t="s">
        <v>457</v>
      </c>
      <c r="E9" s="7" t="s">
        <v>465</v>
      </c>
    </row>
    <row r="10" spans="1:5">
      <c r="A10" s="7">
        <v>1</v>
      </c>
      <c r="B10" s="7" t="s">
        <v>466</v>
      </c>
      <c r="C10" s="7" t="s">
        <v>467</v>
      </c>
      <c r="D10" s="7" t="s">
        <v>457</v>
      </c>
      <c r="E10" s="7" t="s">
        <v>468</v>
      </c>
    </row>
    <row r="11" spans="1:5">
      <c r="A11" s="7">
        <v>4</v>
      </c>
      <c r="B11" s="7" t="s">
        <v>469</v>
      </c>
      <c r="C11" s="7" t="s">
        <v>470</v>
      </c>
      <c r="D11" s="7" t="s">
        <v>457</v>
      </c>
      <c r="E11" s="7" t="s">
        <v>471</v>
      </c>
    </row>
    <row r="12" spans="1:5">
      <c r="A12" s="7">
        <v>2</v>
      </c>
      <c r="B12" s="7" t="s">
        <v>472</v>
      </c>
      <c r="C12" s="7" t="s">
        <v>473</v>
      </c>
      <c r="D12" s="7" t="s">
        <v>457</v>
      </c>
      <c r="E12" s="7" t="s">
        <v>474</v>
      </c>
    </row>
    <row r="13" spans="1:5">
      <c r="A13" s="7">
        <v>2</v>
      </c>
      <c r="B13" s="7" t="s">
        <v>475</v>
      </c>
      <c r="D13" s="7" t="s">
        <v>457</v>
      </c>
      <c r="E13" s="7" t="s">
        <v>476</v>
      </c>
    </row>
    <row r="14" spans="1:5">
      <c r="A14" s="7">
        <v>2</v>
      </c>
      <c r="B14" s="7" t="s">
        <v>477</v>
      </c>
      <c r="C14" s="7" t="s">
        <v>478</v>
      </c>
      <c r="D14" s="7" t="s">
        <v>457</v>
      </c>
      <c r="E14" s="7" t="s">
        <v>479</v>
      </c>
    </row>
    <row r="15" spans="1:5">
      <c r="A15" s="7">
        <v>2</v>
      </c>
      <c r="B15" s="7" t="s">
        <v>480</v>
      </c>
      <c r="C15" s="7" t="s">
        <v>481</v>
      </c>
      <c r="D15" s="7" t="s">
        <v>457</v>
      </c>
      <c r="E15" s="7" t="s">
        <v>482</v>
      </c>
    </row>
    <row r="16" spans="1:5">
      <c r="A16" s="7">
        <v>2</v>
      </c>
      <c r="B16" s="7" t="s">
        <v>483</v>
      </c>
      <c r="C16" s="7" t="s">
        <v>484</v>
      </c>
      <c r="D16" s="7" t="s">
        <v>485</v>
      </c>
      <c r="E16" s="7" t="s">
        <v>486</v>
      </c>
    </row>
    <row r="17" spans="1:5">
      <c r="A17" s="7">
        <v>2</v>
      </c>
      <c r="B17" s="7" t="s">
        <v>487</v>
      </c>
      <c r="C17" s="7" t="s">
        <v>488</v>
      </c>
      <c r="D17" s="7" t="s">
        <v>489</v>
      </c>
      <c r="E17" s="7" t="s">
        <v>490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491</v>
      </c>
    </row>
    <row r="3" spans="1:23">
      <c r="B3" s="7"/>
      <c r="C3" s="7" t="s">
        <v>492</v>
      </c>
      <c r="D3" s="7" t="s">
        <v>493</v>
      </c>
      <c r="E3" s="7" t="s">
        <v>494</v>
      </c>
      <c r="F3" s="7" t="s">
        <v>495</v>
      </c>
      <c r="G3" s="7" t="s">
        <v>496</v>
      </c>
      <c r="H3" s="7" t="s">
        <v>497</v>
      </c>
      <c r="I3" s="7" t="s">
        <v>498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104</v>
      </c>
      <c r="D4" s="7" t="s">
        <v>140</v>
      </c>
      <c r="E4" s="7" t="s">
        <v>379</v>
      </c>
      <c r="F4" s="7" t="s">
        <v>396</v>
      </c>
      <c r="G4" s="7" t="s">
        <v>104</v>
      </c>
      <c r="H4" s="7" t="s">
        <v>96</v>
      </c>
      <c r="I4" s="7" t="s">
        <v>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1485</v>
      </c>
      <c r="D5" s="7">
        <v>1475</v>
      </c>
      <c r="E5" s="7">
        <v>1460</v>
      </c>
      <c r="F5" s="7">
        <v>1460</v>
      </c>
      <c r="G5" s="7">
        <v>1460</v>
      </c>
      <c r="H5" s="7">
        <v>1475</v>
      </c>
      <c r="I5" s="7" t="s">
        <v>499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500</v>
      </c>
    </row>
    <row r="3" spans="1:23">
      <c r="B3" s="7" t="s">
        <v>167</v>
      </c>
      <c r="C3" s="7" t="s">
        <v>500</v>
      </c>
      <c r="D3" s="7" t="s">
        <v>501</v>
      </c>
      <c r="E3" s="7" t="s">
        <v>502</v>
      </c>
      <c r="F3" s="7" t="s">
        <v>503</v>
      </c>
      <c r="G3" s="7" t="s">
        <v>504</v>
      </c>
      <c r="H3" s="7" t="s">
        <v>505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354</v>
      </c>
      <c r="D4" s="7" t="s">
        <v>395</v>
      </c>
      <c r="E4" s="7" t="s">
        <v>506</v>
      </c>
      <c r="F4" s="7" t="s">
        <v>104</v>
      </c>
      <c r="G4" s="7" t="s">
        <v>507</v>
      </c>
      <c r="H4" s="7" t="s">
        <v>508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1492.5</v>
      </c>
      <c r="D5" s="7">
        <v>1472.5</v>
      </c>
      <c r="E5" s="7">
        <v>1492.5</v>
      </c>
      <c r="F5" s="7">
        <v>1460</v>
      </c>
      <c r="G5" s="7">
        <v>1430</v>
      </c>
      <c r="H5" s="7">
        <v>1415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W13"/>
  <sheetViews>
    <sheetView workbookViewId="0"/>
  </sheetViews>
  <sheetFormatPr defaultColWidth="12.5703125" defaultRowHeight="15.75" customHeight="1"/>
  <sheetData>
    <row r="1" spans="1:23">
      <c r="A1" s="7"/>
      <c r="B1" s="7" t="s">
        <v>82</v>
      </c>
    </row>
    <row r="3" spans="1:23">
      <c r="B3" s="7" t="s">
        <v>167</v>
      </c>
      <c r="C3" s="7" t="s">
        <v>96</v>
      </c>
      <c r="D3" s="7" t="s">
        <v>509</v>
      </c>
      <c r="E3" s="7" t="s">
        <v>510</v>
      </c>
      <c r="F3" s="7" t="s">
        <v>511</v>
      </c>
      <c r="G3" s="7" t="s">
        <v>352</v>
      </c>
      <c r="H3" s="7" t="s">
        <v>512</v>
      </c>
      <c r="I3" s="7" t="s">
        <v>395</v>
      </c>
      <c r="J3" s="7" t="s">
        <v>513</v>
      </c>
      <c r="K3" s="7" t="s">
        <v>359</v>
      </c>
      <c r="L3" s="7" t="s">
        <v>514</v>
      </c>
      <c r="M3" s="7" t="s">
        <v>131</v>
      </c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>
      <c r="A4" s="7"/>
      <c r="B4" s="7" t="s">
        <v>349</v>
      </c>
      <c r="C4" s="7" t="s">
        <v>96</v>
      </c>
      <c r="D4" s="7" t="s">
        <v>515</v>
      </c>
      <c r="E4" s="7" t="s">
        <v>322</v>
      </c>
      <c r="F4" s="7" t="s">
        <v>511</v>
      </c>
      <c r="G4" s="7" t="s">
        <v>516</v>
      </c>
      <c r="H4" s="7" t="s">
        <v>512</v>
      </c>
      <c r="I4" s="7" t="s">
        <v>395</v>
      </c>
      <c r="J4" s="7" t="s">
        <v>513</v>
      </c>
      <c r="K4" s="7" t="s">
        <v>359</v>
      </c>
      <c r="L4" s="7" t="s">
        <v>517</v>
      </c>
      <c r="M4" s="7" t="s">
        <v>131</v>
      </c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>
      <c r="A5" s="7"/>
      <c r="B5" s="7" t="s">
        <v>363</v>
      </c>
      <c r="C5" s="7">
        <v>1750</v>
      </c>
      <c r="D5" s="7">
        <v>1750</v>
      </c>
      <c r="E5" s="7">
        <v>1475</v>
      </c>
      <c r="F5" s="7">
        <v>1750</v>
      </c>
      <c r="G5" s="7">
        <v>1550</v>
      </c>
      <c r="H5" s="7">
        <v>1750</v>
      </c>
      <c r="I5" s="7">
        <v>1560</v>
      </c>
      <c r="J5" s="7">
        <v>1600</v>
      </c>
      <c r="K5" s="7">
        <v>1610</v>
      </c>
      <c r="L5" s="7">
        <v>1750</v>
      </c>
      <c r="M5" s="7">
        <v>1750</v>
      </c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>
      <c r="B6" s="7" t="s">
        <v>364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>
      <c r="B7" s="7" t="s">
        <v>365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>
      <c r="B8" s="7" t="s">
        <v>366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>
      <c r="A11" s="7" t="s">
        <v>367</v>
      </c>
      <c r="B11" s="7" t="s">
        <v>364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</row>
    <row r="12" spans="1:23">
      <c r="B12" s="7" t="s">
        <v>365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0</v>
      </c>
      <c r="J12" s="7" t="b">
        <v>0</v>
      </c>
      <c r="K12" s="7" t="b">
        <v>0</v>
      </c>
      <c r="L12" s="7" t="b">
        <v>0</v>
      </c>
      <c r="M12" s="7" t="b">
        <v>0</v>
      </c>
      <c r="N12" s="7" t="b">
        <v>0</v>
      </c>
      <c r="O12" s="7" t="b">
        <v>0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</row>
    <row r="13" spans="1:23">
      <c r="B13" s="7" t="s">
        <v>366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</sheetData>
  <pageMargins left="0.7" right="0.7" top="0.75" bottom="0.75" header="0.3" footer="0.3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M32"/>
  <sheetViews>
    <sheetView workbookViewId="0"/>
  </sheetViews>
  <sheetFormatPr defaultColWidth="12.5703125" defaultRowHeight="15.75" customHeight="1"/>
  <sheetData>
    <row r="1" spans="1:13">
      <c r="B1" s="7" t="s">
        <v>518</v>
      </c>
      <c r="C1" s="7" t="s">
        <v>81</v>
      </c>
      <c r="D1" s="7" t="s">
        <v>165</v>
      </c>
      <c r="E1" s="7" t="s">
        <v>79</v>
      </c>
      <c r="F1" s="7" t="s">
        <v>368</v>
      </c>
      <c r="G1" s="7" t="s">
        <v>83</v>
      </c>
      <c r="H1" s="7" t="s">
        <v>85</v>
      </c>
      <c r="I1" s="7" t="s">
        <v>80</v>
      </c>
      <c r="J1" s="7" t="s">
        <v>82</v>
      </c>
      <c r="K1" s="7" t="s">
        <v>432</v>
      </c>
      <c r="L1" s="7" t="s">
        <v>132</v>
      </c>
      <c r="M1" s="7" t="s">
        <v>84</v>
      </c>
    </row>
    <row r="2" spans="1:13">
      <c r="A2" s="7">
        <v>3</v>
      </c>
      <c r="B2" s="7" t="s">
        <v>519</v>
      </c>
      <c r="C2" s="7" t="str">
        <f t="shared" ref="C2:M2" ca="1" si="0">IF(ISBLANK(INDIRECT(CONCATENATE(C$1,"!",ADDRESS(3,$A2)))),"",CONCATENATE(C$1,"-", INDIRECT(CONCATENATE(C$1,"!",ADDRESS(3,$A2)))))</f>
        <v>Faal-Faalsoul</v>
      </c>
      <c r="D2" s="7" t="e">
        <f t="shared" ca="1" si="0"/>
        <v>#REF!</v>
      </c>
      <c r="E2" s="7" t="str">
        <f t="shared" ca="1" si="0"/>
        <v>Delay-Chloestrasza</v>
      </c>
      <c r="F2" s="7" t="str">
        <f t="shared" ca="1" si="0"/>
        <v>Charlie-Chawie</v>
      </c>
      <c r="G2" s="7" t="str">
        <f t="shared" ca="1" si="0"/>
        <v>Ghonty-Ghowonty</v>
      </c>
      <c r="H2" s="7" t="str">
        <f t="shared" ca="1" si="0"/>
        <v>Mawino-Sabinalallian</v>
      </c>
      <c r="I2" s="7" t="str">
        <f t="shared" ca="1" si="0"/>
        <v>Marcel-Ninetailedstrike</v>
      </c>
      <c r="J2" s="7" t="str">
        <f t="shared" ca="1" si="0"/>
        <v>Wish-Paladin</v>
      </c>
      <c r="K2" s="7" t="str">
        <f t="shared" ca="1" si="0"/>
        <v>Nonna-Nonna</v>
      </c>
      <c r="L2" s="7" t="str">
        <f t="shared" ca="1" si="0"/>
        <v>Mina-Mina</v>
      </c>
      <c r="M2" s="7" t="str">
        <f t="shared" ca="1" si="0"/>
        <v>Vierazy-Vierazy</v>
      </c>
    </row>
    <row r="3" spans="1:13">
      <c r="A3" s="7">
        <v>4</v>
      </c>
      <c r="B3" s="7" t="s">
        <v>520</v>
      </c>
      <c r="C3" s="7" t="str">
        <f t="shared" ref="C3:M3" ca="1" si="1">IF(ISBLANK(INDIRECT(CONCATENATE(C$1,"!",ADDRESS(3,$A3)))),"",CONCATENATE(C$1,"-", INDIRECT(CONCATENATE(C$1,"!",ADDRESS(3,$A3)))))</f>
        <v>Faal-Faalmancer</v>
      </c>
      <c r="D3" s="7" t="e">
        <f t="shared" ca="1" si="1"/>
        <v>#REF!</v>
      </c>
      <c r="E3" s="7" t="str">
        <f t="shared" ca="1" si="1"/>
        <v>Delay-Chloetwo</v>
      </c>
      <c r="F3" s="7" t="str">
        <f t="shared" ca="1" si="1"/>
        <v>Charlie-Chawwie</v>
      </c>
      <c r="G3" s="7" t="str">
        <f t="shared" ca="1" si="1"/>
        <v>Ghonty-Giantditchfrog</v>
      </c>
      <c r="H3" s="7" t="str">
        <f t="shared" ca="1" si="1"/>
        <v>Mawino-Boobmaxxing</v>
      </c>
      <c r="I3" s="7" t="str">
        <f t="shared" ca="1" si="1"/>
        <v>Marcel-Lucidsingularity</v>
      </c>
      <c r="J3" s="7" t="str">
        <f t="shared" ca="1" si="1"/>
        <v>Wish-Destro</v>
      </c>
      <c r="K3" s="7" t="str">
        <f t="shared" ca="1" si="1"/>
        <v>Nonna-Nonnaa</v>
      </c>
      <c r="L3" s="7" t="str">
        <f t="shared" ca="1" si="1"/>
        <v>Mina-Triomphe</v>
      </c>
      <c r="M3" s="7" t="str">
        <f t="shared" ca="1" si="1"/>
        <v>Vierazy-Cardrazy</v>
      </c>
    </row>
    <row r="4" spans="1:13">
      <c r="A4" s="7">
        <v>5</v>
      </c>
      <c r="B4" s="7" t="s">
        <v>521</v>
      </c>
      <c r="C4" s="7" t="str">
        <f t="shared" ref="C4:M4" ca="1" si="2">IF(ISBLANK(INDIRECT(CONCATENATE(C$1,"!",ADDRESS(3,$A4)))),"",CONCATENATE(C$1,"-", INDIRECT(CONCATENATE(C$1,"!",ADDRESS(3,$A4)))))</f>
        <v>Faal-Faalb</v>
      </c>
      <c r="D4" s="7" t="e">
        <f t="shared" ca="1" si="2"/>
        <v>#REF!</v>
      </c>
      <c r="E4" s="7" t="str">
        <f t="shared" ca="1" si="2"/>
        <v>Delay-Chloenote</v>
      </c>
      <c r="F4" s="7" t="str">
        <f t="shared" ca="1" si="2"/>
        <v>Charlie-Chawiebonk</v>
      </c>
      <c r="G4" s="7" t="str">
        <f t="shared" ca="1" si="2"/>
        <v>Ghonty-Ghonty</v>
      </c>
      <c r="H4" s="7" t="str">
        <f t="shared" ca="1" si="2"/>
        <v>Mawino-Mokokogl</v>
      </c>
      <c r="I4" s="7" t="str">
        <f t="shared" ca="1" si="2"/>
        <v>Marcel-Íhatechaos</v>
      </c>
      <c r="J4" s="7" t="str">
        <f t="shared" ca="1" si="2"/>
        <v>Wish-Lilshit</v>
      </c>
      <c r="K4" s="7" t="str">
        <f t="shared" ca="1" si="2"/>
        <v>Nonna-Shenaya</v>
      </c>
      <c r="L4" s="7" t="str">
        <f t="shared" ca="1" si="2"/>
        <v>Mina-Chou</v>
      </c>
      <c r="M4" s="7" t="str">
        <f t="shared" ca="1" si="2"/>
        <v>Vierazy-Holyrazy</v>
      </c>
    </row>
    <row r="5" spans="1:13">
      <c r="A5" s="7">
        <v>6</v>
      </c>
      <c r="B5" s="7" t="s">
        <v>522</v>
      </c>
      <c r="C5" s="7" t="str">
        <f t="shared" ref="C5:M5" ca="1" si="3">IF(ISBLANK(INDIRECT(CONCATENATE(C$1,"!",ADDRESS(3,$A5)))),"",CONCATENATE(C$1,"-", INDIRECT(CONCATENATE(C$1,"!",ADDRESS(3,$A5)))))</f>
        <v>Faal-Faaler</v>
      </c>
      <c r="D5" s="7" t="e">
        <f t="shared" ca="1" si="3"/>
        <v>#REF!</v>
      </c>
      <c r="E5" s="7" t="str">
        <f t="shared" ca="1" si="3"/>
        <v>Delay-Chloster</v>
      </c>
      <c r="F5" s="7" t="str">
        <f t="shared" ca="1" si="3"/>
        <v>Charlie-Chawei</v>
      </c>
      <c r="G5" s="7" t="str">
        <f t="shared" ca="1" si="3"/>
        <v>Ghonty-Dowongerj</v>
      </c>
      <c r="H5" s="7" t="str">
        <f t="shared" ca="1" si="3"/>
        <v>Mawino-Mawbu</v>
      </c>
      <c r="I5" s="7" t="str">
        <f t="shared" ca="1" si="3"/>
        <v>Marcel-Brutalmomentum</v>
      </c>
      <c r="J5" s="7" t="str">
        <f t="shared" ca="1" si="3"/>
        <v>Wish-GL</v>
      </c>
      <c r="K5" s="7" t="str">
        <f t="shared" ca="1" si="3"/>
        <v>Nonna-Nonaa</v>
      </c>
      <c r="L5" s="7" t="str">
        <f t="shared" ca="1" si="3"/>
        <v>Mina-Soble</v>
      </c>
      <c r="M5" s="7" t="str">
        <f t="shared" ca="1" si="3"/>
        <v>Vierazy-Wierazy</v>
      </c>
    </row>
    <row r="6" spans="1:13">
      <c r="A6" s="7">
        <v>7</v>
      </c>
      <c r="B6" s="7" t="s">
        <v>523</v>
      </c>
      <c r="C6" s="7" t="str">
        <f t="shared" ref="C6:M6" ca="1" si="4">IF(ISBLANK(INDIRECT(CONCATENATE(C$1,"!",ADDRESS(3,$A6)))),"",CONCATENATE(C$1,"-", INDIRECT(CONCATENATE(C$1,"!",ADDRESS(3,$A6)))))</f>
        <v>Faal-Faalbreaker</v>
      </c>
      <c r="D6" s="7" t="e">
        <f t="shared" ca="1" si="4"/>
        <v>#REF!</v>
      </c>
      <c r="E6" s="7" t="str">
        <f t="shared" ca="1" si="4"/>
        <v>Delay-Ghontyfan</v>
      </c>
      <c r="F6" s="7" t="str">
        <f t="shared" ca="1" si="4"/>
        <v>Charlie-Charwie</v>
      </c>
      <c r="G6" s="7" t="str">
        <f t="shared" ca="1" si="4"/>
        <v>Ghonty-Catpounce</v>
      </c>
      <c r="H6" s="7" t="str">
        <f t="shared" ca="1" si="4"/>
        <v>Mawino-Letmeinnnnnn</v>
      </c>
      <c r="I6" s="7" t="str">
        <f t="shared" ca="1" si="4"/>
        <v>Marcel-Umbralfang</v>
      </c>
      <c r="J6" s="7" t="str">
        <f t="shared" ca="1" si="4"/>
        <v>Wish-Striker</v>
      </c>
      <c r="K6" s="7" t="str">
        <f t="shared" ca="1" si="4"/>
        <v>Nonna-Nosha</v>
      </c>
      <c r="L6" s="7" t="str">
        <f t="shared" ca="1" si="4"/>
        <v>Mina-Ame</v>
      </c>
      <c r="M6" s="7" t="str">
        <f t="shared" ca="1" si="4"/>
        <v>Vierazy-Cuhrazy</v>
      </c>
    </row>
    <row r="7" spans="1:13">
      <c r="A7" s="7">
        <v>8</v>
      </c>
      <c r="B7" s="7" t="s">
        <v>524</v>
      </c>
      <c r="C7" s="7" t="str">
        <f t="shared" ref="C7:M7" ca="1" si="5">IF(ISBLANK(INDIRECT(CONCATENATE(C$1,"!",ADDRESS(3,$A7)))),"",CONCATENATE(C$1,"-", INDIRECT(CONCATENATE(C$1,"!",ADDRESS(3,$A7)))))</f>
        <v>Faal-Faal</v>
      </c>
      <c r="D7" s="7" t="e">
        <f t="shared" ca="1" si="5"/>
        <v>#REF!</v>
      </c>
      <c r="E7" s="7" t="str">
        <f t="shared" ca="1" si="5"/>
        <v>Delay-Chloebrush</v>
      </c>
      <c r="F7" s="7" t="str">
        <f t="shared" ca="1" si="5"/>
        <v>Charlie-Supportmonkey</v>
      </c>
      <c r="G7" s="7" t="str">
        <f t="shared" ca="1" si="5"/>
        <v>Ghonty-Ghontyg</v>
      </c>
      <c r="H7" s="7" t="str">
        <f t="shared" ca="1" si="5"/>
        <v>Mawino-Boobaowo</v>
      </c>
      <c r="I7" s="7" t="str">
        <f t="shared" ca="1" si="5"/>
        <v>Marcel-Threeroundburst</v>
      </c>
      <c r="J7" s="7" t="str">
        <f t="shared" ca="1" si="5"/>
        <v>Wish-Artill</v>
      </c>
      <c r="K7" s="7" t="str">
        <f t="shared" ca="1" si="5"/>
        <v>Nonna-Shinaia</v>
      </c>
      <c r="L7" s="7" t="str">
        <f t="shared" ca="1" si="5"/>
        <v>Mina-Owonyoung</v>
      </c>
      <c r="M7" s="7" t="str">
        <f t="shared" ca="1" si="5"/>
        <v>Vierazy-Wildrazy</v>
      </c>
    </row>
    <row r="8" spans="1:13">
      <c r="A8" s="7">
        <v>9</v>
      </c>
      <c r="B8" s="7" t="s">
        <v>525</v>
      </c>
      <c r="C8" s="7" t="str">
        <f t="shared" ref="C8:M8" ca="1" si="6">IF(ISBLANK(INDIRECT(CONCATENATE(C$1,"!",ADDRESS(3,$A8)))),"",CONCATENATE(C$1,"-", INDIRECT(CONCATENATE(C$1,"!",ADDRESS(3,$A8)))))</f>
        <v>Faal-Faalkyrie</v>
      </c>
      <c r="D8" s="7" t="e">
        <f t="shared" ca="1" si="6"/>
        <v>#REF!</v>
      </c>
      <c r="E8" s="7" t="str">
        <f t="shared" ca="1" si="6"/>
        <v>Delay-Chloepet</v>
      </c>
      <c r="F8" s="7" t="str">
        <f t="shared" ca="1" si="6"/>
        <v>Charlie-Chadwie</v>
      </c>
      <c r="G8" s="7" t="str">
        <f t="shared" ca="1" si="6"/>
        <v>Ghonty-Ghontycarpet</v>
      </c>
      <c r="H8" s="7" t="str">
        <f t="shared" ca="1" si="6"/>
        <v/>
      </c>
      <c r="I8" s="7" t="str">
        <f t="shared" ca="1" si="6"/>
        <v>Marcel-Dancíngdagger</v>
      </c>
      <c r="J8" s="7" t="str">
        <f t="shared" ca="1" si="6"/>
        <v>Wish-Arcana</v>
      </c>
      <c r="K8" s="7" t="str">
        <f t="shared" ca="1" si="6"/>
        <v>Nonna-Nonnâ</v>
      </c>
      <c r="L8" s="7" t="str">
        <f t="shared" ca="1" si="6"/>
        <v>Mina-Pitshu</v>
      </c>
      <c r="M8" s="7" t="str">
        <f t="shared" ca="1" si="6"/>
        <v>Vierazy-Valkyrazy</v>
      </c>
    </row>
    <row r="9" spans="1:13">
      <c r="A9" s="7">
        <v>10</v>
      </c>
      <c r="B9" s="7" t="s">
        <v>526</v>
      </c>
      <c r="C9" s="7" t="str">
        <f t="shared" ref="C9:M9" ca="1" si="7">IF(ISBLANK(INDIRECT(CONCATENATE(C$1,"!",ADDRESS(3,$A9)))),"",CONCATENATE(C$1,"-", INDIRECT(CONCATENATE(C$1,"!",ADDRESS(3,$A9)))))</f>
        <v>Faal-Faals</v>
      </c>
      <c r="D9" s="7" t="e">
        <f t="shared" ca="1" si="7"/>
        <v>#REF!</v>
      </c>
      <c r="E9" s="7" t="str">
        <f t="shared" ca="1" si="7"/>
        <v>Delay-Chloeburst</v>
      </c>
      <c r="F9" s="7" t="str">
        <f t="shared" ca="1" si="7"/>
        <v>Charlie-Demonchawie</v>
      </c>
      <c r="G9" s="7" t="str">
        <f t="shared" ca="1" si="7"/>
        <v>Ghonty-Ghowonterj</v>
      </c>
      <c r="H9" s="7" t="str">
        <f t="shared" ca="1" si="7"/>
        <v/>
      </c>
      <c r="I9" s="7" t="str">
        <f t="shared" ca="1" si="7"/>
        <v>Marcel-Lunarimpact</v>
      </c>
      <c r="J9" s="7" t="str">
        <f t="shared" ca="1" si="7"/>
        <v>Wish-Scouter</v>
      </c>
      <c r="K9" s="7" t="str">
        <f t="shared" ca="1" si="7"/>
        <v/>
      </c>
      <c r="L9" s="7" t="str">
        <f t="shared" ca="1" si="7"/>
        <v/>
      </c>
      <c r="M9" s="7" t="str">
        <f t="shared" ca="1" si="7"/>
        <v/>
      </c>
    </row>
    <row r="10" spans="1:13">
      <c r="A10" s="7">
        <v>11</v>
      </c>
      <c r="B10" s="7" t="s">
        <v>527</v>
      </c>
      <c r="C10" s="7" t="str">
        <f t="shared" ref="C10:M10" ca="1" si="8">IF(ISBLANK(INDIRECT(CONCATENATE(C$1,"!",ADDRESS(3,$A10)))),"",CONCATENATE(C$1,"-", INDIRECT(CONCATENATE(C$1,"!",ADDRESS(3,$A10)))))</f>
        <v/>
      </c>
      <c r="D10" s="7" t="e">
        <f t="shared" ca="1" si="8"/>
        <v>#REF!</v>
      </c>
      <c r="E10" s="7" t="str">
        <f t="shared" ca="1" si="8"/>
        <v>Delay-Chloestorm</v>
      </c>
      <c r="F10" s="7" t="str">
        <f t="shared" ca="1" si="8"/>
        <v/>
      </c>
      <c r="G10" s="7" t="str">
        <f t="shared" ca="1" si="8"/>
        <v/>
      </c>
      <c r="H10" s="7" t="str">
        <f t="shared" ca="1" si="8"/>
        <v/>
      </c>
      <c r="I10" s="7" t="str">
        <f t="shared" ca="1" si="8"/>
        <v>Marcel-Impactstrike</v>
      </c>
      <c r="J10" s="7" t="str">
        <f t="shared" ca="1" si="8"/>
        <v>Wish-Slayer</v>
      </c>
      <c r="K10" s="7" t="str">
        <f t="shared" ca="1" si="8"/>
        <v/>
      </c>
      <c r="L10" s="7" t="str">
        <f t="shared" ca="1" si="8"/>
        <v/>
      </c>
      <c r="M10" s="7" t="str">
        <f t="shared" ca="1" si="8"/>
        <v/>
      </c>
    </row>
    <row r="11" spans="1:13">
      <c r="A11" s="7">
        <v>12</v>
      </c>
      <c r="B11" s="7" t="s">
        <v>315</v>
      </c>
      <c r="C11" s="7" t="str">
        <f t="shared" ref="C11:M11" ca="1" si="9">IF(ISBLANK(INDIRECT(CONCATENATE(C$1,"!",ADDRESS(3,$A11)))),"",CONCATENATE(C$1,"-", INDIRECT(CONCATENATE(C$1,"!",ADDRESS(3,$A11)))))</f>
        <v/>
      </c>
      <c r="D11" s="7" t="e">
        <f t="shared" ca="1" si="9"/>
        <v>#REF!</v>
      </c>
      <c r="E11" s="7" t="str">
        <f t="shared" ca="1" si="9"/>
        <v>Delay-Chloescythe</v>
      </c>
      <c r="F11" s="7" t="str">
        <f t="shared" ca="1" si="9"/>
        <v/>
      </c>
      <c r="G11" s="7" t="str">
        <f t="shared" ca="1" si="9"/>
        <v/>
      </c>
      <c r="H11" s="7" t="str">
        <f t="shared" ca="1" si="9"/>
        <v/>
      </c>
      <c r="I11" s="7" t="str">
        <f t="shared" ca="1" si="9"/>
        <v>Marcel-Radiantarc</v>
      </c>
      <c r="J11" s="7" t="str">
        <f t="shared" ca="1" si="9"/>
        <v>Wish-BAKER</v>
      </c>
      <c r="K11" s="7" t="str">
        <f t="shared" ca="1" si="9"/>
        <v/>
      </c>
      <c r="L11" s="7" t="str">
        <f t="shared" ca="1" si="9"/>
        <v/>
      </c>
      <c r="M11" s="7" t="str">
        <f t="shared" ca="1" si="9"/>
        <v/>
      </c>
    </row>
    <row r="12" spans="1:13">
      <c r="A12" s="7">
        <v>13</v>
      </c>
      <c r="B12" s="7" t="s">
        <v>316</v>
      </c>
      <c r="C12" s="7" t="str">
        <f t="shared" ref="C12:K12" ca="1" si="10">IF(ISBLANK(INDIRECT(CONCATENATE(C$1,"!",ADDRESS(3,$A12)))),"",CONCATENATE(C$1,"-", INDIRECT(CONCATENATE(C$1,"!",ADDRESS(3,$A12)))))</f>
        <v/>
      </c>
      <c r="D12" s="7" t="e">
        <f t="shared" ca="1" si="10"/>
        <v>#REF!</v>
      </c>
      <c r="E12" s="7" t="str">
        <f t="shared" ca="1" si="10"/>
        <v>Delay-Bighandguy</v>
      </c>
      <c r="F12" s="7" t="str">
        <f t="shared" ca="1" si="10"/>
        <v/>
      </c>
      <c r="G12" s="7" t="str">
        <f t="shared" ca="1" si="10"/>
        <v/>
      </c>
      <c r="H12" s="7" t="str">
        <f t="shared" ca="1" si="10"/>
        <v/>
      </c>
      <c r="I12" s="7" t="str">
        <f t="shared" ca="1" si="10"/>
        <v>Marcel-Searingslash</v>
      </c>
      <c r="J12" s="7" t="str">
        <f t="shared" ca="1" si="10"/>
        <v>Wish-G</v>
      </c>
      <c r="K12" s="7" t="str">
        <f t="shared" ca="1" si="10"/>
        <v/>
      </c>
    </row>
    <row r="13" spans="1:13">
      <c r="A13" s="7">
        <v>14</v>
      </c>
      <c r="B13" s="7" t="s">
        <v>528</v>
      </c>
      <c r="C13" s="7" t="str">
        <f t="shared" ref="C13:K13" ca="1" si="11">IF(ISBLANK(INDIRECT(CONCATENATE(C$1,"!",ADDRESS(3,$A13)))),"",CONCATENATE(C$1,"-", INDIRECT(CONCATENATE(C$1,"!",ADDRESS(3,$A13)))))</f>
        <v/>
      </c>
      <c r="D13" s="7" t="e">
        <f t="shared" ca="1" si="11"/>
        <v>#REF!</v>
      </c>
      <c r="E13" s="7" t="str">
        <f t="shared" ca="1" si="11"/>
        <v>Delay-Wildchloe</v>
      </c>
      <c r="F13" s="7" t="str">
        <f t="shared" ca="1" si="11"/>
        <v/>
      </c>
      <c r="G13" s="7" t="str">
        <f t="shared" ca="1" si="11"/>
        <v/>
      </c>
      <c r="H13" s="7" t="str">
        <f t="shared" ca="1" si="11"/>
        <v/>
      </c>
      <c r="I13" s="7" t="str">
        <f t="shared" ca="1" si="11"/>
        <v>Marcel-Astralwisp</v>
      </c>
      <c r="J13" s="7" t="str">
        <f t="shared" ca="1" si="11"/>
        <v/>
      </c>
      <c r="K13" s="7" t="str">
        <f t="shared" ca="1" si="11"/>
        <v/>
      </c>
    </row>
    <row r="14" spans="1:13">
      <c r="A14" s="7">
        <v>15</v>
      </c>
      <c r="B14" s="7" t="s">
        <v>529</v>
      </c>
      <c r="C14" s="7" t="str">
        <f t="shared" ref="C14:K14" ca="1" si="12">IF(ISBLANK(INDIRECT(CONCATENATE(C$1,"!",ADDRESS(3,$A14)))),"",CONCATENATE(C$1,"-", INDIRECT(CONCATENATE(C$1,"!",ADDRESS(3,$A14)))))</f>
        <v/>
      </c>
      <c r="D14" s="7" t="e">
        <f t="shared" ca="1" si="12"/>
        <v>#REF!</v>
      </c>
      <c r="E14" s="7" t="str">
        <f t="shared" ca="1" si="12"/>
        <v/>
      </c>
      <c r="F14" s="7" t="str">
        <f t="shared" ca="1" si="12"/>
        <v/>
      </c>
      <c r="G14" s="7" t="str">
        <f t="shared" ca="1" si="12"/>
        <v/>
      </c>
      <c r="H14" s="7" t="str">
        <f t="shared" ca="1" si="12"/>
        <v/>
      </c>
      <c r="I14" s="7" t="str">
        <f t="shared" ca="1" si="12"/>
        <v>Marcel-Ferociouswinds</v>
      </c>
      <c r="J14" s="7" t="str">
        <f t="shared" ca="1" si="12"/>
        <v/>
      </c>
      <c r="K14" s="7" t="str">
        <f t="shared" ca="1" si="12"/>
        <v/>
      </c>
    </row>
    <row r="15" spans="1:13">
      <c r="A15" s="7">
        <v>16</v>
      </c>
      <c r="B15" s="7" t="s">
        <v>81</v>
      </c>
      <c r="C15" s="7" t="str">
        <f t="shared" ref="C15:K15" ca="1" si="13">IF(ISBLANK(INDIRECT(CONCATENATE(C$1,"!",ADDRESS(3,$A15)))),"",CONCATENATE(C$1,"-", INDIRECT(CONCATENATE(C$1,"!",ADDRESS(3,$A15)))))</f>
        <v/>
      </c>
      <c r="D15" s="7" t="e">
        <f t="shared" ca="1" si="13"/>
        <v>#REF!</v>
      </c>
      <c r="E15" s="7" t="str">
        <f t="shared" ca="1" si="13"/>
        <v/>
      </c>
      <c r="F15" s="7" t="str">
        <f t="shared" ca="1" si="13"/>
        <v/>
      </c>
      <c r="G15" s="7" t="str">
        <f t="shared" ca="1" si="13"/>
        <v/>
      </c>
      <c r="H15" s="7" t="str">
        <f t="shared" ca="1" si="13"/>
        <v/>
      </c>
      <c r="I15" s="7" t="str">
        <f t="shared" ca="1" si="13"/>
        <v>Marcel-Felinegrace</v>
      </c>
      <c r="J15" s="7" t="str">
        <f t="shared" ca="1" si="13"/>
        <v/>
      </c>
      <c r="K15" s="7" t="str">
        <f t="shared" ca="1" si="13"/>
        <v/>
      </c>
    </row>
    <row r="16" spans="1:13">
      <c r="A16" s="7">
        <v>17</v>
      </c>
      <c r="B16" s="7" t="s">
        <v>91</v>
      </c>
      <c r="C16" s="7" t="str">
        <f t="shared" ref="C16:K16" ca="1" si="14">IF(ISBLANK(INDIRECT(CONCATENATE(C$1,"!",ADDRESS(3,$A16)))),"",CONCATENATE(C$1,"-", INDIRECT(CONCATENATE(C$1,"!",ADDRESS(3,$A16)))))</f>
        <v/>
      </c>
      <c r="D16" s="7" t="e">
        <f t="shared" ca="1" si="14"/>
        <v>#REF!</v>
      </c>
      <c r="E16" s="7" t="str">
        <f t="shared" ca="1" si="14"/>
        <v/>
      </c>
      <c r="F16" s="7" t="str">
        <f t="shared" ca="1" si="14"/>
        <v/>
      </c>
      <c r="G16" s="7" t="str">
        <f t="shared" ca="1" si="14"/>
        <v/>
      </c>
      <c r="H16" s="7" t="str">
        <f t="shared" ca="1" si="14"/>
        <v/>
      </c>
      <c r="I16" s="7" t="str">
        <f t="shared" ca="1" si="14"/>
        <v>Marcel-Battlepresence</v>
      </c>
      <c r="J16" s="7" t="str">
        <f t="shared" ca="1" si="14"/>
        <v/>
      </c>
      <c r="K16" s="7" t="str">
        <f t="shared" ca="1" si="14"/>
        <v/>
      </c>
    </row>
    <row r="17" spans="1:11">
      <c r="A17" s="7">
        <v>18</v>
      </c>
      <c r="B17" s="7" t="s">
        <v>83</v>
      </c>
      <c r="C17" s="7" t="str">
        <f t="shared" ref="C17:K17" ca="1" si="15">IF(ISBLANK(INDIRECT(CONCATENATE(C$1,"!",ADDRESS(3,$A17)))),"",CONCATENATE(C$1,"-", INDIRECT(CONCATENATE(C$1,"!",ADDRESS(3,$A17)))))</f>
        <v/>
      </c>
      <c r="D17" s="7" t="e">
        <f t="shared" ca="1" si="15"/>
        <v>#REF!</v>
      </c>
      <c r="E17" s="7" t="str">
        <f t="shared" ca="1" si="15"/>
        <v/>
      </c>
      <c r="F17" s="7" t="str">
        <f t="shared" ca="1" si="15"/>
        <v/>
      </c>
      <c r="G17" s="7" t="str">
        <f t="shared" ca="1" si="15"/>
        <v/>
      </c>
      <c r="H17" s="7" t="str">
        <f t="shared" ca="1" si="15"/>
        <v/>
      </c>
      <c r="I17" s="7" t="str">
        <f t="shared" ca="1" si="15"/>
        <v>Marcel-Quietintensity</v>
      </c>
      <c r="J17" s="7" t="str">
        <f t="shared" ca="1" si="15"/>
        <v/>
      </c>
      <c r="K17" s="7" t="str">
        <f t="shared" ca="1" si="15"/>
        <v/>
      </c>
    </row>
    <row r="18" spans="1:11">
      <c r="A18" s="7">
        <v>19</v>
      </c>
      <c r="B18" s="7" t="s">
        <v>530</v>
      </c>
      <c r="C18" s="7" t="str">
        <f t="shared" ref="C18:K18" ca="1" si="16">IF(ISBLANK(INDIRECT(CONCATENATE(C$1,"!",ADDRESS(3,$A18)))),"",CONCATENATE(C$1,"-", INDIRECT(CONCATENATE(C$1,"!",ADDRESS(3,$A18)))))</f>
        <v/>
      </c>
      <c r="D18" s="7" t="e">
        <f t="shared" ca="1" si="16"/>
        <v>#REF!</v>
      </c>
      <c r="E18" s="7" t="str">
        <f t="shared" ca="1" si="16"/>
        <v/>
      </c>
      <c r="F18" s="7" t="str">
        <f t="shared" ca="1" si="16"/>
        <v/>
      </c>
      <c r="G18" s="7" t="str">
        <f t="shared" ca="1" si="16"/>
        <v/>
      </c>
      <c r="H18" s="7" t="str">
        <f t="shared" ca="1" si="16"/>
        <v/>
      </c>
      <c r="I18" s="7" t="str">
        <f t="shared" ca="1" si="16"/>
        <v>Marcel-Primalsoul</v>
      </c>
      <c r="J18" s="7" t="str">
        <f t="shared" ca="1" si="16"/>
        <v/>
      </c>
      <c r="K18" s="7" t="str">
        <f t="shared" ca="1" si="16"/>
        <v/>
      </c>
    </row>
    <row r="19" spans="1:11">
      <c r="A19" s="7">
        <v>20</v>
      </c>
      <c r="B19" s="7" t="s">
        <v>531</v>
      </c>
      <c r="C19" s="7" t="str">
        <f t="shared" ref="C19:K19" ca="1" si="17">IF(ISBLANK(INDIRECT(CONCATENATE(C$1,"!",ADDRESS(3,$A19)))),"",CONCATENATE(C$1,"-", INDIRECT(CONCATENATE(C$1,"!",ADDRESS(3,$A19)))))</f>
        <v/>
      </c>
      <c r="D19" s="7" t="e">
        <f t="shared" ca="1" si="17"/>
        <v>#REF!</v>
      </c>
      <c r="E19" s="7" t="str">
        <f t="shared" ca="1" si="17"/>
        <v/>
      </c>
      <c r="F19" s="7" t="str">
        <f t="shared" ca="1" si="17"/>
        <v/>
      </c>
      <c r="G19" s="7" t="str">
        <f t="shared" ca="1" si="17"/>
        <v/>
      </c>
      <c r="H19" s="7" t="str">
        <f t="shared" ca="1" si="17"/>
        <v/>
      </c>
      <c r="I19" s="7" t="str">
        <f t="shared" ca="1" si="17"/>
        <v>Marcel-Enjin</v>
      </c>
      <c r="J19" s="7" t="str">
        <f t="shared" ca="1" si="17"/>
        <v/>
      </c>
      <c r="K19" s="7" t="str">
        <f t="shared" ca="1" si="17"/>
        <v/>
      </c>
    </row>
    <row r="20" spans="1:11">
      <c r="A20" s="7">
        <v>21</v>
      </c>
      <c r="B20" s="7" t="s">
        <v>532</v>
      </c>
      <c r="C20" s="7" t="str">
        <f t="shared" ref="C20:K20" ca="1" si="18">IF(ISBLANK(INDIRECT(CONCATENATE(C$1,"!",ADDRESS(3,$A20)))),"",CONCATENATE(C$1,"-", INDIRECT(CONCATENATE(C$1,"!",ADDRESS(3,$A20)))))</f>
        <v/>
      </c>
      <c r="D20" s="7" t="e">
        <f t="shared" ca="1" si="18"/>
        <v>#REF!</v>
      </c>
      <c r="E20" s="7" t="str">
        <f t="shared" ca="1" si="18"/>
        <v/>
      </c>
      <c r="F20" s="7" t="str">
        <f t="shared" ca="1" si="18"/>
        <v/>
      </c>
      <c r="G20" s="7" t="str">
        <f t="shared" ca="1" si="18"/>
        <v/>
      </c>
      <c r="H20" s="7" t="str">
        <f t="shared" ca="1" si="18"/>
        <v/>
      </c>
      <c r="I20" s="7" t="str">
        <f t="shared" ca="1" si="18"/>
        <v/>
      </c>
      <c r="J20" s="7" t="str">
        <f t="shared" ca="1" si="18"/>
        <v/>
      </c>
      <c r="K20" s="7" t="str">
        <f t="shared" ca="1" si="18"/>
        <v/>
      </c>
    </row>
    <row r="21" spans="1:11">
      <c r="A21" s="7">
        <v>22</v>
      </c>
      <c r="B21" s="7" t="s">
        <v>101</v>
      </c>
      <c r="C21" s="7" t="str">
        <f t="shared" ref="C21:K21" ca="1" si="19">IF(ISBLANK(INDIRECT(CONCATENATE(C$1,"!",ADDRESS(3,$A21)))),"",CONCATENATE(C$1,"-", INDIRECT(CONCATENATE(C$1,"!",ADDRESS(3,$A21)))))</f>
        <v/>
      </c>
      <c r="D21" s="7" t="e">
        <f t="shared" ca="1" si="19"/>
        <v>#REF!</v>
      </c>
      <c r="E21" s="7" t="str">
        <f t="shared" ca="1" si="19"/>
        <v/>
      </c>
      <c r="F21" s="7" t="str">
        <f t="shared" ca="1" si="19"/>
        <v/>
      </c>
      <c r="G21" s="7" t="str">
        <f t="shared" ca="1" si="19"/>
        <v/>
      </c>
      <c r="H21" s="7" t="str">
        <f t="shared" ca="1" si="19"/>
        <v/>
      </c>
      <c r="I21" s="7" t="str">
        <f t="shared" ca="1" si="19"/>
        <v/>
      </c>
      <c r="J21" s="7" t="str">
        <f t="shared" ca="1" si="19"/>
        <v/>
      </c>
      <c r="K21" s="7" t="str">
        <f t="shared" ca="1" si="19"/>
        <v/>
      </c>
    </row>
    <row r="22" spans="1:11">
      <c r="A22" s="7">
        <v>23</v>
      </c>
      <c r="B22" s="7" t="s">
        <v>533</v>
      </c>
      <c r="C22" s="7" t="str">
        <f t="shared" ref="C22:K22" ca="1" si="20">IF(ISBLANK(INDIRECT(CONCATENATE(C$1,"!",ADDRESS(3,$A22)))),"",CONCATENATE(C$1,"-", INDIRECT(CONCATENATE(C$1,"!",ADDRESS(3,$A22)))))</f>
        <v/>
      </c>
      <c r="D22" s="7" t="e">
        <f t="shared" ca="1" si="20"/>
        <v>#REF!</v>
      </c>
      <c r="E22" s="7" t="str">
        <f t="shared" ca="1" si="20"/>
        <v/>
      </c>
      <c r="F22" s="7" t="str">
        <f t="shared" ca="1" si="20"/>
        <v/>
      </c>
      <c r="G22" s="7" t="str">
        <f t="shared" ca="1" si="20"/>
        <v/>
      </c>
      <c r="H22" s="7" t="str">
        <f t="shared" ca="1" si="20"/>
        <v/>
      </c>
      <c r="I22" s="7" t="str">
        <f t="shared" ca="1" si="20"/>
        <v/>
      </c>
      <c r="J22" s="7" t="str">
        <f t="shared" ca="1" si="20"/>
        <v/>
      </c>
      <c r="K22" s="7" t="str">
        <f t="shared" ca="1" si="20"/>
        <v/>
      </c>
    </row>
    <row r="23" spans="1:11">
      <c r="A23" s="7">
        <v>24</v>
      </c>
      <c r="B23" s="7" t="s">
        <v>87</v>
      </c>
      <c r="C23" s="7" t="str">
        <f t="shared" ref="C23:K23" ca="1" si="21">IF(ISBLANK(INDIRECT(CONCATENATE(C$1,"!",ADDRESS(3,$A23)))),"",CONCATENATE(C$1,"-", INDIRECT(CONCATENATE(C$1,"!",ADDRESS(3,$A23)))))</f>
        <v/>
      </c>
      <c r="D23" s="7" t="e">
        <f t="shared" ca="1" si="21"/>
        <v>#REF!</v>
      </c>
      <c r="E23" s="7" t="str">
        <f t="shared" ca="1" si="21"/>
        <v/>
      </c>
      <c r="F23" s="7" t="str">
        <f t="shared" ca="1" si="21"/>
        <v/>
      </c>
      <c r="G23" s="7" t="str">
        <f t="shared" ca="1" si="21"/>
        <v/>
      </c>
      <c r="H23" s="7" t="str">
        <f t="shared" ca="1" si="21"/>
        <v/>
      </c>
      <c r="I23" s="7" t="str">
        <f t="shared" ca="1" si="21"/>
        <v/>
      </c>
      <c r="J23" s="7" t="str">
        <f t="shared" ca="1" si="21"/>
        <v/>
      </c>
      <c r="K23" s="7" t="str">
        <f t="shared" ca="1" si="21"/>
        <v/>
      </c>
    </row>
    <row r="24" spans="1:11">
      <c r="A24" s="7">
        <v>25</v>
      </c>
      <c r="B24" s="7" t="s">
        <v>534</v>
      </c>
      <c r="C24" s="7" t="str">
        <f t="shared" ref="C24:K24" ca="1" si="22">IF(ISBLANK(INDIRECT(CONCATENATE(C$1,"!",ADDRESS(3,$A24)))),"",CONCATENATE(C$1,"-", INDIRECT(CONCATENATE(C$1,"!",ADDRESS(3,$A24)))))</f>
        <v/>
      </c>
      <c r="D24" s="7" t="e">
        <f t="shared" ca="1" si="22"/>
        <v>#REF!</v>
      </c>
      <c r="E24" s="7" t="str">
        <f t="shared" ca="1" si="22"/>
        <v/>
      </c>
      <c r="F24" s="7" t="str">
        <f t="shared" ca="1" si="22"/>
        <v/>
      </c>
      <c r="G24" s="7" t="str">
        <f t="shared" ca="1" si="22"/>
        <v/>
      </c>
      <c r="H24" s="7" t="str">
        <f t="shared" ca="1" si="22"/>
        <v/>
      </c>
      <c r="I24" s="7" t="str">
        <f t="shared" ca="1" si="22"/>
        <v/>
      </c>
      <c r="J24" s="7" t="str">
        <f t="shared" ca="1" si="22"/>
        <v/>
      </c>
      <c r="K24" s="7" t="str">
        <f t="shared" ca="1" si="22"/>
        <v/>
      </c>
    </row>
    <row r="25" spans="1:11">
      <c r="A25" s="7">
        <v>26</v>
      </c>
      <c r="B25" s="7" t="s">
        <v>165</v>
      </c>
      <c r="C25" s="7" t="str">
        <f t="shared" ref="C25:K25" ca="1" si="23">IF(ISBLANK(INDIRECT(CONCATENATE(C$1,"!",ADDRESS(3,$A25)))),"",CONCATENATE(C$1,"-", INDIRECT(CONCATENATE(C$1,"!",ADDRESS(3,$A25)))))</f>
        <v/>
      </c>
      <c r="D25" s="7" t="e">
        <f t="shared" ca="1" si="23"/>
        <v>#REF!</v>
      </c>
      <c r="E25" s="7" t="str">
        <f t="shared" ca="1" si="23"/>
        <v/>
      </c>
      <c r="F25" s="7" t="str">
        <f t="shared" ca="1" si="23"/>
        <v/>
      </c>
      <c r="G25" s="7" t="str">
        <f t="shared" ca="1" si="23"/>
        <v/>
      </c>
      <c r="H25" s="7" t="str">
        <f t="shared" ca="1" si="23"/>
        <v/>
      </c>
      <c r="I25" s="7" t="str">
        <f t="shared" ca="1" si="23"/>
        <v/>
      </c>
      <c r="J25" s="7" t="str">
        <f t="shared" ca="1" si="23"/>
        <v/>
      </c>
      <c r="K25" s="7" t="str">
        <f t="shared" ca="1" si="23"/>
        <v/>
      </c>
    </row>
    <row r="26" spans="1:11">
      <c r="A26" s="7">
        <v>27</v>
      </c>
      <c r="B26" s="7" t="s">
        <v>86</v>
      </c>
      <c r="C26" s="7" t="str">
        <f t="shared" ref="C26:K26" ca="1" si="24">IF(ISBLANK(INDIRECT(CONCATENATE(C$1,"!",ADDRESS(3,$A26)))),"",CONCATENATE(C$1,"-", INDIRECT(CONCATENATE(C$1,"!",ADDRESS(3,$A26)))))</f>
        <v/>
      </c>
      <c r="D26" s="7" t="e">
        <f t="shared" ca="1" si="24"/>
        <v>#REF!</v>
      </c>
      <c r="E26" s="7" t="str">
        <f t="shared" ca="1" si="24"/>
        <v/>
      </c>
      <c r="F26" s="7" t="str">
        <f t="shared" ca="1" si="24"/>
        <v/>
      </c>
      <c r="G26" s="7" t="str">
        <f t="shared" ca="1" si="24"/>
        <v/>
      </c>
      <c r="H26" s="7" t="str">
        <f t="shared" ca="1" si="24"/>
        <v/>
      </c>
      <c r="I26" s="7" t="str">
        <f t="shared" ca="1" si="24"/>
        <v/>
      </c>
      <c r="J26" s="7" t="str">
        <f t="shared" ca="1" si="24"/>
        <v/>
      </c>
      <c r="K26" s="7" t="str">
        <f t="shared" ca="1" si="24"/>
        <v/>
      </c>
    </row>
    <row r="27" spans="1:11">
      <c r="A27" s="7">
        <v>28</v>
      </c>
      <c r="B27" s="7" t="s">
        <v>85</v>
      </c>
      <c r="C27" s="7" t="str">
        <f t="shared" ref="C27:K27" ca="1" si="25">IF(ISBLANK(INDIRECT(CONCATENATE(C$1,"!",ADDRESS(3,$A27)))),"",CONCATENATE(C$1,"-", INDIRECT(CONCATENATE(C$1,"!",ADDRESS(3,$A27)))))</f>
        <v/>
      </c>
      <c r="D27" s="7" t="e">
        <f t="shared" ca="1" si="25"/>
        <v>#REF!</v>
      </c>
      <c r="E27" s="7" t="str">
        <f t="shared" ca="1" si="25"/>
        <v/>
      </c>
      <c r="F27" s="7" t="str">
        <f t="shared" ca="1" si="25"/>
        <v/>
      </c>
      <c r="G27" s="7" t="str">
        <f t="shared" ca="1" si="25"/>
        <v/>
      </c>
      <c r="H27" s="7" t="str">
        <f t="shared" ca="1" si="25"/>
        <v/>
      </c>
      <c r="I27" s="7" t="str">
        <f t="shared" ca="1" si="25"/>
        <v/>
      </c>
      <c r="J27" s="7" t="str">
        <f t="shared" ca="1" si="25"/>
        <v/>
      </c>
      <c r="K27" s="7" t="str">
        <f t="shared" ca="1" si="25"/>
        <v/>
      </c>
    </row>
    <row r="28" spans="1:11">
      <c r="A28" s="7">
        <v>29</v>
      </c>
      <c r="B28" s="7" t="s">
        <v>535</v>
      </c>
      <c r="C28" s="7" t="str">
        <f t="shared" ref="C28:K28" ca="1" si="26">IF(ISBLANK(INDIRECT(CONCATENATE(C$1,"!",ADDRESS(3,$A28)))),"",CONCATENATE(C$1,"-", INDIRECT(CONCATENATE(C$1,"!",ADDRESS(3,$A28)))))</f>
        <v/>
      </c>
      <c r="D28" s="7" t="e">
        <f t="shared" ca="1" si="26"/>
        <v>#REF!</v>
      </c>
      <c r="E28" s="7" t="str">
        <f t="shared" ca="1" si="26"/>
        <v/>
      </c>
      <c r="F28" s="7" t="str">
        <f t="shared" ca="1" si="26"/>
        <v/>
      </c>
      <c r="G28" s="7" t="str">
        <f t="shared" ca="1" si="26"/>
        <v/>
      </c>
      <c r="H28" s="7" t="str">
        <f t="shared" ca="1" si="26"/>
        <v/>
      </c>
      <c r="I28" s="7" t="str">
        <f t="shared" ca="1" si="26"/>
        <v/>
      </c>
      <c r="J28" s="7" t="str">
        <f t="shared" ca="1" si="26"/>
        <v/>
      </c>
      <c r="K28" s="7" t="str">
        <f t="shared" ca="1" si="26"/>
        <v/>
      </c>
    </row>
    <row r="29" spans="1:11">
      <c r="A29" s="7">
        <v>30</v>
      </c>
      <c r="B29" s="7" t="s">
        <v>536</v>
      </c>
      <c r="C29" s="7" t="str">
        <f t="shared" ref="C29:K29" ca="1" si="27">IF(ISBLANK(INDIRECT(CONCATENATE(C$1,"!",ADDRESS(3,$A29)))),"",CONCATENATE(C$1,"-", INDIRECT(CONCATENATE(C$1,"!",ADDRESS(3,$A29)))))</f>
        <v/>
      </c>
      <c r="D29" s="7" t="e">
        <f t="shared" ca="1" si="27"/>
        <v>#REF!</v>
      </c>
      <c r="E29" s="7" t="str">
        <f t="shared" ca="1" si="27"/>
        <v/>
      </c>
      <c r="F29" s="7" t="str">
        <f t="shared" ca="1" si="27"/>
        <v/>
      </c>
      <c r="G29" s="7" t="str">
        <f t="shared" ca="1" si="27"/>
        <v/>
      </c>
      <c r="H29" s="7" t="str">
        <f t="shared" ca="1" si="27"/>
        <v/>
      </c>
      <c r="I29" s="7" t="str">
        <f t="shared" ca="1" si="27"/>
        <v/>
      </c>
      <c r="J29" s="7" t="str">
        <f t="shared" ca="1" si="27"/>
        <v/>
      </c>
      <c r="K29" s="7" t="str">
        <f t="shared" ca="1" si="27"/>
        <v/>
      </c>
    </row>
    <row r="30" spans="1:11">
      <c r="A30" s="7">
        <v>31</v>
      </c>
      <c r="B30" s="7" t="s">
        <v>102</v>
      </c>
    </row>
    <row r="31" spans="1:11">
      <c r="A31" s="7">
        <v>32</v>
      </c>
      <c r="B31" s="7" t="s">
        <v>103</v>
      </c>
    </row>
    <row r="32" spans="1:11">
      <c r="A32" s="7">
        <v>33</v>
      </c>
      <c r="B32" s="7" t="s">
        <v>331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Z37"/>
  <sheetViews>
    <sheetView workbookViewId="0"/>
  </sheetViews>
  <sheetFormatPr defaultColWidth="12.5703125" defaultRowHeight="15.75" customHeight="1"/>
  <cols>
    <col min="14" max="14" width="13.140625" customWidth="1"/>
  </cols>
  <sheetData>
    <row r="1" spans="1:26">
      <c r="A1" s="7" t="s">
        <v>248</v>
      </c>
    </row>
    <row r="2" spans="1:26">
      <c r="C2" s="7" t="s">
        <v>41</v>
      </c>
      <c r="D2" s="7" t="s">
        <v>79</v>
      </c>
      <c r="E2" s="7" t="s">
        <v>537</v>
      </c>
      <c r="F2" s="7" t="s">
        <v>500</v>
      </c>
      <c r="G2" s="7" t="s">
        <v>255</v>
      </c>
      <c r="H2" s="7" t="s">
        <v>80</v>
      </c>
      <c r="I2" s="7" t="s">
        <v>368</v>
      </c>
      <c r="J2" s="7" t="s">
        <v>82</v>
      </c>
      <c r="P2" s="256" t="s">
        <v>538</v>
      </c>
      <c r="Q2" s="247"/>
      <c r="R2" s="247"/>
      <c r="S2" s="247"/>
      <c r="T2" s="247"/>
      <c r="U2" s="247"/>
      <c r="V2" s="247"/>
      <c r="W2" s="247"/>
      <c r="X2" s="7"/>
      <c r="Y2" s="7"/>
      <c r="Z2" s="7"/>
    </row>
    <row r="3" spans="1:26">
      <c r="B3" s="206" t="s">
        <v>302</v>
      </c>
      <c r="C3" s="191" t="s">
        <v>34</v>
      </c>
      <c r="D3" s="192" t="s">
        <v>312</v>
      </c>
      <c r="E3" s="192"/>
      <c r="F3" s="192"/>
      <c r="G3" s="192" t="s">
        <v>270</v>
      </c>
      <c r="H3" s="192" t="s">
        <v>16</v>
      </c>
      <c r="I3" s="192" t="s">
        <v>539</v>
      </c>
      <c r="J3" s="193" t="s">
        <v>540</v>
      </c>
      <c r="P3" s="238" t="s">
        <v>349</v>
      </c>
      <c r="Q3" s="238" t="s">
        <v>541</v>
      </c>
      <c r="R3" s="238" t="s">
        <v>41</v>
      </c>
      <c r="S3" s="238" t="s">
        <v>79</v>
      </c>
      <c r="T3" s="238" t="s">
        <v>256</v>
      </c>
      <c r="U3" s="238" t="s">
        <v>255</v>
      </c>
      <c r="V3" s="238" t="s">
        <v>80</v>
      </c>
      <c r="W3" s="238" t="s">
        <v>82</v>
      </c>
    </row>
    <row r="4" spans="1:26">
      <c r="B4" s="98" t="s">
        <v>542</v>
      </c>
      <c r="C4" s="232" t="str">
        <f ca="1">IFERROR(__xludf.DUMMYFUNCTION("IF(ISBLANK(C3),"""",HLOOKUP(REGEXEXTRACT(C3,"".*-(.*)""),INDIRECT(CONCATENATE(REGEXEXTRACT(C3,""(.*)-.*""),""!C3:I"")),2,FALSE))"),"Arcana")</f>
        <v>Arcana</v>
      </c>
      <c r="D4" s="48" t="str">
        <f ca="1">IFERROR(__xludf.DUMMYFUNCTION("IF(ISBLANK(D3),"""",HLOOKUP(REGEXEXTRACT(D3,"".*-(.*)""),INDIRECT(CONCATENATE(REGEXEXTRACT(D3,""(.*)-.*""),""!C3:I"")),2,FALSE))"),"#N/A")</f>
        <v>#N/A</v>
      </c>
      <c r="E4" s="48"/>
      <c r="F4" s="48"/>
      <c r="G4" s="48" t="str">
        <f ca="1">IFERROR(__xludf.DUMMYFUNCTION("IF(ISBLANK(G3),"""",HLOOKUP(REGEXEXTRACT(G3,"".*-(.*)""),INDIRECT(CONCATENATE(REGEXEXTRACT(G3,""(.*)-.*""),""!C3:I"")),2,FALSE))"),"#REF!")</f>
        <v>#REF!</v>
      </c>
      <c r="H4" s="48" t="str">
        <f ca="1">IFERROR(__xludf.DUMMYFUNCTION("IF(ISBLANK(H3),"""",HLOOKUP(REGEXEXTRACT(H3,"".*-(.*)""),INDIRECT(CONCATENATE(REGEXEXTRACT(H3,""(.*)-.*""),""!C3:I"")),2,FALSE))"),"Striker")</f>
        <v>Striker</v>
      </c>
      <c r="I4" s="48" t="str">
        <f ca="1">IFERROR(__xludf.DUMMYFUNCTION("IF(ISBLANK(I3),"""",HLOOKUP(REGEXEXTRACT(I3,"".*-(.*)""),INDIRECT(CONCATENATE(REGEXEXTRACT(I3,""(.*)-.*""),""!C3:I"")),2,FALSE))"),"Reaper")</f>
        <v>Reaper</v>
      </c>
      <c r="J4" s="194" t="str">
        <f ca="1">IFERROR(__xludf.DUMMYFUNCTION("IF(ISBLANK(J3),"""",HLOOKUP(REGEXEXTRACT(J3,"".*-(.*)""),INDIRECT(CONCATENATE(REGEXEXTRACT(J3,""(.*)-.*""),""!C3:I"")),2,FALSE))"),"#N/A")</f>
        <v>#N/A</v>
      </c>
      <c r="P4" s="239" t="s">
        <v>104</v>
      </c>
      <c r="Q4" s="239">
        <f t="shared" ref="Q4:Q26" si="0">SUM(R4:W4)</f>
        <v>6</v>
      </c>
      <c r="R4" s="239">
        <v>3</v>
      </c>
      <c r="S4" s="239">
        <v>1</v>
      </c>
      <c r="T4" s="239">
        <v>1</v>
      </c>
      <c r="U4" s="239">
        <v>1</v>
      </c>
      <c r="V4" s="239">
        <v>0</v>
      </c>
      <c r="W4" s="239">
        <v>0</v>
      </c>
    </row>
    <row r="5" spans="1:26">
      <c r="B5" s="218"/>
      <c r="C5" s="240">
        <f ca="1">IFERROR(__xludf.DUMMYFUNCTION("IF(ISBLANK(C3),"""",HLOOKUP(REGEXEXTRACT(C3,"".*-(.*)""),INDIRECT(CONCATENATE(REGEXEXTRACT(C3,""(.*)-.*""),""!C3:I"")),3,FALSE))"),1570)</f>
        <v>1570</v>
      </c>
      <c r="D5" s="195" t="str">
        <f ca="1">IFERROR(__xludf.DUMMYFUNCTION("IF(ISBLANK(D3),"""",HLOOKUP(REGEXEXTRACT(D3,"".*-(.*)""),INDIRECT(CONCATENATE(REGEXEXTRACT(D3,""(.*)-.*""),""!C3:I"")),3,FALSE))"),"#N/A")</f>
        <v>#N/A</v>
      </c>
      <c r="E5" s="195"/>
      <c r="F5" s="195"/>
      <c r="G5" s="195">
        <v>1477.5</v>
      </c>
      <c r="H5" s="195">
        <f ca="1">IFERROR(__xludf.DUMMYFUNCTION("IF(ISBLANK(H3),"""",HLOOKUP(REGEXEXTRACT(H3,"".*-(.*)""),INDIRECT(CONCATENATE(REGEXEXTRACT(H3,""(.*)-.*""),""!C3:I"")),3,FALSE))"),1540)</f>
        <v>1540</v>
      </c>
      <c r="I5" s="195">
        <f ca="1">IFERROR(__xludf.DUMMYFUNCTION("IF(ISBLANK(I3),"""",HLOOKUP(REGEXEXTRACT(I3,"".*-(.*)""),INDIRECT(CONCATENATE(REGEXEXTRACT(I3,""(.*)-.*""),""!C3:I"")),3,FALSE))"),1490)</f>
        <v>1490</v>
      </c>
      <c r="J5" s="196" t="str">
        <f ca="1">IFERROR(__xludf.DUMMYFUNCTION("IF(ISBLANK(J3),"""",HLOOKUP(REGEXEXTRACT(J3,"".*-(.*)""),INDIRECT(CONCATENATE(REGEXEXTRACT(J3,""(.*)-.*""),""!C3:I"")),3,FALSE))"),"#N/A")</f>
        <v>#N/A</v>
      </c>
      <c r="P5" s="241" t="s">
        <v>395</v>
      </c>
      <c r="Q5" s="241">
        <f t="shared" si="0"/>
        <v>5</v>
      </c>
      <c r="R5" s="241">
        <v>1</v>
      </c>
      <c r="S5" s="241">
        <v>1</v>
      </c>
      <c r="T5" s="241">
        <v>1</v>
      </c>
      <c r="U5" s="241">
        <v>1</v>
      </c>
      <c r="V5" s="241">
        <v>0</v>
      </c>
      <c r="W5" s="241">
        <v>1</v>
      </c>
    </row>
    <row r="6" spans="1:26">
      <c r="B6" s="206" t="s">
        <v>302</v>
      </c>
      <c r="C6" s="191" t="s">
        <v>319</v>
      </c>
      <c r="D6" s="192" t="s">
        <v>35</v>
      </c>
      <c r="E6" s="192"/>
      <c r="F6" s="192"/>
      <c r="G6" s="192" t="s">
        <v>18</v>
      </c>
      <c r="H6" s="192" t="s">
        <v>12</v>
      </c>
      <c r="I6" s="192" t="s">
        <v>543</v>
      </c>
      <c r="J6" s="193" t="s">
        <v>26</v>
      </c>
      <c r="N6" s="257" t="s">
        <v>544</v>
      </c>
      <c r="P6" s="239" t="s">
        <v>351</v>
      </c>
      <c r="Q6" s="239">
        <f t="shared" si="0"/>
        <v>5</v>
      </c>
      <c r="R6" s="239">
        <v>0</v>
      </c>
      <c r="S6" s="239">
        <v>1</v>
      </c>
      <c r="T6" s="239">
        <v>2</v>
      </c>
      <c r="U6" s="239">
        <v>1</v>
      </c>
      <c r="V6" s="239">
        <v>1</v>
      </c>
      <c r="W6" s="239">
        <v>0</v>
      </c>
    </row>
    <row r="7" spans="1:26">
      <c r="B7" s="98" t="s">
        <v>545</v>
      </c>
      <c r="C7" s="232" t="str">
        <f ca="1">IFERROR(__xludf.DUMMYFUNCTION("IF(ISBLANK(C6),"""",HLOOKUP(REGEXEXTRACT(C6,"".*-(.*)""),INDIRECT(CONCATENATE(REGEXEXTRACT(C6,""(.*)-.*""),""!C3:I"")),2,FALSE))"),"Reaper")</f>
        <v>Reaper</v>
      </c>
      <c r="D7" s="48" t="str">
        <f ca="1">IFERROR(__xludf.DUMMYFUNCTION("IF(ISBLANK(D6),"""",HLOOKUP(REGEXEXTRACT(D6,"".*-(.*)""),INDIRECT(CONCATENATE(REGEXEXTRACT(D6,""(.*)-.*""),""!C3:I"")),2,FALSE))"),"Bard")</f>
        <v>Bard</v>
      </c>
      <c r="E7" s="48"/>
      <c r="F7" s="48"/>
      <c r="G7" s="48" t="str">
        <f ca="1">IFERROR(__xludf.DUMMYFUNCTION("IF(ISBLANK(G6),"""",HLOOKUP(REGEXEXTRACT(G6,"".*-(.*)""),INDIRECT(CONCATENATE(REGEXEXTRACT(G6,""(.*)-.*""),""!C3:I"")),2,FALSE))"),"#REF!")</f>
        <v>#REF!</v>
      </c>
      <c r="H7" s="48" t="str">
        <f ca="1">IFERROR(__xludf.DUMMYFUNCTION("IF(ISBLANK(H6),"""",HLOOKUP(REGEXEXTRACT(H6,"".*-(.*)""),INDIRECT(CONCATENATE(REGEXEXTRACT(H6,""(.*)-.*""),""!C3:I"")),2,FALSE))"),"Sorceress")</f>
        <v>Sorceress</v>
      </c>
      <c r="I7" s="48" t="str">
        <f ca="1">IFERROR(__xludf.DUMMYFUNCTION("IF(ISBLANK(I6),"""",HLOOKUP(REGEXEXTRACT(I6,"".*-(.*)""),INDIRECT(CONCATENATE(REGEXEXTRACT(I6,""(.*)-.*""),""!C3:I"")),2,FALSE))"),"Sole(fish)")</f>
        <v>Sole(fish)</v>
      </c>
      <c r="J7" s="242" t="str">
        <f ca="1">IFERROR(__xludf.DUMMYFUNCTION("IF(ISBLANK(J6),"""",HLOOKUP(REGEXEXTRACT(J6,"".*-(.*)""),INDIRECT(CONCATENATE(REGEXEXTRACT(J6,""(.*)-.*""),""!C3:I"")),2,FALSE))"),"#N/A")</f>
        <v>#N/A</v>
      </c>
      <c r="N7" s="247"/>
      <c r="P7" s="241" t="s">
        <v>96</v>
      </c>
      <c r="Q7" s="241">
        <f t="shared" si="0"/>
        <v>3</v>
      </c>
      <c r="R7" s="241">
        <v>0</v>
      </c>
      <c r="S7" s="241">
        <v>0</v>
      </c>
      <c r="T7" s="241">
        <v>1</v>
      </c>
      <c r="U7" s="241">
        <v>0</v>
      </c>
      <c r="V7" s="241">
        <v>1</v>
      </c>
      <c r="W7" s="241">
        <v>1</v>
      </c>
    </row>
    <row r="8" spans="1:26">
      <c r="B8" s="218"/>
      <c r="C8" s="240">
        <f ca="1">IFERROR(__xludf.DUMMYFUNCTION("IF(ISBLANK(C6),"""",HLOOKUP(REGEXEXTRACT(C6,"".*-(.*)""),INDIRECT(CONCATENATE(REGEXEXTRACT(C6,""(.*)-.*""),""!C3:I"")),3,FALSE))"),1520)</f>
        <v>1520</v>
      </c>
      <c r="D8" s="195">
        <f ca="1">IFERROR(__xludf.DUMMYFUNCTION("IF(ISBLANK(D6),"""",HLOOKUP(REGEXEXTRACT(D6,"".*-(.*)""),INDIRECT(CONCATENATE(REGEXEXTRACT(D6,""(.*)-.*""),""!C3:I"")),3,FALSE))"),1730)</f>
        <v>1730</v>
      </c>
      <c r="E8" s="195" t="str">
        <f ca="1">IFERROR(__xludf.DUMMYFUNCTION("IF(ISBLANK(E6),"""",HLOOKUP(REGEXEXTRACT(E6,"".*-(.*)""),INDIRECT(CONCATENATE(REGEXEXTRACT(E6,""(.*)-.*""),""!C3:I"")),3,FALSE))"),"")</f>
        <v/>
      </c>
      <c r="F8" s="195"/>
      <c r="G8" s="195" t="str">
        <f ca="1">IFERROR(__xludf.DUMMYFUNCTION("IF(ISBLANK(G6),"""",HLOOKUP(REGEXEXTRACT(G6,"".*-(.*)""),INDIRECT(CONCATENATE(REGEXEXTRACT(G6,""(.*)-.*""),""!C3:I"")),3,FALSE))"),"#REF!")</f>
        <v>#REF!</v>
      </c>
      <c r="H8" s="195">
        <f ca="1">IFERROR(__xludf.DUMMYFUNCTION("IF(ISBLANK(H6),"""",HLOOKUP(REGEXEXTRACT(H6,"".*-(.*)""),INDIRECT(CONCATENATE(REGEXEXTRACT(H6,""(.*)-.*""),""!C3:I"")),3,FALSE))"),1750)</f>
        <v>1750</v>
      </c>
      <c r="I8" s="195">
        <v>1475</v>
      </c>
      <c r="J8" s="11" t="str">
        <f ca="1">IFERROR(__xludf.DUMMYFUNCTION("IF(ISBLANK(J6),"""",HLOOKUP(REGEXEXTRACT(J6,"".*-(.*)""),INDIRECT(CONCATENATE(REGEXEXTRACT(J6,""(.*)-.*""),""!C3:I"")),3,FALSE))"),"#N/A")</f>
        <v>#N/A</v>
      </c>
      <c r="P8" s="239" t="s">
        <v>355</v>
      </c>
      <c r="Q8" s="239">
        <f t="shared" si="0"/>
        <v>3</v>
      </c>
      <c r="R8" s="239">
        <v>1</v>
      </c>
      <c r="S8" s="239">
        <v>1</v>
      </c>
      <c r="T8" s="239">
        <v>0</v>
      </c>
      <c r="U8" s="239">
        <v>0</v>
      </c>
      <c r="V8" s="239">
        <v>1</v>
      </c>
      <c r="W8" s="239">
        <v>0</v>
      </c>
    </row>
    <row r="9" spans="1:26">
      <c r="B9" s="206" t="s">
        <v>302</v>
      </c>
      <c r="C9" s="217" t="s">
        <v>29</v>
      </c>
      <c r="D9" s="217" t="s">
        <v>63</v>
      </c>
      <c r="E9" s="217"/>
      <c r="F9" s="217"/>
      <c r="G9" s="217" t="s">
        <v>28</v>
      </c>
      <c r="H9" s="217" t="s">
        <v>546</v>
      </c>
      <c r="I9" s="217" t="s">
        <v>547</v>
      </c>
      <c r="J9" s="243" t="s">
        <v>548</v>
      </c>
      <c r="N9" s="7" t="s">
        <v>549</v>
      </c>
      <c r="P9" s="241" t="s">
        <v>359</v>
      </c>
      <c r="Q9" s="241">
        <f t="shared" si="0"/>
        <v>2</v>
      </c>
      <c r="R9" s="241">
        <v>1</v>
      </c>
      <c r="S9" s="241">
        <v>0</v>
      </c>
      <c r="T9" s="241">
        <v>0</v>
      </c>
      <c r="U9" s="241">
        <v>0</v>
      </c>
      <c r="V9" s="241">
        <v>1</v>
      </c>
      <c r="W9" s="241">
        <v>0</v>
      </c>
    </row>
    <row r="10" spans="1:26">
      <c r="B10" s="98" t="s">
        <v>550</v>
      </c>
      <c r="C10" s="7" t="str">
        <f ca="1">IFERROR(__xludf.DUMMYFUNCTION("IF(ISBLANK(C9),"""",HLOOKUP(REGEXEXTRACT(C9,"".*-(.*)""),INDIRECT(CONCATENATE(REGEXEXTRACT(C9,""(.*)-.*""),""!C3:I"")),2,FALSE))"),"Bard")</f>
        <v>Bard</v>
      </c>
      <c r="D10" s="7" t="str">
        <f ca="1">IFERROR(__xludf.DUMMYFUNCTION("IF(ISBLANK(D9),"""",HLOOKUP(REGEXEXTRACT(D9,"".*-(.*)""),INDIRECT(CONCATENATE(REGEXEXTRACT(D9,""(.*)-.*""),""!C3:I"")),2,FALSE))"),"#N/A")</f>
        <v>#N/A</v>
      </c>
      <c r="E10" s="7" t="str">
        <f ca="1">IFERROR(__xludf.DUMMYFUNCTION("IF(ISBLANK(E9),"""",HLOOKUP(REGEXEXTRACT(E9,"".*-(.*)""),INDIRECT(CONCATENATE(REGEXEXTRACT(E9,""(.*)-.*""),""!C3:I"")),2,FALSE))"),"")</f>
        <v/>
      </c>
      <c r="G10" s="7" t="str">
        <f ca="1">IFERROR(__xludf.DUMMYFUNCTION("IF(ISBLANK(G9),"""",HLOOKUP(REGEXEXTRACT(G9,"".*-(.*)""),INDIRECT(CONCATENATE(REGEXEXTRACT(G9,""(.*)-.*""),""!C3:I"")),2,FALSE))"),"#REF!")</f>
        <v>#REF!</v>
      </c>
      <c r="H10" s="7" t="str">
        <f ca="1">IFERROR(__xludf.DUMMYFUNCTION("IF(ISBLANK(H9),"""",HLOOKUP(REGEXEXTRACT(H9,"".*-(.*)""),INDIRECT(CONCATENATE(REGEXEXTRACT(H9,""(.*)-.*""),""!C3:I"")),2,FALSE))"),"#N/A")</f>
        <v>#N/A</v>
      </c>
      <c r="I10" s="7" t="s">
        <v>377</v>
      </c>
      <c r="J10" s="242" t="str">
        <f ca="1">IFERROR(__xludf.DUMMYFUNCTION("IF(ISBLANK(J9),"""",HLOOKUP(REGEXEXTRACT(J9,"".*-(.*)""),INDIRECT(CONCATENATE(REGEXEXTRACT(J9,""(.*)-.*""),""!C3:I"")),2,FALSE))"),"#N/A")</f>
        <v>#N/A</v>
      </c>
      <c r="N10" s="7" t="s">
        <v>551</v>
      </c>
      <c r="P10" s="239" t="s">
        <v>408</v>
      </c>
      <c r="Q10" s="239">
        <f t="shared" si="0"/>
        <v>2</v>
      </c>
      <c r="R10" s="239">
        <v>0</v>
      </c>
      <c r="S10" s="239">
        <v>1</v>
      </c>
      <c r="T10" s="239">
        <v>1</v>
      </c>
      <c r="U10" s="239">
        <v>0</v>
      </c>
      <c r="V10" s="239">
        <v>0</v>
      </c>
      <c r="W10" s="239">
        <v>0</v>
      </c>
    </row>
    <row r="11" spans="1:26">
      <c r="B11" s="218"/>
      <c r="C11" s="10">
        <f ca="1">IFERROR(__xludf.DUMMYFUNCTION("IF(ISBLANK(C9),"""",HLOOKUP(REGEXEXTRACT(C9,"".*-(.*)""),INDIRECT(CONCATENATE(REGEXEXTRACT(C9,""(.*)-.*""),""!C3:I"")),3,FALSE))"),1540)</f>
        <v>1540</v>
      </c>
      <c r="D11" s="10" t="str">
        <f ca="1">IFERROR(__xludf.DUMMYFUNCTION("IF(ISBLANK(D9),"""",HLOOKUP(REGEXEXTRACT(D9,"".*-(.*)""),INDIRECT(CONCATENATE(REGEXEXTRACT(D9,""(.*)-.*""),""!C3:I"")),3,FALSE))"),"#N/A")</f>
        <v>#N/A</v>
      </c>
      <c r="E11" s="10" t="str">
        <f ca="1">IFERROR(__xludf.DUMMYFUNCTION("IF(ISBLANK(E9),"""",HLOOKUP(REGEXEXTRACT(E9,"".*-(.*)""),INDIRECT(CONCATENATE(REGEXEXTRACT(E9,""(.*)-.*""),""!C3:I"")),3,FALSE))"),"")</f>
        <v/>
      </c>
      <c r="F11" s="244"/>
      <c r="G11" s="10" t="str">
        <f ca="1">IFERROR(__xludf.DUMMYFUNCTION("IF(ISBLANK(G9),"""",HLOOKUP(REGEXEXTRACT(G9,"".*-(.*)""),INDIRECT(CONCATENATE(REGEXEXTRACT(G9,""(.*)-.*""),""!C3:I"")),3,FALSE))"),"#REF!")</f>
        <v>#REF!</v>
      </c>
      <c r="H11" s="10" t="str">
        <f ca="1">IFERROR(__xludf.DUMMYFUNCTION("IF(ISBLANK(H9),"""",HLOOKUP(REGEXEXTRACT(H9,"".*-(.*)""),INDIRECT(CONCATENATE(REGEXEXTRACT(H9,""(.*)-.*""),""!C3:I"")),3,FALSE))"),"#N/A")</f>
        <v>#N/A</v>
      </c>
      <c r="I11" s="10">
        <v>1460</v>
      </c>
      <c r="J11" s="11" t="str">
        <f ca="1">IFERROR(__xludf.DUMMYFUNCTION("IF(ISBLANK(J9),"""",HLOOKUP(REGEXEXTRACT(J9,"".*-(.*)""),INDIRECT(CONCATENATE(REGEXEXTRACT(J9,""(.*)-.*""),""!C3:I"")),3,FALSE))"),"#N/A")</f>
        <v>#N/A</v>
      </c>
      <c r="N11" s="7" t="s">
        <v>552</v>
      </c>
      <c r="P11" s="241" t="s">
        <v>553</v>
      </c>
      <c r="Q11" s="241">
        <f t="shared" si="0"/>
        <v>2</v>
      </c>
      <c r="R11" s="241">
        <v>0</v>
      </c>
      <c r="S11" s="241">
        <v>0</v>
      </c>
      <c r="T11" s="241">
        <v>0</v>
      </c>
      <c r="U11" s="241">
        <v>1</v>
      </c>
      <c r="V11" s="241">
        <v>1</v>
      </c>
      <c r="W11" s="241">
        <v>0</v>
      </c>
    </row>
    <row r="12" spans="1:26">
      <c r="P12" s="239" t="s">
        <v>357</v>
      </c>
      <c r="Q12" s="239">
        <f t="shared" si="0"/>
        <v>2</v>
      </c>
      <c r="R12" s="239">
        <v>1</v>
      </c>
      <c r="S12" s="239">
        <v>0</v>
      </c>
      <c r="T12" s="239">
        <v>1</v>
      </c>
      <c r="U12" s="239">
        <v>0</v>
      </c>
      <c r="V12" s="239">
        <v>0</v>
      </c>
      <c r="W12" s="239">
        <v>0</v>
      </c>
    </row>
    <row r="13" spans="1:26">
      <c r="B13" s="206" t="s">
        <v>314</v>
      </c>
      <c r="C13" s="191" t="s">
        <v>6</v>
      </c>
      <c r="D13" s="192" t="s">
        <v>312</v>
      </c>
      <c r="E13" s="192"/>
      <c r="F13" s="192"/>
      <c r="G13" s="192" t="s">
        <v>270</v>
      </c>
      <c r="H13" s="192" t="s">
        <v>16</v>
      </c>
      <c r="I13" s="192" t="s">
        <v>554</v>
      </c>
      <c r="J13" s="193" t="s">
        <v>540</v>
      </c>
      <c r="P13" s="241" t="s">
        <v>352</v>
      </c>
      <c r="Q13" s="241">
        <f t="shared" si="0"/>
        <v>2</v>
      </c>
      <c r="R13" s="241">
        <v>0</v>
      </c>
      <c r="S13" s="241">
        <v>0</v>
      </c>
      <c r="T13" s="241">
        <v>0</v>
      </c>
      <c r="U13" s="241">
        <v>0</v>
      </c>
      <c r="V13" s="241">
        <v>1</v>
      </c>
      <c r="W13" s="241">
        <v>1</v>
      </c>
    </row>
    <row r="14" spans="1:26">
      <c r="B14" s="98" t="s">
        <v>550</v>
      </c>
      <c r="C14" s="232" t="str">
        <f ca="1">IFERROR(__xludf.DUMMYFUNCTION("IF(ISBLANK(C13),"""",HLOOKUP(REGEXEXTRACT(C13,"".*-(.*)""),INDIRECT(CONCATENATE(REGEXEXTRACT(C13,""(.*)-.*""),""!C3:I"")),2,FALSE))"),"Wardancer")</f>
        <v>Wardancer</v>
      </c>
      <c r="D14" s="48" t="str">
        <f ca="1">IFERROR(__xludf.DUMMYFUNCTION("IF(ISBLANK(D13),"""",HLOOKUP(REGEXEXTRACT(D13,"".*-(.*)""),INDIRECT(CONCATENATE(REGEXEXTRACT(D13,""(.*)-.*""),""!C3:I"")),2,FALSE))"),"#N/A")</f>
        <v>#N/A</v>
      </c>
      <c r="E14" s="48" t="str">
        <f ca="1">IFERROR(__xludf.DUMMYFUNCTION("IF(ISBLANK(E13),"""",HLOOKUP(REGEXEXTRACT(E13,"".*-(.*)""),INDIRECT(CONCATENATE(REGEXEXTRACT(E13,""(.*)-.*""),""!C3:I"")),2,FALSE))"),"")</f>
        <v/>
      </c>
      <c r="F14" s="48"/>
      <c r="G14" s="48" t="str">
        <f ca="1">IFERROR(__xludf.DUMMYFUNCTION("IF(ISBLANK(G13),"""",HLOOKUP(REGEXEXTRACT(G13,"".*-(.*)""),INDIRECT(CONCATENATE(REGEXEXTRACT(G13,""(.*)-.*""),""!C3:I"")),2,FALSE))"),"#REF!")</f>
        <v>#REF!</v>
      </c>
      <c r="H14" s="48" t="str">
        <f ca="1">IFERROR(__xludf.DUMMYFUNCTION("IF(ISBLANK(H13),"""",HLOOKUP(REGEXEXTRACT(H13,"".*-(.*)""),INDIRECT(CONCATENATE(REGEXEXTRACT(H13,""(.*)-.*""),""!C3:I"")),2,FALSE))"),"Striker")</f>
        <v>Striker</v>
      </c>
      <c r="I14" s="48" t="str">
        <f ca="1">IFERROR(__xludf.DUMMYFUNCTION("IF(ISBLANK(I13),"""",HLOOKUP(REGEXEXTRACT(I13,"".*-(.*)""),INDIRECT(CONCATENATE(REGEXEXTRACT(I13,""(.*)-.*""),""!C3:I"")),2,FALSE))"),"Wardancer")</f>
        <v>Wardancer</v>
      </c>
      <c r="J14" s="194" t="str">
        <f ca="1">IFERROR(__xludf.DUMMYFUNCTION("IF(ISBLANK(J13),"""",HLOOKUP(REGEXEXTRACT(J13,"".*-(.*)""),INDIRECT(CONCATENATE(REGEXEXTRACT(J13,""(.*)-.*""),""!C3:I"")),2,FALSE))"),"#N/A")</f>
        <v>#N/A</v>
      </c>
      <c r="M14" s="7" t="s">
        <v>555</v>
      </c>
      <c r="P14" s="239" t="s">
        <v>354</v>
      </c>
      <c r="Q14" s="239">
        <f t="shared" si="0"/>
        <v>2</v>
      </c>
      <c r="R14" s="239">
        <v>1</v>
      </c>
      <c r="S14" s="239">
        <v>0</v>
      </c>
      <c r="T14" s="239">
        <v>0</v>
      </c>
      <c r="U14" s="239">
        <v>0</v>
      </c>
      <c r="V14" s="239">
        <v>1</v>
      </c>
      <c r="W14" s="239">
        <v>0</v>
      </c>
    </row>
    <row r="15" spans="1:26">
      <c r="B15" s="218"/>
      <c r="C15" s="240">
        <f ca="1">IFERROR(__xludf.DUMMYFUNCTION("IF(ISBLANK(C13),"""",HLOOKUP(REGEXEXTRACT(C13,"".*-(.*)""),INDIRECT(CONCATENATE(REGEXEXTRACT(C13,""(.*)-.*""),""!C3:I"")),3,FALSE))"),1620)</f>
        <v>1620</v>
      </c>
      <c r="D15" s="195" t="str">
        <f ca="1">IFERROR(__xludf.DUMMYFUNCTION("IF(ISBLANK(D13),"""",HLOOKUP(REGEXEXTRACT(D13,"".*-(.*)""),INDIRECT(CONCATENATE(REGEXEXTRACT(D13,""(.*)-.*""),""!C3:I"")),3,FALSE))"),"#N/A")</f>
        <v>#N/A</v>
      </c>
      <c r="E15" s="195" t="str">
        <f ca="1">IFERROR(__xludf.DUMMYFUNCTION("IF(ISBLANK(E13),"""",HLOOKUP(REGEXEXTRACT(E13,"".*-(.*)""),INDIRECT(CONCATENATE(REGEXEXTRACT(E13,""(.*)-.*""),""!C3:I"")),3,FALSE))"),"")</f>
        <v/>
      </c>
      <c r="F15" s="245"/>
      <c r="G15" s="195" t="str">
        <f ca="1">IFERROR(__xludf.DUMMYFUNCTION("IF(ISBLANK(G13),"""",HLOOKUP(REGEXEXTRACT(G13,"".*-(.*)""),INDIRECT(CONCATENATE(REGEXEXTRACT(G13,""(.*)-.*""),""!C3:I"")),3,FALSE))"),"#REF!")</f>
        <v>#REF!</v>
      </c>
      <c r="H15" s="195">
        <f ca="1">IFERROR(__xludf.DUMMYFUNCTION("IF(ISBLANK(H13),"""",HLOOKUP(REGEXEXTRACT(H13,"".*-(.*)""),INDIRECT(CONCATENATE(REGEXEXTRACT(H13,""(.*)-.*""),""!C3:I"")),3,FALSE))"),1540)</f>
        <v>1540</v>
      </c>
      <c r="I15" s="195">
        <f ca="1">IFERROR(__xludf.DUMMYFUNCTION("IF(ISBLANK(I13),"""",HLOOKUP(REGEXEXTRACT(I13,"".*-(.*)""),INDIRECT(CONCATENATE(REGEXEXTRACT(I13,""(.*)-.*""),""!C3:I"")),3,FALSE))"),1460)</f>
        <v>1460</v>
      </c>
      <c r="J15" s="196" t="str">
        <f ca="1">IFERROR(__xludf.DUMMYFUNCTION("IF(ISBLANK(J13),"""",HLOOKUP(REGEXEXTRACT(J13,"".*-(.*)""),INDIRECT(CONCATENATE(REGEXEXTRACT(J13,""(.*)-.*""),""!C3:I"")),3,FALSE))"),"#N/A")</f>
        <v>#N/A</v>
      </c>
      <c r="M15" s="7" t="s">
        <v>556</v>
      </c>
      <c r="P15" s="241" t="s">
        <v>322</v>
      </c>
      <c r="Q15" s="241">
        <f t="shared" si="0"/>
        <v>3</v>
      </c>
      <c r="R15" s="241">
        <v>1</v>
      </c>
      <c r="S15" s="241">
        <v>0</v>
      </c>
      <c r="T15" s="241">
        <v>0</v>
      </c>
      <c r="U15" s="241">
        <v>1</v>
      </c>
      <c r="V15" s="241">
        <v>0</v>
      </c>
      <c r="W15" s="241">
        <v>1</v>
      </c>
    </row>
    <row r="16" spans="1:26">
      <c r="B16" s="98" t="s">
        <v>314</v>
      </c>
      <c r="C16" s="191" t="s">
        <v>313</v>
      </c>
      <c r="D16" s="192" t="s">
        <v>35</v>
      </c>
      <c r="E16" s="192"/>
      <c r="F16" s="192"/>
      <c r="G16" s="192" t="s">
        <v>18</v>
      </c>
      <c r="H16" s="192" t="s">
        <v>12</v>
      </c>
      <c r="I16" s="192" t="s">
        <v>543</v>
      </c>
      <c r="J16" s="193" t="s">
        <v>26</v>
      </c>
      <c r="M16" s="7" t="s">
        <v>557</v>
      </c>
      <c r="N16" s="7" t="s">
        <v>558</v>
      </c>
      <c r="P16" s="239" t="s">
        <v>559</v>
      </c>
      <c r="Q16" s="239">
        <f t="shared" si="0"/>
        <v>2</v>
      </c>
      <c r="R16" s="239">
        <v>0</v>
      </c>
      <c r="S16" s="239">
        <v>0</v>
      </c>
      <c r="T16" s="239">
        <v>1</v>
      </c>
      <c r="U16" s="239">
        <v>0</v>
      </c>
      <c r="V16" s="239">
        <v>0</v>
      </c>
      <c r="W16" s="239">
        <v>1</v>
      </c>
    </row>
    <row r="17" spans="2:23">
      <c r="B17" s="98" t="s">
        <v>550</v>
      </c>
      <c r="C17" s="232" t="str">
        <f ca="1">IFERROR(__xludf.DUMMYFUNCTION("IF(ISBLANK(C16),"""",HLOOKUP(REGEXEXTRACT(C16,"".*-(.*)""),INDIRECT(CONCATENATE(REGEXEXTRACT(C16,""(.*)-.*""),""!C3:I"")),2,FALSE))"),"#N/A")</f>
        <v>#N/A</v>
      </c>
      <c r="D17" s="48" t="str">
        <f ca="1">IFERROR(__xludf.DUMMYFUNCTION("IF(ISBLANK(D16),"""",HLOOKUP(REGEXEXTRACT(D16,"".*-(.*)""),INDIRECT(CONCATENATE(REGEXEXTRACT(D16,""(.*)-.*""),""!C3:I"")),2,FALSE))"),"Bard")</f>
        <v>Bard</v>
      </c>
      <c r="E17" s="48" t="str">
        <f ca="1">IFERROR(__xludf.DUMMYFUNCTION("IF(ISBLANK(E16),"""",HLOOKUP(REGEXEXTRACT(E16,"".*-(.*)""),INDIRECT(CONCATENATE(REGEXEXTRACT(E16,""(.*)-.*""),""!C3:I"")),2,FALSE))"),"")</f>
        <v/>
      </c>
      <c r="F17" s="48"/>
      <c r="G17" s="48" t="str">
        <f ca="1">IFERROR(__xludf.DUMMYFUNCTION("IF(ISBLANK(G16),"""",HLOOKUP(REGEXEXTRACT(G16,"".*-(.*)""),INDIRECT(CONCATENATE(REGEXEXTRACT(G16,""(.*)-.*""),""!C3:I"")),2,FALSE))"),"#REF!")</f>
        <v>#REF!</v>
      </c>
      <c r="H17" s="48" t="str">
        <f ca="1">IFERROR(__xludf.DUMMYFUNCTION("IF(ISBLANK(H16),"""",HLOOKUP(REGEXEXTRACT(H16,"".*-(.*)""),INDIRECT(CONCATENATE(REGEXEXTRACT(H16,""(.*)-.*""),""!C3:I"")),2,FALSE))"),"Sorceress")</f>
        <v>Sorceress</v>
      </c>
      <c r="I17" s="48" t="str">
        <f ca="1">IFERROR(__xludf.DUMMYFUNCTION("IF(ISBLANK(I16),"""",HLOOKUP(REGEXEXTRACT(I16,"".*-(.*)""),INDIRECT(CONCATENATE(REGEXEXTRACT(I16,""(.*)-.*""),""!C3:I"")),2,FALSE))"),"Sole(fish)")</f>
        <v>Sole(fish)</v>
      </c>
      <c r="J17" s="194" t="str">
        <f ca="1">IFERROR(__xludf.DUMMYFUNCTION("IF(ISBLANK(J16),"""",HLOOKUP(REGEXEXTRACT(J16,"".*-(.*)""),INDIRECT(CONCATENATE(REGEXEXTRACT(J16,""(.*)-.*""),""!C3:I"")),2,FALSE))"),"#N/A")</f>
        <v>#N/A</v>
      </c>
      <c r="M17" s="7" t="s">
        <v>560</v>
      </c>
      <c r="P17" s="241" t="s">
        <v>105</v>
      </c>
      <c r="Q17" s="241">
        <f t="shared" si="0"/>
        <v>1</v>
      </c>
      <c r="R17" s="241">
        <v>0</v>
      </c>
      <c r="S17" s="241">
        <v>0</v>
      </c>
      <c r="T17" s="241">
        <v>0</v>
      </c>
      <c r="U17" s="241">
        <v>0</v>
      </c>
      <c r="V17" s="241">
        <v>0</v>
      </c>
      <c r="W17" s="241">
        <v>1</v>
      </c>
    </row>
    <row r="18" spans="2:23">
      <c r="B18" s="218"/>
      <c r="C18" s="240" t="str">
        <f ca="1">IFERROR(__xludf.DUMMYFUNCTION("IF(ISBLANK(C16),"""",HLOOKUP(REGEXEXTRACT(C16,"".*-(.*)""),INDIRECT(CONCATENATE(REGEXEXTRACT(C16,""(.*)-.*""),""!C3:I"")),3,FALSE))"),"#N/A")</f>
        <v>#N/A</v>
      </c>
      <c r="D18" s="195">
        <f ca="1">IFERROR(__xludf.DUMMYFUNCTION("IF(ISBLANK(D16),"""",HLOOKUP(REGEXEXTRACT(D16,"".*-(.*)""),INDIRECT(CONCATENATE(REGEXEXTRACT(D16,""(.*)-.*""),""!C3:I"")),3,FALSE))"),1730)</f>
        <v>1730</v>
      </c>
      <c r="E18" s="195" t="str">
        <f ca="1">IFERROR(__xludf.DUMMYFUNCTION("IF(ISBLANK(E16),"""",HLOOKUP(REGEXEXTRACT(E16,"".*-(.*)""),INDIRECT(CONCATENATE(REGEXEXTRACT(E16,""(.*)-.*""),""!C3:I"")),3,FALSE))"),"")</f>
        <v/>
      </c>
      <c r="F18" s="195"/>
      <c r="G18" s="195">
        <v>1460</v>
      </c>
      <c r="H18" s="195">
        <f ca="1">IFERROR(__xludf.DUMMYFUNCTION("IF(ISBLANK(H16),"""",HLOOKUP(REGEXEXTRACT(H16,"".*-(.*)""),INDIRECT(CONCATENATE(REGEXEXTRACT(H16,""(.*)-.*""),""!C3:I"")),3,FALSE))"),1750)</f>
        <v>1750</v>
      </c>
      <c r="I18" s="195">
        <f ca="1">IFERROR(__xludf.DUMMYFUNCTION("IF(ISBLANK(I16),"""",HLOOKUP(REGEXEXTRACT(I16,"".*-(.*)""),INDIRECT(CONCATENATE(REGEXEXTRACT(I16,""(.*)-.*""),""!C3:I"")),3,FALSE))"),1487.5)</f>
        <v>1487.5</v>
      </c>
      <c r="J18" s="196" t="str">
        <f ca="1">IFERROR(__xludf.DUMMYFUNCTION("IF(ISBLANK(J16),"""",HLOOKUP(REGEXEXTRACT(J16,"".*-(.*)""),INDIRECT(CONCATENATE(REGEXEXTRACT(J16,""(.*)-.*""),""!C3:I"")),3,FALSE))"),"#N/A")</f>
        <v>#N/A</v>
      </c>
      <c r="M18" s="7" t="s">
        <v>561</v>
      </c>
      <c r="P18" s="239" t="s">
        <v>397</v>
      </c>
      <c r="Q18" s="239">
        <f t="shared" si="0"/>
        <v>1</v>
      </c>
      <c r="R18" s="239">
        <v>0</v>
      </c>
      <c r="S18" s="239">
        <v>1</v>
      </c>
      <c r="T18" s="239">
        <v>0</v>
      </c>
      <c r="U18" s="239">
        <v>0</v>
      </c>
      <c r="V18" s="239">
        <v>0</v>
      </c>
      <c r="W18" s="239">
        <v>0</v>
      </c>
    </row>
    <row r="19" spans="2:23">
      <c r="B19" s="98" t="s">
        <v>314</v>
      </c>
      <c r="C19" s="217" t="s">
        <v>29</v>
      </c>
      <c r="D19" s="217" t="s">
        <v>30</v>
      </c>
      <c r="E19" s="217"/>
      <c r="F19" s="217"/>
      <c r="G19" s="217" t="s">
        <v>28</v>
      </c>
      <c r="H19" s="217" t="s">
        <v>546</v>
      </c>
      <c r="I19" s="217" t="s">
        <v>547</v>
      </c>
      <c r="J19" s="243" t="s">
        <v>548</v>
      </c>
      <c r="M19" s="7" t="s">
        <v>562</v>
      </c>
      <c r="P19" s="241" t="s">
        <v>508</v>
      </c>
      <c r="Q19" s="241">
        <f t="shared" si="0"/>
        <v>1</v>
      </c>
      <c r="R19" s="241">
        <v>0</v>
      </c>
      <c r="S19" s="241">
        <v>0</v>
      </c>
      <c r="T19" s="241">
        <v>0</v>
      </c>
      <c r="U19" s="241">
        <v>1</v>
      </c>
      <c r="V19" s="241">
        <v>0</v>
      </c>
      <c r="W19" s="241">
        <v>0</v>
      </c>
    </row>
    <row r="20" spans="2:23">
      <c r="B20" s="98" t="s">
        <v>550</v>
      </c>
      <c r="C20" s="7" t="str">
        <f ca="1">IFERROR(__xludf.DUMMYFUNCTION("IF(ISBLANK(C19),"""",HLOOKUP(REGEXEXTRACT(C19,"".*-(.*)""),INDIRECT(CONCATENATE(REGEXEXTRACT(C19,""(.*)-.*""),""!C3:I"")),2,FALSE))"),"Bard")</f>
        <v>Bard</v>
      </c>
      <c r="D20" s="7" t="str">
        <f ca="1">IFERROR(__xludf.DUMMYFUNCTION("IF(ISBLANK(D19),"""",HLOOKUP(REGEXEXTRACT(D19,"".*-(.*)""),INDIRECT(CONCATENATE(REGEXEXTRACT(D19,""(.*)-.*""),""!C3:I"")),2,FALSE))"),"Soulfist")</f>
        <v>Soulfist</v>
      </c>
      <c r="E20" s="7" t="str">
        <f ca="1">IFERROR(__xludf.DUMMYFUNCTION("IF(ISBLANK(E19),"""",HLOOKUP(REGEXEXTRACT(E19,"".*-(.*)""),INDIRECT(CONCATENATE(REGEXEXTRACT(E19,""(.*)-.*""),""!C3:I"")),2,FALSE))"),"")</f>
        <v/>
      </c>
      <c r="G20" s="7" t="str">
        <f ca="1">IFERROR(__xludf.DUMMYFUNCTION("IF(ISBLANK(G19),"""",HLOOKUP(REGEXEXTRACT(G19,"".*-(.*)""),INDIRECT(CONCATENATE(REGEXEXTRACT(G19,""(.*)-.*""),""!C3:I"")),2,FALSE))"),"#REF!")</f>
        <v>#REF!</v>
      </c>
      <c r="H20" s="7" t="str">
        <f ca="1">IFERROR(__xludf.DUMMYFUNCTION("IF(ISBLANK(H19),"""",HLOOKUP(REGEXEXTRACT(H19,"".*-(.*)""),INDIRECT(CONCATENATE(REGEXEXTRACT(H19,""(.*)-.*""),""!C3:I"")),2,FALSE))"),"#N/A")</f>
        <v>#N/A</v>
      </c>
      <c r="I20" s="7" t="s">
        <v>377</v>
      </c>
      <c r="J20" s="242" t="str">
        <f ca="1">IFERROR(__xludf.DUMMYFUNCTION("IF(ISBLANK(J19),"""",HLOOKUP(REGEXEXTRACT(J19,"".*-(.*)""),INDIRECT(CONCATENATE(REGEXEXTRACT(J19,""(.*)-.*""),""!C3:I"")),2,FALSE))"),"#N/A")</f>
        <v>#N/A</v>
      </c>
      <c r="M20" s="7" t="s">
        <v>563</v>
      </c>
      <c r="P20" s="239" t="s">
        <v>506</v>
      </c>
      <c r="Q20" s="239">
        <f t="shared" si="0"/>
        <v>1</v>
      </c>
      <c r="R20" s="239">
        <v>0</v>
      </c>
      <c r="S20" s="239">
        <v>0</v>
      </c>
      <c r="T20" s="239">
        <v>0</v>
      </c>
      <c r="U20" s="239">
        <v>0</v>
      </c>
      <c r="V20" s="239">
        <v>0</v>
      </c>
      <c r="W20" s="239">
        <v>1</v>
      </c>
    </row>
    <row r="21" spans="2:23">
      <c r="B21" s="218"/>
      <c r="C21" s="10">
        <f ca="1">IFERROR(__xludf.DUMMYFUNCTION("IF(ISBLANK(C19),"""",HLOOKUP(REGEXEXTRACT(C19,"".*-(.*)""),INDIRECT(CONCATENATE(REGEXEXTRACT(C19,""(.*)-.*""),""!C3:I"")),3,FALSE))"),1540)</f>
        <v>1540</v>
      </c>
      <c r="D21" s="10">
        <f ca="1">IFERROR(__xludf.DUMMYFUNCTION("IF(ISBLANK(D19),"""",HLOOKUP(REGEXEXTRACT(D19,"".*-(.*)""),INDIRECT(CONCATENATE(REGEXEXTRACT(D19,""(.*)-.*""),""!C3:I"")),3,FALSE))"),1750)</f>
        <v>1750</v>
      </c>
      <c r="E21" s="10" t="str">
        <f ca="1">IFERROR(__xludf.DUMMYFUNCTION("IF(ISBLANK(E19),"""",HLOOKUP(REGEXEXTRACT(E19,"".*-(.*)""),INDIRECT(CONCATENATE(REGEXEXTRACT(E19,""(.*)-.*""),""!C3:I"")),3,FALSE))"),"")</f>
        <v/>
      </c>
      <c r="F21" s="10"/>
      <c r="G21" s="10" t="str">
        <f ca="1">IFERROR(__xludf.DUMMYFUNCTION("IF(ISBLANK(G19),"""",HLOOKUP(REGEXEXTRACT(G19,"".*-(.*)""),INDIRECT(CONCATENATE(REGEXEXTRACT(G19,""(.*)-.*""),""!C3:I"")),3,FALSE))"),"#REF!")</f>
        <v>#REF!</v>
      </c>
      <c r="H21" s="10" t="str">
        <f ca="1">IFERROR(__xludf.DUMMYFUNCTION("IF(ISBLANK(H19),"""",HLOOKUP(REGEXEXTRACT(H19,"".*-(.*)""),INDIRECT(CONCATENATE(REGEXEXTRACT(H19,""(.*)-.*""),""!C3:I"")),3,FALSE))"),"#N/A")</f>
        <v>#N/A</v>
      </c>
      <c r="I21" s="10">
        <v>1460</v>
      </c>
      <c r="J21" s="11" t="str">
        <f ca="1">IFERROR(__xludf.DUMMYFUNCTION("IF(ISBLANK(J19),"""",HLOOKUP(REGEXEXTRACT(J19,"".*-(.*)""),INDIRECT(CONCATENATE(REGEXEXTRACT(J19,""(.*)-.*""),""!C3:I"")),3,FALSE))"),"#N/A")</f>
        <v>#N/A</v>
      </c>
      <c r="M21" s="7" t="s">
        <v>564</v>
      </c>
      <c r="P21" s="241" t="s">
        <v>377</v>
      </c>
      <c r="Q21" s="241">
        <f t="shared" si="0"/>
        <v>0</v>
      </c>
      <c r="R21" s="241">
        <v>0</v>
      </c>
      <c r="S21" s="241">
        <v>0</v>
      </c>
      <c r="T21" s="241">
        <v>0</v>
      </c>
      <c r="U21" s="241">
        <v>0</v>
      </c>
      <c r="V21" s="241">
        <v>0</v>
      </c>
      <c r="W21" s="241">
        <v>0</v>
      </c>
    </row>
    <row r="22" spans="2:23">
      <c r="B22" s="206" t="s">
        <v>314</v>
      </c>
      <c r="C22" s="217"/>
      <c r="D22" s="217"/>
      <c r="E22" s="217"/>
      <c r="F22" s="217"/>
      <c r="G22" s="217"/>
      <c r="H22" s="217"/>
      <c r="I22" s="217"/>
      <c r="J22" s="243"/>
      <c r="M22" s="7" t="s">
        <v>565</v>
      </c>
      <c r="N22" s="7" t="s">
        <v>566</v>
      </c>
      <c r="P22" s="239" t="s">
        <v>396</v>
      </c>
      <c r="Q22" s="239">
        <f t="shared" si="0"/>
        <v>0</v>
      </c>
      <c r="R22" s="239">
        <v>0</v>
      </c>
      <c r="S22" s="239">
        <v>0</v>
      </c>
      <c r="T22" s="239">
        <v>0</v>
      </c>
      <c r="U22" s="239">
        <v>0</v>
      </c>
      <c r="V22" s="239">
        <v>0</v>
      </c>
      <c r="W22" s="239">
        <v>0</v>
      </c>
    </row>
    <row r="23" spans="2:23">
      <c r="B23" s="98" t="s">
        <v>550</v>
      </c>
      <c r="C23" s="7" t="str">
        <f ca="1">IFERROR(__xludf.DUMMYFUNCTION("IF(ISBLANK(C22),"""",HLOOKUP(REGEXEXTRACT(C22,"".*-(.*)""),INDIRECT(CONCATENATE(REGEXEXTRACT(C22,""(.*)-.*""),""!C3:I"")),2,FALSE))"),"")</f>
        <v/>
      </c>
      <c r="D23" s="7" t="str">
        <f ca="1">IFERROR(__xludf.DUMMYFUNCTION("IF(ISBLANK(D22),"""",HLOOKUP(REGEXEXTRACT(D22,"".*-(.*)""),INDIRECT(CONCATENATE(REGEXEXTRACT(D22,""(.*)-.*""),""!C3:I"")),2,FALSE))"),"")</f>
        <v/>
      </c>
      <c r="E23" s="7" t="str">
        <f ca="1">IFERROR(__xludf.DUMMYFUNCTION("IF(ISBLANK(E22),"""",HLOOKUP(REGEXEXTRACT(E22,"".*-(.*)""),INDIRECT(CONCATENATE(REGEXEXTRACT(E22,""(.*)-.*""),""!C3:I"")),2,FALSE))"),"")</f>
        <v/>
      </c>
      <c r="F23" s="7" t="str">
        <f ca="1">IFERROR(__xludf.DUMMYFUNCTION("IF(ISBLANK(F22),"""",HLOOKUP(REGEXEXTRACT(F22,"".*-(.*)""),INDIRECT(CONCATENATE(REGEXEXTRACT(F22,""(.*)-.*""),""!C3:I"")),2,FALSE))"),"")</f>
        <v/>
      </c>
      <c r="G23" s="7" t="str">
        <f ca="1">IFERROR(__xludf.DUMMYFUNCTION("IF(ISBLANK(G22),"""",HLOOKUP(REGEXEXTRACT(G22,"".*-(.*)""),INDIRECT(CONCATENATE(REGEXEXTRACT(G22,""(.*)-.*""),""!C3:I"")),2,FALSE))"),"")</f>
        <v/>
      </c>
      <c r="H23" s="7" t="str">
        <f ca="1">IFERROR(__xludf.DUMMYFUNCTION("IF(ISBLANK(H22),"""",HLOOKUP(REGEXEXTRACT(H22,"".*-(.*)""),INDIRECT(CONCATENATE(REGEXEXTRACT(H22,""(.*)-.*""),""!C3:I"")),2,FALSE))"),"")</f>
        <v/>
      </c>
      <c r="I23" s="7" t="str">
        <f ca="1">IFERROR(__xludf.DUMMYFUNCTION("IF(ISBLANK(I22),"""",HLOOKUP(REGEXEXTRACT(I22,"".*-(.*)""),INDIRECT(CONCATENATE(REGEXEXTRACT(I22,""(.*)-.*""),""!C3:I"")),2,FALSE))"),"")</f>
        <v/>
      </c>
      <c r="J23" s="242" t="str">
        <f ca="1">IFERROR(__xludf.DUMMYFUNCTION("IF(ISBLANK(J22),"""",HLOOKUP(REGEXEXTRACT(J22,"".*-(.*)""),INDIRECT(CONCATENATE(REGEXEXTRACT(J22,""(.*)-.*""),""!C3:I"")),2,FALSE))"),"")</f>
        <v/>
      </c>
      <c r="M23" s="7" t="s">
        <v>382</v>
      </c>
      <c r="P23" s="241" t="s">
        <v>507</v>
      </c>
      <c r="Q23" s="241">
        <f t="shared" si="0"/>
        <v>0</v>
      </c>
      <c r="R23" s="241">
        <v>0</v>
      </c>
      <c r="S23" s="241">
        <v>0</v>
      </c>
      <c r="T23" s="241">
        <v>0</v>
      </c>
      <c r="U23" s="241">
        <v>0</v>
      </c>
      <c r="V23" s="241">
        <v>0</v>
      </c>
      <c r="W23" s="241">
        <v>0</v>
      </c>
    </row>
    <row r="24" spans="2:23">
      <c r="B24" s="218"/>
      <c r="C24" s="7" t="str">
        <f ca="1">IFERROR(__xludf.DUMMYFUNCTION("IF(ISBLANK(C22),"""",HLOOKUP(REGEXEXTRACT(C22,"".*-(.*)""),INDIRECT(CONCATENATE(REGEXEXTRACT(C22,""(.*)-.*""),""!C3:I"")),3,FALSE))"),"")</f>
        <v/>
      </c>
      <c r="D24" s="7" t="str">
        <f ca="1">IFERROR(__xludf.DUMMYFUNCTION("IF(ISBLANK(D22),"""",HLOOKUP(REGEXEXTRACT(D22,"".*-(.*)""),INDIRECT(CONCATENATE(REGEXEXTRACT(D22,""(.*)-.*""),""!C3:I"")),3,FALSE))"),"")</f>
        <v/>
      </c>
      <c r="E24" s="7" t="str">
        <f ca="1">IFERROR(__xludf.DUMMYFUNCTION("IF(ISBLANK(E22),"""",HLOOKUP(REGEXEXTRACT(E22,"".*-(.*)""),INDIRECT(CONCATENATE(REGEXEXTRACT(E22,""(.*)-.*""),""!C3:I"")),3,FALSE))"),"")</f>
        <v/>
      </c>
      <c r="F24" s="7" t="str">
        <f ca="1">IFERROR(__xludf.DUMMYFUNCTION("IF(ISBLANK(F22),"""",HLOOKUP(REGEXEXTRACT(F22,"".*-(.*)""),INDIRECT(CONCATENATE(REGEXEXTRACT(F22,""(.*)-.*""),""!C3:I"")),3,FALSE))"),"")</f>
        <v/>
      </c>
      <c r="G24" s="7" t="str">
        <f ca="1">IFERROR(__xludf.DUMMYFUNCTION("IF(ISBLANK(G22),"""",HLOOKUP(REGEXEXTRACT(G22,"".*-(.*)""),INDIRECT(CONCATENATE(REGEXEXTRACT(G22,""(.*)-.*""),""!C3:I"")),3,FALSE))"),"")</f>
        <v/>
      </c>
      <c r="H24" s="7" t="str">
        <f ca="1">IFERROR(__xludf.DUMMYFUNCTION("IF(ISBLANK(H22),"""",HLOOKUP(REGEXEXTRACT(H22,"".*-(.*)""),INDIRECT(CONCATENATE(REGEXEXTRACT(H22,""(.*)-.*""),""!C3:I"")),3,FALSE))"),"")</f>
        <v/>
      </c>
      <c r="I24" s="7" t="str">
        <f ca="1">IFERROR(__xludf.DUMMYFUNCTION("IF(ISBLANK(I22),"""",HLOOKUP(REGEXEXTRACT(I22,"".*-(.*)""),INDIRECT(CONCATENATE(REGEXEXTRACT(I22,""(.*)-.*""),""!C3:I"")),3,FALSE))"),"")</f>
        <v/>
      </c>
      <c r="J24" s="242" t="str">
        <f ca="1">IFERROR(__xludf.DUMMYFUNCTION("IF(ISBLANK(J22),"""",HLOOKUP(REGEXEXTRACT(J22,"".*-(.*)""),INDIRECT(CONCATENATE(REGEXEXTRACT(J22,""(.*)-.*""),""!C3:I"")),3,FALSE))"),"")</f>
        <v/>
      </c>
      <c r="M24" s="7" t="s">
        <v>381</v>
      </c>
      <c r="P24" s="239" t="s">
        <v>567</v>
      </c>
      <c r="Q24" s="239">
        <f t="shared" si="0"/>
        <v>0</v>
      </c>
      <c r="R24" s="239">
        <v>0</v>
      </c>
      <c r="S24" s="239">
        <v>0</v>
      </c>
      <c r="T24" s="239">
        <v>0</v>
      </c>
      <c r="U24" s="239">
        <v>0</v>
      </c>
      <c r="V24" s="239">
        <v>0</v>
      </c>
      <c r="W24" s="239">
        <v>0</v>
      </c>
    </row>
    <row r="25" spans="2:23">
      <c r="B25" s="98" t="s">
        <v>314</v>
      </c>
      <c r="C25" s="217"/>
      <c r="D25" s="217"/>
      <c r="E25" s="217"/>
      <c r="F25" s="217"/>
      <c r="G25" s="217"/>
      <c r="H25" s="217"/>
      <c r="I25" s="217"/>
      <c r="J25" s="243"/>
      <c r="M25" s="7" t="s">
        <v>568</v>
      </c>
      <c r="P25" s="241" t="s">
        <v>379</v>
      </c>
      <c r="Q25" s="241">
        <f t="shared" si="0"/>
        <v>0</v>
      </c>
      <c r="R25" s="241">
        <v>0</v>
      </c>
      <c r="S25" s="241">
        <v>0</v>
      </c>
      <c r="T25" s="241">
        <v>0</v>
      </c>
      <c r="U25" s="241">
        <v>0</v>
      </c>
      <c r="V25" s="241">
        <v>0</v>
      </c>
      <c r="W25" s="241">
        <v>0</v>
      </c>
    </row>
    <row r="26" spans="2:23">
      <c r="B26" s="98" t="s">
        <v>550</v>
      </c>
      <c r="C26" s="7" t="str">
        <f ca="1">IFERROR(__xludf.DUMMYFUNCTION("IF(ISBLANK(C25),"""",HLOOKUP(REGEXEXTRACT(C25,"".*-(.*)""),INDIRECT(CONCATENATE(REGEXEXTRACT(C25,""(.*)-.*""),""!C3:I"")),2,FALSE))"),"")</f>
        <v/>
      </c>
      <c r="D26" s="7" t="str">
        <f ca="1">IFERROR(__xludf.DUMMYFUNCTION("IF(ISBLANK(D25),"""",HLOOKUP(REGEXEXTRACT(D25,"".*-(.*)""),INDIRECT(CONCATENATE(REGEXEXTRACT(D25,""(.*)-.*""),""!C3:I"")),2,FALSE))"),"")</f>
        <v/>
      </c>
      <c r="E26" s="7" t="str">
        <f ca="1">IFERROR(__xludf.DUMMYFUNCTION("IF(ISBLANK(E25),"""",HLOOKUP(REGEXEXTRACT(E25,"".*-(.*)""),INDIRECT(CONCATENATE(REGEXEXTRACT(E25,""(.*)-.*""),""!C3:I"")),2,FALSE))"),"")</f>
        <v/>
      </c>
      <c r="F26" s="7" t="str">
        <f ca="1">IFERROR(__xludf.DUMMYFUNCTION("IF(ISBLANK(F25),"""",HLOOKUP(REGEXEXTRACT(F25,"".*-(.*)""),INDIRECT(CONCATENATE(REGEXEXTRACT(F25,""(.*)-.*""),""!C3:I"")),2,FALSE))"),"")</f>
        <v/>
      </c>
      <c r="G26" s="7" t="str">
        <f ca="1">IFERROR(__xludf.DUMMYFUNCTION("IF(ISBLANK(G25),"""",HLOOKUP(REGEXEXTRACT(G25,"".*-(.*)""),INDIRECT(CONCATENATE(REGEXEXTRACT(G25,""(.*)-.*""),""!C3:I"")),2,FALSE))"),"")</f>
        <v/>
      </c>
      <c r="H26" s="7" t="str">
        <f ca="1">IFERROR(__xludf.DUMMYFUNCTION("IF(ISBLANK(H25),"""",HLOOKUP(REGEXEXTRACT(H25,"".*-(.*)""),INDIRECT(CONCATENATE(REGEXEXTRACT(H25,""(.*)-.*""),""!C3:I"")),2,FALSE))"),"")</f>
        <v/>
      </c>
      <c r="I26" s="7" t="str">
        <f ca="1">IFERROR(__xludf.DUMMYFUNCTION("IF(ISBLANK(I25),"""",HLOOKUP(REGEXEXTRACT(I25,"".*-(.*)""),INDIRECT(CONCATENATE(REGEXEXTRACT(I25,""(.*)-.*""),""!C3:I"")),2,FALSE))"),"")</f>
        <v/>
      </c>
      <c r="J26" s="242" t="str">
        <f ca="1">IFERROR(__xludf.DUMMYFUNCTION("IF(ISBLANK(J25),"""",HLOOKUP(REGEXEXTRACT(J25,"".*-(.*)""),INDIRECT(CONCATENATE(REGEXEXTRACT(J25,""(.*)-.*""),""!C3:I"")),2,FALSE))"),"")</f>
        <v/>
      </c>
      <c r="P26" s="239" t="s">
        <v>356</v>
      </c>
      <c r="Q26" s="239">
        <f t="shared" si="0"/>
        <v>0</v>
      </c>
      <c r="R26" s="239">
        <v>0</v>
      </c>
      <c r="S26" s="239">
        <v>0</v>
      </c>
      <c r="T26" s="239">
        <v>0</v>
      </c>
      <c r="U26" s="239">
        <v>0</v>
      </c>
      <c r="V26" s="239">
        <v>0</v>
      </c>
      <c r="W26" s="239">
        <v>0</v>
      </c>
    </row>
    <row r="27" spans="2:23">
      <c r="B27" s="218"/>
      <c r="C27" s="10" t="str">
        <f ca="1">IFERROR(__xludf.DUMMYFUNCTION("IF(ISBLANK(C25),"""",HLOOKUP(REGEXEXTRACT(C25,"".*-(.*)""),INDIRECT(CONCATENATE(REGEXEXTRACT(C25,""(.*)-.*""),""!C3:I"")),3,FALSE))"),"")</f>
        <v/>
      </c>
      <c r="D27" s="10" t="str">
        <f ca="1">IFERROR(__xludf.DUMMYFUNCTION("IF(ISBLANK(D25),"""",HLOOKUP(REGEXEXTRACT(D25,"".*-(.*)""),INDIRECT(CONCATENATE(REGEXEXTRACT(D25,""(.*)-.*""),""!C3:I"")),3,FALSE))"),"")</f>
        <v/>
      </c>
      <c r="E27" s="10" t="str">
        <f ca="1">IFERROR(__xludf.DUMMYFUNCTION("IF(ISBLANK(E25),"""",HLOOKUP(REGEXEXTRACT(E25,"".*-(.*)""),INDIRECT(CONCATENATE(REGEXEXTRACT(E25,""(.*)-.*""),""!C3:I"")),3,FALSE))"),"")</f>
        <v/>
      </c>
      <c r="F27" s="10" t="str">
        <f ca="1">IFERROR(__xludf.DUMMYFUNCTION("IF(ISBLANK(F25),"""",HLOOKUP(REGEXEXTRACT(F25,"".*-(.*)""),INDIRECT(CONCATENATE(REGEXEXTRACT(F25,""(.*)-.*""),""!C3:I"")),3,FALSE))"),"")</f>
        <v/>
      </c>
      <c r="G27" s="10" t="str">
        <f ca="1">IFERROR(__xludf.DUMMYFUNCTION("IF(ISBLANK(G25),"""",HLOOKUP(REGEXEXTRACT(G25,"".*-(.*)""),INDIRECT(CONCATENATE(REGEXEXTRACT(G25,""(.*)-.*""),""!C3:I"")),3,FALSE))"),"")</f>
        <v/>
      </c>
      <c r="H27" s="10" t="str">
        <f ca="1">IFERROR(__xludf.DUMMYFUNCTION("IF(ISBLANK(H25),"""",HLOOKUP(REGEXEXTRACT(H25,"".*-(.*)""),INDIRECT(CONCATENATE(REGEXEXTRACT(H25,""(.*)-.*""),""!C3:I"")),3,FALSE))"),"")</f>
        <v/>
      </c>
      <c r="I27" s="10" t="str">
        <f ca="1">IFERROR(__xludf.DUMMYFUNCTION("IF(ISBLANK(I25),"""",HLOOKUP(REGEXEXTRACT(I25,"".*-(.*)""),INDIRECT(CONCATENATE(REGEXEXTRACT(I25,""(.*)-.*""),""!C3:I"")),3,FALSE))"),"")</f>
        <v/>
      </c>
      <c r="J27" s="11" t="str">
        <f ca="1">IFERROR(__xludf.DUMMYFUNCTION("IF(ISBLANK(J25),"""",HLOOKUP(REGEXEXTRACT(J25,"".*-(.*)""),INDIRECT(CONCATENATE(REGEXEXTRACT(J25,""(.*)-.*""),""!C3:I"")),3,FALSE))"),"")</f>
        <v/>
      </c>
    </row>
    <row r="29" spans="2:23">
      <c r="B29" s="206" t="s">
        <v>305</v>
      </c>
      <c r="C29" s="191"/>
      <c r="D29" s="192"/>
      <c r="E29" s="192"/>
      <c r="F29" s="192"/>
      <c r="G29" s="192"/>
      <c r="H29" s="192"/>
      <c r="I29" s="192"/>
      <c r="J29" s="193"/>
    </row>
    <row r="30" spans="2:23">
      <c r="B30" s="98" t="s">
        <v>550</v>
      </c>
      <c r="C30" s="232" t="str">
        <f ca="1">IFERROR(__xludf.DUMMYFUNCTION("IF(ISBLANK(C29),"""",HLOOKUP(REGEXEXTRACT(C29,"".*-(.*)""),INDIRECT(CONCATENATE(REGEXEXTRACT(C29,""(.*)-.*""),""!C3:I"")),2,FALSE))"),"")</f>
        <v/>
      </c>
      <c r="D30" s="48" t="str">
        <f ca="1">IFERROR(__xludf.DUMMYFUNCTION("IF(ISBLANK(D29),"""",HLOOKUP(REGEXEXTRACT(D29,"".*-(.*)""),INDIRECT(CONCATENATE(REGEXEXTRACT(D29,""(.*)-.*""),""!C3:I"")),2,FALSE))"),"")</f>
        <v/>
      </c>
      <c r="E30" s="48" t="str">
        <f ca="1">IFERROR(__xludf.DUMMYFUNCTION("IF(ISBLANK(E29),"""",HLOOKUP(REGEXEXTRACT(E29,"".*-(.*)""),INDIRECT(CONCATENATE(REGEXEXTRACT(E29,""(.*)-.*""),""!C3:I"")),2,FALSE))"),"")</f>
        <v/>
      </c>
      <c r="F30" s="48" t="str">
        <f ca="1">IFERROR(__xludf.DUMMYFUNCTION("IF(ISBLANK(F29),"""",HLOOKUP(REGEXEXTRACT(F29,"".*-(.*)""),INDIRECT(CONCATENATE(REGEXEXTRACT(F29,""(.*)-.*""),""!C3:I"")),2,FALSE))"),"")</f>
        <v/>
      </c>
      <c r="G30" s="48" t="str">
        <f ca="1">IFERROR(__xludf.DUMMYFUNCTION("IF(ISBLANK(G29),"""",HLOOKUP(REGEXEXTRACT(G29,"".*-(.*)""),INDIRECT(CONCATENATE(REGEXEXTRACT(G29,""(.*)-.*""),""!C3:I"")),2,FALSE))"),"")</f>
        <v/>
      </c>
      <c r="H30" s="48" t="str">
        <f ca="1">IFERROR(__xludf.DUMMYFUNCTION("IF(ISBLANK(H29),"""",HLOOKUP(REGEXEXTRACT(H29,"".*-(.*)""),INDIRECT(CONCATENATE(REGEXEXTRACT(H29,""(.*)-.*""),""!C3:I"")),2,FALSE))"),"")</f>
        <v/>
      </c>
      <c r="I30" s="48" t="str">
        <f ca="1">IFERROR(__xludf.DUMMYFUNCTION("IF(ISBLANK(I29),"""",HLOOKUP(REGEXEXTRACT(I29,"".*-(.*)""),INDIRECT(CONCATENATE(REGEXEXTRACT(I29,""(.*)-.*""),""!C3:I"")),2,FALSE))"),"")</f>
        <v/>
      </c>
      <c r="J30" s="194" t="str">
        <f ca="1">IFERROR(__xludf.DUMMYFUNCTION("IF(ISBLANK(J29),"""",HLOOKUP(REGEXEXTRACT(J29,"".*-(.*)""),INDIRECT(CONCATENATE(REGEXEXTRACT(J29,""(.*)-.*""),""!C3:I"")),2,FALSE))"),"")</f>
        <v/>
      </c>
    </row>
    <row r="31" spans="2:23">
      <c r="B31" s="218"/>
      <c r="C31" s="240" t="str">
        <f ca="1">IFERROR(__xludf.DUMMYFUNCTION("IF(ISBLANK(C29),"""",HLOOKUP(REGEXEXTRACT(C29,"".*-(.*)""),INDIRECT(CONCATENATE(REGEXEXTRACT(C29,""(.*)-.*""),""!C3:I"")),3,FALSE))"),"")</f>
        <v/>
      </c>
      <c r="D31" s="195" t="str">
        <f ca="1">IFERROR(__xludf.DUMMYFUNCTION("IF(ISBLANK(D29),"""",HLOOKUP(REGEXEXTRACT(D29,"".*-(.*)""),INDIRECT(CONCATENATE(REGEXEXTRACT(D29,""(.*)-.*""),""!C3:I"")),3,FALSE))"),"")</f>
        <v/>
      </c>
      <c r="E31" s="195" t="str">
        <f ca="1">IFERROR(__xludf.DUMMYFUNCTION("IF(ISBLANK(E29),"""",HLOOKUP(REGEXEXTRACT(E29,"".*-(.*)""),INDIRECT(CONCATENATE(REGEXEXTRACT(E29,""(.*)-.*""),""!C3:I"")),3,FALSE))"),"")</f>
        <v/>
      </c>
      <c r="F31" s="195" t="str">
        <f ca="1">IFERROR(__xludf.DUMMYFUNCTION("IF(ISBLANK(F29),"""",HLOOKUP(REGEXEXTRACT(F29,"".*-(.*)""),INDIRECT(CONCATENATE(REGEXEXTRACT(F29,""(.*)-.*""),""!C3:I"")),3,FALSE))"),"")</f>
        <v/>
      </c>
      <c r="G31" s="195" t="str">
        <f ca="1">IFERROR(__xludf.DUMMYFUNCTION("IF(ISBLANK(G29),"""",HLOOKUP(REGEXEXTRACT(G29,"".*-(.*)""),INDIRECT(CONCATENATE(REGEXEXTRACT(G29,""(.*)-.*""),""!C3:I"")),3,FALSE))"),"")</f>
        <v/>
      </c>
      <c r="H31" s="195" t="str">
        <f ca="1">IFERROR(__xludf.DUMMYFUNCTION("IF(ISBLANK(H29),"""",HLOOKUP(REGEXEXTRACT(H29,"".*-(.*)""),INDIRECT(CONCATENATE(REGEXEXTRACT(H29,""(.*)-.*""),""!C3:I"")),3,FALSE))"),"")</f>
        <v/>
      </c>
      <c r="I31" s="195" t="str">
        <f ca="1">IFERROR(__xludf.DUMMYFUNCTION("IF(ISBLANK(I29),"""",HLOOKUP(REGEXEXTRACT(I29,"".*-(.*)""),INDIRECT(CONCATENATE(REGEXEXTRACT(I29,""(.*)-.*""),""!C3:I"")),3,FALSE))"),"")</f>
        <v/>
      </c>
      <c r="J31" s="196" t="str">
        <f ca="1">IFERROR(__xludf.DUMMYFUNCTION("IF(ISBLANK(J29),"""",HLOOKUP(REGEXEXTRACT(J29,"".*-(.*)""),INDIRECT(CONCATENATE(REGEXEXTRACT(J29,""(.*)-.*""),""!C3:I"")),3,FALSE))"),"")</f>
        <v/>
      </c>
    </row>
    <row r="32" spans="2:23">
      <c r="B32" s="206" t="s">
        <v>305</v>
      </c>
      <c r="C32" s="217"/>
      <c r="D32" s="217"/>
      <c r="E32" s="217"/>
      <c r="F32" s="217"/>
      <c r="G32" s="217"/>
      <c r="H32" s="217"/>
      <c r="I32" s="217"/>
      <c r="J32" s="243"/>
    </row>
    <row r="33" spans="2:10">
      <c r="B33" s="98" t="s">
        <v>550</v>
      </c>
      <c r="C33" s="7" t="str">
        <f ca="1">IFERROR(__xludf.DUMMYFUNCTION("IF(ISBLANK(C32),"""",HLOOKUP(REGEXEXTRACT(C32,"".*-(.*)""),INDIRECT(CONCATENATE(REGEXEXTRACT(C32,""(.*)-.*""),""!C3:I"")),2,FALSE))"),"")</f>
        <v/>
      </c>
      <c r="D33" s="7" t="str">
        <f ca="1">IFERROR(__xludf.DUMMYFUNCTION("IF(ISBLANK(D32),"""",HLOOKUP(REGEXEXTRACT(D32,"".*-(.*)""),INDIRECT(CONCATENATE(REGEXEXTRACT(D32,""(.*)-.*""),""!C3:I"")),2,FALSE))"),"")</f>
        <v/>
      </c>
      <c r="E33" s="7" t="str">
        <f ca="1">IFERROR(__xludf.DUMMYFUNCTION("IF(ISBLANK(E32),"""",HLOOKUP(REGEXEXTRACT(E32,"".*-(.*)""),INDIRECT(CONCATENATE(REGEXEXTRACT(E32,""(.*)-.*""),""!C3:I"")),2,FALSE))"),"")</f>
        <v/>
      </c>
      <c r="F33" s="7" t="str">
        <f ca="1">IFERROR(__xludf.DUMMYFUNCTION("IF(ISBLANK(F32),"""",HLOOKUP(REGEXEXTRACT(F32,"".*-(.*)""),INDIRECT(CONCATENATE(REGEXEXTRACT(F32,""(.*)-.*""),""!C3:I"")),2,FALSE))"),"")</f>
        <v/>
      </c>
      <c r="G33" s="7" t="str">
        <f ca="1">IFERROR(__xludf.DUMMYFUNCTION("IF(ISBLANK(G32),"""",HLOOKUP(REGEXEXTRACT(G32,"".*-(.*)""),INDIRECT(CONCATENATE(REGEXEXTRACT(G32,""(.*)-.*""),""!C3:I"")),2,FALSE))"),"")</f>
        <v/>
      </c>
      <c r="H33" s="7" t="str">
        <f ca="1">IFERROR(__xludf.DUMMYFUNCTION("IF(ISBLANK(H32),"""",HLOOKUP(REGEXEXTRACT(H32,"".*-(.*)""),INDIRECT(CONCATENATE(REGEXEXTRACT(H32,""(.*)-.*""),""!C3:I"")),2,FALSE))"),"")</f>
        <v/>
      </c>
      <c r="I33" s="7" t="str">
        <f ca="1">IFERROR(__xludf.DUMMYFUNCTION("IF(ISBLANK(I32),"""",HLOOKUP(REGEXEXTRACT(I32,"".*-(.*)""),INDIRECT(CONCATENATE(REGEXEXTRACT(I32,""(.*)-.*""),""!C3:I"")),2,FALSE))"),"")</f>
        <v/>
      </c>
      <c r="J33" s="242" t="str">
        <f ca="1">IFERROR(__xludf.DUMMYFUNCTION("IF(ISBLANK(J32),"""",HLOOKUP(REGEXEXTRACT(J32,"".*-(.*)""),INDIRECT(CONCATENATE(REGEXEXTRACT(J32,""(.*)-.*""),""!C3:I"")),2,FALSE))"),"")</f>
        <v/>
      </c>
    </row>
    <row r="34" spans="2:10">
      <c r="B34" s="218"/>
      <c r="C34" s="10" t="str">
        <f ca="1">IFERROR(__xludf.DUMMYFUNCTION("IF(ISBLANK(C32),"""",HLOOKUP(REGEXEXTRACT(C32,"".*-(.*)""),INDIRECT(CONCATENATE(REGEXEXTRACT(C32,""(.*)-.*""),""!C3:I"")),3,FALSE))"),"")</f>
        <v/>
      </c>
      <c r="D34" s="10" t="str">
        <f ca="1">IFERROR(__xludf.DUMMYFUNCTION("IF(ISBLANK(D32),"""",HLOOKUP(REGEXEXTRACT(D32,"".*-(.*)""),INDIRECT(CONCATENATE(REGEXEXTRACT(D32,""(.*)-.*""),""!C3:I"")),3,FALSE))"),"")</f>
        <v/>
      </c>
      <c r="E34" s="10" t="str">
        <f ca="1">IFERROR(__xludf.DUMMYFUNCTION("IF(ISBLANK(E32),"""",HLOOKUP(REGEXEXTRACT(E32,"".*-(.*)""),INDIRECT(CONCATENATE(REGEXEXTRACT(E32,""(.*)-.*""),""!C3:I"")),3,FALSE))"),"")</f>
        <v/>
      </c>
      <c r="F34" s="10" t="str">
        <f ca="1">IFERROR(__xludf.DUMMYFUNCTION("IF(ISBLANK(F32),"""",HLOOKUP(REGEXEXTRACT(F32,"".*-(.*)""),INDIRECT(CONCATENATE(REGEXEXTRACT(F32,""(.*)-.*""),""!C3:I"")),3,FALSE))"),"")</f>
        <v/>
      </c>
      <c r="G34" s="10" t="str">
        <f ca="1">IFERROR(__xludf.DUMMYFUNCTION("IF(ISBLANK(G32),"""",HLOOKUP(REGEXEXTRACT(G32,"".*-(.*)""),INDIRECT(CONCATENATE(REGEXEXTRACT(G32,""(.*)-.*""),""!C3:I"")),3,FALSE))"),"")</f>
        <v/>
      </c>
      <c r="H34" s="10" t="str">
        <f ca="1">IFERROR(__xludf.DUMMYFUNCTION("IF(ISBLANK(H32),"""",HLOOKUP(REGEXEXTRACT(H32,"".*-(.*)""),INDIRECT(CONCATENATE(REGEXEXTRACT(H32,""(.*)-.*""),""!C3:I"")),3,FALSE))"),"")</f>
        <v/>
      </c>
      <c r="I34" s="10" t="str">
        <f ca="1">IFERROR(__xludf.DUMMYFUNCTION("IF(ISBLANK(I32),"""",HLOOKUP(REGEXEXTRACT(I32,"".*-(.*)""),INDIRECT(CONCATENATE(REGEXEXTRACT(I32,""(.*)-.*""),""!C3:I"")),3,FALSE))"),"")</f>
        <v/>
      </c>
      <c r="J34" s="11" t="str">
        <f ca="1">IFERROR(__xludf.DUMMYFUNCTION("IF(ISBLANK(J32),"""",HLOOKUP(REGEXEXTRACT(J32,"".*-(.*)""),INDIRECT(CONCATENATE(REGEXEXTRACT(J32,""(.*)-.*""),""!C3:I"")),3,FALSE))"),"")</f>
        <v/>
      </c>
    </row>
    <row r="35" spans="2:10">
      <c r="B35" s="206" t="s">
        <v>305</v>
      </c>
      <c r="C35" s="217"/>
      <c r="D35" s="217"/>
      <c r="E35" s="217"/>
      <c r="F35" s="217"/>
      <c r="G35" s="217"/>
      <c r="H35" s="217"/>
      <c r="I35" s="217"/>
      <c r="J35" s="243"/>
    </row>
    <row r="36" spans="2:10">
      <c r="B36" s="98" t="s">
        <v>550</v>
      </c>
      <c r="C36" s="7" t="str">
        <f ca="1">IFERROR(__xludf.DUMMYFUNCTION("IF(ISBLANK(C35),"""",HLOOKUP(REGEXEXTRACT(C35,"".*-(.*)""),INDIRECT(CONCATENATE(REGEXEXTRACT(C35,""(.*)-.*""),""!C3:I"")),2,FALSE))"),"")</f>
        <v/>
      </c>
      <c r="D36" s="7" t="str">
        <f ca="1">IFERROR(__xludf.DUMMYFUNCTION("IF(ISBLANK(D35),"""",HLOOKUP(REGEXEXTRACT(D35,"".*-(.*)""),INDIRECT(CONCATENATE(REGEXEXTRACT(D35,""(.*)-.*""),""!C3:I"")),2,FALSE))"),"")</f>
        <v/>
      </c>
      <c r="E36" s="7" t="str">
        <f ca="1">IFERROR(__xludf.DUMMYFUNCTION("IF(ISBLANK(E35),"""",HLOOKUP(REGEXEXTRACT(E35,"".*-(.*)""),INDIRECT(CONCATENATE(REGEXEXTRACT(E35,""(.*)-.*""),""!C3:I"")),2,FALSE))"),"")</f>
        <v/>
      </c>
      <c r="F36" s="7" t="str">
        <f ca="1">IFERROR(__xludf.DUMMYFUNCTION("IF(ISBLANK(F35),"""",HLOOKUP(REGEXEXTRACT(F35,"".*-(.*)""),INDIRECT(CONCATENATE(REGEXEXTRACT(F35,""(.*)-.*""),""!C3:I"")),2,FALSE))"),"")</f>
        <v/>
      </c>
      <c r="G36" s="7" t="str">
        <f ca="1">IFERROR(__xludf.DUMMYFUNCTION("IF(ISBLANK(G35),"""",HLOOKUP(REGEXEXTRACT(G35,"".*-(.*)""),INDIRECT(CONCATENATE(REGEXEXTRACT(G35,""(.*)-.*""),""!C3:I"")),2,FALSE))"),"")</f>
        <v/>
      </c>
      <c r="H36" s="7" t="str">
        <f ca="1">IFERROR(__xludf.DUMMYFUNCTION("IF(ISBLANK(H35),"""",HLOOKUP(REGEXEXTRACT(H35,"".*-(.*)""),INDIRECT(CONCATENATE(REGEXEXTRACT(H35,""(.*)-.*""),""!C3:I"")),2,FALSE))"),"")</f>
        <v/>
      </c>
      <c r="I36" s="7" t="str">
        <f ca="1">IFERROR(__xludf.DUMMYFUNCTION("IF(ISBLANK(I35),"""",HLOOKUP(REGEXEXTRACT(I35,"".*-(.*)""),INDIRECT(CONCATENATE(REGEXEXTRACT(I35,""(.*)-.*""),""!C3:I"")),2,FALSE))"),"")</f>
        <v/>
      </c>
      <c r="J36" s="242" t="str">
        <f ca="1">IFERROR(__xludf.DUMMYFUNCTION("IF(ISBLANK(J35),"""",HLOOKUP(REGEXEXTRACT(J35,"".*-(.*)""),INDIRECT(CONCATENATE(REGEXEXTRACT(J35,""(.*)-.*""),""!C3:I"")),2,FALSE))"),"")</f>
        <v/>
      </c>
    </row>
    <row r="37" spans="2:10">
      <c r="B37" s="218"/>
      <c r="C37" s="10" t="str">
        <f ca="1">IFERROR(__xludf.DUMMYFUNCTION("IF(ISBLANK(C35),"""",HLOOKUP(REGEXEXTRACT(C35,"".*-(.*)""),INDIRECT(CONCATENATE(REGEXEXTRACT(C35,""(.*)-.*""),""!C3:I"")),3,FALSE))"),"")</f>
        <v/>
      </c>
      <c r="D37" s="10" t="str">
        <f ca="1">IFERROR(__xludf.DUMMYFUNCTION("IF(ISBLANK(D35),"""",HLOOKUP(REGEXEXTRACT(D35,"".*-(.*)""),INDIRECT(CONCATENATE(REGEXEXTRACT(D35,""(.*)-.*""),""!C3:I"")),3,FALSE))"),"")</f>
        <v/>
      </c>
      <c r="E37" s="10" t="str">
        <f ca="1">IFERROR(__xludf.DUMMYFUNCTION("IF(ISBLANK(E35),"""",HLOOKUP(REGEXEXTRACT(E35,"".*-(.*)""),INDIRECT(CONCATENATE(REGEXEXTRACT(E35,""(.*)-.*""),""!C3:I"")),3,FALSE))"),"")</f>
        <v/>
      </c>
      <c r="F37" s="10" t="str">
        <f ca="1">IFERROR(__xludf.DUMMYFUNCTION("IF(ISBLANK(F35),"""",HLOOKUP(REGEXEXTRACT(F35,"".*-(.*)""),INDIRECT(CONCATENATE(REGEXEXTRACT(F35,""(.*)-.*""),""!C3:I"")),3,FALSE))"),"")</f>
        <v/>
      </c>
      <c r="G37" s="10" t="str">
        <f ca="1">IFERROR(__xludf.DUMMYFUNCTION("IF(ISBLANK(G35),"""",HLOOKUP(REGEXEXTRACT(G35,"".*-(.*)""),INDIRECT(CONCATENATE(REGEXEXTRACT(G35,""(.*)-.*""),""!C3:I"")),3,FALSE))"),"")</f>
        <v/>
      </c>
      <c r="H37" s="10" t="str">
        <f ca="1">IFERROR(__xludf.DUMMYFUNCTION("IF(ISBLANK(H35),"""",HLOOKUP(REGEXEXTRACT(H35,"".*-(.*)""),INDIRECT(CONCATENATE(REGEXEXTRACT(H35,""(.*)-.*""),""!C3:I"")),3,FALSE))"),"")</f>
        <v/>
      </c>
      <c r="I37" s="10" t="str">
        <f ca="1">IFERROR(__xludf.DUMMYFUNCTION("IF(ISBLANK(I35),"""",HLOOKUP(REGEXEXTRACT(I35,"".*-(.*)""),INDIRECT(CONCATENATE(REGEXEXTRACT(I35,""(.*)-.*""),""!C3:I"")),3,FALSE))"),"")</f>
        <v/>
      </c>
      <c r="J37" s="11" t="str">
        <f ca="1">IFERROR(__xludf.DUMMYFUNCTION("IF(ISBLANK(J35),"""",HLOOKUP(REGEXEXTRACT(J35,"".*-(.*)""),INDIRECT(CONCATENATE(REGEXEXTRACT(J35,""(.*)-.*""),""!C3:I"")),3,FALSE))"),"")</f>
        <v/>
      </c>
    </row>
  </sheetData>
  <autoFilter ref="P3:W26" xr:uid="{00000000-0009-0000-0000-000023000000}">
    <sortState xmlns:xlrd2="http://schemas.microsoft.com/office/spreadsheetml/2017/richdata2" ref="P3:W26">
      <sortCondition descending="1" ref="Q3:Q26"/>
    </sortState>
  </autoFilter>
  <mergeCells count="2">
    <mergeCell ref="P2:W2"/>
    <mergeCell ref="N6:N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2300-000000000000}">
          <x14:formula1>
            <xm:f>chars!$B$2:$Z995</xm:f>
          </x14:formula1>
          <xm:sqref>C3:J3 C6:J6 C9:J9 C13:J13 C16:J16 C19:J19 C22:J22 C25:J25 C29:J29 C32:J32 C35:J35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B5"/>
  <sheetViews>
    <sheetView workbookViewId="0"/>
  </sheetViews>
  <sheetFormatPr defaultColWidth="12.5703125" defaultRowHeight="15.75" customHeight="1"/>
  <sheetData>
    <row r="1" spans="1:2">
      <c r="A1" s="7" t="s">
        <v>147</v>
      </c>
      <c r="B1" s="7" t="s">
        <v>166</v>
      </c>
    </row>
    <row r="2" spans="1:2">
      <c r="A2" s="7" t="s">
        <v>357</v>
      </c>
      <c r="B2" s="7" t="s">
        <v>104</v>
      </c>
    </row>
    <row r="3" spans="1:2">
      <c r="A3" s="7" t="s">
        <v>396</v>
      </c>
      <c r="B3" s="7" t="s">
        <v>96</v>
      </c>
    </row>
    <row r="4" spans="1:2">
      <c r="A4" s="7" t="s">
        <v>350</v>
      </c>
      <c r="B4" s="7" t="s">
        <v>322</v>
      </c>
    </row>
    <row r="5" spans="1:2">
      <c r="A5" s="7" t="s">
        <v>397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Voldis</vt:lpstr>
      <vt:lpstr>Serca Old</vt:lpstr>
      <vt:lpstr>Serca2</vt:lpstr>
      <vt:lpstr>Serca3 V1</vt:lpstr>
      <vt:lpstr>Serca - Mina RIP</vt:lpstr>
      <vt:lpstr>Serca+Cath</vt:lpstr>
      <vt:lpstr>Behemoth</vt:lpstr>
      <vt:lpstr>SHAZA</vt:lpstr>
      <vt:lpstr>3Man Equalizer</vt:lpstr>
      <vt:lpstr>Money</vt:lpstr>
      <vt:lpstr>Clownium</vt:lpstr>
      <vt:lpstr>3Man Equalizer (Wish)</vt:lpstr>
      <vt:lpstr>Marcel</vt:lpstr>
      <vt:lpstr>Charlie</vt:lpstr>
      <vt:lpstr>Alx</vt:lpstr>
      <vt:lpstr>Delay</vt:lpstr>
      <vt:lpstr>Ghonty</vt:lpstr>
      <vt:lpstr>Mina</vt:lpstr>
      <vt:lpstr>Vierazy</vt:lpstr>
      <vt:lpstr>Faal</vt:lpstr>
      <vt:lpstr>Nonna</vt:lpstr>
      <vt:lpstr>Mawino</vt:lpstr>
      <vt:lpstr>Debt and Taxes</vt:lpstr>
      <vt:lpstr>PugReview</vt:lpstr>
      <vt:lpstr>Sophster</vt:lpstr>
      <vt:lpstr>Bendy</vt:lpstr>
      <vt:lpstr>Wish</vt:lpstr>
      <vt:lpstr>chars</vt:lpstr>
      <vt:lpstr>DATES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Ronan Hochart Hochart</cp:lastModifiedBy>
  <dcterms:modified xsi:type="dcterms:W3CDTF">2026-06-16T06:47:32Z</dcterms:modified>
</cp:coreProperties>
</file>