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lown" sheetId="1" r:id="rId5"/>
    <sheet state="hidden" name="Voldis" sheetId="2" r:id="rId6"/>
    <sheet state="visible" name="Scheduler" sheetId="3" r:id="rId7"/>
    <sheet state="hidden" name="Serca Old" sheetId="4" r:id="rId8"/>
    <sheet state="hidden" name="Serca2" sheetId="5" r:id="rId9"/>
    <sheet state="hidden" name="Serca3 V1" sheetId="6" r:id="rId10"/>
    <sheet state="hidden" name="Serca - Mina RIP" sheetId="7" r:id="rId11"/>
    <sheet state="visible" name="Serca" sheetId="8" r:id="rId12"/>
    <sheet state="visible" name="Cathedrala" sheetId="9" r:id="rId13"/>
    <sheet state="visible" name="Serca+Cath" sheetId="10" r:id="rId14"/>
    <sheet state="visible" name="TFM" sheetId="11" r:id="rId15"/>
    <sheet state="visible" name="LATE TRACKER" sheetId="12" r:id="rId16"/>
    <sheet state="hidden" name="Behemoth" sheetId="13" r:id="rId17"/>
    <sheet state="hidden" name="SHAZA" sheetId="14" r:id="rId18"/>
    <sheet state="hidden" name="3Man Equalizer" sheetId="15" r:id="rId19"/>
    <sheet state="hidden" name="Money" sheetId="16" r:id="rId20"/>
    <sheet state="hidden" name="Clownium" sheetId="17" r:id="rId21"/>
    <sheet state="hidden" name="3Man Equalizer (Wish)" sheetId="18" r:id="rId22"/>
    <sheet state="visible" name="3Man Equalizer Calculator" sheetId="19" r:id="rId23"/>
    <sheet state="visible" name="Marcel" sheetId="20" r:id="rId24"/>
    <sheet state="hidden" name="Charlie" sheetId="21" r:id="rId25"/>
    <sheet state="hidden" name="Alx" sheetId="22" r:id="rId26"/>
    <sheet state="visible" name="Delay" sheetId="23" r:id="rId27"/>
    <sheet state="visible" name="Ghonty" sheetId="24" r:id="rId28"/>
    <sheet state="hidden" name="Mina" sheetId="25" r:id="rId29"/>
    <sheet state="visible" name="Vierazy" sheetId="26" r:id="rId30"/>
    <sheet state="visible" name="Faal" sheetId="27" r:id="rId31"/>
    <sheet state="visible" name="Nonna" sheetId="28" r:id="rId32"/>
    <sheet state="visible" name="Mawino" sheetId="29" r:id="rId33"/>
    <sheet state="hidden" name="Debt and Taxes" sheetId="30" r:id="rId34"/>
    <sheet state="hidden" name="PugReview" sheetId="31" r:id="rId35"/>
    <sheet state="hidden" name="Sophster" sheetId="32" r:id="rId36"/>
    <sheet state="hidden" name="Bendy" sheetId="33" r:id="rId37"/>
    <sheet state="visible" name="Wish" sheetId="34" r:id="rId38"/>
    <sheet state="visible" name="chars" sheetId="35" r:id="rId39"/>
    <sheet state="hidden" name="DATES" sheetId="36" r:id="rId40"/>
    <sheet state="hidden" name="data" sheetId="37" r:id="rId41"/>
  </sheets>
  <definedNames>
    <definedName hidden="1" localSheetId="35" name="_xlnm._FilterDatabase">DATES!$P$3:$W$26</definedName>
  </definedNames>
  <calcPr/>
</workbook>
</file>

<file path=xl/sharedStrings.xml><?xml version="1.0" encoding="utf-8"?>
<sst xmlns="http://schemas.openxmlformats.org/spreadsheetml/2006/main" count="2539" uniqueCount="641">
  <si>
    <t>DONE</t>
  </si>
  <si>
    <t>Clown</t>
  </si>
  <si>
    <t>alx-Slyraze</t>
  </si>
  <si>
    <t>Delay-Chloster</t>
  </si>
  <si>
    <t>Marcel-Threeroundburst</t>
  </si>
  <si>
    <t>Azzi-Azzimusic</t>
  </si>
  <si>
    <t>goog</t>
  </si>
  <si>
    <t>alx-Jiujie</t>
  </si>
  <si>
    <t>Delay-Chloedeck</t>
  </si>
  <si>
    <t>Marcel-Dancíngdagger</t>
  </si>
  <si>
    <t>Azzi-Azzijin</t>
  </si>
  <si>
    <t>never stayed alive btw</t>
  </si>
  <si>
    <t>alx-Cearre</t>
  </si>
  <si>
    <t>Wish-Arcana</t>
  </si>
  <si>
    <t>Marcel-Lucidsingularity</t>
  </si>
  <si>
    <t>Azzi-Azzidance</t>
  </si>
  <si>
    <t>alx-Thaede</t>
  </si>
  <si>
    <t>Wish-Bnöts</t>
  </si>
  <si>
    <t>Marcel-Brutalmomentum</t>
  </si>
  <si>
    <t>Azzi-Wayjin</t>
  </si>
  <si>
    <t>who is this guy</t>
  </si>
  <si>
    <t xml:space="preserve">it's me </t>
  </si>
  <si>
    <t>non, it me</t>
  </si>
  <si>
    <t>Alex-Ligmabard</t>
  </si>
  <si>
    <t>Marcel-Searingslash</t>
  </si>
  <si>
    <t>Wish-Bnötssss</t>
  </si>
  <si>
    <t>Azzi-Azziko</t>
  </si>
  <si>
    <t>glaivier carry</t>
  </si>
  <si>
    <t>clueless</t>
  </si>
  <si>
    <t>ooga ooga</t>
  </si>
  <si>
    <t>Wish-Bönötys</t>
  </si>
  <si>
    <t>Alex-Lucycast</t>
  </si>
  <si>
    <t>Marcel-Ninetailedstrike</t>
  </si>
  <si>
    <t>Azzi-Azzihood</t>
  </si>
  <si>
    <t>booga</t>
  </si>
  <si>
    <t>i</t>
  </si>
  <si>
    <t>Wish-Bnötssssss</t>
  </si>
  <si>
    <t>Delay-Chloestrasza</t>
  </si>
  <si>
    <t>Alex-Juûzou</t>
  </si>
  <si>
    <t>alx-Melodicpri</t>
  </si>
  <si>
    <t>join this group if youre a man</t>
  </si>
  <si>
    <t>peeposhake</t>
  </si>
  <si>
    <t>PUG Clown</t>
  </si>
  <si>
    <t>Delay-Chloetwo</t>
  </si>
  <si>
    <t>Wish-Bnötsss</t>
  </si>
  <si>
    <t>Azzi-Azzifire</t>
  </si>
  <si>
    <t>me when the, when the</t>
  </si>
  <si>
    <t>CLOWN BUS</t>
  </si>
  <si>
    <t>alx-Slyfool</t>
  </si>
  <si>
    <t>Delay-Chloenote</t>
  </si>
  <si>
    <t>Wish-Bnötsssssss</t>
  </si>
  <si>
    <t>Clown BUS</t>
  </si>
  <si>
    <t>alx-Slyred</t>
  </si>
  <si>
    <t>Delay-Chloepet</t>
  </si>
  <si>
    <t>Marcel-Íhatechaos</t>
  </si>
  <si>
    <t>alx</t>
  </si>
  <si>
    <t>delay</t>
  </si>
  <si>
    <t>marcel</t>
  </si>
  <si>
    <t>wish</t>
  </si>
  <si>
    <t>azzi</t>
  </si>
  <si>
    <t>alex</t>
  </si>
  <si>
    <t>Voldis HM</t>
  </si>
  <si>
    <t>Delay-Bighandguy</t>
  </si>
  <si>
    <t>Mina-Chou</t>
  </si>
  <si>
    <t>Kayangle HM</t>
  </si>
  <si>
    <t>Wish-Slayer</t>
  </si>
  <si>
    <t>Marcel-Radiantarc</t>
  </si>
  <si>
    <t>Azzi-Azzidad</t>
  </si>
  <si>
    <t>Azzi-Laoumi</t>
  </si>
  <si>
    <t>Mina-Mina</t>
  </si>
  <si>
    <t>Wish-GL</t>
  </si>
  <si>
    <t>Mina-Triomphe</t>
  </si>
  <si>
    <t>Wish-Scouter</t>
  </si>
  <si>
    <t>Delay-Chloescythe</t>
  </si>
  <si>
    <t>Azzi-Azzinora</t>
  </si>
  <si>
    <t>Wish-BAKER</t>
  </si>
  <si>
    <t>Alex-Pommepine</t>
  </si>
  <si>
    <t>Azzi-Azziartist</t>
  </si>
  <si>
    <t>Delay-Chloeburst</t>
  </si>
  <si>
    <t>Azzi-Azzimoon</t>
  </si>
  <si>
    <t>Wish-Paladin</t>
  </si>
  <si>
    <t>Delay-Chloestorm</t>
  </si>
  <si>
    <t>Wish-Destro</t>
  </si>
  <si>
    <t>Azzi-Azziladin</t>
  </si>
  <si>
    <t>Mina-Soble</t>
  </si>
  <si>
    <t>Wish-Artill</t>
  </si>
  <si>
    <t>Kayangle NM</t>
  </si>
  <si>
    <t>Delay-Chloebrush</t>
  </si>
  <si>
    <t>Alex-Soulpom</t>
  </si>
  <si>
    <t>Voldis NM</t>
  </si>
  <si>
    <t>Marcel-Quietintensity</t>
  </si>
  <si>
    <t>Marcel-Battlepresence</t>
  </si>
  <si>
    <t>Mina-Ame</t>
  </si>
  <si>
    <t>`</t>
  </si>
  <si>
    <t>TERRY TIME (TT) -6</t>
  </si>
  <si>
    <t>Notes</t>
  </si>
  <si>
    <t>Time</t>
  </si>
  <si>
    <t>Wednesday</t>
  </si>
  <si>
    <t>Delay</t>
  </si>
  <si>
    <t>Marcel</t>
  </si>
  <si>
    <t>Nona</t>
  </si>
  <si>
    <t>Faal</t>
  </si>
  <si>
    <t>Wish</t>
  </si>
  <si>
    <t>Ghonty</t>
  </si>
  <si>
    <t>Vierazy</t>
  </si>
  <si>
    <t>Mawino</t>
  </si>
  <si>
    <t>Itelin</t>
  </si>
  <si>
    <t>Phil</t>
  </si>
  <si>
    <t>Extras</t>
  </si>
  <si>
    <t>Supports</t>
  </si>
  <si>
    <t>Count</t>
  </si>
  <si>
    <t>Kazeros HM 1</t>
  </si>
  <si>
    <t>Delay-Wildchloe</t>
  </si>
  <si>
    <t>Wish-G</t>
  </si>
  <si>
    <t>Faal-Faaler</t>
  </si>
  <si>
    <t>Ghonty-Giantditchfrog</t>
  </si>
  <si>
    <t>Kolax</t>
  </si>
  <si>
    <t>Nonna-Nonnâ</t>
  </si>
  <si>
    <t>Vierazy-Cardrazy</t>
  </si>
  <si>
    <t>Thursday</t>
  </si>
  <si>
    <t>G1-G2</t>
  </si>
  <si>
    <t>Paladin</t>
  </si>
  <si>
    <t xml:space="preserve">Chloenote </t>
  </si>
  <si>
    <t>Act 4 HM</t>
  </si>
  <si>
    <t>Chloenote</t>
  </si>
  <si>
    <t>BHG</t>
  </si>
  <si>
    <t>Finale HM</t>
  </si>
  <si>
    <t>Shinaia</t>
  </si>
  <si>
    <t>Enjin</t>
  </si>
  <si>
    <t>Kazeros HM 2</t>
  </si>
  <si>
    <t>Faal-Faalmancer</t>
  </si>
  <si>
    <t>Ghonty-Ghonty</t>
  </si>
  <si>
    <t>Lune</t>
  </si>
  <si>
    <t>Rap</t>
  </si>
  <si>
    <t>Lilli</t>
  </si>
  <si>
    <t>Nona2</t>
  </si>
  <si>
    <t>Boobmaxing</t>
  </si>
  <si>
    <t>Bard</t>
  </si>
  <si>
    <t>Gunlancer</t>
  </si>
  <si>
    <t>Nona3</t>
  </si>
  <si>
    <t>Friday</t>
  </si>
  <si>
    <t>Chloestrasza</t>
  </si>
  <si>
    <t>Kazeros HM 3</t>
  </si>
  <si>
    <t>Delay-Ghontyfan</t>
  </si>
  <si>
    <t>Marcel-Umbralfang</t>
  </si>
  <si>
    <t>Faal-Faal</t>
  </si>
  <si>
    <t>Ghonty-Ghontyg</t>
  </si>
  <si>
    <t>Mawino-Sabinalallian</t>
  </si>
  <si>
    <t>Mina-Pitshu</t>
  </si>
  <si>
    <t>Nonna-Nonna</t>
  </si>
  <si>
    <t>Nona1</t>
  </si>
  <si>
    <t>Ihatechaos</t>
  </si>
  <si>
    <t>Holyrazy</t>
  </si>
  <si>
    <t>Bnot</t>
  </si>
  <si>
    <t>Valkyrazy</t>
  </si>
  <si>
    <t>Ghontyfan</t>
  </si>
  <si>
    <t>Kazeros HM 4</t>
  </si>
  <si>
    <t>Marcel-Enjin</t>
  </si>
  <si>
    <t>Nonna-Nonnaa</t>
  </si>
  <si>
    <t>Ghonty-Dowongerj</t>
  </si>
  <si>
    <t>Mawino-Boobaowo</t>
  </si>
  <si>
    <t>Faal-Faals</t>
  </si>
  <si>
    <t>Vierazy-Holyrazy</t>
  </si>
  <si>
    <t>Kazeros HM 5</t>
  </si>
  <si>
    <t>Faal-Faalkyrie</t>
  </si>
  <si>
    <t>Ghonty-Catpounce</t>
  </si>
  <si>
    <t>Vierazy-Valkyrazy</t>
  </si>
  <si>
    <t>Main GS</t>
  </si>
  <si>
    <t>Kazeros HM 6</t>
  </si>
  <si>
    <t>Ghonty-Ghowonty</t>
  </si>
  <si>
    <t>Mawino-Letmeinnnnnn</t>
  </si>
  <si>
    <t>Mina-Owonyoung</t>
  </si>
  <si>
    <t>Vierazy-Vierazy</t>
  </si>
  <si>
    <t>G</t>
  </si>
  <si>
    <t>Vierazy New DPS 1730</t>
  </si>
  <si>
    <t>Vierazy New Sup 1730</t>
  </si>
  <si>
    <t>Prog (Wed/Thurs/Fri)</t>
  </si>
  <si>
    <t>Reclear (Weekend idk)</t>
  </si>
  <si>
    <t>Delay (G)</t>
  </si>
  <si>
    <t>Ghonty (Glaivier)</t>
  </si>
  <si>
    <t>Delay (Summoner)</t>
  </si>
  <si>
    <t>Wish (Breaker)</t>
  </si>
  <si>
    <t>Mawino (Slayer)</t>
  </si>
  <si>
    <t>Ghonty (?)</t>
  </si>
  <si>
    <t>Marcel (TRB)</t>
  </si>
  <si>
    <t>Mina (Scrapper)</t>
  </si>
  <si>
    <t>Faal (?)</t>
  </si>
  <si>
    <t>Nona (Artist)</t>
  </si>
  <si>
    <t>Vierazy (Bard)</t>
  </si>
  <si>
    <t>Marcel (Enjin)</t>
  </si>
  <si>
    <t>Mina</t>
  </si>
  <si>
    <t>Letmein</t>
  </si>
  <si>
    <t>Act 4 NM</t>
  </si>
  <si>
    <t>Saturday</t>
  </si>
  <si>
    <t>FAAL SQUAD</t>
  </si>
  <si>
    <t>???</t>
  </si>
  <si>
    <t>Finale NM</t>
  </si>
  <si>
    <t>Serca Nightmare</t>
  </si>
  <si>
    <t>Serca1 Prog</t>
  </si>
  <si>
    <t>Serca2 Prog</t>
  </si>
  <si>
    <t>Reclear</t>
  </si>
  <si>
    <t>Serca Hard</t>
  </si>
  <si>
    <t>Ghonty-Ghontycarpet</t>
  </si>
  <si>
    <t>Sorc</t>
  </si>
  <si>
    <t>Blade</t>
  </si>
  <si>
    <t>Serca Normal</t>
  </si>
  <si>
    <t>Vierazy-Wierazy</t>
  </si>
  <si>
    <t>Mawino-Mokokogl</t>
  </si>
  <si>
    <t>Nonna-Shinaia</t>
  </si>
  <si>
    <t>SE</t>
  </si>
  <si>
    <t>DPS</t>
  </si>
  <si>
    <t>Faals</t>
  </si>
  <si>
    <t>GS</t>
  </si>
  <si>
    <t>Pala</t>
  </si>
  <si>
    <t>Mawino-Boobmaxxing</t>
  </si>
  <si>
    <t>Sum</t>
  </si>
  <si>
    <t>Nonna-Nosha</t>
  </si>
  <si>
    <t>Mawino-Mawbu</t>
  </si>
  <si>
    <t>Ghonty-Ghowonterj</t>
  </si>
  <si>
    <t>Cathedral 3</t>
  </si>
  <si>
    <t>Breaker</t>
  </si>
  <si>
    <t>Paladinbased</t>
  </si>
  <si>
    <t>Cathedral 2</t>
  </si>
  <si>
    <t>Nonna-Shenaya</t>
  </si>
  <si>
    <t>Serca1</t>
  </si>
  <si>
    <t>Serca2</t>
  </si>
  <si>
    <t>Sunday</t>
  </si>
  <si>
    <t>Monday</t>
  </si>
  <si>
    <t>Tuesday</t>
  </si>
  <si>
    <t>Kpop</t>
  </si>
  <si>
    <t>Faal Friend</t>
  </si>
  <si>
    <t>Support</t>
  </si>
  <si>
    <t>Name</t>
  </si>
  <si>
    <t xml:space="preserve"> LATE</t>
  </si>
  <si>
    <t>RAIDS</t>
  </si>
  <si>
    <t>% LATE</t>
  </si>
  <si>
    <t>Wed 5pm</t>
  </si>
  <si>
    <t>Wed 9pm</t>
  </si>
  <si>
    <t>Friday 520pm</t>
  </si>
  <si>
    <t>Party 1</t>
  </si>
  <si>
    <t>Party 2</t>
  </si>
  <si>
    <t>Marcel - Slayer</t>
  </si>
  <si>
    <t>Delay - Summoner</t>
  </si>
  <si>
    <t>Jutro - WD</t>
  </si>
  <si>
    <t>Painz - GS</t>
  </si>
  <si>
    <t>Marcel - Scouter</t>
  </si>
  <si>
    <t>Jutro - WD alt</t>
  </si>
  <si>
    <t>Viera - Breaker</t>
  </si>
  <si>
    <t>Wish - Breaker</t>
  </si>
  <si>
    <t>Gfanis - Sorc</t>
  </si>
  <si>
    <t>Kpop - Sorc alt</t>
  </si>
  <si>
    <t>Terry - SE</t>
  </si>
  <si>
    <t>Kpop - Sorc</t>
  </si>
  <si>
    <t>Mina - SE</t>
  </si>
  <si>
    <t>Faal - SE</t>
  </si>
  <si>
    <t>Terry - Arcana</t>
  </si>
  <si>
    <t>Mawino - Slayer</t>
  </si>
  <si>
    <t>Phil - GS</t>
  </si>
  <si>
    <t>Gfanis - Arcana</t>
  </si>
  <si>
    <t>Gfanis - Bard</t>
  </si>
  <si>
    <t>Terry - Bard</t>
  </si>
  <si>
    <t>Mina - Bard</t>
  </si>
  <si>
    <t>Marcel - Pala</t>
  </si>
  <si>
    <t>Faal - Bard</t>
  </si>
  <si>
    <t>Kolax - Pala</t>
  </si>
  <si>
    <t>Party 3</t>
  </si>
  <si>
    <t>Party 4</t>
  </si>
  <si>
    <t>Painz - SE</t>
  </si>
  <si>
    <t>Pachi - Slayer</t>
  </si>
  <si>
    <t>Pachi - GL</t>
  </si>
  <si>
    <t>Faal - Breaker</t>
  </si>
  <si>
    <t>Tristan - Slayer</t>
  </si>
  <si>
    <t>Kolax - Arcana</t>
  </si>
  <si>
    <t>Alx - GS</t>
  </si>
  <si>
    <t>Azzi - Destro</t>
  </si>
  <si>
    <t>Alx - WD</t>
  </si>
  <si>
    <t>Ghonty - Glaiv</t>
  </si>
  <si>
    <t>Delay - SF</t>
  </si>
  <si>
    <t>Kpop - Aero</t>
  </si>
  <si>
    <t>Mawino - SE</t>
  </si>
  <si>
    <t>Tristan - Breaker</t>
  </si>
  <si>
    <t>Mina - Blade</t>
  </si>
  <si>
    <t>Viera - Arcana</t>
  </si>
  <si>
    <t>Azzi - Pala</t>
  </si>
  <si>
    <t>Jutro - Artist</t>
  </si>
  <si>
    <t>Viera - Bard</t>
  </si>
  <si>
    <t>Delay - Bard</t>
  </si>
  <si>
    <t>Wish - Pala</t>
  </si>
  <si>
    <t>Mawino - Bard</t>
  </si>
  <si>
    <t>gfanis</t>
  </si>
  <si>
    <t>terry</t>
  </si>
  <si>
    <t>vierazy</t>
  </si>
  <si>
    <t>faal</t>
  </si>
  <si>
    <t>mina</t>
  </si>
  <si>
    <t>viera</t>
  </si>
  <si>
    <t>jutro</t>
  </si>
  <si>
    <t>pachi</t>
  </si>
  <si>
    <t>kolax</t>
  </si>
  <si>
    <t>painz (gluant)</t>
  </si>
  <si>
    <t>ghonty</t>
  </si>
  <si>
    <t>tristan</t>
  </si>
  <si>
    <t>phil</t>
  </si>
  <si>
    <t>kpop</t>
  </si>
  <si>
    <t>other sups?</t>
  </si>
  <si>
    <t>azzi maybe</t>
  </si>
  <si>
    <t>mina maybe</t>
  </si>
  <si>
    <t>terry bard</t>
  </si>
  <si>
    <t>faal artist</t>
  </si>
  <si>
    <t>Marcel - Glaiv</t>
  </si>
  <si>
    <t>Delay - Blade</t>
  </si>
  <si>
    <t>Wish - GL</t>
  </si>
  <si>
    <t>Terry - Pala</t>
  </si>
  <si>
    <t>Azzi - DPS</t>
  </si>
  <si>
    <t>Kpop - Arcana</t>
  </si>
  <si>
    <t>Faal - Artist</t>
  </si>
  <si>
    <t>Lilli - Pala</t>
  </si>
  <si>
    <t xml:space="preserve"> </t>
  </si>
  <si>
    <t>(ﾉ◕ヮ◕)ﾉ*:･ﾟ✧</t>
  </si>
  <si>
    <t>(✿◠‿◠)</t>
  </si>
  <si>
    <t>(◕‿◕✿)</t>
  </si>
  <si>
    <t>ʕっ• ᴥ • ʔっ</t>
  </si>
  <si>
    <t>Gates</t>
  </si>
  <si>
    <t>Alx</t>
  </si>
  <si>
    <t>Alex</t>
  </si>
  <si>
    <t>Azzi</t>
  </si>
  <si>
    <t>✌.ʕʘ‿ʘʔ.✌</t>
  </si>
  <si>
    <t>supportmonkey to the top</t>
  </si>
  <si>
    <t>supportmonkey more like monkey support rofl</t>
  </si>
  <si>
    <t>Brel HM</t>
  </si>
  <si>
    <t>G1-G6</t>
  </si>
  <si>
    <t>Derpy 1</t>
  </si>
  <si>
    <t>Derpy 2</t>
  </si>
  <si>
    <t>uwu 1 + Gronk</t>
  </si>
  <si>
    <t>G1-G4</t>
  </si>
  <si>
    <t>uwu 2</t>
  </si>
  <si>
    <t>uwu 3</t>
  </si>
  <si>
    <t>uwu 4</t>
  </si>
  <si>
    <t>Brel NM</t>
  </si>
  <si>
    <t>Alex-Nomadlance</t>
  </si>
  <si>
    <t>uwu 5</t>
  </si>
  <si>
    <t>uwu dab</t>
  </si>
  <si>
    <t>EXTRAS/IDK</t>
  </si>
  <si>
    <t>Gate 6</t>
  </si>
  <si>
    <t>Gate 4</t>
  </si>
  <si>
    <t>Gate 6 (9pm+)</t>
  </si>
  <si>
    <t>Gate 6 (5pm+)</t>
  </si>
  <si>
    <t>Gate 6 (730pm+)</t>
  </si>
  <si>
    <t xml:space="preserve">To use for yourself: File -&gt; Make copy. This will allow you to edit </t>
  </si>
  <si>
    <t>Bus split calculator for 3-man raids</t>
  </si>
  <si>
    <t>Missnum</t>
  </si>
  <si>
    <t>Instructions:</t>
  </si>
  <si>
    <r>
      <rPr>
        <rFont val="Arial"/>
        <color theme="1"/>
      </rPr>
      <t xml:space="preserve">Enter the names of the drivers in the </t>
    </r>
    <r>
      <rPr>
        <rFont val="Arial"/>
        <color rgb="FF3C78D8"/>
      </rPr>
      <t>BLUE name fields</t>
    </r>
    <r>
      <rPr>
        <rFont val="Arial"/>
        <color theme="1"/>
      </rPr>
      <t>.</t>
    </r>
  </si>
  <si>
    <t>Listers:</t>
  </si>
  <si>
    <r>
      <rPr>
        <rFont val="Arial"/>
        <color theme="1"/>
      </rPr>
      <t xml:space="preserve">Enter each payment from the buyers in the </t>
    </r>
    <r>
      <rPr>
        <rFont val="Arial"/>
        <color rgb="FFF9CB9C"/>
      </rPr>
      <t>light ORANGE box</t>
    </r>
    <r>
      <rPr>
        <rFont val="Arial"/>
        <color theme="1"/>
      </rPr>
      <t xml:space="preserve"> for the appropriate driver</t>
    </r>
  </si>
  <si>
    <r>
      <rPr>
        <rFont val="Arial"/>
        <color theme="1"/>
      </rPr>
      <t>On no-bid lobbies, enter the value of a book in the</t>
    </r>
    <r>
      <rPr>
        <rFont val="Arial"/>
        <color rgb="FFD9EAD3"/>
      </rPr>
      <t xml:space="preserve"> light GREEN line </t>
    </r>
    <r>
      <rPr>
        <rFont val="Arial"/>
        <color theme="1"/>
      </rPr>
      <t>under the bidder's name.</t>
    </r>
  </si>
  <si>
    <t>IF 1</t>
  </si>
  <si>
    <r>
      <rPr>
        <rFont val="Arial"/>
        <color theme="1"/>
      </rPr>
      <t>On no-bid lobbies, enter the price paid for a book in the</t>
    </r>
    <r>
      <rPr>
        <rFont val="Arial"/>
        <color rgb="FFD9EAD3"/>
      </rPr>
      <t xml:space="preserve"> </t>
    </r>
    <r>
      <rPr>
        <rFont val="Arial"/>
        <color rgb="FFF4CCCC"/>
      </rPr>
      <t>light RED line</t>
    </r>
    <r>
      <rPr>
        <rFont val="Arial"/>
        <color rgb="FFD9EAD3"/>
      </rPr>
      <t xml:space="preserve"> </t>
    </r>
    <r>
      <rPr>
        <rFont val="Arial"/>
        <color theme="1"/>
      </rPr>
      <t>under the bidder's name.</t>
    </r>
  </si>
  <si>
    <t>lists gem for</t>
  </si>
  <si>
    <t>at price</t>
  </si>
  <si>
    <t>At the bottom, you will see the rebalancing payments to be made.</t>
  </si>
  <si>
    <t>IF 2</t>
  </si>
  <si>
    <t xml:space="preserve">Driver 1 </t>
  </si>
  <si>
    <t xml:space="preserve">Driver 2 </t>
  </si>
  <si>
    <t xml:space="preserve">Driver 3 </t>
  </si>
  <si>
    <t>Total:</t>
  </si>
  <si>
    <t>Average:</t>
  </si>
  <si>
    <t>Adjusted</t>
  </si>
  <si>
    <t>Buyer payments:</t>
  </si>
  <si>
    <t>Book profits:</t>
  </si>
  <si>
    <t>Subtotals (net tax):</t>
  </si>
  <si>
    <t>Vykas HM</t>
  </si>
  <si>
    <t>Template</t>
  </si>
  <si>
    <t>TOTAL</t>
  </si>
  <si>
    <t>Vykas NM</t>
  </si>
  <si>
    <t>Argos Trio</t>
  </si>
  <si>
    <t>Auction</t>
  </si>
  <si>
    <t>Argos Trio 09.09</t>
  </si>
  <si>
    <t>Vykas Book</t>
  </si>
  <si>
    <t>EQUALIZER</t>
  </si>
  <si>
    <t>Argos Duo</t>
  </si>
  <si>
    <t>Delay-Chlöe</t>
  </si>
  <si>
    <t>alx-Slyglaive</t>
  </si>
  <si>
    <t>Valtan HM</t>
  </si>
  <si>
    <t>R1</t>
  </si>
  <si>
    <t>R2</t>
  </si>
  <si>
    <t>swift bard</t>
  </si>
  <si>
    <t>cglavier</t>
  </si>
  <si>
    <t>alx-Slyscythe</t>
  </si>
  <si>
    <t>spec bard</t>
  </si>
  <si>
    <t>igniter</t>
  </si>
  <si>
    <t>Artist</t>
  </si>
  <si>
    <t>scouter</t>
  </si>
  <si>
    <t>arcana</t>
  </si>
  <si>
    <t>atri</t>
  </si>
  <si>
    <t>summoner</t>
  </si>
  <si>
    <r>
      <rPr>
        <rFont val="Arial"/>
        <color theme="1"/>
      </rPr>
      <t xml:space="preserve">Enter the names of the drivers in the </t>
    </r>
    <r>
      <rPr>
        <rFont val="Arial"/>
        <color rgb="FF3C78D8"/>
      </rPr>
      <t>BLUE name fields</t>
    </r>
    <r>
      <rPr>
        <rFont val="Arial"/>
        <color theme="1"/>
      </rPr>
      <t>.</t>
    </r>
  </si>
  <si>
    <r>
      <rPr>
        <rFont val="Arial"/>
        <color theme="1"/>
      </rPr>
      <t xml:space="preserve">Enter each payment from the buyers in the </t>
    </r>
    <r>
      <rPr>
        <rFont val="Arial"/>
        <color rgb="FFF9CB9C"/>
      </rPr>
      <t>light ORANGE box</t>
    </r>
    <r>
      <rPr>
        <rFont val="Arial"/>
        <color theme="1"/>
      </rPr>
      <t xml:space="preserve"> for the appropriate driver</t>
    </r>
  </si>
  <si>
    <r>
      <rPr>
        <rFont val="Arial"/>
        <color theme="1"/>
      </rPr>
      <t>On no-bid lobbies, enter the value of a book in the</t>
    </r>
    <r>
      <rPr>
        <rFont val="Arial"/>
        <color rgb="FFD9EAD3"/>
      </rPr>
      <t xml:space="preserve"> light GREEN line </t>
    </r>
    <r>
      <rPr>
        <rFont val="Arial"/>
        <color theme="1"/>
      </rPr>
      <t>under the bidder's name.</t>
    </r>
  </si>
  <si>
    <r>
      <rPr>
        <rFont val="Arial"/>
        <color theme="1"/>
      </rPr>
      <t>On no-bid lobbies, enter the price paid for a book in the</t>
    </r>
    <r>
      <rPr>
        <rFont val="Arial"/>
        <color rgb="FFD9EAD3"/>
      </rPr>
      <t xml:space="preserve"> </t>
    </r>
    <r>
      <rPr>
        <rFont val="Arial"/>
        <color rgb="FFF4CCCC"/>
      </rPr>
      <t>light RED line</t>
    </r>
    <r>
      <rPr>
        <rFont val="Arial"/>
        <color rgb="FFD9EAD3"/>
      </rPr>
      <t xml:space="preserve"> </t>
    </r>
    <r>
      <rPr>
        <rFont val="Arial"/>
        <color theme="1"/>
      </rPr>
      <t>under the bidder's name.</t>
    </r>
  </si>
  <si>
    <r>
      <rPr>
        <rFont val="Arial"/>
        <color theme="1"/>
      </rPr>
      <t xml:space="preserve">Enter the names of the drivers in the </t>
    </r>
    <r>
      <rPr>
        <rFont val="Arial"/>
        <color rgb="FF3C78D8"/>
      </rPr>
      <t>BLUE name fields</t>
    </r>
    <r>
      <rPr>
        <rFont val="Arial"/>
        <color theme="1"/>
      </rPr>
      <t>.</t>
    </r>
  </si>
  <si>
    <r>
      <rPr>
        <rFont val="Arial"/>
        <color theme="1"/>
      </rPr>
      <t xml:space="preserve">Enter each payment from the buyers in the </t>
    </r>
    <r>
      <rPr>
        <rFont val="Arial"/>
        <color rgb="FFF9CB9C"/>
      </rPr>
      <t>light ORANGE box</t>
    </r>
    <r>
      <rPr>
        <rFont val="Arial"/>
        <color theme="1"/>
      </rPr>
      <t xml:space="preserve"> for the appropriate driver</t>
    </r>
  </si>
  <si>
    <r>
      <rPr>
        <rFont val="Arial"/>
        <color theme="1"/>
      </rPr>
      <t>On no-bid lobbies, enter the value of a book in the</t>
    </r>
    <r>
      <rPr>
        <rFont val="Arial"/>
        <color rgb="FFD9EAD3"/>
      </rPr>
      <t xml:space="preserve"> light GREEN line </t>
    </r>
    <r>
      <rPr>
        <rFont val="Arial"/>
        <color theme="1"/>
      </rPr>
      <t>under the bidder's name.</t>
    </r>
  </si>
  <si>
    <r>
      <rPr>
        <rFont val="Arial"/>
        <color theme="1"/>
      </rPr>
      <t>On no-bid lobbies, enter the price paid for a book in the</t>
    </r>
    <r>
      <rPr>
        <rFont val="Arial"/>
        <color rgb="FFD9EAD3"/>
      </rPr>
      <t xml:space="preserve"> </t>
    </r>
    <r>
      <rPr>
        <rFont val="Arial"/>
        <color rgb="FFF4CCCC"/>
      </rPr>
      <t>light RED line</t>
    </r>
    <r>
      <rPr>
        <rFont val="Arial"/>
        <color rgb="FFD9EAD3"/>
      </rPr>
      <t xml:space="preserve"> </t>
    </r>
    <r>
      <rPr>
        <rFont val="Arial"/>
        <color theme="1"/>
      </rPr>
      <t>under the bidder's name.</t>
    </r>
  </si>
  <si>
    <t>Jutro</t>
  </si>
  <si>
    <t>Ninetailedstrike</t>
  </si>
  <si>
    <t>Lucidsingularity</t>
  </si>
  <si>
    <t>Íhatechaos</t>
  </si>
  <si>
    <t>Brutalmomentum</t>
  </si>
  <si>
    <t>Umbralfang</t>
  </si>
  <si>
    <t>Threeroundburst</t>
  </si>
  <si>
    <t>Dancíngdagger</t>
  </si>
  <si>
    <t>Lunarimpact</t>
  </si>
  <si>
    <t>Impactstrike</t>
  </si>
  <si>
    <t>Radiantarc</t>
  </si>
  <si>
    <t>Searingslash</t>
  </si>
  <si>
    <t>Astralwisp</t>
  </si>
  <si>
    <t>Ferociouswinds</t>
  </si>
  <si>
    <t>Felinegrace</t>
  </si>
  <si>
    <t>Battlepresence</t>
  </si>
  <si>
    <t>Quietintensity</t>
  </si>
  <si>
    <t>Primalsoul</t>
  </si>
  <si>
    <t>Class</t>
  </si>
  <si>
    <t>Glaivier</t>
  </si>
  <si>
    <t>Sorceress</t>
  </si>
  <si>
    <t>Striker</t>
  </si>
  <si>
    <t>Souleater</t>
  </si>
  <si>
    <t>Gunslinger</t>
  </si>
  <si>
    <t>Deathblade</t>
  </si>
  <si>
    <t>Reaper</t>
  </si>
  <si>
    <t>Wardancer</t>
  </si>
  <si>
    <t>Machinist</t>
  </si>
  <si>
    <t>Slayer</t>
  </si>
  <si>
    <t>Aeromancer</t>
  </si>
  <si>
    <t>Wildsoul</t>
  </si>
  <si>
    <t>Valk</t>
  </si>
  <si>
    <t>Item Level</t>
  </si>
  <si>
    <t>Vykas</t>
  </si>
  <si>
    <t>Valtan</t>
  </si>
  <si>
    <t>Argos</t>
  </si>
  <si>
    <t>Config</t>
  </si>
  <si>
    <t>Charlie</t>
  </si>
  <si>
    <t>Chawie</t>
  </si>
  <si>
    <t>Chawwie</t>
  </si>
  <si>
    <t>Chawiebonk</t>
  </si>
  <si>
    <t>Chawei</t>
  </si>
  <si>
    <t>Charwie</t>
  </si>
  <si>
    <t>Supportmonkey</t>
  </si>
  <si>
    <t>Chadwie</t>
  </si>
  <si>
    <t>Demonchawie</t>
  </si>
  <si>
    <t>Berserker</t>
  </si>
  <si>
    <t>Sole(fish)</t>
  </si>
  <si>
    <t>Shadowhunter</t>
  </si>
  <si>
    <t>deadge</t>
  </si>
  <si>
    <t>rotge</t>
  </si>
  <si>
    <t>ratge</t>
  </si>
  <si>
    <t>Slyred</t>
  </si>
  <si>
    <t>Cearre</t>
  </si>
  <si>
    <t>Jiujie</t>
  </si>
  <si>
    <t>Thaede</t>
  </si>
  <si>
    <t>Melodicpri</t>
  </si>
  <si>
    <t>Slyfool</t>
  </si>
  <si>
    <t>Slyscythe</t>
  </si>
  <si>
    <t>Slyglaive</t>
  </si>
  <si>
    <t>Slyraze</t>
  </si>
  <si>
    <t>Scyrra</t>
  </si>
  <si>
    <t>Slymint</t>
  </si>
  <si>
    <t>Slycloud</t>
  </si>
  <si>
    <t>Arcana</t>
  </si>
  <si>
    <t>Scrapper</t>
  </si>
  <si>
    <t>Soulfist</t>
  </si>
  <si>
    <t>Chloetwo</t>
  </si>
  <si>
    <t>Chloster</t>
  </si>
  <si>
    <t>Chloebrush</t>
  </si>
  <si>
    <t>Chloepet</t>
  </si>
  <si>
    <t>Chloeburst</t>
  </si>
  <si>
    <t>Chloestorm</t>
  </si>
  <si>
    <t>Chloescythe</t>
  </si>
  <si>
    <t>Bighandguy</t>
  </si>
  <si>
    <t>Wildchloe</t>
  </si>
  <si>
    <t>Guardianknight</t>
  </si>
  <si>
    <t>Summoner</t>
  </si>
  <si>
    <t>Ghowonty</t>
  </si>
  <si>
    <t>Giantditchfrog</t>
  </si>
  <si>
    <t>Dowongerj</t>
  </si>
  <si>
    <t>Catpounce</t>
  </si>
  <si>
    <t>Ghontyg</t>
  </si>
  <si>
    <t>Ghontycarpet</t>
  </si>
  <si>
    <t>Ghowonterj</t>
  </si>
  <si>
    <t>Triomphe</t>
  </si>
  <si>
    <t>Chou</t>
  </si>
  <si>
    <t>Soble</t>
  </si>
  <si>
    <t>Ame</t>
  </si>
  <si>
    <t>Owonyoung</t>
  </si>
  <si>
    <t>Pitshu</t>
  </si>
  <si>
    <t>Cardrazy</t>
  </si>
  <si>
    <t>Wierazy</t>
  </si>
  <si>
    <t>Cuhrazy</t>
  </si>
  <si>
    <t>Wildrazy</t>
  </si>
  <si>
    <t>Faalsoul</t>
  </si>
  <si>
    <t>Faalmancer</t>
  </si>
  <si>
    <t>Faalb</t>
  </si>
  <si>
    <t>Faaler</t>
  </si>
  <si>
    <t>Faalbreaker</t>
  </si>
  <si>
    <t>Faalkyrie</t>
  </si>
  <si>
    <t>Nonna</t>
  </si>
  <si>
    <t>Nonnaa</t>
  </si>
  <si>
    <t>Shenaya</t>
  </si>
  <si>
    <t>Nonaa</t>
  </si>
  <si>
    <t>Nosha</t>
  </si>
  <si>
    <t>Nonnâ</t>
  </si>
  <si>
    <t>Sabinalallian</t>
  </si>
  <si>
    <t>Boobmaxxing</t>
  </si>
  <si>
    <t>Mokokogl</t>
  </si>
  <si>
    <t>Mawbu</t>
  </si>
  <si>
    <t>Letmeinnnnnn</t>
  </si>
  <si>
    <t>Boobaowo</t>
  </si>
  <si>
    <t>Valkyrie</t>
  </si>
  <si>
    <t>Rating:</t>
  </si>
  <si>
    <t>Very good</t>
  </si>
  <si>
    <t>Reinvite ok</t>
  </si>
  <si>
    <t>Pretty meh</t>
  </si>
  <si>
    <t>Trashcan</t>
  </si>
  <si>
    <t>Rating</t>
  </si>
  <si>
    <t>Discord</t>
  </si>
  <si>
    <t>ID</t>
  </si>
  <si>
    <t>Type of Run</t>
  </si>
  <si>
    <t>Conclusion</t>
  </si>
  <si>
    <t>SyDxY#0648</t>
  </si>
  <si>
    <t>115876857315983364</t>
  </si>
  <si>
    <t>4man Vykas</t>
  </si>
  <si>
    <t>1500+ Sorc. Pretty Meh Damage. Run was still oneshot</t>
  </si>
  <si>
    <t>AYBARS#3515</t>
  </si>
  <si>
    <t>425748854604955678</t>
  </si>
  <si>
    <t>None</t>
  </si>
  <si>
    <t>Run never happened. Left after few minutes to join other group</t>
  </si>
  <si>
    <t>PoncaHan#1741</t>
  </si>
  <si>
    <t>455362155311792140</t>
  </si>
  <si>
    <t>Doesnt speak</t>
  </si>
  <si>
    <t>Glaedir#2535</t>
  </si>
  <si>
    <t>431853243455242240</t>
  </si>
  <si>
    <t>Good player, communicates. Sorc main (1495), many buses per week</t>
  </si>
  <si>
    <t>Rainz#6424</t>
  </si>
  <si>
    <t>899389585283481601</t>
  </si>
  <si>
    <t>Bard player. Expected nothing, still disappointed. Clueless emote</t>
  </si>
  <si>
    <t>getleft#0001</t>
  </si>
  <si>
    <t>318007070622351361</t>
  </si>
  <si>
    <t>Decent GS, communicates</t>
  </si>
  <si>
    <t>friend of getleft</t>
  </si>
  <si>
    <t>Good damage for Scrapper, was not on voice</t>
  </si>
  <si>
    <t>Rouzer#6890</t>
  </si>
  <si>
    <t>371010562701787156</t>
  </si>
  <si>
    <t>1462 sorc, decent damage, communicates</t>
  </si>
  <si>
    <t>Burakk#1942</t>
  </si>
  <si>
    <t>455280830638456833</t>
  </si>
  <si>
    <t>paladin, communicates</t>
  </si>
  <si>
    <t>Tora#4218</t>
  </si>
  <si>
    <t>934454145887383654</t>
  </si>
  <si>
    <t>4man Vykas&amp; Valtan</t>
  </si>
  <si>
    <t>1500+ Striker, communicates</t>
  </si>
  <si>
    <t>ZzzonkeY#8398</t>
  </si>
  <si>
    <t>355754878766940162</t>
  </si>
  <si>
    <t>Dua Argos</t>
  </si>
  <si>
    <t>High Ilvl alts, fast run, pay before p1</t>
  </si>
  <si>
    <t>Sophster</t>
  </si>
  <si>
    <t>Bimini</t>
  </si>
  <si>
    <t>Gottmik</t>
  </si>
  <si>
    <t>Dodie</t>
  </si>
  <si>
    <t>Ottolie</t>
  </si>
  <si>
    <t>Frogblush</t>
  </si>
  <si>
    <t>Boingobingo</t>
  </si>
  <si>
    <t>Honeybrain</t>
  </si>
  <si>
    <t>Moon</t>
  </si>
  <si>
    <t>Bendy</t>
  </si>
  <si>
    <t>Bendyowo</t>
  </si>
  <si>
    <t>Bondochad</t>
  </si>
  <si>
    <t>Bedni</t>
  </si>
  <si>
    <t>Bondo</t>
  </si>
  <si>
    <t>Bondopewpew</t>
  </si>
  <si>
    <t>Artillerist</t>
  </si>
  <si>
    <t>Sharpshooter</t>
  </si>
  <si>
    <t>Deadeye</t>
  </si>
  <si>
    <t>Destro</t>
  </si>
  <si>
    <t>Lilshit</t>
  </si>
  <si>
    <t>GL</t>
  </si>
  <si>
    <t>Artill</t>
  </si>
  <si>
    <t>Scouter</t>
  </si>
  <si>
    <t>BAKER</t>
  </si>
  <si>
    <t>Bonk</t>
  </si>
  <si>
    <t>striker</t>
  </si>
  <si>
    <t>BREAKER</t>
  </si>
  <si>
    <t>Pugs</t>
  </si>
  <si>
    <t>Simba</t>
  </si>
  <si>
    <t>Reverb</t>
  </si>
  <si>
    <t>Small Alex</t>
  </si>
  <si>
    <t>EnderFriend</t>
  </si>
  <si>
    <t>SimbaFriend?</t>
  </si>
  <si>
    <t>Simba?</t>
  </si>
  <si>
    <t>Azzijin</t>
  </si>
  <si>
    <t>WishWosh</t>
  </si>
  <si>
    <t>Louis</t>
  </si>
  <si>
    <t>Dan</t>
  </si>
  <si>
    <t>Gronk</t>
  </si>
  <si>
    <t>Noobmaster</t>
  </si>
  <si>
    <t>Mischaa</t>
  </si>
  <si>
    <t>Ikram</t>
  </si>
  <si>
    <t>Terry</t>
  </si>
  <si>
    <t>Painz</t>
  </si>
  <si>
    <t>Edwin</t>
  </si>
  <si>
    <t>Icecube</t>
  </si>
  <si>
    <t>Sophie</t>
  </si>
  <si>
    <t>UWU SQUAD CLASSES</t>
  </si>
  <si>
    <t>Charlie-Chawwie</t>
  </si>
  <si>
    <t>Wish-Bnötssssssss</t>
  </si>
  <si>
    <t>Total</t>
  </si>
  <si>
    <t>Sunday 16:00</t>
  </si>
  <si>
    <t>Charlie-Chawei</t>
  </si>
  <si>
    <t>hand-holding square :3</t>
  </si>
  <si>
    <t xml:space="preserve">Monday  </t>
  </si>
  <si>
    <t>Marcel-Lunarimpact</t>
  </si>
  <si>
    <t>Charlie-Chawiebonk</t>
  </si>
  <si>
    <t>Wish-sf</t>
  </si>
  <si>
    <t>^ cringe</t>
  </si>
  <si>
    <t>?</t>
  </si>
  <si>
    <t>no u</t>
  </si>
  <si>
    <t>supportmonkey supremacy</t>
  </si>
  <si>
    <t>Glavier</t>
  </si>
  <si>
    <t>Charlie-Charwie</t>
  </si>
  <si>
    <t>omg guys we're gonna be so good</t>
  </si>
  <si>
    <t>deadeye supremacy</t>
  </si>
  <si>
    <t>miku &gt; nino</t>
  </si>
  <si>
    <t>&lt;-- weeb detected, opinion ignored</t>
  </si>
  <si>
    <t>Destroyer</t>
  </si>
  <si>
    <t>we like fortnite</t>
  </si>
  <si>
    <t>good soup</t>
  </si>
  <si>
    <t>soup time</t>
  </si>
  <si>
    <t>i hecking love ai</t>
  </si>
  <si>
    <t>hey there demons, it's me, ya boi</t>
  </si>
  <si>
    <t>BORGIR</t>
  </si>
  <si>
    <t>&lt;-- this</t>
  </si>
  <si>
    <t>Machinest</t>
  </si>
  <si>
    <t>huh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</si>
</sst>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10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u/>
      <color theme="1"/>
      <name val="Arial"/>
      <scheme val="minor"/>
    </font>
    <font>
      <strike/>
      <color theme="1"/>
      <name val="Arial"/>
      <scheme val="minor"/>
    </font>
    <font>
      <b/>
      <color theme="1"/>
      <name val="Caveat"/>
    </font>
    <font>
      <sz val="12.0"/>
      <color rgb="FF404040"/>
      <name val="&quot;Open Sans&quot;"/>
    </font>
    <font>
      <i/>
      <color theme="1"/>
      <name val="Arial"/>
      <scheme val="minor"/>
    </font>
    <font>
      <color rgb="FF000000"/>
      <name val="Arial"/>
    </font>
  </fonts>
  <fills count="4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4DD0E1"/>
        <bgColor rgb="FF4DD0E1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0F7FA"/>
        <bgColor rgb="FFE0F7FA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990000"/>
        <bgColor rgb="FF990000"/>
      </patternFill>
    </fill>
    <fill>
      <patternFill patternType="solid">
        <fgColor rgb="FFF4C7C3"/>
        <bgColor rgb="FFF4C7C3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CC4125"/>
        <bgColor rgb="FFCC4125"/>
      </patternFill>
    </fill>
    <fill>
      <patternFill patternType="solid">
        <fgColor rgb="FF674EA7"/>
        <bgColor rgb="FF674EA7"/>
      </patternFill>
    </fill>
    <fill>
      <patternFill patternType="solid">
        <fgColor theme="6"/>
        <bgColor theme="6"/>
      </patternFill>
    </fill>
    <fill>
      <patternFill patternType="solid">
        <fgColor rgb="FF85200C"/>
        <bgColor rgb="FF85200C"/>
      </patternFill>
    </fill>
    <fill>
      <patternFill patternType="solid">
        <fgColor rgb="FFE06666"/>
        <bgColor rgb="FFE06666"/>
      </patternFill>
    </fill>
    <fill>
      <patternFill patternType="solid">
        <fgColor theme="7"/>
        <bgColor theme="7"/>
      </patternFill>
    </fill>
    <fill>
      <patternFill patternType="solid">
        <fgColor rgb="FFA3E855"/>
        <bgColor rgb="FFA3E855"/>
      </patternFill>
    </fill>
    <fill>
      <patternFill patternType="solid">
        <fgColor rgb="FF00FF00"/>
        <bgColor rgb="FF00FF00"/>
      </patternFill>
    </fill>
    <fill>
      <patternFill patternType="solid">
        <fgColor rgb="FFEA4335"/>
        <bgColor rgb="FFEA4335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</fills>
  <borders count="54">
    <border/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8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Alignment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3" fillId="2" fontId="1" numFmtId="0" xfId="0" applyAlignment="1" applyBorder="1" applyFill="1" applyFont="1">
      <alignment readingOrder="0"/>
    </xf>
    <xf borderId="4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6" fillId="3" fontId="1" numFmtId="0" xfId="0" applyAlignment="1" applyBorder="1" applyFill="1" applyFont="1">
      <alignment readingOrder="0"/>
    </xf>
    <xf borderId="7" fillId="0" fontId="1" numFmtId="0" xfId="0" applyBorder="1" applyFont="1"/>
    <xf borderId="8" fillId="0" fontId="1" numFmtId="0" xfId="0" applyBorder="1" applyFont="1"/>
    <xf borderId="9" fillId="3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6" fillId="4" fontId="1" numFmtId="0" xfId="0" applyAlignment="1" applyBorder="1" applyFill="1" applyFont="1">
      <alignment readingOrder="0"/>
    </xf>
    <xf borderId="9" fillId="4" fontId="1" numFmtId="0" xfId="0" applyBorder="1" applyFont="1"/>
    <xf borderId="12" fillId="0" fontId="1" numFmtId="0" xfId="0" applyAlignment="1" applyBorder="1" applyFont="1">
      <alignment readingOrder="0"/>
    </xf>
    <xf borderId="6" fillId="5" fontId="1" numFmtId="0" xfId="0" applyAlignment="1" applyBorder="1" applyFill="1" applyFont="1">
      <alignment readingOrder="0"/>
    </xf>
    <xf borderId="9" fillId="5" fontId="1" numFmtId="0" xfId="0" applyBorder="1" applyFont="1"/>
    <xf borderId="6" fillId="6" fontId="1" numFmtId="0" xfId="0" applyAlignment="1" applyBorder="1" applyFill="1" applyFont="1">
      <alignment readingOrder="0"/>
    </xf>
    <xf borderId="9" fillId="6" fontId="1" numFmtId="0" xfId="0" applyBorder="1" applyFont="1"/>
    <xf borderId="6" fillId="7" fontId="1" numFmtId="0" xfId="0" applyAlignment="1" applyBorder="1" applyFill="1" applyFont="1">
      <alignment readingOrder="0"/>
    </xf>
    <xf borderId="9" fillId="7" fontId="1" numFmtId="0" xfId="0" applyBorder="1" applyFont="1"/>
    <xf borderId="6" fillId="8" fontId="1" numFmtId="0" xfId="0" applyAlignment="1" applyBorder="1" applyFill="1" applyFont="1">
      <alignment readingOrder="0"/>
    </xf>
    <xf borderId="9" fillId="8" fontId="1" numFmtId="0" xfId="0" applyBorder="1" applyFont="1"/>
    <xf borderId="6" fillId="8" fontId="2" numFmtId="0" xfId="0" applyAlignment="1" applyBorder="1" applyFont="1">
      <alignment vertical="bottom"/>
    </xf>
    <xf borderId="9" fillId="8" fontId="2" numFmtId="0" xfId="0" applyAlignment="1" applyBorder="1" applyFont="1">
      <alignment vertical="bottom"/>
    </xf>
    <xf borderId="0" fillId="0" fontId="1" numFmtId="0" xfId="0" applyAlignment="1" applyFont="1">
      <alignment horizontal="right"/>
    </xf>
    <xf borderId="13" fillId="0" fontId="1" numFmtId="0" xfId="0" applyBorder="1" applyFont="1"/>
    <xf borderId="14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/>
    </xf>
    <xf borderId="3" fillId="2" fontId="1" numFmtId="0" xfId="0" applyAlignment="1" applyBorder="1" applyFont="1">
      <alignment horizontal="left" readingOrder="0"/>
    </xf>
    <xf borderId="4" fillId="2" fontId="1" numFmtId="0" xfId="0" applyAlignment="1" applyBorder="1" applyFont="1">
      <alignment horizontal="left" readingOrder="0"/>
    </xf>
    <xf borderId="5" fillId="2" fontId="1" numFmtId="0" xfId="0" applyAlignment="1" applyBorder="1" applyFont="1">
      <alignment horizontal="left" readingOrder="0"/>
    </xf>
    <xf borderId="15" fillId="2" fontId="1" numFmtId="0" xfId="0" applyAlignment="1" applyBorder="1" applyFont="1">
      <alignment readingOrder="0"/>
    </xf>
    <xf borderId="14" fillId="0" fontId="3" numFmtId="0" xfId="0" applyBorder="1" applyFont="1"/>
    <xf borderId="6" fillId="9" fontId="1" numFmtId="0" xfId="0" applyAlignment="1" applyBorder="1" applyFill="1" applyFont="1">
      <alignment horizontal="right" readingOrder="0"/>
    </xf>
    <xf borderId="7" fillId="0" fontId="1" numFmtId="0" xfId="0" applyAlignment="1" applyBorder="1" applyFont="1">
      <alignment horizontal="right"/>
    </xf>
    <xf borderId="6" fillId="10" fontId="1" numFmtId="0" xfId="0" applyAlignment="1" applyBorder="1" applyFill="1" applyFont="1">
      <alignment readingOrder="0"/>
    </xf>
    <xf borderId="9" fillId="9" fontId="1" numFmtId="0" xfId="0" applyAlignment="1" applyBorder="1" applyFont="1">
      <alignment horizontal="right"/>
    </xf>
    <xf borderId="10" fillId="0" fontId="1" numFmtId="0" xfId="0" applyAlignment="1" applyBorder="1" applyFont="1">
      <alignment horizontal="right"/>
    </xf>
    <xf borderId="9" fillId="10" fontId="1" numFmtId="0" xfId="0" applyBorder="1" applyFont="1"/>
    <xf borderId="8" fillId="0" fontId="1" numFmtId="0" xfId="0" applyAlignment="1" applyBorder="1" applyFont="1">
      <alignment horizontal="right"/>
    </xf>
    <xf borderId="11" fillId="0" fontId="1" numFmtId="0" xfId="0" applyAlignment="1" applyBorder="1" applyFont="1">
      <alignment horizontal="right"/>
    </xf>
    <xf borderId="6" fillId="11" fontId="1" numFmtId="0" xfId="0" applyAlignment="1" applyBorder="1" applyFill="1" applyFont="1">
      <alignment readingOrder="0"/>
    </xf>
    <xf borderId="9" fillId="11" fontId="1" numFmtId="0" xfId="0" applyBorder="1" applyFont="1"/>
    <xf borderId="14" fillId="12" fontId="2" numFmtId="0" xfId="0" applyAlignment="1" applyBorder="1" applyFill="1" applyFont="1">
      <alignment horizontal="center"/>
    </xf>
    <xf borderId="6" fillId="13" fontId="1" numFmtId="0" xfId="0" applyAlignment="1" applyBorder="1" applyFill="1" applyFont="1">
      <alignment readingOrder="0"/>
    </xf>
    <xf borderId="6" fillId="14" fontId="1" numFmtId="0" xfId="0" applyAlignment="1" applyBorder="1" applyFill="1" applyFont="1">
      <alignment readingOrder="0"/>
    </xf>
    <xf borderId="9" fillId="13" fontId="1" numFmtId="0" xfId="0" applyBorder="1" applyFont="1"/>
    <xf borderId="9" fillId="14" fontId="1" numFmtId="0" xfId="0" applyBorder="1" applyFont="1"/>
    <xf borderId="6" fillId="0" fontId="1" numFmtId="0" xfId="0" applyAlignment="1" applyBorder="1" applyFont="1">
      <alignment readingOrder="0"/>
    </xf>
    <xf borderId="16" fillId="2" fontId="1" numFmtId="0" xfId="0" applyAlignment="1" applyBorder="1" applyFont="1">
      <alignment readingOrder="0"/>
    </xf>
    <xf borderId="17" fillId="2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/>
    </xf>
    <xf borderId="6" fillId="15" fontId="1" numFmtId="0" xfId="0" applyAlignment="1" applyBorder="1" applyFill="1" applyFont="1">
      <alignment readingOrder="0"/>
    </xf>
    <xf borderId="9" fillId="15" fontId="1" numFmtId="0" xfId="0" applyBorder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vertical="bottom"/>
    </xf>
    <xf borderId="18" fillId="16" fontId="5" numFmtId="0" xfId="0" applyAlignment="1" applyBorder="1" applyFill="1" applyFont="1">
      <alignment vertical="bottom"/>
    </xf>
    <xf borderId="19" fillId="16" fontId="5" numFmtId="0" xfId="0" applyAlignment="1" applyBorder="1" applyFont="1">
      <alignment vertical="bottom"/>
    </xf>
    <xf borderId="20" fillId="16" fontId="6" numFmtId="0" xfId="0" applyAlignment="1" applyBorder="1" applyFont="1">
      <alignment readingOrder="0"/>
    </xf>
    <xf borderId="20" fillId="16" fontId="5" numFmtId="0" xfId="0" applyAlignment="1" applyBorder="1" applyFont="1">
      <alignment vertical="bottom"/>
    </xf>
    <xf borderId="20" fillId="16" fontId="5" numFmtId="0" xfId="0" applyAlignment="1" applyBorder="1" applyFont="1">
      <alignment readingOrder="0" vertical="bottom"/>
    </xf>
    <xf borderId="20" fillId="16" fontId="5" numFmtId="0" xfId="0" applyAlignment="1" applyBorder="1" applyFont="1">
      <alignment horizontal="center" vertical="bottom"/>
    </xf>
    <xf borderId="21" fillId="16" fontId="3" numFmtId="0" xfId="0" applyBorder="1" applyFont="1"/>
    <xf borderId="21" fillId="16" fontId="2" numFmtId="0" xfId="0" applyAlignment="1" applyBorder="1" applyFont="1">
      <alignment horizontal="center" vertical="bottom"/>
    </xf>
    <xf borderId="22" fillId="17" fontId="1" numFmtId="0" xfId="0" applyAlignment="1" applyBorder="1" applyFill="1" applyFont="1">
      <alignment readingOrder="0"/>
    </xf>
    <xf borderId="23" fillId="2" fontId="2" numFmtId="0" xfId="0" applyAlignment="1" applyBorder="1" applyFont="1">
      <alignment readingOrder="0" vertical="bottom"/>
    </xf>
    <xf borderId="24" fillId="2" fontId="2" numFmtId="0" xfId="0" applyAlignment="1" applyBorder="1" applyFont="1">
      <alignment readingOrder="0" vertical="bottom"/>
    </xf>
    <xf borderId="25" fillId="2" fontId="2" numFmtId="0" xfId="0" applyAlignment="1" applyBorder="1" applyFont="1">
      <alignment readingOrder="0" vertical="bottom"/>
    </xf>
    <xf borderId="26" fillId="18" fontId="1" numFmtId="0" xfId="0" applyBorder="1" applyFill="1" applyFont="1"/>
    <xf borderId="20" fillId="18" fontId="1" numFmtId="0" xfId="0" applyBorder="1" applyFont="1"/>
    <xf borderId="20" fillId="18" fontId="6" numFmtId="0" xfId="0" applyAlignment="1" applyBorder="1" applyFont="1">
      <alignment readingOrder="0"/>
    </xf>
    <xf borderId="26" fillId="18" fontId="2" numFmtId="0" xfId="0" applyAlignment="1" applyBorder="1" applyFont="1">
      <alignment horizontal="center" vertical="bottom"/>
    </xf>
    <xf borderId="27" fillId="17" fontId="1" numFmtId="0" xfId="0" applyAlignment="1" applyBorder="1" applyFont="1">
      <alignment readingOrder="0"/>
    </xf>
    <xf borderId="7" fillId="4" fontId="1" numFmtId="0" xfId="0" applyAlignment="1" applyBorder="1" applyFont="1">
      <alignment horizontal="right"/>
    </xf>
    <xf borderId="7" fillId="19" fontId="1" numFmtId="0" xfId="0" applyAlignment="1" applyBorder="1" applyFill="1" applyFont="1">
      <alignment horizontal="right"/>
    </xf>
    <xf borderId="0" fillId="4" fontId="1" numFmtId="0" xfId="0" applyAlignment="1" applyFont="1">
      <alignment horizontal="right" readingOrder="0"/>
    </xf>
    <xf borderId="8" fillId="19" fontId="1" numFmtId="0" xfId="0" applyAlignment="1" applyBorder="1" applyFont="1">
      <alignment horizontal="right"/>
    </xf>
    <xf borderId="26" fillId="20" fontId="2" numFmtId="0" xfId="0" applyAlignment="1" applyBorder="1" applyFill="1" applyFont="1">
      <alignment readingOrder="0" vertical="bottom"/>
    </xf>
    <xf borderId="28" fillId="20" fontId="1" numFmtId="164" xfId="0" applyAlignment="1" applyBorder="1" applyFont="1" applyNumberFormat="1">
      <alignment readingOrder="0"/>
    </xf>
    <xf borderId="0" fillId="20" fontId="2" numFmtId="0" xfId="0" applyAlignment="1" applyFont="1">
      <alignment readingOrder="0" vertical="bottom"/>
    </xf>
    <xf borderId="0" fillId="20" fontId="1" numFmtId="0" xfId="0" applyAlignment="1" applyFont="1">
      <alignment readingOrder="0"/>
    </xf>
    <xf borderId="26" fillId="20" fontId="2" numFmtId="0" xfId="0" applyAlignment="1" applyBorder="1" applyFont="1">
      <alignment horizontal="center" vertical="bottom"/>
    </xf>
    <xf borderId="29" fillId="17" fontId="6" numFmtId="0" xfId="0" applyAlignment="1" applyBorder="1" applyFont="1">
      <alignment readingOrder="0"/>
    </xf>
    <xf borderId="10" fillId="4" fontId="1" numFmtId="0" xfId="0" applyAlignment="1" applyBorder="1" applyFont="1">
      <alignment horizontal="right"/>
    </xf>
    <xf borderId="10" fillId="19" fontId="1" numFmtId="0" xfId="0" applyAlignment="1" applyBorder="1" applyFont="1">
      <alignment horizontal="right"/>
    </xf>
    <xf borderId="10" fillId="4" fontId="1" numFmtId="0" xfId="0" applyAlignment="1" applyBorder="1" applyFont="1">
      <alignment horizontal="right" readingOrder="0"/>
    </xf>
    <xf borderId="11" fillId="19" fontId="1" numFmtId="0" xfId="0" applyAlignment="1" applyBorder="1" applyFont="1">
      <alignment horizontal="right"/>
    </xf>
    <xf borderId="28" fillId="18" fontId="2" numFmtId="0" xfId="0" applyAlignment="1" applyBorder="1" applyFont="1">
      <alignment readingOrder="0" vertical="bottom"/>
    </xf>
    <xf borderId="28" fillId="18" fontId="2" numFmtId="164" xfId="0" applyAlignment="1" applyBorder="1" applyFont="1" applyNumberFormat="1">
      <alignment horizontal="right" readingOrder="0" vertical="bottom"/>
    </xf>
    <xf borderId="0" fillId="18" fontId="2" numFmtId="0" xfId="0" applyAlignment="1" applyFont="1">
      <alignment readingOrder="0" vertical="bottom"/>
    </xf>
    <xf borderId="0" fillId="18" fontId="1" numFmtId="0" xfId="0" applyAlignment="1" applyFont="1">
      <alignment readingOrder="0"/>
    </xf>
    <xf borderId="30" fillId="18" fontId="1" numFmtId="0" xfId="0" applyAlignment="1" applyBorder="1" applyFont="1">
      <alignment readingOrder="0"/>
    </xf>
    <xf borderId="30" fillId="18" fontId="2" numFmtId="0" xfId="0" applyAlignment="1" applyBorder="1" applyFont="1">
      <alignment horizontal="center" vertical="bottom"/>
    </xf>
    <xf borderId="7" fillId="4" fontId="1" numFmtId="0" xfId="0" applyAlignment="1" applyBorder="1" applyFont="1">
      <alignment horizontal="right" readingOrder="0"/>
    </xf>
    <xf borderId="7" fillId="19" fontId="1" numFmtId="0" xfId="0" applyAlignment="1" applyBorder="1" applyFont="1">
      <alignment horizontal="right" readingOrder="0"/>
    </xf>
    <xf borderId="8" fillId="19" fontId="1" numFmtId="0" xfId="0" applyAlignment="1" applyBorder="1" applyFont="1">
      <alignment horizontal="right" readingOrder="0"/>
    </xf>
    <xf borderId="26" fillId="20" fontId="1" numFmtId="0" xfId="0" applyAlignment="1" applyBorder="1" applyFont="1">
      <alignment readingOrder="0"/>
    </xf>
    <xf borderId="0" fillId="20" fontId="1" numFmtId="164" xfId="0" applyAlignment="1" applyFont="1" applyNumberFormat="1">
      <alignment readingOrder="0"/>
    </xf>
    <xf borderId="28" fillId="20" fontId="2" numFmtId="0" xfId="0" applyAlignment="1" applyBorder="1" applyFont="1">
      <alignment readingOrder="0" vertical="bottom"/>
    </xf>
    <xf borderId="28" fillId="20" fontId="2" numFmtId="164" xfId="0" applyAlignment="1" applyBorder="1" applyFont="1" applyNumberFormat="1">
      <alignment horizontal="right" readingOrder="0" vertical="bottom"/>
    </xf>
    <xf borderId="30" fillId="20" fontId="1" numFmtId="0" xfId="0" applyAlignment="1" applyBorder="1" applyFont="1">
      <alignment readingOrder="0"/>
    </xf>
    <xf borderId="30" fillId="20" fontId="2" numFmtId="0" xfId="0" applyAlignment="1" applyBorder="1" applyFont="1">
      <alignment horizontal="center" vertical="bottom"/>
    </xf>
    <xf borderId="28" fillId="18" fontId="1" numFmtId="164" xfId="0" applyAlignment="1" applyBorder="1" applyFont="1" applyNumberFormat="1">
      <alignment readingOrder="0"/>
    </xf>
    <xf borderId="0" fillId="18" fontId="1" numFmtId="0" xfId="0" applyFont="1"/>
    <xf borderId="30" fillId="18" fontId="2" numFmtId="0" xfId="0" applyAlignment="1" applyBorder="1" applyFont="1">
      <alignment readingOrder="0" vertical="bottom"/>
    </xf>
    <xf borderId="26" fillId="20" fontId="1" numFmtId="0" xfId="0" applyAlignment="1" applyBorder="1" applyFont="1">
      <alignment readingOrder="0"/>
    </xf>
    <xf borderId="0" fillId="20" fontId="1" numFmtId="0" xfId="0" applyFont="1"/>
    <xf borderId="26" fillId="18" fontId="2" numFmtId="0" xfId="0" applyAlignment="1" applyBorder="1" applyFont="1">
      <alignment readingOrder="0" vertical="bottom"/>
    </xf>
    <xf borderId="0" fillId="18" fontId="1" numFmtId="164" xfId="0" applyAlignment="1" applyFont="1" applyNumberFormat="1">
      <alignment readingOrder="0"/>
    </xf>
    <xf borderId="8" fillId="4" fontId="1" numFmtId="0" xfId="0" applyAlignment="1" applyBorder="1" applyFont="1">
      <alignment horizontal="right"/>
    </xf>
    <xf borderId="11" fillId="4" fontId="1" numFmtId="0" xfId="0" applyAlignment="1" applyBorder="1" applyFont="1">
      <alignment horizontal="right"/>
    </xf>
    <xf borderId="0" fillId="0" fontId="2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31" fillId="4" fontId="1" numFmtId="0" xfId="0" applyAlignment="1" applyBorder="1" applyFont="1">
      <alignment readingOrder="0"/>
    </xf>
    <xf borderId="31" fillId="5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  <xf borderId="26" fillId="4" fontId="1" numFmtId="0" xfId="0" applyAlignment="1" applyBorder="1" applyFont="1">
      <alignment readingOrder="0"/>
    </xf>
    <xf borderId="28" fillId="4" fontId="1" numFmtId="164" xfId="0" applyAlignment="1" applyBorder="1" applyFont="1" applyNumberFormat="1">
      <alignment readingOrder="0"/>
    </xf>
    <xf borderId="0" fillId="4" fontId="2" numFmtId="0" xfId="0" applyAlignment="1" applyFont="1">
      <alignment readingOrder="0" vertical="bottom"/>
    </xf>
    <xf borderId="0" fillId="4" fontId="1" numFmtId="0" xfId="0" applyFont="1"/>
    <xf borderId="0" fillId="4" fontId="1" numFmtId="0" xfId="0" applyAlignment="1" applyFont="1">
      <alignment readingOrder="0"/>
    </xf>
    <xf borderId="28" fillId="4" fontId="2" numFmtId="0" xfId="0" applyAlignment="1" applyBorder="1" applyFont="1">
      <alignment readingOrder="0" vertical="bottom"/>
    </xf>
    <xf borderId="30" fillId="4" fontId="2" numFmtId="0" xfId="0" applyAlignment="1" applyBorder="1" applyFont="1">
      <alignment readingOrder="0" vertical="bottom"/>
    </xf>
    <xf borderId="26" fillId="4" fontId="1" numFmtId="0" xfId="0" applyAlignment="1" applyBorder="1" applyFont="1">
      <alignment readingOrder="0"/>
    </xf>
    <xf borderId="28" fillId="4" fontId="2" numFmtId="164" xfId="0" applyAlignment="1" applyBorder="1" applyFont="1" applyNumberFormat="1">
      <alignment horizontal="right" readingOrder="0" vertical="bottom"/>
    </xf>
    <xf borderId="0" fillId="4" fontId="1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26" fillId="4" fontId="2" numFmtId="0" xfId="0" applyAlignment="1" applyBorder="1" applyFont="1">
      <alignment readingOrder="0" vertical="bottom"/>
    </xf>
    <xf borderId="30" fillId="4" fontId="1" numFmtId="0" xfId="0" applyAlignment="1" applyBorder="1" applyFont="1">
      <alignment readingOrder="0"/>
    </xf>
    <xf borderId="26" fillId="20" fontId="1" numFmtId="0" xfId="0" applyBorder="1" applyFont="1"/>
    <xf borderId="20" fillId="20" fontId="1" numFmtId="0" xfId="0" applyBorder="1" applyFont="1"/>
    <xf borderId="20" fillId="20" fontId="6" numFmtId="0" xfId="0" applyAlignment="1" applyBorder="1" applyFont="1">
      <alignment readingOrder="0"/>
    </xf>
    <xf borderId="0" fillId="4" fontId="2" numFmtId="164" xfId="0" applyAlignment="1" applyFont="1" applyNumberFormat="1">
      <alignment horizontal="right" readingOrder="0" vertical="bottom"/>
    </xf>
    <xf borderId="26" fillId="4" fontId="1" numFmtId="0" xfId="0" applyBorder="1" applyFont="1"/>
    <xf borderId="28" fillId="18" fontId="1" numFmtId="0" xfId="0" applyAlignment="1" applyBorder="1" applyFont="1">
      <alignment readingOrder="0"/>
    </xf>
    <xf borderId="0" fillId="12" fontId="5" numFmtId="0" xfId="0" applyAlignment="1" applyFont="1">
      <alignment horizontal="center" readingOrder="0" vertical="center"/>
    </xf>
    <xf borderId="22" fillId="21" fontId="6" numFmtId="0" xfId="0" applyAlignment="1" applyBorder="1" applyFill="1" applyFont="1">
      <alignment readingOrder="0"/>
    </xf>
    <xf borderId="22" fillId="9" fontId="6" numFmtId="0" xfId="0" applyAlignment="1" applyBorder="1" applyFont="1">
      <alignment readingOrder="0"/>
    </xf>
    <xf borderId="27" fillId="21" fontId="1" numFmtId="0" xfId="0" applyAlignment="1" applyBorder="1" applyFont="1">
      <alignment readingOrder="0"/>
    </xf>
    <xf borderId="27" fillId="9" fontId="1" numFmtId="0" xfId="0" applyAlignment="1" applyBorder="1" applyFont="1">
      <alignment readingOrder="0"/>
    </xf>
    <xf borderId="29" fillId="21" fontId="6" numFmtId="0" xfId="0" applyAlignment="1" applyBorder="1" applyFont="1">
      <alignment readingOrder="0"/>
    </xf>
    <xf borderId="29" fillId="9" fontId="6" numFmtId="0" xfId="0" applyAlignment="1" applyBorder="1" applyFont="1">
      <alignment readingOrder="0"/>
    </xf>
    <xf borderId="22" fillId="22" fontId="6" numFmtId="0" xfId="0" applyAlignment="1" applyBorder="1" applyFill="1" applyFont="1">
      <alignment readingOrder="0"/>
    </xf>
    <xf borderId="0" fillId="0" fontId="6" numFmtId="0" xfId="0" applyAlignment="1" applyFont="1">
      <alignment horizontal="center" readingOrder="0" vertical="center"/>
    </xf>
    <xf borderId="27" fillId="22" fontId="1" numFmtId="0" xfId="0" applyAlignment="1" applyBorder="1" applyFont="1">
      <alignment readingOrder="0"/>
    </xf>
    <xf borderId="29" fillId="22" fontId="6" numFmtId="0" xfId="0" applyAlignment="1" applyBorder="1" applyFont="1">
      <alignment readingOrder="0"/>
    </xf>
    <xf borderId="0" fillId="14" fontId="1" numFmtId="0" xfId="0" applyFont="1"/>
    <xf borderId="0" fillId="14" fontId="1" numFmtId="0" xfId="0" applyAlignment="1" applyFont="1">
      <alignment readingOrder="0"/>
    </xf>
    <xf borderId="0" fillId="12" fontId="5" numFmtId="0" xfId="0" applyAlignment="1" applyFont="1">
      <alignment horizontal="center" vertical="center"/>
    </xf>
    <xf borderId="22" fillId="23" fontId="6" numFmtId="0" xfId="0" applyAlignment="1" applyBorder="1" applyFill="1" applyFont="1">
      <alignment readingOrder="0"/>
    </xf>
    <xf borderId="27" fillId="23" fontId="1" numFmtId="0" xfId="0" applyAlignment="1" applyBorder="1" applyFont="1">
      <alignment readingOrder="0"/>
    </xf>
    <xf borderId="29" fillId="23" fontId="6" numFmtId="0" xfId="0" applyAlignment="1" applyBorder="1" applyFont="1">
      <alignment readingOrder="0"/>
    </xf>
    <xf borderId="22" fillId="15" fontId="6" numFmtId="0" xfId="0" applyAlignment="1" applyBorder="1" applyFont="1">
      <alignment readingOrder="0"/>
    </xf>
    <xf borderId="27" fillId="15" fontId="1" numFmtId="0" xfId="0" applyAlignment="1" applyBorder="1" applyFont="1">
      <alignment readingOrder="0"/>
    </xf>
    <xf borderId="29" fillId="15" fontId="6" numFmtId="0" xfId="0" applyAlignment="1" applyBorder="1" applyFont="1">
      <alignment readingOrder="0"/>
    </xf>
    <xf borderId="22" fillId="24" fontId="6" numFmtId="0" xfId="0" applyAlignment="1" applyBorder="1" applyFill="1" applyFont="1">
      <alignment readingOrder="0"/>
    </xf>
    <xf borderId="27" fillId="24" fontId="1" numFmtId="0" xfId="0" applyAlignment="1" applyBorder="1" applyFont="1">
      <alignment readingOrder="0"/>
    </xf>
    <xf borderId="29" fillId="24" fontId="6" numFmtId="0" xfId="0" applyAlignment="1" applyBorder="1" applyFont="1">
      <alignment readingOrder="0"/>
    </xf>
    <xf borderId="22" fillId="2" fontId="6" numFmtId="0" xfId="0" applyAlignment="1" applyBorder="1" applyFont="1">
      <alignment readingOrder="0"/>
    </xf>
    <xf borderId="27" fillId="2" fontId="1" numFmtId="0" xfId="0" applyAlignment="1" applyBorder="1" applyFont="1">
      <alignment readingOrder="0"/>
    </xf>
    <xf borderId="29" fillId="2" fontId="6" numFmtId="0" xfId="0" applyAlignment="1" applyBorder="1" applyFont="1">
      <alignment readingOrder="0"/>
    </xf>
    <xf borderId="22" fillId="25" fontId="6" numFmtId="0" xfId="0" applyAlignment="1" applyBorder="1" applyFill="1" applyFont="1">
      <alignment readingOrder="0"/>
    </xf>
    <xf borderId="27" fillId="25" fontId="1" numFmtId="0" xfId="0" applyAlignment="1" applyBorder="1" applyFont="1">
      <alignment readingOrder="0"/>
    </xf>
    <xf borderId="29" fillId="25" fontId="6" numFmtId="0" xfId="0" applyAlignment="1" applyBorder="1" applyFont="1">
      <alignment readingOrder="0"/>
    </xf>
    <xf borderId="14" fillId="26" fontId="2" numFmtId="0" xfId="0" applyBorder="1" applyFill="1" applyFont="1"/>
    <xf borderId="32" fillId="24" fontId="5" numFmtId="0" xfId="0" applyAlignment="1" applyBorder="1" applyFont="1">
      <alignment readingOrder="0" vertical="bottom"/>
    </xf>
    <xf borderId="14" fillId="24" fontId="2" numFmtId="0" xfId="0" applyAlignment="1" applyBorder="1" applyFont="1">
      <alignment readingOrder="0" vertical="bottom"/>
    </xf>
    <xf borderId="11" fillId="24" fontId="2" numFmtId="0" xfId="0" applyAlignment="1" applyBorder="1" applyFont="1">
      <alignment vertical="bottom"/>
    </xf>
    <xf borderId="32" fillId="7" fontId="5" numFmtId="0" xfId="0" applyAlignment="1" applyBorder="1" applyFont="1">
      <alignment readingOrder="0" vertical="bottom"/>
    </xf>
    <xf borderId="14" fillId="7" fontId="2" numFmtId="0" xfId="0" applyAlignment="1" applyBorder="1" applyFont="1">
      <alignment readingOrder="0" vertical="bottom"/>
    </xf>
    <xf borderId="11" fillId="7" fontId="2" numFmtId="0" xfId="0" applyAlignment="1" applyBorder="1" applyFont="1">
      <alignment vertical="bottom"/>
    </xf>
    <xf borderId="22" fillId="27" fontId="6" numFmtId="0" xfId="0" applyAlignment="1" applyBorder="1" applyFill="1" applyFont="1">
      <alignment readingOrder="0"/>
    </xf>
    <xf borderId="27" fillId="27" fontId="1" numFmtId="0" xfId="0" applyAlignment="1" applyBorder="1" applyFont="1">
      <alignment readingOrder="0"/>
    </xf>
    <xf borderId="29" fillId="27" fontId="6" numFmtId="0" xfId="0" applyAlignment="1" applyBorder="1" applyFont="1">
      <alignment readingOrder="0"/>
    </xf>
    <xf borderId="0" fillId="0" fontId="1" numFmtId="0" xfId="0" applyFont="1"/>
    <xf borderId="30" fillId="12" fontId="5" numFmtId="0" xfId="0" applyAlignment="1" applyBorder="1" applyFont="1">
      <alignment horizontal="center" readingOrder="0" vertical="center"/>
    </xf>
    <xf borderId="30" fillId="0" fontId="3" numFmtId="0" xfId="0" applyBorder="1" applyFont="1"/>
    <xf borderId="0" fillId="12" fontId="5" numFmtId="0" xfId="0" applyAlignment="1" applyFont="1">
      <alignment horizontal="center" readingOrder="0" shrinkToFit="0" vertical="center" wrapText="1"/>
    </xf>
    <xf borderId="22" fillId="28" fontId="6" numFmtId="0" xfId="0" applyAlignment="1" applyBorder="1" applyFill="1" applyFont="1">
      <alignment readingOrder="0"/>
    </xf>
    <xf borderId="27" fillId="28" fontId="1" numFmtId="0" xfId="0" applyAlignment="1" applyBorder="1" applyFont="1">
      <alignment readingOrder="0"/>
    </xf>
    <xf borderId="29" fillId="28" fontId="6" numFmtId="0" xfId="0" applyAlignment="1" applyBorder="1" applyFont="1">
      <alignment readingOrder="0"/>
    </xf>
    <xf borderId="22" fillId="28" fontId="5" numFmtId="0" xfId="0" applyAlignment="1" applyBorder="1" applyFont="1">
      <alignment readingOrder="0" vertical="bottom"/>
    </xf>
    <xf borderId="27" fillId="28" fontId="2" numFmtId="0" xfId="0" applyAlignment="1" applyBorder="1" applyFont="1">
      <alignment readingOrder="0" vertical="bottom"/>
    </xf>
    <xf borderId="29" fillId="28" fontId="2" numFmtId="0" xfId="0" applyAlignment="1" applyBorder="1" applyFont="1">
      <alignment vertical="bottom"/>
    </xf>
    <xf borderId="22" fillId="29" fontId="6" numFmtId="0" xfId="0" applyAlignment="1" applyBorder="1" applyFill="1" applyFont="1">
      <alignment readingOrder="0"/>
    </xf>
    <xf borderId="22" fillId="30" fontId="6" numFmtId="0" xfId="0" applyAlignment="1" applyBorder="1" applyFill="1" applyFont="1">
      <alignment readingOrder="0"/>
    </xf>
    <xf borderId="27" fillId="29" fontId="1" numFmtId="0" xfId="0" applyAlignment="1" applyBorder="1" applyFont="1">
      <alignment readingOrder="0"/>
    </xf>
    <xf borderId="27" fillId="30" fontId="1" numFmtId="0" xfId="0" applyAlignment="1" applyBorder="1" applyFont="1">
      <alignment readingOrder="0"/>
    </xf>
    <xf borderId="29" fillId="29" fontId="6" numFmtId="0" xfId="0" applyAlignment="1" applyBorder="1" applyFont="1">
      <alignment readingOrder="0"/>
    </xf>
    <xf borderId="29" fillId="30" fontId="6" numFmtId="0" xfId="0" applyAlignment="1" applyBorder="1" applyFont="1">
      <alignment readingOrder="0"/>
    </xf>
    <xf borderId="22" fillId="0" fontId="6" numFmtId="0" xfId="0" applyAlignment="1" applyBorder="1" applyFont="1">
      <alignment readingOrder="0"/>
    </xf>
    <xf borderId="27" fillId="0" fontId="1" numFmtId="0" xfId="0" applyAlignment="1" applyBorder="1" applyFont="1">
      <alignment readingOrder="0"/>
    </xf>
    <xf borderId="29" fillId="0" fontId="6" numFmtId="0" xfId="0" applyAlignment="1" applyBorder="1" applyFont="1">
      <alignment readingOrder="0"/>
    </xf>
    <xf borderId="11" fillId="19" fontId="1" numFmtId="0" xfId="0" applyAlignment="1" applyBorder="1" applyFont="1">
      <alignment horizontal="right" readingOrder="0"/>
    </xf>
    <xf borderId="22" fillId="18" fontId="6" numFmtId="0" xfId="0" applyAlignment="1" applyBorder="1" applyFont="1">
      <alignment readingOrder="0"/>
    </xf>
    <xf borderId="27" fillId="18" fontId="1" numFmtId="0" xfId="0" applyAlignment="1" applyBorder="1" applyFont="1">
      <alignment readingOrder="0"/>
    </xf>
    <xf borderId="29" fillId="18" fontId="6" numFmtId="0" xfId="0" applyAlignment="1" applyBorder="1" applyFont="1">
      <alignment readingOrder="0"/>
    </xf>
    <xf borderId="22" fillId="31" fontId="6" numFmtId="0" xfId="0" applyAlignment="1" applyBorder="1" applyFill="1" applyFont="1">
      <alignment readingOrder="0"/>
    </xf>
    <xf borderId="27" fillId="31" fontId="1" numFmtId="0" xfId="0" applyAlignment="1" applyBorder="1" applyFont="1">
      <alignment readingOrder="0"/>
    </xf>
    <xf borderId="29" fillId="31" fontId="6" numFmtId="0" xfId="0" applyAlignment="1" applyBorder="1" applyFont="1">
      <alignment readingOrder="0"/>
    </xf>
    <xf borderId="33" fillId="21" fontId="6" numFmtId="0" xfId="0" applyAlignment="1" applyBorder="1" applyFont="1">
      <alignment readingOrder="0"/>
    </xf>
    <xf borderId="34" fillId="2" fontId="2" numFmtId="0" xfId="0" applyAlignment="1" applyBorder="1" applyFont="1">
      <alignment readingOrder="0" vertical="bottom"/>
    </xf>
    <xf borderId="35" fillId="2" fontId="2" numFmtId="0" xfId="0" applyAlignment="1" applyBorder="1" applyFont="1">
      <alignment readingOrder="0" vertical="bottom"/>
    </xf>
    <xf borderId="36" fillId="2" fontId="2" numFmtId="0" xfId="0" applyAlignment="1" applyBorder="1" applyFont="1">
      <alignment readingOrder="0" vertical="bottom"/>
    </xf>
    <xf borderId="37" fillId="21" fontId="6" numFmtId="0" xfId="0" applyAlignment="1" applyBorder="1" applyFont="1">
      <alignment readingOrder="0"/>
    </xf>
    <xf borderId="38" fillId="2" fontId="2" numFmtId="0" xfId="0" applyAlignment="1" applyBorder="1" applyFont="1">
      <alignment readingOrder="0" vertical="bottom"/>
    </xf>
    <xf borderId="32" fillId="23" fontId="6" numFmtId="0" xfId="0" applyAlignment="1" applyBorder="1" applyFont="1">
      <alignment readingOrder="0"/>
    </xf>
    <xf borderId="37" fillId="32" fontId="6" numFmtId="0" xfId="0" applyAlignment="1" applyBorder="1" applyFill="1" applyFont="1">
      <alignment readingOrder="0"/>
    </xf>
    <xf borderId="39" fillId="21" fontId="1" numFmtId="0" xfId="0" applyAlignment="1" applyBorder="1" applyFont="1">
      <alignment readingOrder="0"/>
    </xf>
    <xf borderId="40" fillId="19" fontId="1" numFmtId="0" xfId="0" applyAlignment="1" applyBorder="1" applyFont="1">
      <alignment horizontal="right"/>
    </xf>
    <xf borderId="14" fillId="23" fontId="1" numFmtId="0" xfId="0" applyAlignment="1" applyBorder="1" applyFont="1">
      <alignment readingOrder="0"/>
    </xf>
    <xf borderId="27" fillId="32" fontId="1" numFmtId="0" xfId="0" applyAlignment="1" applyBorder="1" applyFont="1">
      <alignment readingOrder="0"/>
    </xf>
    <xf borderId="41" fillId="21" fontId="6" numFmtId="0" xfId="0" applyAlignment="1" applyBorder="1" applyFont="1">
      <alignment readingOrder="0"/>
    </xf>
    <xf borderId="42" fillId="19" fontId="1" numFmtId="0" xfId="0" applyAlignment="1" applyBorder="1" applyFont="1">
      <alignment horizontal="right"/>
    </xf>
    <xf borderId="11" fillId="23" fontId="6" numFmtId="0" xfId="0" applyAlignment="1" applyBorder="1" applyFont="1">
      <alignment readingOrder="0"/>
    </xf>
    <xf borderId="29" fillId="32" fontId="6" numFmtId="0" xfId="0" applyAlignment="1" applyBorder="1" applyFont="1">
      <alignment readingOrder="0"/>
    </xf>
    <xf borderId="28" fillId="0" fontId="1" numFmtId="0" xfId="0" applyBorder="1" applyFont="1"/>
    <xf borderId="30" fillId="0" fontId="1" numFmtId="0" xfId="0" applyBorder="1" applyFont="1"/>
    <xf borderId="43" fillId="21" fontId="6" numFmtId="0" xfId="0" applyAlignment="1" applyBorder="1" applyFont="1">
      <alignment readingOrder="0"/>
    </xf>
    <xf borderId="44" fillId="2" fontId="2" numFmtId="0" xfId="0" applyAlignment="1" applyBorder="1" applyFont="1">
      <alignment readingOrder="0" vertical="bottom"/>
    </xf>
    <xf borderId="32" fillId="33" fontId="6" numFmtId="0" xfId="0" applyAlignment="1" applyBorder="1" applyFill="1" applyFont="1">
      <alignment readingOrder="0"/>
    </xf>
    <xf borderId="22" fillId="32" fontId="6" numFmtId="0" xfId="0" applyAlignment="1" applyBorder="1" applyFont="1">
      <alignment readingOrder="0"/>
    </xf>
    <xf borderId="14" fillId="33" fontId="1" numFmtId="0" xfId="0" applyAlignment="1" applyBorder="1" applyFont="1">
      <alignment readingOrder="0"/>
    </xf>
    <xf borderId="45" fillId="21" fontId="6" numFmtId="0" xfId="0" applyAlignment="1" applyBorder="1" applyFont="1">
      <alignment readingOrder="0"/>
    </xf>
    <xf borderId="46" fillId="4" fontId="1" numFmtId="0" xfId="0" applyAlignment="1" applyBorder="1" applyFont="1">
      <alignment horizontal="right"/>
    </xf>
    <xf borderId="47" fillId="19" fontId="1" numFmtId="0" xfId="0" applyAlignment="1" applyBorder="1" applyFont="1">
      <alignment horizontal="right"/>
    </xf>
    <xf borderId="48" fillId="21" fontId="6" numFmtId="0" xfId="0" applyAlignment="1" applyBorder="1" applyFont="1">
      <alignment readingOrder="0"/>
    </xf>
    <xf borderId="49" fillId="19" fontId="1" numFmtId="0" xfId="0" applyAlignment="1" applyBorder="1" applyFont="1">
      <alignment horizontal="right"/>
    </xf>
    <xf borderId="11" fillId="33" fontId="6" numFmtId="0" xfId="0" applyAlignment="1" applyBorder="1" applyFont="1">
      <alignment readingOrder="0"/>
    </xf>
    <xf borderId="48" fillId="32" fontId="6" numFmtId="0" xfId="0" applyAlignment="1" applyBorder="1" applyFont="1">
      <alignment readingOrder="0"/>
    </xf>
    <xf borderId="46" fillId="4" fontId="1" numFmtId="0" xfId="0" applyAlignment="1" applyBorder="1" applyFont="1">
      <alignment horizontal="right" readingOrder="0"/>
    </xf>
    <xf borderId="33" fillId="34" fontId="6" numFmtId="0" xfId="0" applyAlignment="1" applyBorder="1" applyFill="1" applyFont="1">
      <alignment readingOrder="0"/>
    </xf>
    <xf borderId="37" fillId="34" fontId="6" numFmtId="0" xfId="0" applyAlignment="1" applyBorder="1" applyFont="1">
      <alignment readingOrder="0"/>
    </xf>
    <xf borderId="32" fillId="7" fontId="6" numFmtId="0" xfId="0" applyAlignment="1" applyBorder="1" applyFont="1">
      <alignment readingOrder="0"/>
    </xf>
    <xf borderId="22" fillId="35" fontId="6" numFmtId="0" xfId="0" applyAlignment="1" applyBorder="1" applyFill="1" applyFont="1">
      <alignment readingOrder="0"/>
    </xf>
    <xf borderId="27" fillId="34" fontId="1" numFmtId="0" xfId="0" applyAlignment="1" applyBorder="1" applyFont="1">
      <alignment readingOrder="0"/>
    </xf>
    <xf borderId="14" fillId="7" fontId="1" numFmtId="0" xfId="0" applyAlignment="1" applyBorder="1" applyFont="1">
      <alignment readingOrder="0"/>
    </xf>
    <xf borderId="27" fillId="35" fontId="1" numFmtId="0" xfId="0" applyAlignment="1" applyBorder="1" applyFont="1">
      <alignment readingOrder="0"/>
    </xf>
    <xf borderId="41" fillId="34" fontId="6" numFmtId="0" xfId="0" applyAlignment="1" applyBorder="1" applyFont="1">
      <alignment readingOrder="0"/>
    </xf>
    <xf borderId="29" fillId="34" fontId="6" numFmtId="0" xfId="0" applyAlignment="1" applyBorder="1" applyFont="1">
      <alignment readingOrder="0"/>
    </xf>
    <xf borderId="11" fillId="7" fontId="6" numFmtId="0" xfId="0" applyAlignment="1" applyBorder="1" applyFont="1">
      <alignment readingOrder="0"/>
    </xf>
    <xf borderId="29" fillId="35" fontId="6" numFmtId="0" xfId="0" applyAlignment="1" applyBorder="1" applyFont="1">
      <alignment readingOrder="0"/>
    </xf>
    <xf borderId="43" fillId="34" fontId="6" numFmtId="0" xfId="0" applyAlignment="1" applyBorder="1" applyFont="1">
      <alignment readingOrder="0"/>
    </xf>
    <xf borderId="22" fillId="34" fontId="6" numFmtId="0" xfId="0" applyAlignment="1" applyBorder="1" applyFont="1">
      <alignment readingOrder="0"/>
    </xf>
    <xf borderId="22" fillId="26" fontId="6" numFmtId="0" xfId="0" applyAlignment="1" applyBorder="1" applyFont="1">
      <alignment readingOrder="0"/>
    </xf>
    <xf borderId="40" fillId="19" fontId="1" numFmtId="0" xfId="0" applyAlignment="1" applyBorder="1" applyFont="1">
      <alignment horizontal="right" readingOrder="0"/>
    </xf>
    <xf borderId="27" fillId="26" fontId="1" numFmtId="0" xfId="0" applyAlignment="1" applyBorder="1" applyFont="1">
      <alignment readingOrder="0"/>
    </xf>
    <xf borderId="45" fillId="34" fontId="6" numFmtId="0" xfId="0" applyAlignment="1" applyBorder="1" applyFont="1">
      <alignment readingOrder="0"/>
    </xf>
    <xf borderId="48" fillId="34" fontId="6" numFmtId="0" xfId="0" applyAlignment="1" applyBorder="1" applyFont="1">
      <alignment readingOrder="0"/>
    </xf>
    <xf borderId="49" fillId="19" fontId="1" numFmtId="0" xfId="0" applyAlignment="1" applyBorder="1" applyFont="1">
      <alignment horizontal="right" readingOrder="0"/>
    </xf>
    <xf borderId="29" fillId="26" fontId="6" numFmtId="0" xfId="0" applyAlignment="1" applyBorder="1" applyFont="1">
      <alignment readingOrder="0"/>
    </xf>
    <xf borderId="33" fillId="29" fontId="6" numFmtId="0" xfId="0" applyAlignment="1" applyBorder="1" applyFont="1">
      <alignment readingOrder="0"/>
    </xf>
    <xf borderId="33" fillId="31" fontId="6" numFmtId="0" xfId="0" applyAlignment="1" applyBorder="1" applyFont="1">
      <alignment readingOrder="0"/>
    </xf>
    <xf borderId="39" fillId="29" fontId="1" numFmtId="0" xfId="0" applyAlignment="1" applyBorder="1" applyFont="1">
      <alignment readingOrder="0"/>
    </xf>
    <xf borderId="39" fillId="31" fontId="1" numFmtId="0" xfId="0" applyAlignment="1" applyBorder="1" applyFont="1">
      <alignment readingOrder="0"/>
    </xf>
    <xf borderId="41" fillId="29" fontId="6" numFmtId="0" xfId="0" applyAlignment="1" applyBorder="1" applyFont="1">
      <alignment readingOrder="0"/>
    </xf>
    <xf borderId="41" fillId="31" fontId="6" numFmtId="0" xfId="0" applyAlignment="1" applyBorder="1" applyFont="1">
      <alignment readingOrder="0"/>
    </xf>
    <xf borderId="43" fillId="29" fontId="6" numFmtId="0" xfId="0" applyAlignment="1" applyBorder="1" applyFont="1">
      <alignment readingOrder="0"/>
    </xf>
    <xf borderId="43" fillId="31" fontId="6" numFmtId="0" xfId="0" applyAlignment="1" applyBorder="1" applyFont="1">
      <alignment readingOrder="0"/>
    </xf>
    <xf borderId="0" fillId="14" fontId="2" numFmtId="0" xfId="0" applyAlignment="1" applyFont="1">
      <alignment vertical="bottom"/>
    </xf>
    <xf borderId="45" fillId="29" fontId="6" numFmtId="0" xfId="0" applyAlignment="1" applyBorder="1" applyFont="1">
      <alignment readingOrder="0"/>
    </xf>
    <xf borderId="45" fillId="31" fontId="6" numFmtId="0" xfId="0" applyAlignment="1" applyBorder="1" applyFont="1">
      <alignment readingOrder="0"/>
    </xf>
    <xf borderId="33" fillId="15" fontId="6" numFmtId="0" xfId="0" applyAlignment="1" applyBorder="1" applyFont="1">
      <alignment readingOrder="0"/>
    </xf>
    <xf borderId="22" fillId="36" fontId="6" numFmtId="0" xfId="0" applyAlignment="1" applyBorder="1" applyFill="1" applyFont="1">
      <alignment readingOrder="0"/>
    </xf>
    <xf borderId="39" fillId="15" fontId="1" numFmtId="0" xfId="0" applyAlignment="1" applyBorder="1" applyFont="1">
      <alignment readingOrder="0"/>
    </xf>
    <xf borderId="27" fillId="36" fontId="1" numFmtId="0" xfId="0" applyAlignment="1" applyBorder="1" applyFont="1">
      <alignment readingOrder="0"/>
    </xf>
    <xf borderId="41" fillId="15" fontId="6" numFmtId="0" xfId="0" applyAlignment="1" applyBorder="1" applyFont="1">
      <alignment readingOrder="0"/>
    </xf>
    <xf borderId="45" fillId="15" fontId="6" numFmtId="0" xfId="0" applyAlignment="1" applyBorder="1" applyFont="1">
      <alignment readingOrder="0"/>
    </xf>
    <xf borderId="29" fillId="36" fontId="6" numFmtId="0" xfId="0" applyAlignment="1" applyBorder="1" applyFont="1">
      <alignment readingOrder="0"/>
    </xf>
    <xf borderId="43" fillId="15" fontId="6" numFmtId="0" xfId="0" applyAlignment="1" applyBorder="1" applyFont="1">
      <alignment readingOrder="0"/>
    </xf>
    <xf borderId="33" fillId="22" fontId="6" numFmtId="0" xfId="0" applyAlignment="1" applyBorder="1" applyFont="1">
      <alignment readingOrder="0"/>
    </xf>
    <xf borderId="37" fillId="22" fontId="6" numFmtId="0" xfId="0" applyAlignment="1" applyBorder="1" applyFont="1">
      <alignment readingOrder="0"/>
    </xf>
    <xf borderId="39" fillId="22" fontId="1" numFmtId="0" xfId="0" applyAlignment="1" applyBorder="1" applyFont="1">
      <alignment readingOrder="0"/>
    </xf>
    <xf borderId="45" fillId="22" fontId="6" numFmtId="0" xfId="0" applyAlignment="1" applyBorder="1" applyFont="1">
      <alignment readingOrder="0"/>
    </xf>
    <xf borderId="48" fillId="22" fontId="6" numFmtId="0" xfId="0" applyAlignment="1" applyBorder="1" applyFont="1">
      <alignment readingOrder="0"/>
    </xf>
    <xf borderId="33" fillId="28" fontId="6" numFmtId="0" xfId="0" applyAlignment="1" applyBorder="1" applyFont="1">
      <alignment readingOrder="0"/>
    </xf>
    <xf borderId="39" fillId="28" fontId="1" numFmtId="0" xfId="0" applyAlignment="1" applyBorder="1" applyFont="1">
      <alignment readingOrder="0"/>
    </xf>
    <xf borderId="41" fillId="28" fontId="6" numFmtId="0" xfId="0" applyAlignment="1" applyBorder="1" applyFont="1">
      <alignment readingOrder="0"/>
    </xf>
    <xf borderId="43" fillId="28" fontId="5" numFmtId="0" xfId="0" applyAlignment="1" applyBorder="1" applyFont="1">
      <alignment readingOrder="0" vertical="bottom"/>
    </xf>
    <xf borderId="39" fillId="28" fontId="2" numFmtId="0" xfId="0" applyAlignment="1" applyBorder="1" applyFont="1">
      <alignment readingOrder="0" vertical="bottom"/>
    </xf>
    <xf borderId="45" fillId="28" fontId="2" numFmtId="0" xfId="0" applyAlignment="1" applyBorder="1" applyFont="1">
      <alignment vertical="bottom"/>
    </xf>
    <xf borderId="0" fillId="0" fontId="1" numFmtId="0" xfId="0" applyAlignment="1" applyFont="1">
      <alignment horizontal="left" readingOrder="0" shrinkToFit="0" vertical="center" wrapText="0"/>
    </xf>
    <xf borderId="31" fillId="0" fontId="1" numFmtId="0" xfId="0" applyAlignment="1" applyBorder="1" applyFont="1">
      <alignment readingOrder="0" shrinkToFit="0" vertical="center" wrapText="0"/>
    </xf>
    <xf borderId="31" fillId="0" fontId="1" numFmtId="0" xfId="0" applyAlignment="1" applyBorder="1" applyFont="1">
      <alignment readingOrder="0" shrinkToFit="0" vertical="center" wrapText="0"/>
    </xf>
    <xf borderId="31" fillId="0" fontId="1" numFmtId="9" xfId="0" applyAlignment="1" applyBorder="1" applyFont="1" applyNumberFormat="1">
      <alignment shrinkToFit="0" vertical="center" wrapText="0"/>
    </xf>
    <xf borderId="31" fillId="0" fontId="1" numFmtId="0" xfId="0" applyAlignment="1" applyBorder="1" applyFont="1">
      <alignment readingOrder="0" shrinkToFit="0" vertical="center" wrapText="0"/>
    </xf>
    <xf borderId="31" fillId="0" fontId="1" numFmtId="0" xfId="0" applyAlignment="1" applyBorder="1" applyFont="1">
      <alignment readingOrder="0" shrinkToFit="0" vertical="center" wrapText="0"/>
    </xf>
    <xf borderId="31" fillId="0" fontId="1" numFmtId="9" xfId="0" applyAlignment="1" applyBorder="1" applyFont="1" applyNumberFormat="1">
      <alignment shrinkToFit="0" vertical="center" wrapText="0"/>
    </xf>
    <xf borderId="31" fillId="37" fontId="5" numFmtId="0" xfId="0" applyAlignment="1" applyBorder="1" applyFill="1" applyFont="1">
      <alignment vertical="bottom"/>
    </xf>
    <xf borderId="31" fillId="37" fontId="9" numFmtId="0" xfId="0" applyAlignment="1" applyBorder="1" applyFont="1">
      <alignment vertical="bottom"/>
    </xf>
    <xf borderId="31" fillId="38" fontId="5" numFmtId="0" xfId="0" applyAlignment="1" applyBorder="1" applyFill="1" applyFont="1">
      <alignment vertical="bottom"/>
    </xf>
    <xf borderId="31" fillId="38" fontId="2" numFmtId="0" xfId="0" applyAlignment="1" applyBorder="1" applyFont="1">
      <alignment vertical="bottom"/>
    </xf>
    <xf borderId="31" fillId="24" fontId="5" numFmtId="0" xfId="0" applyAlignment="1" applyBorder="1" applyFont="1">
      <alignment vertical="bottom"/>
    </xf>
    <xf borderId="31" fillId="24" fontId="2" numFmtId="0" xfId="0" applyAlignment="1" applyBorder="1" applyFont="1">
      <alignment readingOrder="0" vertical="bottom"/>
    </xf>
    <xf borderId="31" fillId="24" fontId="2" numFmtId="0" xfId="0" applyAlignment="1" applyBorder="1" applyFont="1">
      <alignment vertical="bottom"/>
    </xf>
    <xf borderId="31" fillId="23" fontId="5" numFmtId="0" xfId="0" applyAlignment="1" applyBorder="1" applyFont="1">
      <alignment vertical="bottom"/>
    </xf>
    <xf borderId="31" fillId="23" fontId="2" numFmtId="0" xfId="0" applyAlignment="1" applyBorder="1" applyFont="1">
      <alignment vertical="bottom"/>
    </xf>
    <xf borderId="31" fillId="39" fontId="5" numFmtId="0" xfId="0" applyAlignment="1" applyBorder="1" applyFill="1" applyFont="1">
      <alignment vertical="bottom"/>
    </xf>
    <xf borderId="31" fillId="39" fontId="2" numFmtId="0" xfId="0" applyAlignment="1" applyBorder="1" applyFont="1">
      <alignment vertical="bottom"/>
    </xf>
    <xf borderId="0" fillId="24" fontId="2" numFmtId="0" xfId="0" applyAlignment="1" applyFont="1">
      <alignment readingOrder="0" vertical="bottom"/>
    </xf>
    <xf borderId="0" fillId="18" fontId="10" numFmtId="0" xfId="0" applyAlignment="1" applyFont="1">
      <alignment horizontal="center" readingOrder="0"/>
    </xf>
    <xf borderId="12" fillId="2" fontId="2" numFmtId="0" xfId="0" applyAlignment="1" applyBorder="1" applyFont="1">
      <alignment readingOrder="0" vertical="bottom"/>
    </xf>
    <xf borderId="13" fillId="2" fontId="2" numFmtId="0" xfId="0" applyAlignment="1" applyBorder="1" applyFont="1">
      <alignment readingOrder="0" vertical="bottom"/>
    </xf>
    <xf borderId="32" fillId="2" fontId="2" numFmtId="0" xfId="0" applyAlignment="1" applyBorder="1" applyFont="1">
      <alignment readingOrder="0" vertical="bottom"/>
    </xf>
    <xf borderId="14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22" fillId="13" fontId="1" numFmtId="0" xfId="0" applyAlignment="1" applyBorder="1" applyFont="1">
      <alignment readingOrder="0"/>
    </xf>
    <xf borderId="27" fillId="13" fontId="1" numFmtId="0" xfId="0" applyAlignment="1" applyBorder="1" applyFont="1">
      <alignment readingOrder="0"/>
    </xf>
    <xf borderId="29" fillId="13" fontId="6" numFmtId="0" xfId="0" applyAlignment="1" applyBorder="1" applyFont="1">
      <alignment readingOrder="0"/>
    </xf>
    <xf borderId="22" fillId="4" fontId="1" numFmtId="0" xfId="0" applyAlignment="1" applyBorder="1" applyFont="1">
      <alignment readingOrder="0"/>
    </xf>
    <xf borderId="27" fillId="4" fontId="1" numFmtId="0" xfId="0" applyAlignment="1" applyBorder="1" applyFont="1">
      <alignment readingOrder="0"/>
    </xf>
    <xf borderId="29" fillId="4" fontId="6" numFmtId="0" xfId="0" applyAlignment="1" applyBorder="1" applyFont="1">
      <alignment readingOrder="0"/>
    </xf>
    <xf borderId="22" fillId="19" fontId="1" numFmtId="0" xfId="0" applyAlignment="1" applyBorder="1" applyFont="1">
      <alignment readingOrder="0"/>
    </xf>
    <xf borderId="27" fillId="19" fontId="1" numFmtId="0" xfId="0" applyAlignment="1" applyBorder="1" applyFont="1">
      <alignment readingOrder="0"/>
    </xf>
    <xf borderId="29" fillId="19" fontId="6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  <xf borderId="0" fillId="37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39" fontId="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" numFmtId="1" xfId="0" applyFont="1" applyNumberFormat="1"/>
    <xf borderId="0" fillId="40" fontId="1" numFmtId="0" xfId="0" applyAlignment="1" applyFill="1" applyFont="1">
      <alignment readingOrder="0"/>
    </xf>
    <xf borderId="0" fillId="41" fontId="1" numFmtId="0" xfId="0" applyAlignment="1" applyFill="1" applyFont="1">
      <alignment readingOrder="0"/>
    </xf>
    <xf borderId="0" fillId="41" fontId="1" numFmtId="0" xfId="0" applyFont="1"/>
    <xf borderId="0" fillId="0" fontId="11" numFmtId="0" xfId="0" applyFont="1"/>
    <xf borderId="0" fillId="41" fontId="1" numFmtId="0" xfId="0" applyFont="1"/>
    <xf borderId="0" fillId="4" fontId="1" numFmtId="0" xfId="0" applyFont="1"/>
    <xf borderId="0" fillId="17" fontId="1" numFmtId="0" xfId="0" applyAlignment="1" applyFont="1">
      <alignment readingOrder="0"/>
    </xf>
    <xf borderId="50" fillId="17" fontId="1" numFmtId="0" xfId="0" applyAlignment="1" applyBorder="1" applyFont="1">
      <alignment readingOrder="0"/>
    </xf>
    <xf borderId="50" fillId="0" fontId="1" numFmtId="1" xfId="0" applyBorder="1" applyFont="1" applyNumberFormat="1"/>
    <xf borderId="0" fillId="0" fontId="1" numFmtId="1" xfId="0" applyAlignment="1" applyFont="1" applyNumberFormat="1">
      <alignment readingOrder="0"/>
    </xf>
    <xf borderId="13" fillId="2" fontId="1" numFmtId="0" xfId="0" applyAlignment="1" applyBorder="1" applyFont="1">
      <alignment readingOrder="0"/>
    </xf>
    <xf borderId="29" fillId="0" fontId="1" numFmtId="0" xfId="0" applyBorder="1" applyFont="1"/>
    <xf borderId="0" fillId="0" fontId="1" numFmtId="0" xfId="0" applyAlignment="1" applyFont="1">
      <alignment horizontal="center" vertical="center"/>
    </xf>
    <xf borderId="0" fillId="0" fontId="6" numFmtId="0" xfId="0" applyFont="1"/>
    <xf borderId="0" fillId="0" fontId="2" numFmtId="0" xfId="0" applyAlignment="1" applyFont="1">
      <alignment horizontal="center"/>
    </xf>
    <xf borderId="22" fillId="0" fontId="2" numFmtId="0" xfId="0" applyAlignment="1" applyBorder="1" applyFont="1">
      <alignment readingOrder="0" vertical="bottom"/>
    </xf>
    <xf borderId="27" fillId="0" fontId="2" numFmtId="0" xfId="0" applyAlignment="1" applyBorder="1" applyFont="1">
      <alignment vertical="bottom"/>
    </xf>
    <xf borderId="29" fillId="0" fontId="2" numFmtId="0" xfId="0" applyAlignment="1" applyBorder="1" applyFont="1">
      <alignment readingOrder="0" vertical="bottom"/>
    </xf>
    <xf borderId="29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25" fillId="2" fontId="2" numFmtId="0" xfId="0" applyAlignment="1" applyBorder="1" applyFont="1">
      <alignment vertical="bottom"/>
    </xf>
    <xf borderId="6" fillId="17" fontId="2" numFmtId="0" xfId="0" applyAlignment="1" applyBorder="1" applyFont="1">
      <alignment vertical="bottom"/>
    </xf>
    <xf borderId="9" fillId="17" fontId="2" numFmtId="0" xfId="0" applyAlignment="1" applyBorder="1" applyFont="1">
      <alignment vertical="bottom"/>
    </xf>
    <xf borderId="10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vertical="bottom"/>
    </xf>
    <xf borderId="16" fillId="2" fontId="2" numFmtId="0" xfId="0" applyAlignment="1" applyBorder="1" applyFont="1">
      <alignment vertical="bottom"/>
    </xf>
    <xf borderId="51" fillId="2" fontId="2" numFmtId="0" xfId="0" applyAlignment="1" applyBorder="1" applyFont="1">
      <alignment vertical="bottom"/>
    </xf>
    <xf borderId="16" fillId="2" fontId="2" numFmtId="0" xfId="0" applyAlignment="1" applyBorder="1" applyFont="1">
      <alignment readingOrder="0" vertical="bottom"/>
    </xf>
    <xf borderId="6" fillId="19" fontId="2" numFmtId="0" xfId="0" applyAlignment="1" applyBorder="1" applyFont="1">
      <alignment vertical="bottom"/>
    </xf>
    <xf borderId="9" fillId="19" fontId="2" numFmtId="0" xfId="0" applyAlignment="1" applyBorder="1" applyFont="1">
      <alignment vertical="bottom"/>
    </xf>
    <xf borderId="52" fillId="0" fontId="2" numFmtId="0" xfId="0" applyAlignment="1" applyBorder="1" applyFont="1">
      <alignment vertical="bottom"/>
    </xf>
    <xf borderId="6" fillId="4" fontId="2" numFmtId="0" xfId="0" applyAlignment="1" applyBorder="1" applyFont="1">
      <alignment vertical="bottom"/>
    </xf>
    <xf borderId="9" fillId="4" fontId="2" numFmtId="0" xfId="0" applyAlignment="1" applyBorder="1" applyFont="1">
      <alignment vertical="bottom"/>
    </xf>
    <xf borderId="6" fillId="11" fontId="2" numFmtId="0" xfId="0" applyAlignment="1" applyBorder="1" applyFont="1">
      <alignment vertical="bottom"/>
    </xf>
    <xf borderId="9" fillId="11" fontId="2" numFmtId="0" xfId="0" applyAlignment="1" applyBorder="1" applyFont="1">
      <alignment vertical="bottom"/>
    </xf>
    <xf borderId="11" fillId="0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31" fillId="42" fontId="1" numFmtId="0" xfId="0" applyAlignment="1" applyBorder="1" applyFill="1" applyFont="1">
      <alignment readingOrder="0"/>
    </xf>
    <xf borderId="31" fillId="18" fontId="1" numFmtId="0" xfId="0" applyAlignment="1" applyBorder="1" applyFont="1">
      <alignment readingOrder="0"/>
    </xf>
    <xf borderId="31" fillId="18" fontId="1" numFmtId="0" xfId="0" applyBorder="1" applyFont="1"/>
    <xf borderId="53" fillId="0" fontId="2" numFmtId="0" xfId="0" applyAlignment="1" applyBorder="1" applyFont="1">
      <alignment vertical="bottom"/>
    </xf>
    <xf borderId="10" fillId="0" fontId="2" numFmtId="0" xfId="0" applyAlignment="1" applyBorder="1" applyFont="1">
      <alignment readingOrder="0" vertical="bottom"/>
    </xf>
    <xf borderId="31" fillId="43" fontId="1" numFmtId="0" xfId="0" applyAlignment="1" applyBorder="1" applyFill="1" applyFont="1">
      <alignment readingOrder="0"/>
    </xf>
    <xf borderId="31" fillId="43" fontId="1" numFmtId="0" xfId="0" applyBorder="1" applyFont="1"/>
    <xf borderId="0" fillId="0" fontId="1" numFmtId="0" xfId="0" applyAlignment="1" applyFont="1">
      <alignment readingOrder="0" shrinkToFit="0" wrapText="1"/>
    </xf>
    <xf borderId="14" fillId="0" fontId="1" numFmtId="0" xfId="0" applyBorder="1" applyFont="1"/>
    <xf borderId="32" fillId="2" fontId="1" numFmtId="0" xfId="0" applyAlignment="1" applyBorder="1" applyFont="1">
      <alignment readingOrder="0"/>
    </xf>
    <xf borderId="10" fillId="18" fontId="12" numFmtId="0" xfId="0" applyAlignment="1" applyBorder="1" applyFont="1">
      <alignment horizontal="right" readingOrder="0"/>
    </xf>
    <xf borderId="10" fillId="0" fontId="1" numFmtId="0" xfId="0" applyAlignment="1" applyBorder="1" applyFont="1">
      <alignment readingOrder="0"/>
    </xf>
    <xf borderId="0" fillId="18" fontId="12" numFmtId="0" xfId="0" applyAlignment="1" applyFont="1">
      <alignment horizontal="right" readingOrder="0"/>
    </xf>
    <xf borderId="12" fillId="2" fontId="2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32" fillId="2" fontId="2" numFmtId="0" xfId="0" applyAlignment="1" applyBorder="1" applyFont="1">
      <alignment vertical="bottom"/>
    </xf>
  </cellXfs>
  <cellStyles count="1">
    <cellStyle xfId="0" name="Normal" builtinId="0"/>
  </cellStyles>
  <dxfs count="1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i/>
        <color rgb="FFD9D9D9"/>
      </font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>
        <i/>
        <color rgb="FFB7B7B7"/>
      </font>
      <fill>
        <patternFill patternType="solid">
          <fgColor rgb="FFD9EAD3"/>
          <bgColor rgb="FFD9EAD3"/>
        </patternFill>
      </fill>
      <border/>
    </dxf>
    <dxf>
      <font>
        <i/>
        <color rgb="FFB7B7B7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4">
    <tableStyle count="4" pivot="0" name="LATE TRACKER-style">
      <tableStyleElement dxfId="7" type="headerRow"/>
      <tableStyleElement dxfId="8" type="firstRowStripe"/>
      <tableStyleElement dxfId="9" type="secondRowStripe"/>
      <tableStyleElement dxfId="10" size="0" type="wholeTable"/>
    </tableStyle>
    <tableStyle count="3" pivot="0" name="Marcel-style">
      <tableStyleElement dxfId="16" type="headerRow"/>
      <tableStyleElement dxfId="8" type="firstRowStripe"/>
      <tableStyleElement dxfId="17" type="secondRowStripe"/>
    </tableStyle>
    <tableStyle count="3" pivot="0" name="Charlie-style">
      <tableStyleElement dxfId="16" type="headerRow"/>
      <tableStyleElement dxfId="8" type="firstRowStripe"/>
      <tableStyleElement dxfId="17" type="secondRowStripe"/>
    </tableStyle>
    <tableStyle count="3" pivot="0" name="Alx-style">
      <tableStyleElement dxfId="16" type="headerRow"/>
      <tableStyleElement dxfId="8" type="firstRowStripe"/>
      <tableStyleElement dxfId="17" type="secondRowStripe"/>
    </tableStyle>
    <tableStyle count="3" pivot="0" name="Delay-style">
      <tableStyleElement dxfId="16" type="headerRow"/>
      <tableStyleElement dxfId="8" type="firstRowStripe"/>
      <tableStyleElement dxfId="17" type="secondRowStripe"/>
    </tableStyle>
    <tableStyle count="3" pivot="0" name="Ghonty-style">
      <tableStyleElement dxfId="16" type="headerRow"/>
      <tableStyleElement dxfId="8" type="firstRowStripe"/>
      <tableStyleElement dxfId="17" type="secondRowStripe"/>
    </tableStyle>
    <tableStyle count="3" pivot="0" name="Mina-style">
      <tableStyleElement dxfId="16" type="headerRow"/>
      <tableStyleElement dxfId="8" type="firstRowStripe"/>
      <tableStyleElement dxfId="17" type="secondRowStripe"/>
    </tableStyle>
    <tableStyle count="3" pivot="0" name="Vierazy-style">
      <tableStyleElement dxfId="16" type="headerRow"/>
      <tableStyleElement dxfId="8" type="firstRowStripe"/>
      <tableStyleElement dxfId="17" type="secondRowStripe"/>
    </tableStyle>
    <tableStyle count="3" pivot="0" name="Faal-style">
      <tableStyleElement dxfId="16" type="headerRow"/>
      <tableStyleElement dxfId="8" type="firstRowStripe"/>
      <tableStyleElement dxfId="17" type="secondRowStripe"/>
    </tableStyle>
    <tableStyle count="3" pivot="0" name="Nonna-style">
      <tableStyleElement dxfId="16" type="headerRow"/>
      <tableStyleElement dxfId="8" type="firstRowStripe"/>
      <tableStyleElement dxfId="17" type="secondRowStripe"/>
    </tableStyle>
    <tableStyle count="3" pivot="0" name="Mawino-style">
      <tableStyleElement dxfId="16" type="headerRow"/>
      <tableStyleElement dxfId="8" type="firstRowStripe"/>
      <tableStyleElement dxfId="17" type="secondRowStripe"/>
    </tableStyle>
    <tableStyle count="3" pivot="0" name="Sophster-style">
      <tableStyleElement dxfId="16" type="headerRow"/>
      <tableStyleElement dxfId="8" type="firstRowStripe"/>
      <tableStyleElement dxfId="17" type="secondRowStripe"/>
    </tableStyle>
    <tableStyle count="3" pivot="0" name="Bendy-style">
      <tableStyleElement dxfId="16" type="headerRow"/>
      <tableStyleElement dxfId="8" type="firstRowStripe"/>
      <tableStyleElement dxfId="17" type="secondRowStripe"/>
    </tableStyle>
    <tableStyle count="3" pivot="0" name="Wish-style">
      <tableStyleElement dxfId="16" type="headerRow"/>
      <tableStyleElement dxfId="8" type="firstRowStripe"/>
      <tableStyleElement dxfId="1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13</xdr:row>
      <xdr:rowOff>9525</xdr:rowOff>
    </xdr:from>
    <xdr:ext cx="952500" cy="561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18</xdr:row>
      <xdr:rowOff>209550</xdr:rowOff>
    </xdr:from>
    <xdr:ext cx="1962150" cy="1790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18</xdr:row>
      <xdr:rowOff>209550</xdr:rowOff>
    </xdr:from>
    <xdr:ext cx="1962150" cy="1790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857250</xdr:colOff>
      <xdr:row>2</xdr:row>
      <xdr:rowOff>57150</xdr:rowOff>
    </xdr:from>
    <xdr:ext cx="914400" cy="9144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18</xdr:row>
      <xdr:rowOff>209550</xdr:rowOff>
    </xdr:from>
    <xdr:ext cx="1962150" cy="1790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18</xdr:row>
      <xdr:rowOff>209550</xdr:rowOff>
    </xdr:from>
    <xdr:ext cx="1962150" cy="1790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638175</xdr:colOff>
      <xdr:row>1</xdr:row>
      <xdr:rowOff>209550</xdr:rowOff>
    </xdr:from>
    <xdr:ext cx="1962150" cy="1790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828675</xdr:colOff>
      <xdr:row>13</xdr:row>
      <xdr:rowOff>180975</xdr:rowOff>
    </xdr:from>
    <xdr:ext cx="904875" cy="9144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4</xdr:row>
      <xdr:rowOff>57150</xdr:rowOff>
    </xdr:from>
    <xdr:ext cx="742950" cy="742950"/>
    <xdr:pic>
      <xdr:nvPicPr>
        <xdr:cNvPr id="0" name="image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20</xdr:row>
      <xdr:rowOff>57150</xdr:rowOff>
    </xdr:from>
    <xdr:ext cx="742950" cy="742950"/>
    <xdr:pic>
      <xdr:nvPicPr>
        <xdr:cNvPr id="0" name="image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" displayName="Table1" name="Table1" id="1">
  <tableColumns count="4">
    <tableColumn name="Name" id="1"/>
    <tableColumn name=" LATE" id="2"/>
    <tableColumn name="RAIDS" id="3"/>
    <tableColumn name="% LATE" id="4"/>
  </tableColumns>
  <tableStyleInfo name="LATE TRACKER-style" showColumnStripes="0" showFirstColumn="1" showLastColumn="1" showRowStripes="1"/>
</table>
</file>

<file path=xl/tables/table2.xml><?xml version="1.0" encoding="utf-8"?>
<table xmlns="http://schemas.openxmlformats.org/spreadsheetml/2006/main" headerRowCount="0" ref="B3:W13" displayName="Table_1" name="Table_1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Marc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3:W13" displayName="Table_2" name="Table_2" id="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Charli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3:W13" displayName="Table_3" name="Table_3" id="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lx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3:W13" displayName="Table_4" name="Table_4" id="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Dela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3:W13" displayName="Table_5" name="Table_5" id="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Ghont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3:W13" displayName="Table_6" name="Table_6" id="7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Min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3:W13" displayName="Table_7" name="Table_7" id="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Vieraz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B3:W13" displayName="Table_8" name="Table_8" id="9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Fa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B3:W13" displayName="Table_9" name="Table_9" id="1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Nonn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3:W13" displayName="Table_10" name="Table_10" id="1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Mawin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B3:W13" displayName="Table_11" name="Table_11" id="1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Sophs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B3:W13" displayName="Table_12" name="Table_12" id="1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end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B3:W13" displayName="Table_13" name="Table_13" id="1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is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4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5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6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7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8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9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10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11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1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1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1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9" max="9" width="12.63"/>
  </cols>
  <sheetData>
    <row r="1">
      <c r="C1" s="1"/>
      <c r="D1" s="1"/>
      <c r="E1" s="1"/>
      <c r="F1" s="1"/>
    </row>
    <row r="2">
      <c r="A2" s="2" t="s">
        <v>0</v>
      </c>
      <c r="B2" s="3" t="s">
        <v>1</v>
      </c>
      <c r="C2" s="4" t="s">
        <v>2</v>
      </c>
      <c r="D2" s="5" t="s">
        <v>3</v>
      </c>
      <c r="E2" s="5" t="s">
        <v>4</v>
      </c>
      <c r="F2" s="6" t="s">
        <v>5</v>
      </c>
      <c r="H2" s="7" t="s">
        <v>6</v>
      </c>
    </row>
    <row r="3">
      <c r="B3" s="8"/>
      <c r="C3" s="9" t="str">
        <f>IFERROR(__xludf.DUMMYFUNCTION("IF(ISBLANK(C2),"""",HLOOKUP(REGEXEXTRACT(C2,"".*-(.*)""),INDIRECT(CONCATENATE(REGEXEXTRACT(C2,""(.*)-.*""),""!C3:P"")),2,FALSE))"),"Slayer")</f>
        <v>Slayer</v>
      </c>
      <c r="D3" s="9" t="str">
        <f>IFERROR(__xludf.DUMMYFUNCTION("IF(ISBLANK(D2),"""",HLOOKUP(REGEXEXTRACT(D2,"".*-(.*)""),INDIRECT(CONCATENATE(REGEXEXTRACT(D2,""(.*)-.*""),""!C3:P"")),2,FALSE))"),"Sorceress")</f>
        <v>Sorceress</v>
      </c>
      <c r="E3" s="9" t="str">
        <f>IFERROR(__xludf.DUMMYFUNCTION("IF(ISBLANK(E2),"""",HLOOKUP(REGEXEXTRACT(E2,"".*-(.*)""),INDIRECT(CONCATENATE(REGEXEXTRACT(E2,""(.*)-.*""),""!C3:P"")),2,FALSE))"),"Gunslinger")</f>
        <v>Gunslinger</v>
      </c>
      <c r="F3" s="10" t="str">
        <f>IFERROR(__xludf.DUMMYFUNCTION("IF(ISBLANK(F2),"""",HLOOKUP(REGEXEXTRACT(F2,"".*-(.*)""),INDIRECT(CONCATENATE(REGEXEXTRACT(F2,""(.*)-.*""),""!C3:P"")),2,FALSE))"),"#REF!")</f>
        <v>#REF!</v>
      </c>
      <c r="H3" s="7" t="s">
        <v>6</v>
      </c>
    </row>
    <row r="4">
      <c r="B4" s="11"/>
      <c r="C4" s="12">
        <f>IFERROR(__xludf.DUMMYFUNCTION("IF(ISBLANK(C2),"""",HLOOKUP(REGEXEXTRACT(C2,"".*-(.*)""),INDIRECT(CONCATENATE(REGEXEXTRACT(C2,""(.*)-.*""),""!C3:P"")),3,FALSE))"),1560.0)</f>
        <v>1560</v>
      </c>
      <c r="D4" s="12">
        <f>IFERROR(__xludf.DUMMYFUNCTION("IF(ISBLANK(D2),"""",HLOOKUP(REGEXEXTRACT(D2,"".*-(.*)""),INDIRECT(CONCATENATE(REGEXEXTRACT(D2,""(.*)-.*""),""!C3:P"")),3,FALSE))"),1600.0)</f>
        <v>1600</v>
      </c>
      <c r="E4" s="12">
        <f>IFERROR(__xludf.DUMMYFUNCTION("IF(ISBLANK(E2),"""",HLOOKUP(REGEXEXTRACT(E2,"".*-(.*)""),INDIRECT(CONCATENATE(REGEXEXTRACT(E2,""(.*)-.*""),""!C3:P"")),3,FALSE))"),1750.0)</f>
        <v>1750</v>
      </c>
      <c r="F4" s="13" t="str">
        <f>IFERROR(__xludf.DUMMYFUNCTION("IF(ISBLANK(F2),"""",HLOOKUP(REGEXEXTRACT(F2,"".*-(.*)""),INDIRECT(CONCATENATE(REGEXEXTRACT(F2,""(.*)-.*""),""!C3:P"")),3,FALSE))"),"#REF!")</f>
        <v>#REF!</v>
      </c>
      <c r="H4" s="7" t="s">
        <v>6</v>
      </c>
    </row>
    <row r="5">
      <c r="H5" s="7" t="s">
        <v>6</v>
      </c>
    </row>
    <row r="6">
      <c r="A6" s="2" t="s">
        <v>0</v>
      </c>
      <c r="B6" s="3" t="s">
        <v>1</v>
      </c>
      <c r="C6" s="4" t="s">
        <v>7</v>
      </c>
      <c r="D6" s="5" t="s">
        <v>8</v>
      </c>
      <c r="E6" s="5" t="s">
        <v>9</v>
      </c>
      <c r="F6" s="6" t="s">
        <v>10</v>
      </c>
      <c r="H6" s="7" t="s">
        <v>6</v>
      </c>
    </row>
    <row r="7">
      <c r="B7" s="8"/>
      <c r="C7" s="9" t="str">
        <f>IFERROR(__xludf.DUMMYFUNCTION("IF(ISBLANK(C6),"""",HLOOKUP(REGEXEXTRACT(C6,"".*-(.*)""),INDIRECT(CONCATENATE(REGEXEXTRACT(C6,""(.*)-.*""),""!C3:I"")),2,FALSE))"),"Wardancer")</f>
        <v>Wardancer</v>
      </c>
      <c r="D7" s="9" t="str">
        <f>IFERROR(__xludf.DUMMYFUNCTION("IF(ISBLANK(D6),"""",HLOOKUP(REGEXEXTRACT(D6,"".*-(.*)""),INDIRECT(CONCATENATE(REGEXEXTRACT(D6,""(.*)-.*""),""!C3:P"")),2,FALSE))"),"#N/A")</f>
        <v>#N/A</v>
      </c>
      <c r="E7" s="9" t="str">
        <f>IFERROR(__xludf.DUMMYFUNCTION("IF(ISBLANK(E6),"""",HLOOKUP(REGEXEXTRACT(E6,"".*-(.*)""),INDIRECT(CONCATENATE(REGEXEXTRACT(E6,""(.*)-.*""),""!C3:P"")),2,FALSE))"),"Deathblade")</f>
        <v>Deathblade</v>
      </c>
      <c r="F7" s="10" t="str">
        <f>IFERROR(__xludf.DUMMYFUNCTION("IF(ISBLANK(F6),"""",HLOOKUP(REGEXEXTRACT(F6,"".*-(.*)""),INDIRECT(CONCATENATE(REGEXEXTRACT(F6,""(.*)-.*""),""!C3:P"")),2,FALSE))"),"#REF!")</f>
        <v>#REF!</v>
      </c>
      <c r="H7" s="7" t="s">
        <v>6</v>
      </c>
    </row>
    <row r="8">
      <c r="B8" s="11"/>
      <c r="C8" s="12">
        <f>IFERROR(__xludf.DUMMYFUNCTION("IF(ISBLANK(C6),"""",HLOOKUP(REGEXEXTRACT(C6,"".*-(.*)""),INDIRECT(CONCATENATE(REGEXEXTRACT(C6,""(.*)-.*""),""!C3:P"")),3,FALSE))"),1620.0)</f>
        <v>1620</v>
      </c>
      <c r="D8" s="12" t="str">
        <f>IFERROR(__xludf.DUMMYFUNCTION("IF(ISBLANK(D6),"""",HLOOKUP(REGEXEXTRACT(D6,"".*-(.*)""),INDIRECT(CONCATENATE(REGEXEXTRACT(D6,""(.*)-.*""),""!C3:P"")),3,FALSE))"),"#N/A")</f>
        <v>#N/A</v>
      </c>
      <c r="E8" s="12">
        <f>IFERROR(__xludf.DUMMYFUNCTION("IF(ISBLANK(E6),"""",HLOOKUP(REGEXEXTRACT(E6,"".*-(.*)""),INDIRECT(CONCATENATE(REGEXEXTRACT(E6,""(.*)-.*""),""!C3:P"")),3,FALSE))"),1600.0)</f>
        <v>1600</v>
      </c>
      <c r="F8" s="13" t="str">
        <f>IFERROR(__xludf.DUMMYFUNCTION("IF(ISBLANK(F6),"""",HLOOKUP(REGEXEXTRACT(F6,"".*-(.*)""),INDIRECT(CONCATENATE(REGEXEXTRACT(F6,""(.*)-.*""),""!C3:P"")),3,FALSE))"),"#REF!")</f>
        <v>#REF!</v>
      </c>
    </row>
    <row r="9">
      <c r="E9" s="7" t="s">
        <v>11</v>
      </c>
    </row>
    <row r="10">
      <c r="A10" s="2"/>
      <c r="B10" s="3" t="s">
        <v>1</v>
      </c>
      <c r="C10" s="4" t="s">
        <v>12</v>
      </c>
      <c r="D10" s="5" t="s">
        <v>13</v>
      </c>
      <c r="E10" s="5" t="s">
        <v>14</v>
      </c>
      <c r="F10" s="6" t="s">
        <v>15</v>
      </c>
    </row>
    <row r="11">
      <c r="B11" s="14"/>
      <c r="C11" s="9" t="str">
        <f>IFERROR(__xludf.DUMMYFUNCTION("IF(ISBLANK(C10),"""",HLOOKUP(REGEXEXTRACT(C10,"".*-(.*)""),INDIRECT(CONCATENATE(REGEXEXTRACT(C10,""(.*)-.*""),""!C3:I"")),2,FALSE))"),"Bard")</f>
        <v>Bard</v>
      </c>
      <c r="D11" s="9" t="str">
        <f>IFERROR(__xludf.DUMMYFUNCTION("IF(ISBLANK(D10),"""",HLOOKUP(REGEXEXTRACT(D10,"".*-(.*)""),INDIRECT(CONCATENATE(REGEXEXTRACT(D10,""(.*)-.*""),""!C3:P"")),2,FALSE))"),"Arcana")</f>
        <v>Arcana</v>
      </c>
      <c r="E11" s="9" t="str">
        <f>IFERROR(__xludf.DUMMYFUNCTION("IF(ISBLANK(E10),"""",HLOOKUP(REGEXEXTRACT(E10,"".*-(.*)""),INDIRECT(CONCATENATE(REGEXEXTRACT(E10,""(.*)-.*""),""!C3:P"")),2,FALSE))"),"Sorceress")</f>
        <v>Sorceress</v>
      </c>
      <c r="F11" s="10" t="str">
        <f>IFERROR(__xludf.DUMMYFUNCTION("IF(ISBLANK(F10),"""",HLOOKUP(REGEXEXTRACT(F10,"".*-(.*)""),INDIRECT(CONCATENATE(REGEXEXTRACT(F10,""(.*)-.*""),""!C3:P"")),2,FALSE))"),"#REF!")</f>
        <v>#REF!</v>
      </c>
    </row>
    <row r="12">
      <c r="B12" s="15"/>
      <c r="C12" s="12">
        <f>IFERROR(__xludf.DUMMYFUNCTION("IF(ISBLANK(C10),"""",HLOOKUP(REGEXEXTRACT(C10,"".*-(.*)""),INDIRECT(CONCATENATE(REGEXEXTRACT(C10,""(.*)-.*""),""!C3:P"")),3,FALSE))"),1560.0)</f>
        <v>1560</v>
      </c>
      <c r="D12" s="12">
        <f>IFERROR(__xludf.DUMMYFUNCTION("IF(ISBLANK(D10),"""",HLOOKUP(REGEXEXTRACT(D10,"".*-(.*)""),INDIRECT(CONCATENATE(REGEXEXTRACT(D10,""(.*)-.*""),""!C3:P"")),3,FALSE))"),1560.0)</f>
        <v>1560</v>
      </c>
      <c r="E12" s="12">
        <f>IFERROR(__xludf.DUMMYFUNCTION("IF(ISBLANK(E10),"""",HLOOKUP(REGEXEXTRACT(E10,"".*-(.*)""),INDIRECT(CONCATENATE(REGEXEXTRACT(E10,""(.*)-.*""),""!C3:P"")),3,FALSE))"),1750.0)</f>
        <v>1750</v>
      </c>
      <c r="F12" s="13" t="str">
        <f>IFERROR(__xludf.DUMMYFUNCTION("IF(ISBLANK(F10),"""",HLOOKUP(REGEXEXTRACT(F10,"".*-(.*)""),INDIRECT(CONCATENATE(REGEXEXTRACT(F10,""(.*)-.*""),""!C3:P"")),3,FALSE))"),"#REF!")</f>
        <v>#REF!</v>
      </c>
    </row>
    <row r="13">
      <c r="C13" s="1"/>
      <c r="D13" s="1"/>
      <c r="E13" s="1"/>
      <c r="F13" s="1"/>
    </row>
    <row r="14">
      <c r="A14" s="2"/>
      <c r="B14" s="3" t="s">
        <v>1</v>
      </c>
      <c r="C14" s="4" t="s">
        <v>16</v>
      </c>
      <c r="D14" s="5" t="s">
        <v>17</v>
      </c>
      <c r="E14" s="5" t="s">
        <v>18</v>
      </c>
      <c r="F14" s="6" t="s">
        <v>19</v>
      </c>
      <c r="H14" s="7" t="s">
        <v>20</v>
      </c>
    </row>
    <row r="15">
      <c r="B15" s="14"/>
      <c r="C15" s="9" t="str">
        <f>IFERROR(__xludf.DUMMYFUNCTION("IF(ISBLANK(C14),"""",HLOOKUP(REGEXEXTRACT(C14,"".*-(.*)""),INDIRECT(CONCATENATE(REGEXEXTRACT(C14,""(.*)-.*""),""!C3:I"")),2,FALSE))"),"Deathblade")</f>
        <v>Deathblade</v>
      </c>
      <c r="D15" s="9" t="str">
        <f>IFERROR(__xludf.DUMMYFUNCTION("IF(ISBLANK(D14),"""",HLOOKUP(REGEXEXTRACT(D14,"".*-(.*)""),INDIRECT(CONCATENATE(REGEXEXTRACT(D14,""(.*)-.*""),""!C3:P"")),2,FALSE))"),"#N/A")</f>
        <v>#N/A</v>
      </c>
      <c r="E15" s="9" t="str">
        <f>IFERROR(__xludf.DUMMYFUNCTION("IF(ISBLANK(E14),"""",HLOOKUP(REGEXEXTRACT(E14,"".*-(.*)""),INDIRECT(CONCATENATE(REGEXEXTRACT(E14,""(.*)-.*""),""!C3:P"")),2,FALSE))"),"Striker")</f>
        <v>Striker</v>
      </c>
      <c r="F15" s="10" t="str">
        <f>IFERROR(__xludf.DUMMYFUNCTION("IF(ISBLANK(F14),"""",HLOOKUP(REGEXEXTRACT(F14,"".*-(.*)""),INDIRECT(CONCATENATE(REGEXEXTRACT(F14,""(.*)-.*""),""!C3:P"")),2,FALSE))"),"#REF!")</f>
        <v>#REF!</v>
      </c>
      <c r="H15" s="7" t="s">
        <v>21</v>
      </c>
    </row>
    <row r="16">
      <c r="B16" s="15"/>
      <c r="C16" s="12">
        <f>IFERROR(__xludf.DUMMYFUNCTION("IF(ISBLANK(C14),"""",HLOOKUP(REGEXEXTRACT(C14,"".*-(.*)""),INDIRECT(CONCATENATE(REGEXEXTRACT(C14,""(.*)-.*""),""!C3:P"")),3,FALSE))"),1540.0)</f>
        <v>1540</v>
      </c>
      <c r="D16" s="12" t="str">
        <f>IFERROR(__xludf.DUMMYFUNCTION("IF(ISBLANK(D14),"""",HLOOKUP(REGEXEXTRACT(D14,"".*-(.*)""),INDIRECT(CONCATENATE(REGEXEXTRACT(D14,""(.*)-.*""),""!C3:P"")),3,FALSE))"),"#N/A")</f>
        <v>#N/A</v>
      </c>
      <c r="E16" s="12">
        <f>IFERROR(__xludf.DUMMYFUNCTION("IF(ISBLANK(E14),"""",HLOOKUP(REGEXEXTRACT(E14,"".*-(.*)""),INDIRECT(CONCATENATE(REGEXEXTRACT(E14,""(.*)-.*""),""!C3:P"")),3,FALSE))"),1540.0)</f>
        <v>1540</v>
      </c>
      <c r="F16" s="13" t="str">
        <f>IFERROR(__xludf.DUMMYFUNCTION("IF(ISBLANK(F14),"""",HLOOKUP(REGEXEXTRACT(F14,"".*-(.*)""),INDIRECT(CONCATENATE(REGEXEXTRACT(F14,""(.*)-.*""),""!C3:P"")),3,FALSE))"),"#REF!")</f>
        <v>#REF!</v>
      </c>
      <c r="H16" s="7" t="s">
        <v>22</v>
      </c>
    </row>
    <row r="18">
      <c r="A18" s="2" t="s">
        <v>0</v>
      </c>
      <c r="B18" s="16" t="s">
        <v>1</v>
      </c>
      <c r="C18" s="4" t="s">
        <v>23</v>
      </c>
      <c r="D18" s="5" t="s">
        <v>24</v>
      </c>
      <c r="E18" s="5" t="s">
        <v>25</v>
      </c>
      <c r="F18" s="6" t="s">
        <v>26</v>
      </c>
      <c r="H18" s="7" t="s">
        <v>27</v>
      </c>
    </row>
    <row r="19">
      <c r="B19" s="17"/>
      <c r="C19" s="9" t="str">
        <f>IFERROR(__xludf.DUMMYFUNCTION("IF(ISBLANK(C18),"""",HLOOKUP(REGEXEXTRACT(C18,"".*-(.*)""),INDIRECT(CONCATENATE(REGEXEXTRACT(C18,""(.*)-.*""),""!C3:I"")),2,FALSE))"),"#REF!")</f>
        <v>#REF!</v>
      </c>
      <c r="D19" s="9" t="str">
        <f>IFERROR(__xludf.DUMMYFUNCTION("IF(ISBLANK(D18),"""",HLOOKUP(REGEXEXTRACT(D18,"".*-(.*)""),INDIRECT(CONCATENATE(REGEXEXTRACT(D18,""(.*)-.*""),""!C3:P"")),2,FALSE))"),"Slayer")</f>
        <v>Slayer</v>
      </c>
      <c r="E19" s="9" t="str">
        <f>IFERROR(__xludf.DUMMYFUNCTION("IF(ISBLANK(E18),"""",HLOOKUP(REGEXEXTRACT(E18,"".*-(.*)""),INDIRECT(CONCATENATE(REGEXEXTRACT(E18,""(.*)-.*""),""!C3:P"")),2,FALSE))"),"#N/A")</f>
        <v>#N/A</v>
      </c>
      <c r="F19" s="10" t="str">
        <f>IFERROR(__xludf.DUMMYFUNCTION("IF(ISBLANK(F18),"""",HLOOKUP(REGEXEXTRACT(F18,"".*-(.*)""),INDIRECT(CONCATENATE(REGEXEXTRACT(F18,""(.*)-.*""),""!C3:P"")),2,FALSE))"),"#REF!")</f>
        <v>#REF!</v>
      </c>
      <c r="H19" s="7" t="s">
        <v>28</v>
      </c>
    </row>
    <row r="20">
      <c r="B20" s="18"/>
      <c r="C20" s="12" t="str">
        <f>IFERROR(__xludf.DUMMYFUNCTION("IF(ISBLANK(C18),"""",HLOOKUP(REGEXEXTRACT(C18,"".*-(.*)""),INDIRECT(CONCATENATE(REGEXEXTRACT(C18,""(.*)-.*""),""!C3:P"")),3,FALSE))"),"#REF!")</f>
        <v>#REF!</v>
      </c>
      <c r="D20" s="12">
        <f>IFERROR(__xludf.DUMMYFUNCTION("IF(ISBLANK(D18),"""",HLOOKUP(REGEXEXTRACT(D18,"".*-(.*)""),INDIRECT(CONCATENATE(REGEXEXTRACT(D18,""(.*)-.*""),""!C3:P"")),3,FALSE))"),1750.0)</f>
        <v>1750</v>
      </c>
      <c r="E20" s="12" t="str">
        <f>IFERROR(__xludf.DUMMYFUNCTION("IF(ISBLANK(E18),"""",HLOOKUP(REGEXEXTRACT(E18,"".*-(.*)""),INDIRECT(CONCATENATE(REGEXEXTRACT(E18,""(.*)-.*""),""!C3:P"")),3,FALSE))"),"#N/A")</f>
        <v>#N/A</v>
      </c>
      <c r="F20" s="13" t="str">
        <f>IFERROR(__xludf.DUMMYFUNCTION("IF(ISBLANK(F18),"""",HLOOKUP(REGEXEXTRACT(F18,"".*-(.*)""),INDIRECT(CONCATENATE(REGEXEXTRACT(F18,""(.*)-.*""),""!C3:P"")),3,FALSE))"),"#REF!")</f>
        <v>#REF!</v>
      </c>
    </row>
    <row r="21">
      <c r="H21" s="7" t="s">
        <v>29</v>
      </c>
    </row>
    <row r="22">
      <c r="A22" s="2" t="s">
        <v>0</v>
      </c>
      <c r="B22" s="16" t="s">
        <v>1</v>
      </c>
      <c r="C22" s="4" t="s">
        <v>30</v>
      </c>
      <c r="D22" s="5" t="s">
        <v>31</v>
      </c>
      <c r="E22" s="5" t="s">
        <v>32</v>
      </c>
      <c r="F22" s="6" t="s">
        <v>33</v>
      </c>
      <c r="H22" s="7" t="s">
        <v>34</v>
      </c>
    </row>
    <row r="23">
      <c r="B23" s="17"/>
      <c r="C23" s="9" t="str">
        <f>IFERROR(__xludf.DUMMYFUNCTION("IF(ISBLANK(C22),"""",HLOOKUP(REGEXEXTRACT(C22,"".*-(.*)""),INDIRECT(CONCATENATE(REGEXEXTRACT(C22,""(.*)-.*""),""!C3:I"")),2,FALSE))"),"#N/A")</f>
        <v>#N/A</v>
      </c>
      <c r="D23" s="9" t="str">
        <f>IFERROR(__xludf.DUMMYFUNCTION("IF(ISBLANK(D22),"""",HLOOKUP(REGEXEXTRACT(D22,"".*-(.*)""),INDIRECT(CONCATENATE(REGEXEXTRACT(D22,""(.*)-.*""),""!C3:P"")),2,FALSE))"),"#REF!")</f>
        <v>#REF!</v>
      </c>
      <c r="E23" s="9" t="str">
        <f>IFERROR(__xludf.DUMMYFUNCTION("IF(ISBLANK(E22),"""",HLOOKUP(REGEXEXTRACT(E22,"".*-(.*)""),INDIRECT(CONCATENATE(REGEXEXTRACT(E22,""(.*)-.*""),""!C3:P"")),2,FALSE))"),"Glaivier")</f>
        <v>Glaivier</v>
      </c>
      <c r="F23" s="10" t="str">
        <f>IFERROR(__xludf.DUMMYFUNCTION("IF(ISBLANK(F22),"""",HLOOKUP(REGEXEXTRACT(F22,"".*-(.*)""),INDIRECT(CONCATENATE(REGEXEXTRACT(F22,""(.*)-.*""),""!C3:P"")),2,FALSE))"),"#REF!")</f>
        <v>#REF!</v>
      </c>
    </row>
    <row r="24">
      <c r="B24" s="18"/>
      <c r="C24" s="12" t="str">
        <f>IFERROR(__xludf.DUMMYFUNCTION("IF(ISBLANK(C22),"""",HLOOKUP(REGEXEXTRACT(C22,"".*-(.*)""),INDIRECT(CONCATENATE(REGEXEXTRACT(C22,""(.*)-.*""),""!C3:P"")),3,FALSE))"),"#N/A")</f>
        <v>#N/A</v>
      </c>
      <c r="D24" s="12" t="str">
        <f>IFERROR(__xludf.DUMMYFUNCTION("IF(ISBLANK(D22),"""",HLOOKUP(REGEXEXTRACT(D22,"".*-(.*)""),INDIRECT(CONCATENATE(REGEXEXTRACT(D22,""(.*)-.*""),""!C3:P"")),3,FALSE))"),"#REF!")</f>
        <v>#REF!</v>
      </c>
      <c r="E24" s="12">
        <f>IFERROR(__xludf.DUMMYFUNCTION("IF(ISBLANK(E22),"""",HLOOKUP(REGEXEXTRACT(E22,"".*-(.*)""),INDIRECT(CONCATENATE(REGEXEXTRACT(E22,""(.*)-.*""),""!C3:P"")),3,FALSE))"),1750.0)</f>
        <v>1750</v>
      </c>
      <c r="F24" s="13" t="str">
        <f>IFERROR(__xludf.DUMMYFUNCTION("IF(ISBLANK(F22),"""",HLOOKUP(REGEXEXTRACT(F22,"".*-(.*)""),INDIRECT(CONCATENATE(REGEXEXTRACT(F22,""(.*)-.*""),""!C3:P"")),3,FALSE))"),"#REF!")</f>
        <v>#REF!</v>
      </c>
      <c r="H24" s="7" t="s">
        <v>35</v>
      </c>
    </row>
    <row r="26">
      <c r="A26" s="2" t="s">
        <v>0</v>
      </c>
      <c r="B26" s="3" t="s">
        <v>1</v>
      </c>
      <c r="C26" s="4" t="s">
        <v>36</v>
      </c>
      <c r="D26" s="5" t="s">
        <v>37</v>
      </c>
      <c r="E26" s="5" t="s">
        <v>38</v>
      </c>
      <c r="F26" s="6" t="s">
        <v>39</v>
      </c>
      <c r="H26" s="7" t="s">
        <v>40</v>
      </c>
    </row>
    <row r="27">
      <c r="B27" s="19"/>
      <c r="C27" s="9" t="str">
        <f>IFERROR(__xludf.DUMMYFUNCTION("IF(ISBLANK(C26),"""",HLOOKUP(REGEXEXTRACT(C26,"".*-(.*)""),INDIRECT(CONCATENATE(REGEXEXTRACT(C26,""(.*)-.*""),""!C3:I"")),2,FALSE))"),"#N/A")</f>
        <v>#N/A</v>
      </c>
      <c r="D27" s="9" t="str">
        <f>IFERROR(__xludf.DUMMYFUNCTION("IF(ISBLANK(D26),"""",HLOOKUP(REGEXEXTRACT(D26,"".*-(.*)""),INDIRECT(CONCATENATE(REGEXEXTRACT(D26,""(.*)-.*""),""!C3:P"")),2,FALSE))"),"Guardianknight")</f>
        <v>Guardianknight</v>
      </c>
      <c r="E27" s="9" t="str">
        <f>IFERROR(__xludf.DUMMYFUNCTION("IF(ISBLANK(E26),"""",HLOOKUP(REGEXEXTRACT(E26,"".*-(.*)""),INDIRECT(CONCATENATE(REGEXEXTRACT(E26,""(.*)-.*""),""!C3:P"")),2,FALSE))"),"#REF!")</f>
        <v>#REF!</v>
      </c>
      <c r="F27" s="10" t="str">
        <f>IFERROR(__xludf.DUMMYFUNCTION("IF(ISBLANK(F26),"""",HLOOKUP(REGEXEXTRACT(F26,"".*-(.*)""),INDIRECT(CONCATENATE(REGEXEXTRACT(F26,""(.*)-.*""),""!C3:P"")),2,FALSE))"),"Bard")</f>
        <v>Bard</v>
      </c>
      <c r="H27" s="7" t="s">
        <v>41</v>
      </c>
    </row>
    <row r="28">
      <c r="B28" s="20"/>
      <c r="C28" s="12" t="str">
        <f>IFERROR(__xludf.DUMMYFUNCTION("IF(ISBLANK(C26),"""",HLOOKUP(REGEXEXTRACT(C26,"".*-(.*)""),INDIRECT(CONCATENATE(REGEXEXTRACT(C26,""(.*)-.*""),""!C3:P"")),3,FALSE))"),"#N/A")</f>
        <v>#N/A</v>
      </c>
      <c r="D28" s="12">
        <f>IFERROR(__xludf.DUMMYFUNCTION("IF(ISBLANK(D26),"""",HLOOKUP(REGEXEXTRACT(D26,"".*-(.*)""),INDIRECT(CONCATENATE(REGEXEXTRACT(D26,""(.*)-.*""),""!C3:P"")),3,FALSE))"),1750.0)</f>
        <v>1750</v>
      </c>
      <c r="E28" s="12" t="str">
        <f>IFERROR(__xludf.DUMMYFUNCTION("IF(ISBLANK(E26),"""",HLOOKUP(REGEXEXTRACT(E26,"".*-(.*)""),INDIRECT(CONCATENATE(REGEXEXTRACT(E26,""(.*)-.*""),""!C3:P"")),3,FALSE))"),"#REF!")</f>
        <v>#REF!</v>
      </c>
      <c r="F28" s="13">
        <f>IFERROR(__xludf.DUMMYFUNCTION("IF(ISBLANK(F26),"""",HLOOKUP(REGEXEXTRACT(F26,"".*-(.*)""),INDIRECT(CONCATENATE(REGEXEXTRACT(F26,""(.*)-.*""),""!C3:P"")),3,FALSE))"),1540.0)</f>
        <v>1540</v>
      </c>
      <c r="H28" s="7" t="s">
        <v>35</v>
      </c>
    </row>
    <row r="30">
      <c r="A30" s="2" t="s">
        <v>0</v>
      </c>
      <c r="B30" s="16" t="s">
        <v>42</v>
      </c>
      <c r="C30" s="4"/>
      <c r="D30" s="5" t="s">
        <v>43</v>
      </c>
      <c r="E30" s="5" t="s">
        <v>44</v>
      </c>
      <c r="F30" s="6" t="s">
        <v>45</v>
      </c>
      <c r="H30" s="7" t="s">
        <v>46</v>
      </c>
    </row>
    <row r="31">
      <c r="B31" s="21"/>
      <c r="C31" s="9" t="str">
        <f>IFERROR(__xludf.DUMMYFUNCTION("IF(ISBLANK(C30),"""",HLOOKUP(REGEXEXTRACT(C30,"".*-(.*)""),INDIRECT(CONCATENATE(REGEXEXTRACT(C30,""(.*)-.*""),""!C3:I"")),2,FALSE))"),"")</f>
        <v/>
      </c>
      <c r="D31" s="9" t="str">
        <f>IFERROR(__xludf.DUMMYFUNCTION("IF(ISBLANK(D30),"""",HLOOKUP(REGEXEXTRACT(D30,"".*-(.*)""),INDIRECT(CONCATENATE(REGEXEXTRACT(D30,""(.*)-.*""),""!C3:P"")),2,FALSE))"),"Soulfist")</f>
        <v>Soulfist</v>
      </c>
      <c r="E31" s="9" t="str">
        <f>IFERROR(__xludf.DUMMYFUNCTION("IF(ISBLANK(E30),"""",HLOOKUP(REGEXEXTRACT(E30,"".*-(.*)""),INDIRECT(CONCATENATE(REGEXEXTRACT(E30,""(.*)-.*""),""!C3:P"")),2,FALSE))"),"#N/A")</f>
        <v>#N/A</v>
      </c>
      <c r="F31" s="10" t="str">
        <f>IFERROR(__xludf.DUMMYFUNCTION("IF(ISBLANK(F30),"""",HLOOKUP(REGEXEXTRACT(F30,"".*-(.*)""),INDIRECT(CONCATENATE(REGEXEXTRACT(F30,""(.*)-.*""),""!C3:P"")),2,FALSE))"),"#REF!")</f>
        <v>#REF!</v>
      </c>
    </row>
    <row r="32">
      <c r="B32" s="22"/>
      <c r="C32" s="12" t="str">
        <f>IFERROR(__xludf.DUMMYFUNCTION("IF(ISBLANK(C30),"""",HLOOKUP(REGEXEXTRACT(C30,"".*-(.*)""),INDIRECT(CONCATENATE(REGEXEXTRACT(C30,""(.*)-.*""),""!C3:P"")),3,FALSE))"),"")</f>
        <v/>
      </c>
      <c r="D32" s="12">
        <f>IFERROR(__xludf.DUMMYFUNCTION("IF(ISBLANK(D30),"""",HLOOKUP(REGEXEXTRACT(D30,"".*-(.*)""),INDIRECT(CONCATENATE(REGEXEXTRACT(D30,""(.*)-.*""),""!C3:P"")),3,FALSE))"),1750.0)</f>
        <v>1750</v>
      </c>
      <c r="E32" s="12" t="str">
        <f>IFERROR(__xludf.DUMMYFUNCTION("IF(ISBLANK(E30),"""",HLOOKUP(REGEXEXTRACT(E30,"".*-(.*)""),INDIRECT(CONCATENATE(REGEXEXTRACT(E30,""(.*)-.*""),""!C3:P"")),3,FALSE))"),"#N/A")</f>
        <v>#N/A</v>
      </c>
      <c r="F32" s="13" t="str">
        <f>IFERROR(__xludf.DUMMYFUNCTION("IF(ISBLANK(F30),"""",HLOOKUP(REGEXEXTRACT(F30,"".*-(.*)""),INDIRECT(CONCATENATE(REGEXEXTRACT(F30,""(.*)-.*""),""!C3:P"")),3,FALSE))"),"#REF!")</f>
        <v>#REF!</v>
      </c>
    </row>
    <row r="34">
      <c r="A34" s="2" t="s">
        <v>0</v>
      </c>
      <c r="B34" s="3" t="s">
        <v>47</v>
      </c>
      <c r="C34" s="4" t="s">
        <v>48</v>
      </c>
      <c r="D34" s="5" t="s">
        <v>49</v>
      </c>
      <c r="E34" s="5" t="s">
        <v>50</v>
      </c>
      <c r="F34" s="6"/>
    </row>
    <row r="35">
      <c r="B35" s="23"/>
      <c r="C35" s="9" t="str">
        <f>IFERROR(__xludf.DUMMYFUNCTION("IF(ISBLANK(C34),"""",HLOOKUP(REGEXEXTRACT(C34,"".*-(.*)""),INDIRECT(CONCATENATE(REGEXEXTRACT(C34,""(.*)-.*""),""!C3:I"")),2,FALSE))"),"Arcana")</f>
        <v>Arcana</v>
      </c>
      <c r="D35" s="9" t="str">
        <f>IFERROR(__xludf.DUMMYFUNCTION("IF(ISBLANK(D34),"""",HLOOKUP(REGEXEXTRACT(D34,"".*-(.*)""),INDIRECT(CONCATENATE(REGEXEXTRACT(D34,""(.*)-.*""),""!C3:P"")),2,FALSE))"),"Bard")</f>
        <v>Bard</v>
      </c>
      <c r="E35" s="9" t="str">
        <f>IFERROR(__xludf.DUMMYFUNCTION("IF(ISBLANK(E34),"""",HLOOKUP(REGEXEXTRACT(E34,"".*-(.*)""),INDIRECT(CONCATENATE(REGEXEXTRACT(E34,""(.*)-.*""),""!C3:P"")),2,FALSE))"),"#N/A")</f>
        <v>#N/A</v>
      </c>
      <c r="F35" s="10" t="str">
        <f>IFERROR(__xludf.DUMMYFUNCTION("IF(ISBLANK(F34),"""",HLOOKUP(REGEXEXTRACT(F34,"".*-(.*)""),INDIRECT(CONCATENATE(REGEXEXTRACT(F34,""(.*)-.*""),""!C3:P"")),2,FALSE))"),"")</f>
        <v/>
      </c>
    </row>
    <row r="36">
      <c r="B36" s="24"/>
      <c r="C36" s="12">
        <f>IFERROR(__xludf.DUMMYFUNCTION("IF(ISBLANK(C34),"""",HLOOKUP(REGEXEXTRACT(C34,"".*-(.*)""),INDIRECT(CONCATENATE(REGEXEXTRACT(C34,""(.*)-.*""),""!C3:P"")),3,FALSE))"),1570.0)</f>
        <v>1570</v>
      </c>
      <c r="D36" s="12">
        <f>IFERROR(__xludf.DUMMYFUNCTION("IF(ISBLANK(D34),"""",HLOOKUP(REGEXEXTRACT(D34,"".*-(.*)""),INDIRECT(CONCATENATE(REGEXEXTRACT(D34,""(.*)-.*""),""!C3:P"")),3,FALSE))"),1730.0)</f>
        <v>1730</v>
      </c>
      <c r="E36" s="12" t="str">
        <f>IFERROR(__xludf.DUMMYFUNCTION("IF(ISBLANK(E34),"""",HLOOKUP(REGEXEXTRACT(E34,"".*-(.*)""),INDIRECT(CONCATENATE(REGEXEXTRACT(E34,""(.*)-.*""),""!C3:P"")),3,FALSE))"),"#N/A")</f>
        <v>#N/A</v>
      </c>
      <c r="F36" s="13" t="str">
        <f>IFERROR(__xludf.DUMMYFUNCTION("IF(ISBLANK(F34),"""",HLOOKUP(REGEXEXTRACT(F34,"".*-(.*)""),INDIRECT(CONCATENATE(REGEXEXTRACT(F34,""(.*)-.*""),""!C3:P"")),3,FALSE))"),"")</f>
        <v/>
      </c>
    </row>
    <row r="38">
      <c r="A38" s="2" t="s">
        <v>0</v>
      </c>
      <c r="B38" s="3" t="s">
        <v>51</v>
      </c>
      <c r="C38" s="4" t="s">
        <v>52</v>
      </c>
      <c r="D38" s="5" t="s">
        <v>53</v>
      </c>
      <c r="E38" s="5" t="s">
        <v>54</v>
      </c>
      <c r="F38" s="6"/>
    </row>
    <row r="39">
      <c r="B39" s="25"/>
      <c r="C39" s="9" t="str">
        <f>IFERROR(__xludf.DUMMYFUNCTION("IF(ISBLANK(C38),"""",HLOOKUP(REGEXEXTRACT(C38,"".*-(.*)""),INDIRECT(CONCATENATE(REGEXEXTRACT(C38,""(.*)-.*""),""!C3:I"")),2,FALSE))"),"Gunslinger")</f>
        <v>Gunslinger</v>
      </c>
      <c r="D39" s="9" t="str">
        <f>IFERROR(__xludf.DUMMYFUNCTION("IF(ISBLANK(D38),"""",HLOOKUP(REGEXEXTRACT(D38,"".*-(.*)""),INDIRECT(CONCATENATE(REGEXEXTRACT(D38,""(.*)-.*""),""!C3:P"")),2,FALSE))"),"Summoner")</f>
        <v>Summoner</v>
      </c>
      <c r="E39" s="9" t="str">
        <f>IFERROR(__xludf.DUMMYFUNCTION("IF(ISBLANK(E38),"""",HLOOKUP(REGEXEXTRACT(E38,"".*-(.*)""),INDIRECT(CONCATENATE(REGEXEXTRACT(E38,""(.*)-.*""),""!C3:P"")),2,FALSE))"),"Paladin")</f>
        <v>Paladin</v>
      </c>
      <c r="F39" s="10" t="str">
        <f>IFERROR(__xludf.DUMMYFUNCTION("IF(ISBLANK(F38),"""",HLOOKUP(REGEXEXTRACT(F38,"".*-(.*)""),INDIRECT(CONCATENATE(REGEXEXTRACT(F38,""(.*)-.*""),""!C3:P"")),2,FALSE))"),"")</f>
        <v/>
      </c>
    </row>
    <row r="40">
      <c r="B40" s="26"/>
      <c r="C40" s="12">
        <f>IFERROR(__xludf.DUMMYFUNCTION("IF(ISBLANK(C38),"""",HLOOKUP(REGEXEXTRACT(C38,"".*-(.*)""),INDIRECT(CONCATENATE(REGEXEXTRACT(C38,""(.*)-.*""),""!C3:P"")),3,FALSE))"),1600.0)</f>
        <v>1600</v>
      </c>
      <c r="D40" s="12">
        <f>IFERROR(__xludf.DUMMYFUNCTION("IF(ISBLANK(D38),"""",HLOOKUP(REGEXEXTRACT(D38,"".*-(.*)""),INDIRECT(CONCATENATE(REGEXEXTRACT(D38,""(.*)-.*""),""!C3:P"")),3,FALSE))"),1750.0)</f>
        <v>1750</v>
      </c>
      <c r="E40" s="12">
        <f>IFERROR(__xludf.DUMMYFUNCTION("IF(ISBLANK(E38),"""",HLOOKUP(REGEXEXTRACT(E38,"".*-(.*)""),INDIRECT(CONCATENATE(REGEXEXTRACT(E38,""(.*)-.*""),""!C3:P"")),3,FALSE))"),1750.0)</f>
        <v>1750</v>
      </c>
      <c r="F40" s="13" t="str">
        <f>IFERROR(__xludf.DUMMYFUNCTION("IF(ISBLANK(F38),"""",HLOOKUP(REGEXEXTRACT(F38,"".*-(.*)""),INDIRECT(CONCATENATE(REGEXEXTRACT(F38,""(.*)-.*""),""!C3:P"")),3,FALSE))"),"")</f>
        <v/>
      </c>
    </row>
    <row r="47">
      <c r="B47" s="7" t="s">
        <v>55</v>
      </c>
    </row>
    <row r="48">
      <c r="B48" s="7" t="s">
        <v>55</v>
      </c>
    </row>
    <row r="49">
      <c r="B49" s="7" t="s">
        <v>56</v>
      </c>
    </row>
    <row r="50">
      <c r="B50" s="7" t="s">
        <v>57</v>
      </c>
    </row>
    <row r="51">
      <c r="B51" s="7" t="s">
        <v>58</v>
      </c>
    </row>
    <row r="52">
      <c r="B52" s="7" t="s">
        <v>59</v>
      </c>
    </row>
    <row r="53">
      <c r="B53" s="7" t="s">
        <v>59</v>
      </c>
    </row>
    <row r="54">
      <c r="B54" s="7" t="s">
        <v>60</v>
      </c>
    </row>
    <row r="55">
      <c r="B55" s="7">
        <v>1.0</v>
      </c>
    </row>
    <row r="56">
      <c r="B56" s="7">
        <v>2.0</v>
      </c>
    </row>
    <row r="57">
      <c r="B57" s="7">
        <v>3.0</v>
      </c>
    </row>
    <row r="58">
      <c r="B58" s="7">
        <v>4.0</v>
      </c>
    </row>
  </sheetData>
  <mergeCells count="10">
    <mergeCell ref="A30:A32"/>
    <mergeCell ref="A34:A36"/>
    <mergeCell ref="A38:A40"/>
    <mergeCell ref="A2:A4"/>
    <mergeCell ref="A6:A8"/>
    <mergeCell ref="A10:A12"/>
    <mergeCell ref="A14:A16"/>
    <mergeCell ref="A18:A20"/>
    <mergeCell ref="A22:A24"/>
    <mergeCell ref="A26:A28"/>
  </mergeCells>
  <conditionalFormatting sqref="A2:A12 A14:A28 A30:A32 A34:A36 A38:A40">
    <cfRule type="cellIs" dxfId="0" priority="1" operator="equal">
      <formula>"DONE"</formula>
    </cfRule>
  </conditionalFormatting>
  <dataValidations>
    <dataValidation type="list" allowBlank="1" showErrorMessage="1" sqref="C2:F2 C6:F6 C10:F10 C14:F14 C18:F18 C22:F22 C26:F26 C30:F30 C34:F34 C38:F38">
      <formula1>chars!$B$2:$Z983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hidden="1" min="7" max="23" width="12.63"/>
  </cols>
  <sheetData>
    <row r="1">
      <c r="A1" s="27"/>
      <c r="C1" s="1"/>
      <c r="D1" s="1"/>
      <c r="E1" s="1"/>
      <c r="F1" s="1"/>
      <c r="K1" s="1"/>
      <c r="L1" s="1"/>
      <c r="M1" s="1"/>
      <c r="N1" s="28"/>
    </row>
    <row r="2">
      <c r="A2" s="29" t="s">
        <v>0</v>
      </c>
      <c r="B2" s="30" t="s">
        <v>61</v>
      </c>
      <c r="C2" s="31" t="s">
        <v>10</v>
      </c>
      <c r="D2" s="32" t="s">
        <v>62</v>
      </c>
      <c r="E2" s="32" t="s">
        <v>4</v>
      </c>
      <c r="F2" s="33" t="s">
        <v>63</v>
      </c>
      <c r="H2" s="29"/>
      <c r="I2" s="3" t="s">
        <v>64</v>
      </c>
      <c r="J2" s="4" t="s">
        <v>65</v>
      </c>
      <c r="K2" s="5" t="s">
        <v>43</v>
      </c>
      <c r="L2" s="5" t="s">
        <v>66</v>
      </c>
      <c r="M2" s="34" t="s">
        <v>67</v>
      </c>
    </row>
    <row r="3">
      <c r="A3" s="35"/>
      <c r="B3" s="36"/>
      <c r="C3" s="37" t="str">
        <f>IFERROR(__xludf.DUMMYFUNCTION("IF(ISBLANK(C2),"""",HLOOKUP(REGEXEXTRACT(C2,"".*-(.*)""),INDIRECT(CONCATENATE(REGEXEXTRACT(C2,""(.*)-.*""),""!C3:V"")),2,FALSE))"),"#REF!")</f>
        <v>#REF!</v>
      </c>
      <c r="D3" s="37" t="str">
        <f>IFERROR(__xludf.DUMMYFUNCTION("IF(ISBLANK(D2),"""",HLOOKUP(REGEXEXTRACT(D2,"".*-(.*)""),INDIRECT(CONCATENATE(REGEXEXTRACT(D2,""(.*)-.*""),""!C3:P"")),2,FALSE))"),"Breaker")</f>
        <v>Breaker</v>
      </c>
      <c r="E3" s="37" t="str">
        <f>IFERROR(__xludf.DUMMYFUNCTION("IF(ISBLANK(E2),"""",HLOOKUP(REGEXEXTRACT(E2,"".*-(.*)""),INDIRECT(CONCATENATE(REGEXEXTRACT(E2,""(.*)-.*""),""!C3:P"")),2,FALSE))"),"Gunslinger")</f>
        <v>Gunslinger</v>
      </c>
      <c r="F3" s="37" t="str">
        <f>IFERROR(__xludf.DUMMYFUNCTION("IF(ISBLANK(F2),"""",HLOOKUP(REGEXEXTRACT(F2,"".*-(.*)""),INDIRECT(CONCATENATE(REGEXEXTRACT(F2,""(.*)-.*""),""!C3:P"")),2,FALSE))"),"Bard")</f>
        <v>Bard</v>
      </c>
      <c r="H3" s="35"/>
      <c r="I3" s="38"/>
      <c r="J3" s="9" t="str">
        <f>IFERROR(__xludf.DUMMYFUNCTION("IF(ISBLANK(J2),"""",HLOOKUP(REGEXEXTRACT(J2,"".*-(.*)""),INDIRECT(CONCATENATE(REGEXEXTRACT(J2,""(.*)-.*""),""!C3:P"")),2,FALSE))"),"Slayer")</f>
        <v>Slayer</v>
      </c>
      <c r="K3" s="9" t="str">
        <f>IFERROR(__xludf.DUMMYFUNCTION("IF(ISBLANK(K2),"""",HLOOKUP(REGEXEXTRACT(K2,"".*-(.*)""),INDIRECT(CONCATENATE(REGEXEXTRACT(K2,""(.*)-.*""),""!C3:P"")),2,FALSE))"),"Soulfist")</f>
        <v>Soulfist</v>
      </c>
      <c r="L3" s="9" t="str">
        <f>IFERROR(__xludf.DUMMYFUNCTION("IF(ISBLANK(L2),"""",HLOOKUP(REGEXEXTRACT(L2,"".*-(.*)""),INDIRECT(CONCATENATE(REGEXEXTRACT(L2,""(.*)-.*""),""!C3:P"")),2,FALSE))"),"Machinist")</f>
        <v>Machinist</v>
      </c>
      <c r="M3" s="10" t="str">
        <f>IFERROR(__xludf.DUMMYFUNCTION("IF(ISBLANK(M2),"""",HLOOKUP(REGEXEXTRACT(M2,"".*-(.*)""),INDIRECT(CONCATENATE(REGEXEXTRACT(M2,""(.*)-.*""),""!C3:P"")),2,FALSE))"),"#REF!")</f>
        <v>#REF!</v>
      </c>
    </row>
    <row r="4">
      <c r="A4" s="35"/>
      <c r="B4" s="39"/>
      <c r="C4" s="40" t="str">
        <f>IFERROR(__xludf.DUMMYFUNCTION("IF(ISBLANK(C2),"""",HLOOKUP(REGEXEXTRACT(C2,"".*-(.*)""),INDIRECT(CONCATENATE(REGEXEXTRACT(C2,""(.*)-.*""),""!C3:V"")),3,FALSE))"),"#REF!")</f>
        <v>#REF!</v>
      </c>
      <c r="D4" s="40">
        <f>IFERROR(__xludf.DUMMYFUNCTION("IF(ISBLANK(D2),"""",HLOOKUP(REGEXEXTRACT(D2,"".*-(.*)""),INDIRECT(CONCATENATE(REGEXEXTRACT(D2,""(.*)-.*""),""!C3:P"")),3,FALSE))"),1730.0)</f>
        <v>1730</v>
      </c>
      <c r="E4" s="40">
        <f>IFERROR(__xludf.DUMMYFUNCTION("IF(ISBLANK(E2),"""",HLOOKUP(REGEXEXTRACT(E2,"".*-(.*)""),INDIRECT(CONCATENATE(REGEXEXTRACT(E2,""(.*)-.*""),""!C3:P"")),3,FALSE))"),1750.0)</f>
        <v>1750</v>
      </c>
      <c r="F4" s="40">
        <f>IFERROR(__xludf.DUMMYFUNCTION("IF(ISBLANK(F2),"""",HLOOKUP(REGEXEXTRACT(F2,"".*-(.*)""),INDIRECT(CONCATENATE(REGEXEXTRACT(F2,""(.*)-.*""),""!C3:P"")),3,FALSE))"),1670.0)</f>
        <v>1670</v>
      </c>
      <c r="H4" s="35"/>
      <c r="I4" s="41"/>
      <c r="J4" s="12">
        <f>IFERROR(__xludf.DUMMYFUNCTION("IF(ISBLANK(J2),"""",HLOOKUP(REGEXEXTRACT(J2,"".*-(.*)""),INDIRECT(CONCATENATE(REGEXEXTRACT(J2,""(.*)-.*""),""!C3:P"")),3,FALSE))"),1610.0)</f>
        <v>1610</v>
      </c>
      <c r="K4" s="12">
        <f>IFERROR(__xludf.DUMMYFUNCTION("IF(ISBLANK(K2),"""",HLOOKUP(REGEXEXTRACT(K2,"".*-(.*)""),INDIRECT(CONCATENATE(REGEXEXTRACT(K2,""(.*)-.*""),""!C3:P"")),3,FALSE))"),1750.0)</f>
        <v>1750</v>
      </c>
      <c r="L4" s="12">
        <f>IFERROR(__xludf.DUMMYFUNCTION("IF(ISBLANK(L2),"""",HLOOKUP(REGEXEXTRACT(L2,"".*-(.*)""),INDIRECT(CONCATENATE(REGEXEXTRACT(L2,""(.*)-.*""),""!C3:P"")),3,FALSE))"),1660.0)</f>
        <v>1660</v>
      </c>
      <c r="M4" s="13" t="str">
        <f>IFERROR(__xludf.DUMMYFUNCTION("IF(ISBLANK(M2),"""",HLOOKUP(REGEXEXTRACT(M2,"".*-(.*)""),INDIRECT(CONCATENATE(REGEXEXTRACT(M2,""(.*)-.*""),""!C3:P"")),3,FALSE))"),"#REF!")</f>
        <v>#REF!</v>
      </c>
    </row>
    <row r="5">
      <c r="B5" s="27"/>
      <c r="C5" s="27"/>
      <c r="D5" s="27"/>
      <c r="E5" s="27"/>
      <c r="F5" s="27"/>
    </row>
    <row r="6">
      <c r="A6" s="29" t="s">
        <v>0</v>
      </c>
      <c r="B6" s="30" t="s">
        <v>61</v>
      </c>
      <c r="C6" s="31" t="s">
        <v>68</v>
      </c>
      <c r="D6" s="32" t="s">
        <v>53</v>
      </c>
      <c r="E6" s="32" t="s">
        <v>24</v>
      </c>
      <c r="F6" s="33" t="s">
        <v>69</v>
      </c>
      <c r="H6" s="29"/>
      <c r="I6" s="3" t="s">
        <v>64</v>
      </c>
      <c r="J6" s="4" t="s">
        <v>70</v>
      </c>
      <c r="K6" s="5" t="s">
        <v>37</v>
      </c>
      <c r="L6" s="5" t="s">
        <v>32</v>
      </c>
      <c r="M6" s="6" t="s">
        <v>10</v>
      </c>
    </row>
    <row r="7">
      <c r="A7" s="35"/>
      <c r="B7" s="36"/>
      <c r="C7" s="37" t="str">
        <f>IFERROR(__xludf.DUMMYFUNCTION("IF(ISBLANK(C6),"""",HLOOKUP(REGEXEXTRACT(C6,"".*-(.*)""),INDIRECT(CONCATENATE(REGEXEXTRACT(C6,""(.*)-.*""),""!C3:V"")),2,FALSE))"),"#REF!")</f>
        <v>#REF!</v>
      </c>
      <c r="D7" s="37" t="str">
        <f>IFERROR(__xludf.DUMMYFUNCTION("IF(ISBLANK(D6),"""",HLOOKUP(REGEXEXTRACT(D6,"".*-(.*)""),INDIRECT(CONCATENATE(REGEXEXTRACT(D6,""(.*)-.*""),""!C3:P"")),2,FALSE))"),"Summoner")</f>
        <v>Summoner</v>
      </c>
      <c r="E7" s="37" t="str">
        <f>IFERROR(__xludf.DUMMYFUNCTION("IF(ISBLANK(E6),"""",HLOOKUP(REGEXEXTRACT(E6,"".*-(.*)""),INDIRECT(CONCATENATE(REGEXEXTRACT(E6,""(.*)-.*""),""!C3:V"")),2,FALSE))"),"Slayer")</f>
        <v>Slayer</v>
      </c>
      <c r="F7" s="37" t="str">
        <f>IFERROR(__xludf.DUMMYFUNCTION("IF(ISBLANK(F6),"""",HLOOKUP(REGEXEXTRACT(F6,"".*-(.*)""),INDIRECT(CONCATENATE(REGEXEXTRACT(F6,""(.*)-.*""),""!C3:P"")),2,FALSE))"),"Bard")</f>
        <v>Bard</v>
      </c>
      <c r="H7" s="35"/>
      <c r="I7" s="38"/>
      <c r="J7" s="9" t="str">
        <f>IFERROR(__xludf.DUMMYFUNCTION("IF(ISBLANK(J6),"""",HLOOKUP(REGEXEXTRACT(J6,"".*-(.*)""),INDIRECT(CONCATENATE(REGEXEXTRACT(J6,""(.*)-.*""),""!C3:P"")),2,FALSE))"),"GL")</f>
        <v>GL</v>
      </c>
      <c r="K7" s="9" t="str">
        <f>IFERROR(__xludf.DUMMYFUNCTION("IF(ISBLANK(K6),"""",HLOOKUP(REGEXEXTRACT(K6,"".*-(.*)""),INDIRECT(CONCATENATE(REGEXEXTRACT(K6,""(.*)-.*""),""!C3:P"")),2,FALSE))"),"Guardianknight")</f>
        <v>Guardianknight</v>
      </c>
      <c r="L7" s="9" t="str">
        <f>IFERROR(__xludf.DUMMYFUNCTION("IF(ISBLANK(L6),"""",HLOOKUP(REGEXEXTRACT(L6,"".*-(.*)""),INDIRECT(CONCATENATE(REGEXEXTRACT(L6,""(.*)-.*""),""!C3:P"")),2,FALSE))"),"Glaivier")</f>
        <v>Glaivier</v>
      </c>
      <c r="M7" s="10" t="str">
        <f>IFERROR(__xludf.DUMMYFUNCTION("IF(ISBLANK(M6),"""",HLOOKUP(REGEXEXTRACT(M6,"".*-(.*)""),INDIRECT(CONCATENATE(REGEXEXTRACT(M6,""(.*)-.*""),""!C3:P"")),2,FALSE))"),"#REF!")</f>
        <v>#REF!</v>
      </c>
    </row>
    <row r="8">
      <c r="A8" s="35"/>
      <c r="B8" s="39"/>
      <c r="C8" s="40" t="str">
        <f>IFERROR(__xludf.DUMMYFUNCTION("IF(ISBLANK(C6),"""",HLOOKUP(REGEXEXTRACT(C6,"".*-(.*)""),INDIRECT(CONCATENATE(REGEXEXTRACT(C6,""(.*)-.*""),""!C3:V"")),3,FALSE))"),"#REF!")</f>
        <v>#REF!</v>
      </c>
      <c r="D8" s="40">
        <f>IFERROR(__xludf.DUMMYFUNCTION("IF(ISBLANK(D6),"""",HLOOKUP(REGEXEXTRACT(D6,"".*-(.*)""),INDIRECT(CONCATENATE(REGEXEXTRACT(D6,""(.*)-.*""),""!C3:P"")),3,FALSE))"),1750.0)</f>
        <v>1750</v>
      </c>
      <c r="E8" s="40">
        <f>IFERROR(__xludf.DUMMYFUNCTION("IF(ISBLANK(E6),"""",HLOOKUP(REGEXEXTRACT(E6,"".*-(.*)""),INDIRECT(CONCATENATE(REGEXEXTRACT(E6,""(.*)-.*""),""!C3:V"")),3,FALSE))"),1750.0)</f>
        <v>1750</v>
      </c>
      <c r="F8" s="40">
        <f>IFERROR(__xludf.DUMMYFUNCTION("IF(ISBLANK(F6),"""",HLOOKUP(REGEXEXTRACT(F6,"".*-(.*)""),INDIRECT(CONCATENATE(REGEXEXTRACT(F6,""(.*)-.*""),""!C3:P"")),3,FALSE))"),1700.0)</f>
        <v>1700</v>
      </c>
      <c r="H8" s="35"/>
      <c r="I8" s="41"/>
      <c r="J8" s="12">
        <f>IFERROR(__xludf.DUMMYFUNCTION("IF(ISBLANK(J6),"""",HLOOKUP(REGEXEXTRACT(J6,"".*-(.*)""),INDIRECT(CONCATENATE(REGEXEXTRACT(J6,""(.*)-.*""),""!C3:P"")),3,FALSE))"),1750.0)</f>
        <v>1750</v>
      </c>
      <c r="K8" s="12">
        <f>IFERROR(__xludf.DUMMYFUNCTION("IF(ISBLANK(K6),"""",HLOOKUP(REGEXEXTRACT(K6,"".*-(.*)""),INDIRECT(CONCATENATE(REGEXEXTRACT(K6,""(.*)-.*""),""!C3:P"")),3,FALSE))"),1750.0)</f>
        <v>1750</v>
      </c>
      <c r="L8" s="12">
        <f>IFERROR(__xludf.DUMMYFUNCTION("IF(ISBLANK(L6),"""",HLOOKUP(REGEXEXTRACT(L6,"".*-(.*)""),INDIRECT(CONCATENATE(REGEXEXTRACT(L6,""(.*)-.*""),""!C3:P"")),3,FALSE))"),1750.0)</f>
        <v>1750</v>
      </c>
      <c r="M8" s="13" t="str">
        <f>IFERROR(__xludf.DUMMYFUNCTION("IF(ISBLANK(M6),"""",HLOOKUP(REGEXEXTRACT(M6,"".*-(.*)""),INDIRECT(CONCATENATE(REGEXEXTRACT(M6,""(.*)-.*""),""!C3:P"")),3,FALSE))"),"#REF!")</f>
        <v>#REF!</v>
      </c>
    </row>
    <row r="9">
      <c r="K9" s="1"/>
      <c r="L9" s="1"/>
      <c r="M9" s="1"/>
    </row>
    <row r="10">
      <c r="A10" s="29" t="s">
        <v>0</v>
      </c>
      <c r="B10" s="30" t="s">
        <v>61</v>
      </c>
      <c r="C10" s="31" t="s">
        <v>45</v>
      </c>
      <c r="D10" s="32" t="s">
        <v>49</v>
      </c>
      <c r="E10" s="32" t="s">
        <v>66</v>
      </c>
      <c r="F10" s="33" t="s">
        <v>71</v>
      </c>
      <c r="H10" s="29"/>
      <c r="I10" s="3" t="s">
        <v>64</v>
      </c>
      <c r="J10" s="4" t="s">
        <v>72</v>
      </c>
      <c r="K10" s="6" t="s">
        <v>73</v>
      </c>
      <c r="L10" s="5" t="s">
        <v>54</v>
      </c>
      <c r="M10" s="4" t="s">
        <v>74</v>
      </c>
    </row>
    <row r="11">
      <c r="A11" s="35"/>
      <c r="B11" s="36"/>
      <c r="C11" s="37" t="str">
        <f>IFERROR(__xludf.DUMMYFUNCTION("IF(ISBLANK(C10),"""",HLOOKUP(REGEXEXTRACT(C10,"".*-(.*)""),INDIRECT(CONCATENATE(REGEXEXTRACT(C10,""(.*)-.*""),""!C3:P"")),2,FALSE))"),"#REF!")</f>
        <v>#REF!</v>
      </c>
      <c r="D11" s="37" t="str">
        <f>IFERROR(__xludf.DUMMYFUNCTION("IF(ISBLANK(D10),"""",HLOOKUP(REGEXEXTRACT(D10,"".*-(.*)""),INDIRECT(CONCATENATE(REGEXEXTRACT(D10,""(.*)-.*""),""!C3:P"")),2,FALSE))"),"Bard")</f>
        <v>Bard</v>
      </c>
      <c r="E11" s="37" t="str">
        <f>IFERROR(__xludf.DUMMYFUNCTION("IF(ISBLANK(E10),"""",HLOOKUP(REGEXEXTRACT(E10,"".*-(.*)""),INDIRECT(CONCATENATE(REGEXEXTRACT(E10,""(.*)-.*""),""!C3:P"")),2,FALSE))"),"Machinist")</f>
        <v>Machinist</v>
      </c>
      <c r="F11" s="42" t="str">
        <f>IFERROR(__xludf.DUMMYFUNCTION("IF(ISBLANK(F10),"""",HLOOKUP(REGEXEXTRACT(F10,"".*-(.*)""),INDIRECT(CONCATENATE(REGEXEXTRACT(F10,""(.*)-.*""),""!C3:P"")),2,FALSE))"),"Summoner")</f>
        <v>Summoner</v>
      </c>
      <c r="H11" s="35"/>
      <c r="I11" s="38"/>
      <c r="J11" s="9" t="str">
        <f>IFERROR(__xludf.DUMMYFUNCTION("IF(ISBLANK(J10),"""",HLOOKUP(REGEXEXTRACT(J10,"".*-(.*)""),INDIRECT(CONCATENATE(REGEXEXTRACT(J10,""(.*)-.*""),""!C3:P"")),2,FALSE))"),"Scouter")</f>
        <v>Scouter</v>
      </c>
      <c r="K11" s="9" t="str">
        <f>IFERROR(__xludf.DUMMYFUNCTION("IF(ISBLANK(K10),"""",HLOOKUP(REGEXEXTRACT(K10,"".*-(.*)""),INDIRECT(CONCATENATE(REGEXEXTRACT(K10,""(.*)-.*""),""!C3:P"")),2,FALSE))"),"Souleater")</f>
        <v>Souleater</v>
      </c>
      <c r="L11" s="9" t="str">
        <f>IFERROR(__xludf.DUMMYFUNCTION("IF(ISBLANK(L10),"""",HLOOKUP(REGEXEXTRACT(L10,"".*-(.*)""),INDIRECT(CONCATENATE(REGEXEXTRACT(L10,""(.*)-.*""),""!C3:P"")),2,FALSE))"),"Paladin")</f>
        <v>Paladin</v>
      </c>
      <c r="M11" s="10" t="str">
        <f>IFERROR(__xludf.DUMMYFUNCTION("IF(ISBLANK(M10),"""",HLOOKUP(REGEXEXTRACT(M10,"".*-(.*)""),INDIRECT(CONCATENATE(REGEXEXTRACT(M10,""(.*)-.*""),""!C3:P"")),2,FALSE))"),"#REF!")</f>
        <v>#REF!</v>
      </c>
    </row>
    <row r="12">
      <c r="A12" s="35"/>
      <c r="B12" s="39"/>
      <c r="C12" s="40" t="str">
        <f>IFERROR(__xludf.DUMMYFUNCTION("IF(ISBLANK(C10),"""",HLOOKUP(REGEXEXTRACT(C10,"".*-(.*)""),INDIRECT(CONCATENATE(REGEXEXTRACT(C10,""(.*)-.*""),""!C3:P"")),3,FALSE))"),"#REF!")</f>
        <v>#REF!</v>
      </c>
      <c r="D12" s="40">
        <f>IFERROR(__xludf.DUMMYFUNCTION("IF(ISBLANK(D10),"""",HLOOKUP(REGEXEXTRACT(D10,"".*-(.*)""),INDIRECT(CONCATENATE(REGEXEXTRACT(D10,""(.*)-.*""),""!C3:P"")),3,FALSE))"),1730.0)</f>
        <v>1730</v>
      </c>
      <c r="E12" s="40">
        <f>IFERROR(__xludf.DUMMYFUNCTION("IF(ISBLANK(E10),"""",HLOOKUP(REGEXEXTRACT(E10,"".*-(.*)""),INDIRECT(CONCATENATE(REGEXEXTRACT(E10,""(.*)-.*""),""!C3:P"")),3,FALSE))"),1660.0)</f>
        <v>1660</v>
      </c>
      <c r="F12" s="43">
        <f>IFERROR(__xludf.DUMMYFUNCTION("IF(ISBLANK(F10),"""",HLOOKUP(REGEXEXTRACT(F10,"".*-(.*)""),INDIRECT(CONCATENATE(REGEXEXTRACT(F10,""(.*)-.*""),""!C3:P"")),3,FALSE))"),1680.0)</f>
        <v>1680</v>
      </c>
      <c r="H12" s="35"/>
      <c r="I12" s="41"/>
      <c r="J12" s="12">
        <f>IFERROR(__xludf.DUMMYFUNCTION("IF(ISBLANK(J10),"""",HLOOKUP(REGEXEXTRACT(J10,"".*-(.*)""),INDIRECT(CONCATENATE(REGEXEXTRACT(J10,""(.*)-.*""),""!C3:P"")),3,FALSE))"),1600.0)</f>
        <v>1600</v>
      </c>
      <c r="K12" s="12">
        <f>IFERROR(__xludf.DUMMYFUNCTION("IF(ISBLANK(K10),"""",HLOOKUP(REGEXEXTRACT(K10,"".*-(.*)""),INDIRECT(CONCATENATE(REGEXEXTRACT(K10,""(.*)-.*""),""!C3:P"")),3,FALSE))"),1750.0)</f>
        <v>1750</v>
      </c>
      <c r="L12" s="12">
        <f>IFERROR(__xludf.DUMMYFUNCTION("IF(ISBLANK(L10),"""",HLOOKUP(REGEXEXTRACT(L10,"".*-(.*)""),INDIRECT(CONCATENATE(REGEXEXTRACT(L10,""(.*)-.*""),""!C3:P"")),3,FALSE))"),1750.0)</f>
        <v>1750</v>
      </c>
      <c r="M12" s="13" t="str">
        <f>IFERROR(__xludf.DUMMYFUNCTION("IF(ISBLANK(M10),"""",HLOOKUP(REGEXEXTRACT(M10,"".*-(.*)""),INDIRECT(CONCATENATE(REGEXEXTRACT(M10,""(.*)-.*""),""!C3:P"")),3,FALSE))"),"#REF!")</f>
        <v>#REF!</v>
      </c>
    </row>
    <row r="13">
      <c r="K13" s="1"/>
      <c r="L13" s="1"/>
      <c r="M13" s="1"/>
    </row>
    <row r="14">
      <c r="A14" s="29" t="s">
        <v>0</v>
      </c>
      <c r="B14" s="30" t="s">
        <v>61</v>
      </c>
      <c r="C14" s="31" t="s">
        <v>19</v>
      </c>
      <c r="D14" s="33" t="s">
        <v>37</v>
      </c>
      <c r="E14" s="33" t="s">
        <v>54</v>
      </c>
      <c r="F14" s="33" t="s">
        <v>75</v>
      </c>
      <c r="H14" s="29"/>
      <c r="I14" s="3" t="s">
        <v>64</v>
      </c>
      <c r="J14" s="4" t="s">
        <v>24</v>
      </c>
      <c r="K14" s="5" t="s">
        <v>49</v>
      </c>
      <c r="L14" s="5" t="s">
        <v>76</v>
      </c>
      <c r="M14" s="6" t="s">
        <v>19</v>
      </c>
    </row>
    <row r="15">
      <c r="A15" s="35"/>
      <c r="B15" s="19"/>
      <c r="C15" s="37" t="str">
        <f>IFERROR(__xludf.DUMMYFUNCTION("IF(ISBLANK(C14),"""",HLOOKUP(REGEXEXTRACT(C14,"".*-(.*)""),INDIRECT(CONCATENATE(REGEXEXTRACT(C14,""(.*)-.*""),""!C3:Z"")),2,FALSE))"),"#REF!")</f>
        <v>#REF!</v>
      </c>
      <c r="D15" s="37" t="str">
        <f>IFERROR(__xludf.DUMMYFUNCTION("IF(ISBLANK(D14),"""",HLOOKUP(REGEXEXTRACT(D14,"".*-(.*)""),INDIRECT(CONCATENATE(REGEXEXTRACT(D14,""(.*)-.*""),""!C3:P"")),2,FALSE))"),"Guardianknight")</f>
        <v>Guardianknight</v>
      </c>
      <c r="E15" s="37" t="str">
        <f>IFERROR(__xludf.DUMMYFUNCTION("IF(ISBLANK(E14),"""",HLOOKUP(REGEXEXTRACT(E14,"".*-(.*)""),INDIRECT(CONCATENATE(REGEXEXTRACT(E14,""(.*)-.*""),""!C3:P"")),2,FALSE))"),"Paladin")</f>
        <v>Paladin</v>
      </c>
      <c r="F15" s="42" t="str">
        <f>IFERROR(__xludf.DUMMYFUNCTION("IF(ISBLANK(F14),"""",HLOOKUP(REGEXEXTRACT(F14,"".*-(.*)""),INDIRECT(CONCATENATE(REGEXEXTRACT(F14,""(.*)-.*""),""!C3:P"")),2,FALSE))"),"BREAKER")</f>
        <v>BREAKER</v>
      </c>
      <c r="H15" s="35"/>
      <c r="I15" s="44"/>
      <c r="J15" s="9" t="str">
        <f>IFERROR(__xludf.DUMMYFUNCTION("IF(ISBLANK(J14),"""",HLOOKUP(REGEXEXTRACT(J14,"".*-(.*)""),INDIRECT(CONCATENATE(REGEXEXTRACT(J14,""(.*)-.*""),""!C3:P"")),2,FALSE))"),"Slayer")</f>
        <v>Slayer</v>
      </c>
      <c r="K15" s="9" t="str">
        <f>IFERROR(__xludf.DUMMYFUNCTION("IF(ISBLANK(K14),"""",HLOOKUP(REGEXEXTRACT(K14,"".*-(.*)""),INDIRECT(CONCATENATE(REGEXEXTRACT(K14,""(.*)-.*""),""!C3:P"")),2,FALSE))"),"Bard")</f>
        <v>Bard</v>
      </c>
      <c r="L15" s="9" t="str">
        <f>IFERROR(__xludf.DUMMYFUNCTION("IF(ISBLANK(L14),"""",HLOOKUP(REGEXEXTRACT(L14,"".*-(.*)""),INDIRECT(CONCATENATE(REGEXEXTRACT(L14,""(.*)-.*""),""!C3:P"")),2,FALSE))"),"#REF!")</f>
        <v>#REF!</v>
      </c>
      <c r="M15" s="10" t="str">
        <f>IFERROR(__xludf.DUMMYFUNCTION("IF(ISBLANK(M14),"""",HLOOKUP(REGEXEXTRACT(M14,"".*-(.*)""),INDIRECT(CONCATENATE(REGEXEXTRACT(M14,""(.*)-.*""),""!C3:P"")),2,FALSE))"),"#REF!")</f>
        <v>#REF!</v>
      </c>
    </row>
    <row r="16">
      <c r="A16" s="35"/>
      <c r="B16" s="20"/>
      <c r="C16" s="40" t="str">
        <f>IFERROR(__xludf.DUMMYFUNCTION("IF(ISBLANK(C14),"""",HLOOKUP(REGEXEXTRACT(C14,"".*-(.*)""),INDIRECT(CONCATENATE(REGEXEXTRACT(C14,""(.*)-.*""),""!C3:Z"")),3,FALSE))"),"#REF!")</f>
        <v>#REF!</v>
      </c>
      <c r="D16" s="40">
        <f>IFERROR(__xludf.DUMMYFUNCTION("IF(ISBLANK(D14),"""",HLOOKUP(REGEXEXTRACT(D14,"".*-(.*)""),INDIRECT(CONCATENATE(REGEXEXTRACT(D14,""(.*)-.*""),""!C3:P"")),3,FALSE))"),1750.0)</f>
        <v>1750</v>
      </c>
      <c r="E16" s="40">
        <f>IFERROR(__xludf.DUMMYFUNCTION("IF(ISBLANK(E14),"""",HLOOKUP(REGEXEXTRACT(E14,"".*-(.*)""),INDIRECT(CONCATENATE(REGEXEXTRACT(E14,""(.*)-.*""),""!C3:P"")),3,FALSE))"),1750.0)</f>
        <v>1750</v>
      </c>
      <c r="F16" s="43">
        <f>IFERROR(__xludf.DUMMYFUNCTION("IF(ISBLANK(F14),"""",HLOOKUP(REGEXEXTRACT(F14,"".*-(.*)""),INDIRECT(CONCATENATE(REGEXEXTRACT(F14,""(.*)-.*""),""!C3:P"")),3,FALSE))"),1750.0)</f>
        <v>1750</v>
      </c>
      <c r="H16" s="35"/>
      <c r="I16" s="45"/>
      <c r="J16" s="12">
        <f>IFERROR(__xludf.DUMMYFUNCTION("IF(ISBLANK(J14),"""",HLOOKUP(REGEXEXTRACT(J14,"".*-(.*)""),INDIRECT(CONCATENATE(REGEXEXTRACT(J14,""(.*)-.*""),""!C3:P"")),3,FALSE))"),1750.0)</f>
        <v>1750</v>
      </c>
      <c r="K16" s="12">
        <f>IFERROR(__xludf.DUMMYFUNCTION("IF(ISBLANK(K14),"""",HLOOKUP(REGEXEXTRACT(K14,"".*-(.*)""),INDIRECT(CONCATENATE(REGEXEXTRACT(K14,""(.*)-.*""),""!C3:P"")),3,FALSE))"),1730.0)</f>
        <v>1730</v>
      </c>
      <c r="L16" s="12" t="str">
        <f>IFERROR(__xludf.DUMMYFUNCTION("IF(ISBLANK(L14),"""",HLOOKUP(REGEXEXTRACT(L14,"".*-(.*)""),INDIRECT(CONCATENATE(REGEXEXTRACT(L14,""(.*)-.*""),""!C3:P"")),3,FALSE))"),"#REF!")</f>
        <v>#REF!</v>
      </c>
      <c r="M16" s="13" t="str">
        <f>IFERROR(__xludf.DUMMYFUNCTION("IF(ISBLANK(M14),"""",HLOOKUP(REGEXEXTRACT(M14,"".*-(.*)""),INDIRECT(CONCATENATE(REGEXEXTRACT(M14,""(.*)-.*""),""!C3:P"")),3,FALSE))"),"#REF!")</f>
        <v>#REF!</v>
      </c>
    </row>
    <row r="18">
      <c r="A18" s="29" t="s">
        <v>0</v>
      </c>
      <c r="B18" s="30" t="s">
        <v>61</v>
      </c>
      <c r="C18" s="31" t="s">
        <v>77</v>
      </c>
      <c r="D18" s="32" t="s">
        <v>78</v>
      </c>
      <c r="E18" s="32" t="s">
        <v>32</v>
      </c>
      <c r="F18" s="32" t="s">
        <v>70</v>
      </c>
      <c r="H18" s="29"/>
      <c r="I18" s="3" t="s">
        <v>64</v>
      </c>
      <c r="J18" s="4" t="s">
        <v>79</v>
      </c>
      <c r="K18" s="6" t="s">
        <v>80</v>
      </c>
      <c r="L18" s="5" t="s">
        <v>14</v>
      </c>
      <c r="M18" s="4" t="s">
        <v>81</v>
      </c>
    </row>
    <row r="19">
      <c r="A19" s="35"/>
      <c r="B19" s="19"/>
      <c r="C19" s="37" t="str">
        <f>IFERROR(__xludf.DUMMYFUNCTION("IF(ISBLANK(C18),"""",HLOOKUP(REGEXEXTRACT(C18,"".*-(.*)""),INDIRECT(CONCATENATE(REGEXEXTRACT(C18,""(.*)-.*""),""!C3:V"")),2,FALSE))"),"#REF!")</f>
        <v>#REF!</v>
      </c>
      <c r="D19" s="37" t="str">
        <f>IFERROR(__xludf.DUMMYFUNCTION("IF(ISBLANK(D18),"""",HLOOKUP(REGEXEXTRACT(D18,"".*-(.*)""),INDIRECT(CONCATENATE(REGEXEXTRACT(D18,""(.*)-.*""),""!C3:P"")),2,FALSE))"),"Scrapper")</f>
        <v>Scrapper</v>
      </c>
      <c r="E19" s="37" t="str">
        <f>IFERROR(__xludf.DUMMYFUNCTION("IF(ISBLANK(E18),"""",HLOOKUP(REGEXEXTRACT(E18,"".*-(.*)""),INDIRECT(CONCATENATE(REGEXEXTRACT(E18,""(.*)-.*""),""!C3:P"")),2,FALSE))"),"Glaivier")</f>
        <v>Glaivier</v>
      </c>
      <c r="F19" s="42" t="str">
        <f>IFERROR(__xludf.DUMMYFUNCTION("IF(ISBLANK(F18),"""",HLOOKUP(REGEXEXTRACT(F18,"".*-(.*)""),INDIRECT(CONCATENATE(REGEXEXTRACT(F18,""(.*)-.*""),""!C3:P"")),2,FALSE))"),"GL")</f>
        <v>GL</v>
      </c>
      <c r="H19" s="35"/>
      <c r="I19" s="38"/>
      <c r="J19" s="9" t="str">
        <f>IFERROR(__xludf.DUMMYFUNCTION("IF(ISBLANK(J18),"""",HLOOKUP(REGEXEXTRACT(J18,"".*-(.*)""),INDIRECT(CONCATENATE(REGEXEXTRACT(J18,""(.*)-.*""),""!C3:P"")),2,FALSE))"),"#REF!")</f>
        <v>#REF!</v>
      </c>
      <c r="K19" s="9" t="str">
        <f>IFERROR(__xludf.DUMMYFUNCTION("IF(ISBLANK(K18),"""",HLOOKUP(REGEXEXTRACT(K18,"".*-(.*)""),INDIRECT(CONCATENATE(REGEXEXTRACT(K18,""(.*)-.*""),""!C3:P"")),2,FALSE))"),"Paladin")</f>
        <v>Paladin</v>
      </c>
      <c r="L19" s="9" t="str">
        <f>IFERROR(__xludf.DUMMYFUNCTION("IF(ISBLANK(L18),"""",HLOOKUP(REGEXEXTRACT(L18,"".*-(.*)""),INDIRECT(CONCATENATE(REGEXEXTRACT(L18,""(.*)-.*""),""!C3:P"")),2,FALSE))"),"Sorceress")</f>
        <v>Sorceress</v>
      </c>
      <c r="M19" s="10" t="str">
        <f>IFERROR(__xludf.DUMMYFUNCTION("IF(ISBLANK(M18),"""",HLOOKUP(REGEXEXTRACT(M18,"".*-(.*)""),INDIRECT(CONCATENATE(REGEXEXTRACT(M18,""(.*)-.*""),""!C3:P"")),2,FALSE))"),"Aeromancer")</f>
        <v>Aeromancer</v>
      </c>
    </row>
    <row r="20">
      <c r="A20" s="35"/>
      <c r="B20" s="20"/>
      <c r="C20" s="40" t="str">
        <f>IFERROR(__xludf.DUMMYFUNCTION("IF(ISBLANK(C18),"""",HLOOKUP(REGEXEXTRACT(C18,"".*-(.*)""),INDIRECT(CONCATENATE(REGEXEXTRACT(C18,""(.*)-.*""),""!C3:V"")),3,FALSE))"),"#REF!")</f>
        <v>#REF!</v>
      </c>
      <c r="D20" s="40">
        <f>IFERROR(__xludf.DUMMYFUNCTION("IF(ISBLANK(D18),"""",HLOOKUP(REGEXEXTRACT(D18,"".*-(.*)""),INDIRECT(CONCATENATE(REGEXEXTRACT(D18,""(.*)-.*""),""!C3:P"")),3,FALSE))"),1730.0)</f>
        <v>1730</v>
      </c>
      <c r="E20" s="40">
        <f>IFERROR(__xludf.DUMMYFUNCTION("IF(ISBLANK(E18),"""",HLOOKUP(REGEXEXTRACT(E18,"".*-(.*)""),INDIRECT(CONCATENATE(REGEXEXTRACT(E18,""(.*)-.*""),""!C3:P"")),3,FALSE))"),1750.0)</f>
        <v>1750</v>
      </c>
      <c r="F20" s="43">
        <f>IFERROR(__xludf.DUMMYFUNCTION("IF(ISBLANK(F18),"""",HLOOKUP(REGEXEXTRACT(F18,"".*-(.*)""),INDIRECT(CONCATENATE(REGEXEXTRACT(F18,""(.*)-.*""),""!C3:P"")),3,FALSE))"),1750.0)</f>
        <v>1750</v>
      </c>
      <c r="H20" s="35"/>
      <c r="I20" s="41"/>
      <c r="J20" s="12" t="str">
        <f>IFERROR(__xludf.DUMMYFUNCTION("IF(ISBLANK(J18),"""",HLOOKUP(REGEXEXTRACT(J18,"".*-(.*)""),INDIRECT(CONCATENATE(REGEXEXTRACT(J18,""(.*)-.*""),""!C3:P"")),3,FALSE))"),"#REF!")</f>
        <v>#REF!</v>
      </c>
      <c r="K20" s="12">
        <f>IFERROR(__xludf.DUMMYFUNCTION("IF(ISBLANK(K18),"""",HLOOKUP(REGEXEXTRACT(K18,"".*-(.*)""),INDIRECT(CONCATENATE(REGEXEXTRACT(K18,""(.*)-.*""),""!C3:P"")),3,FALSE))"),1750.0)</f>
        <v>1750</v>
      </c>
      <c r="L20" s="12">
        <f>IFERROR(__xludf.DUMMYFUNCTION("IF(ISBLANK(L18),"""",HLOOKUP(REGEXEXTRACT(L18,"".*-(.*)""),INDIRECT(CONCATENATE(REGEXEXTRACT(L18,""(.*)-.*""),""!C3:P"")),3,FALSE))"),1750.0)</f>
        <v>1750</v>
      </c>
      <c r="M20" s="13">
        <f>IFERROR(__xludf.DUMMYFUNCTION("IF(ISBLANK(M18),"""",HLOOKUP(REGEXEXTRACT(M18,"".*-(.*)""),INDIRECT(CONCATENATE(REGEXEXTRACT(M18,""(.*)-.*""),""!C3:P"")),3,FALSE))"),1730.0)</f>
        <v>1730</v>
      </c>
    </row>
    <row r="22">
      <c r="A22" s="29" t="s">
        <v>0</v>
      </c>
      <c r="B22" s="30" t="s">
        <v>61</v>
      </c>
      <c r="C22" s="31" t="s">
        <v>74</v>
      </c>
      <c r="D22" s="33" t="s">
        <v>43</v>
      </c>
      <c r="E22" s="33" t="s">
        <v>14</v>
      </c>
      <c r="F22" s="33" t="s">
        <v>80</v>
      </c>
      <c r="H22" s="29"/>
      <c r="I22" s="3" t="s">
        <v>64</v>
      </c>
      <c r="J22" s="4" t="s">
        <v>53</v>
      </c>
      <c r="K22" s="6" t="s">
        <v>82</v>
      </c>
      <c r="L22" s="5" t="s">
        <v>4</v>
      </c>
      <c r="M22" s="4" t="s">
        <v>5</v>
      </c>
    </row>
    <row r="23">
      <c r="A23" s="35"/>
      <c r="B23" s="19"/>
      <c r="C23" s="37" t="str">
        <f>IFERROR(__xludf.DUMMYFUNCTION("IF(ISBLANK(C22),"""",HLOOKUP(REGEXEXTRACT(C22,"".*-(.*)""),INDIRECT(CONCATENATE(REGEXEXTRACT(C22,""(.*)-.*""),""!C3:P"")),2,FALSE))"),"#REF!")</f>
        <v>#REF!</v>
      </c>
      <c r="D23" s="37" t="str">
        <f>IFERROR(__xludf.DUMMYFUNCTION("IF(ISBLANK(D22),"""",HLOOKUP(REGEXEXTRACT(D22,"".*-(.*)""),INDIRECT(CONCATENATE(REGEXEXTRACT(D22,""(.*)-.*""),""!C3:P"")),2,FALSE))"),"Soulfist")</f>
        <v>Soulfist</v>
      </c>
      <c r="E23" s="37" t="str">
        <f>IFERROR(__xludf.DUMMYFUNCTION("IF(ISBLANK(E22),"""",HLOOKUP(REGEXEXTRACT(E22,"".*-(.*)""),INDIRECT(CONCATENATE(REGEXEXTRACT(E22,""(.*)-.*""),""!C3:P"")),2,FALSE))"),"Sorceress")</f>
        <v>Sorceress</v>
      </c>
      <c r="F23" s="37" t="str">
        <f>IFERROR(__xludf.DUMMYFUNCTION("IF(ISBLANK(F22),"""",HLOOKUP(REGEXEXTRACT(F22,"".*-(.*)""),INDIRECT(CONCATENATE(REGEXEXTRACT(F22,""(.*)-.*""),""!C3:P"")),2,FALSE))"),"Paladin")</f>
        <v>Paladin</v>
      </c>
      <c r="H23" s="35"/>
      <c r="I23" s="38"/>
      <c r="J23" s="9" t="str">
        <f>IFERROR(__xludf.DUMMYFUNCTION("IF(ISBLANK(J22),"""",HLOOKUP(REGEXEXTRACT(J22,"".*-(.*)""),INDIRECT(CONCATENATE(REGEXEXTRACT(J22,""(.*)-.*""),""!C3:P"")),2,FALSE))"),"Summoner")</f>
        <v>Summoner</v>
      </c>
      <c r="K23" s="9" t="str">
        <f>IFERROR(__xludf.DUMMYFUNCTION("IF(ISBLANK(K22),"""",HLOOKUP(REGEXEXTRACT(K22,"".*-(.*)""),INDIRECT(CONCATENATE(REGEXEXTRACT(K22,""(.*)-.*""),""!C3:P"")),2,FALSE))"),"Bonk")</f>
        <v>Bonk</v>
      </c>
      <c r="L23" s="9" t="str">
        <f>IFERROR(__xludf.DUMMYFUNCTION("IF(ISBLANK(L22),"""",HLOOKUP(REGEXEXTRACT(L22,"".*-(.*)""),INDIRECT(CONCATENATE(REGEXEXTRACT(L22,""(.*)-.*""),""!C3:P"")),2,FALSE))"),"Gunslinger")</f>
        <v>Gunslinger</v>
      </c>
      <c r="M23" s="10" t="str">
        <f>IFERROR(__xludf.DUMMYFUNCTION("IF(ISBLANK(M22),"""",HLOOKUP(REGEXEXTRACT(M22,"".*-(.*)""),INDIRECT(CONCATENATE(REGEXEXTRACT(M22,""(.*)-.*""),""!C3:P"")),2,FALSE))"),"#REF!")</f>
        <v>#REF!</v>
      </c>
    </row>
    <row r="24">
      <c r="A24" s="35"/>
      <c r="B24" s="20"/>
      <c r="C24" s="40" t="str">
        <f>IFERROR(__xludf.DUMMYFUNCTION("IF(ISBLANK(C22),"""",HLOOKUP(REGEXEXTRACT(C22,"".*-(.*)""),INDIRECT(CONCATENATE(REGEXEXTRACT(C22,""(.*)-.*""),""!C3:P"")),3,FALSE))"),"#REF!")</f>
        <v>#REF!</v>
      </c>
      <c r="D24" s="40">
        <f>IFERROR(__xludf.DUMMYFUNCTION("IF(ISBLANK(D22),"""",HLOOKUP(REGEXEXTRACT(D22,"".*-(.*)""),INDIRECT(CONCATENATE(REGEXEXTRACT(D22,""(.*)-.*""),""!C3:P"")),3,FALSE))"),1750.0)</f>
        <v>1750</v>
      </c>
      <c r="E24" s="40">
        <f>IFERROR(__xludf.DUMMYFUNCTION("IF(ISBLANK(E22),"""",HLOOKUP(REGEXEXTRACT(E22,"".*-(.*)""),INDIRECT(CONCATENATE(REGEXEXTRACT(E22,""(.*)-.*""),""!C3:P"")),3,FALSE))"),1750.0)</f>
        <v>1750</v>
      </c>
      <c r="F24" s="40">
        <f>IFERROR(__xludf.DUMMYFUNCTION("IF(ISBLANK(F22),"""",HLOOKUP(REGEXEXTRACT(F22,"".*-(.*)""),INDIRECT(CONCATENATE(REGEXEXTRACT(F22,""(.*)-.*""),""!C3:P"")),3,FALSE))"),1750.0)</f>
        <v>1750</v>
      </c>
      <c r="H24" s="35"/>
      <c r="I24" s="41"/>
      <c r="J24" s="12">
        <f>IFERROR(__xludf.DUMMYFUNCTION("IF(ISBLANK(J22),"""",HLOOKUP(REGEXEXTRACT(J22,"".*-(.*)""),INDIRECT(CONCATENATE(REGEXEXTRACT(J22,""(.*)-.*""),""!C3:P"")),3,FALSE))"),1750.0)</f>
        <v>1750</v>
      </c>
      <c r="K24" s="12">
        <f>IFERROR(__xludf.DUMMYFUNCTION("IF(ISBLANK(K22),"""",HLOOKUP(REGEXEXTRACT(K22,"".*-(.*)""),INDIRECT(CONCATENATE(REGEXEXTRACT(K22,""(.*)-.*""),""!C3:P"")),3,FALSE))"),1750.0)</f>
        <v>1750</v>
      </c>
      <c r="L24" s="12">
        <f>IFERROR(__xludf.DUMMYFUNCTION("IF(ISBLANK(L22),"""",HLOOKUP(REGEXEXTRACT(L22,"".*-(.*)""),INDIRECT(CONCATENATE(REGEXEXTRACT(L22,""(.*)-.*""),""!C3:P"")),3,FALSE))"),1750.0)</f>
        <v>1750</v>
      </c>
      <c r="M24" s="13" t="str">
        <f>IFERROR(__xludf.DUMMYFUNCTION("IF(ISBLANK(M22),"""",HLOOKUP(REGEXEXTRACT(M22,"".*-(.*)""),INDIRECT(CONCATENATE(REGEXEXTRACT(M22,""(.*)-.*""),""!C3:P"")),3,FALSE))"),"#REF!")</f>
        <v>#REF!</v>
      </c>
    </row>
    <row r="26">
      <c r="A26" s="46" t="s">
        <v>0</v>
      </c>
      <c r="B26" s="30" t="s">
        <v>61</v>
      </c>
      <c r="C26" s="31" t="s">
        <v>83</v>
      </c>
      <c r="D26" s="32" t="s">
        <v>84</v>
      </c>
      <c r="E26" s="33" t="s">
        <v>7</v>
      </c>
      <c r="F26" s="32" t="s">
        <v>85</v>
      </c>
      <c r="H26" s="29"/>
      <c r="I26" s="3" t="s">
        <v>86</v>
      </c>
      <c r="J26" s="4"/>
      <c r="K26" s="5" t="s">
        <v>3</v>
      </c>
      <c r="L26" s="5"/>
      <c r="M26" s="6" t="s">
        <v>83</v>
      </c>
    </row>
    <row r="27">
      <c r="A27" s="35"/>
      <c r="B27" s="47"/>
      <c r="C27" s="37" t="str">
        <f>IFERROR(__xludf.DUMMYFUNCTION("IF(ISBLANK(C26),"""",HLOOKUP(REGEXEXTRACT(C26,"".*-(.*)""),INDIRECT(CONCATENATE(REGEXEXTRACT(C26,""(.*)-.*""),""!C3:V"")),2,FALSE))"),"#REF!")</f>
        <v>#REF!</v>
      </c>
      <c r="D27" s="37" t="str">
        <f>IFERROR(__xludf.DUMMYFUNCTION("IF(ISBLANK(D26),"""",HLOOKUP(REGEXEXTRACT(D26,"".*-(.*)""),INDIRECT(CONCATENATE(REGEXEXTRACT(D26,""(.*)-.*""),""!C3:P"")),2,FALSE))"),"Deathblade")</f>
        <v>Deathblade</v>
      </c>
      <c r="E27" s="37" t="str">
        <f>IFERROR(__xludf.DUMMYFUNCTION("IF(ISBLANK(E26),"""",HLOOKUP(REGEXEXTRACT(E26,"".*-(.*)""),INDIRECT(CONCATENATE(REGEXEXTRACT(E26,""(.*)-.*""),""!C3:P"")),2,FALSE))"),"Wardancer")</f>
        <v>Wardancer</v>
      </c>
      <c r="F27" s="37" t="str">
        <f>IFERROR(__xludf.DUMMYFUNCTION("IF(ISBLANK(F26),"""",HLOOKUP(REGEXEXTRACT(F26,"".*-(.*)""),INDIRECT(CONCATENATE(REGEXEXTRACT(F26,""(.*)-.*""),""!C3:P"")),2,FALSE))"),"Artill")</f>
        <v>Artill</v>
      </c>
      <c r="H27" s="35"/>
      <c r="I27" s="48"/>
      <c r="J27" s="9" t="str">
        <f>IFERROR(__xludf.DUMMYFUNCTION("IF(ISBLANK(J26),"""",HLOOKUP(REGEXEXTRACT(J26,"".*-(.*)""),INDIRECT(CONCATENATE(REGEXEXTRACT(J26,""(.*)-.*""),""!C3:P"")),2,FALSE))"),"")</f>
        <v/>
      </c>
      <c r="K27" s="9" t="str">
        <f>IFERROR(__xludf.DUMMYFUNCTION("IF(ISBLANK(K26),"""",HLOOKUP(REGEXEXTRACT(K26,"".*-(.*)""),INDIRECT(CONCATENATE(REGEXEXTRACT(K26,""(.*)-.*""),""!C3:P"")),2,FALSE))"),"Sorceress")</f>
        <v>Sorceress</v>
      </c>
      <c r="L27" s="9" t="str">
        <f>IFERROR(__xludf.DUMMYFUNCTION("IF(ISBLANK(L26),"""",HLOOKUP(REGEXEXTRACT(L26,"".*-(.*)""),INDIRECT(CONCATENATE(REGEXEXTRACT(L26,""(.*)-.*""),""!C3:P"")),2,FALSE))"),"")</f>
        <v/>
      </c>
      <c r="M27" s="10" t="str">
        <f>IFERROR(__xludf.DUMMYFUNCTION("IF(ISBLANK(M26),"""",HLOOKUP(REGEXEXTRACT(M26,"".*-(.*)""),INDIRECT(CONCATENATE(REGEXEXTRACT(M26,""(.*)-.*""),""!C3:P"")),2,FALSE))"),"#REF!")</f>
        <v>#REF!</v>
      </c>
    </row>
    <row r="28">
      <c r="A28" s="35"/>
      <c r="B28" s="49"/>
      <c r="C28" s="40" t="str">
        <f>IFERROR(__xludf.DUMMYFUNCTION("IF(ISBLANK(C26),"""",HLOOKUP(REGEXEXTRACT(C26,"".*-(.*)""),INDIRECT(CONCATENATE(REGEXEXTRACT(C26,""(.*)-.*""),""!C3:V"")),3,FALSE))"),"#REF!")</f>
        <v>#REF!</v>
      </c>
      <c r="D28" s="40">
        <f>IFERROR(__xludf.DUMMYFUNCTION("IF(ISBLANK(D26),"""",HLOOKUP(REGEXEXTRACT(D26,"".*-(.*)""),INDIRECT(CONCATENATE(REGEXEXTRACT(D26,""(.*)-.*""),""!C3:P"")),3,FALSE))"),1610.0)</f>
        <v>1610</v>
      </c>
      <c r="E28" s="40">
        <f>IFERROR(__xludf.DUMMYFUNCTION("IF(ISBLANK(E26),"""",HLOOKUP(REGEXEXTRACT(E26,"".*-(.*)""),INDIRECT(CONCATENATE(REGEXEXTRACT(E26,""(.*)-.*""),""!C3:P"")),3,FALSE))"),1620.0)</f>
        <v>1620</v>
      </c>
      <c r="F28" s="40">
        <f>IFERROR(__xludf.DUMMYFUNCTION("IF(ISBLANK(F26),"""",HLOOKUP(REGEXEXTRACT(F26,"".*-(.*)""),INDIRECT(CONCATENATE(REGEXEXTRACT(F26,""(.*)-.*""),""!C3:P"")),3,FALSE))"),1750.0)</f>
        <v>1750</v>
      </c>
      <c r="H28" s="35"/>
      <c r="I28" s="50"/>
      <c r="J28" s="12" t="str">
        <f>IFERROR(__xludf.DUMMYFUNCTION("IF(ISBLANK(J26),"""",HLOOKUP(REGEXEXTRACT(J26,"".*-(.*)""),INDIRECT(CONCATENATE(REGEXEXTRACT(J26,""(.*)-.*""),""!C3:P"")),3,FALSE))"),"")</f>
        <v/>
      </c>
      <c r="K28" s="12">
        <f>IFERROR(__xludf.DUMMYFUNCTION("IF(ISBLANK(K26),"""",HLOOKUP(REGEXEXTRACT(K26,"".*-(.*)""),INDIRECT(CONCATENATE(REGEXEXTRACT(K26,""(.*)-.*""),""!C3:P"")),3,FALSE))"),1600.0)</f>
        <v>1600</v>
      </c>
      <c r="L28" s="12" t="str">
        <f>IFERROR(__xludf.DUMMYFUNCTION("IF(ISBLANK(L26),"""",HLOOKUP(REGEXEXTRACT(L26,"".*-(.*)""),INDIRECT(CONCATENATE(REGEXEXTRACT(L26,""(.*)-.*""),""!C3:P"")),3,FALSE))"),"")</f>
        <v/>
      </c>
      <c r="M28" s="13" t="str">
        <f>IFERROR(__xludf.DUMMYFUNCTION("IF(ISBLANK(M26),"""",HLOOKUP(REGEXEXTRACT(M26,"".*-(.*)""),INDIRECT(CONCATENATE(REGEXEXTRACT(M26,""(.*)-.*""),""!C3:P"")),3,FALSE))"),"#REF!")</f>
        <v>#REF!</v>
      </c>
    </row>
    <row r="29">
      <c r="I29" s="12"/>
      <c r="J29" s="12"/>
      <c r="K29" s="12"/>
      <c r="L29" s="12"/>
      <c r="M29" s="12"/>
    </row>
    <row r="30">
      <c r="A30" s="29" t="s">
        <v>0</v>
      </c>
      <c r="B30" s="30" t="s">
        <v>61</v>
      </c>
      <c r="C30" s="31" t="s">
        <v>79</v>
      </c>
      <c r="D30" s="33"/>
      <c r="E30" s="32"/>
      <c r="F30" s="33" t="s">
        <v>82</v>
      </c>
      <c r="H30" s="29"/>
      <c r="I30" s="51" t="s">
        <v>86</v>
      </c>
      <c r="J30" s="52"/>
      <c r="K30" s="5" t="s">
        <v>87</v>
      </c>
      <c r="L30" s="53" t="s">
        <v>88</v>
      </c>
      <c r="M30" s="53" t="s">
        <v>9</v>
      </c>
    </row>
    <row r="31">
      <c r="A31" s="35"/>
      <c r="B31" s="48"/>
      <c r="C31" s="37" t="str">
        <f>IFERROR(__xludf.DUMMYFUNCTION("IF(ISBLANK(C30),"""",HLOOKUP(REGEXEXTRACT(C30,"".*-(.*)""),INDIRECT(CONCATENATE(REGEXEXTRACT(C30,""(.*)-.*""),""!C3:Z"")),2,FALSE))"),"#REF!")</f>
        <v>#REF!</v>
      </c>
      <c r="D31" s="37" t="str">
        <f>IFERROR(__xludf.DUMMYFUNCTION("IF(ISBLANK(D30),"""",HLOOKUP(REGEXEXTRACT(D30,"".*-(.*)""),INDIRECT(CONCATENATE(REGEXEXTRACT(D30,""(.*)-.*""),""!C3:P"")),2,FALSE))"),"")</f>
        <v/>
      </c>
      <c r="E31" s="37" t="str">
        <f>IFERROR(__xludf.DUMMYFUNCTION("IF(ISBLANK(E30),"""",HLOOKUP(REGEXEXTRACT(E30,"".*-(.*)""),INDIRECT(CONCATENATE(REGEXEXTRACT(E30,""(.*)-.*""),""!C3:P"")),2,FALSE))"),"")</f>
        <v/>
      </c>
      <c r="F31" s="37" t="str">
        <f>IFERROR(__xludf.DUMMYFUNCTION("IF(ISBLANK(F30),"""",HLOOKUP(REGEXEXTRACT(F30,"".*-(.*)""),INDIRECT(CONCATENATE(REGEXEXTRACT(F30,""(.*)-.*""),""!C3:P"")),2,FALSE))"),"Bonk")</f>
        <v>Bonk</v>
      </c>
      <c r="H31" s="35"/>
      <c r="I31" s="48"/>
      <c r="J31" s="9" t="str">
        <f>IFERROR(__xludf.DUMMYFUNCTION("IF(ISBLANK(J30),"""",HLOOKUP(REGEXEXTRACT(J30,"".*-(.*)""),INDIRECT(CONCATENATE(REGEXEXTRACT(J30,""(.*)-.*""),""!C3:P"")),2,FALSE))"),"")</f>
        <v/>
      </c>
      <c r="K31" s="9" t="str">
        <f>IFERROR(__xludf.DUMMYFUNCTION("IF(ISBLANK(K30),"""",HLOOKUP(REGEXEXTRACT(K30,"".*-(.*)""),INDIRECT(CONCATENATE(REGEXEXTRACT(K30,""(.*)-.*""),""!C3:P"")),2,FALSE))"),"Artist")</f>
        <v>Artist</v>
      </c>
      <c r="L31" s="9" t="str">
        <f>IFERROR(__xludf.DUMMYFUNCTION("IF(ISBLANK(L30),"""",HLOOKUP(REGEXEXTRACT(L30,"".*-(.*)""),INDIRECT(CONCATENATE(REGEXEXTRACT(L30,""(.*)-.*""),""!C3:P"")),2,FALSE))"),"#REF!")</f>
        <v>#REF!</v>
      </c>
      <c r="M31" s="10" t="str">
        <f>IFERROR(__xludf.DUMMYFUNCTION("IF(ISBLANK(M30),"""",HLOOKUP(REGEXEXTRACT(M30,"".*-(.*)""),INDIRECT(CONCATENATE(REGEXEXTRACT(M30,""(.*)-.*""),""!C3:P"")),2,FALSE))"),"Deathblade")</f>
        <v>Deathblade</v>
      </c>
    </row>
    <row r="32">
      <c r="A32" s="35"/>
      <c r="B32" s="50"/>
      <c r="C32" s="40" t="str">
        <f>IFERROR(__xludf.DUMMYFUNCTION("IF(ISBLANK(C30),"""",HLOOKUP(REGEXEXTRACT(C30,"".*-(.*)""),INDIRECT(CONCATENATE(REGEXEXTRACT(C30,""(.*)-.*""),""!C3:Z"")),3,FALSE))"),"#REF!")</f>
        <v>#REF!</v>
      </c>
      <c r="D32" s="40" t="str">
        <f>IFERROR(__xludf.DUMMYFUNCTION("IF(ISBLANK(D30),"""",HLOOKUP(REGEXEXTRACT(D30,"".*-(.*)""),INDIRECT(CONCATENATE(REGEXEXTRACT(D30,""(.*)-.*""),""!C3:P"")),3,FALSE))"),"")</f>
        <v/>
      </c>
      <c r="E32" s="40" t="str">
        <f>IFERROR(__xludf.DUMMYFUNCTION("IF(ISBLANK(E30),"""",HLOOKUP(REGEXEXTRACT(E30,"".*-(.*)""),INDIRECT(CONCATENATE(REGEXEXTRACT(E30,""(.*)-.*""),""!C3:P"")),3,FALSE))"),"")</f>
        <v/>
      </c>
      <c r="F32" s="40">
        <f>IFERROR(__xludf.DUMMYFUNCTION("IF(ISBLANK(F30),"""",HLOOKUP(REGEXEXTRACT(F30,"".*-(.*)""),INDIRECT(CONCATENATE(REGEXEXTRACT(F30,""(.*)-.*""),""!C3:P"")),3,FALSE))"),1750.0)</f>
        <v>1750</v>
      </c>
      <c r="H32" s="35"/>
      <c r="I32" s="50"/>
      <c r="J32" s="12" t="str">
        <f>IFERROR(__xludf.DUMMYFUNCTION("IF(ISBLANK(J30),"""",HLOOKUP(REGEXEXTRACT(J30,"".*-(.*)""),INDIRECT(CONCATENATE(REGEXEXTRACT(J30,""(.*)-.*""),""!C3:P"")),3,FALSE))"),"")</f>
        <v/>
      </c>
      <c r="K32" s="12">
        <f>IFERROR(__xludf.DUMMYFUNCTION("IF(ISBLANK(K30),"""",HLOOKUP(REGEXEXTRACT(K30,"".*-(.*)""),INDIRECT(CONCATENATE(REGEXEXTRACT(K30,""(.*)-.*""),""!C3:P"")),3,FALSE))"),1730.0)</f>
        <v>1730</v>
      </c>
      <c r="L32" s="12" t="str">
        <f>IFERROR(__xludf.DUMMYFUNCTION("IF(ISBLANK(L30),"""",HLOOKUP(REGEXEXTRACT(L30,"".*-(.*)""),INDIRECT(CONCATENATE(REGEXEXTRACT(L30,""(.*)-.*""),""!C3:P"")),3,FALSE))"),"#REF!")</f>
        <v>#REF!</v>
      </c>
      <c r="M32" s="13">
        <f>IFERROR(__xludf.DUMMYFUNCTION("IF(ISBLANK(M30),"""",HLOOKUP(REGEXEXTRACT(M30,"".*-(.*)""),INDIRECT(CONCATENATE(REGEXEXTRACT(M30,""(.*)-.*""),""!C3:P"")),3,FALSE))"),1600.0)</f>
        <v>1600</v>
      </c>
    </row>
    <row r="33">
      <c r="B33" s="27"/>
      <c r="C33" s="27"/>
      <c r="D33" s="54"/>
      <c r="E33" s="55"/>
      <c r="F33" s="55"/>
      <c r="I33" s="28"/>
      <c r="J33" s="28"/>
      <c r="K33" s="28"/>
      <c r="L33" s="28"/>
      <c r="M33" s="28"/>
    </row>
    <row r="34">
      <c r="A34" s="29" t="s">
        <v>0</v>
      </c>
      <c r="B34" s="30" t="s">
        <v>89</v>
      </c>
      <c r="C34" s="31" t="s">
        <v>67</v>
      </c>
      <c r="D34" s="32" t="s">
        <v>52</v>
      </c>
      <c r="E34" s="32" t="s">
        <v>90</v>
      </c>
      <c r="F34" s="33"/>
      <c r="H34" s="29"/>
      <c r="I34" s="3" t="s">
        <v>86</v>
      </c>
      <c r="J34" s="5"/>
      <c r="K34" s="5"/>
      <c r="L34" s="5"/>
      <c r="M34" s="5"/>
    </row>
    <row r="35">
      <c r="A35" s="35"/>
      <c r="B35" s="17"/>
      <c r="C35" s="37" t="str">
        <f>IFERROR(__xludf.DUMMYFUNCTION("IF(ISBLANK(C34),"""",HLOOKUP(REGEXEXTRACT(C34,"".*-(.*)""),INDIRECT(CONCATENATE(REGEXEXTRACT(C34,""(.*)-.*""),""!C3:P"")),2,FALSE))"),"#REF!")</f>
        <v>#REF!</v>
      </c>
      <c r="D35" s="37" t="str">
        <f>IFERROR(__xludf.DUMMYFUNCTION("IF(ISBLANK(D34),"""",HLOOKUP(REGEXEXTRACT(D34,"".*-(.*)""),INDIRECT(CONCATENATE(REGEXEXTRACT(D34,""(.*)-.*""),""!C3:P"")),2,FALSE))"),"Gunslinger")</f>
        <v>Gunslinger</v>
      </c>
      <c r="E35" s="37" t="str">
        <f>IFERROR(__xludf.DUMMYFUNCTION("IF(ISBLANK(E34),"""",HLOOKUP(REGEXEXTRACT(E34,"".*-(.*)""),INDIRECT(CONCATENATE(REGEXEXTRACT(E34,""(.*)-.*""),""!C3:Z"")),2,FALSE))"),"Souleater")</f>
        <v>Souleater</v>
      </c>
      <c r="F35" s="42" t="str">
        <f>IFERROR(__xludf.DUMMYFUNCTION("IF(ISBLANK(F34),"""",HLOOKUP(REGEXEXTRACT(F34,"".*-(.*)""),INDIRECT(CONCATENATE(REGEXEXTRACT(F34,""(.*)-.*""),""!C3:P"")),2,FALSE))"),"")</f>
        <v/>
      </c>
      <c r="H35" s="35"/>
      <c r="I35" s="48"/>
      <c r="J35" s="9" t="str">
        <f>IFERROR(__xludf.DUMMYFUNCTION("IF(ISBLANK(J34),"""",HLOOKUP(REGEXEXTRACT(J34,"".*-(.*)""),INDIRECT(CONCATENATE(REGEXEXTRACT(J34,""(.*)-.*""),""!C3:P"")),2,FALSE))"),"")</f>
        <v/>
      </c>
      <c r="K35" s="9" t="str">
        <f>IFERROR(__xludf.DUMMYFUNCTION("IF(ISBLANK(K34),"""",HLOOKUP(REGEXEXTRACT(K34,"".*-(.*)""),INDIRECT(CONCATENATE(REGEXEXTRACT(K34,""(.*)-.*""),""!C3:P"")),2,FALSE))"),"")</f>
        <v/>
      </c>
      <c r="L35" s="9" t="str">
        <f>IFERROR(__xludf.DUMMYFUNCTION("IF(ISBLANK(L34),"""",HLOOKUP(REGEXEXTRACT(L34,"".*-(.*)""),INDIRECT(CONCATENATE(REGEXEXTRACT(L34,""(.*)-.*""),""!C3:P"")),2,FALSE))"),"")</f>
        <v/>
      </c>
      <c r="M35" s="10" t="str">
        <f>IFERROR(__xludf.DUMMYFUNCTION("IF(ISBLANK(M34),"""",HLOOKUP(REGEXEXTRACT(M34,"".*-(.*)""),INDIRECT(CONCATENATE(REGEXEXTRACT(M34,""(.*)-.*""),""!C3:P"")),2,FALSE))"),"")</f>
        <v/>
      </c>
    </row>
    <row r="36">
      <c r="A36" s="35"/>
      <c r="B36" s="18"/>
      <c r="C36" s="40" t="str">
        <f>IFERROR(__xludf.DUMMYFUNCTION("IF(ISBLANK(C34),"""",HLOOKUP(REGEXEXTRACT(C34,"".*-(.*)""),INDIRECT(CONCATENATE(REGEXEXTRACT(C34,""(.*)-.*""),""!C3:P"")),3,FALSE))"),"#REF!")</f>
        <v>#REF!</v>
      </c>
      <c r="D36" s="40">
        <f>IFERROR(__xludf.DUMMYFUNCTION("IF(ISBLANK(D34),"""",HLOOKUP(REGEXEXTRACT(D34,"".*-(.*)""),INDIRECT(CONCATENATE(REGEXEXTRACT(D34,""(.*)-.*""),""!C3:P"")),3,FALSE))"),1600.0)</f>
        <v>1600</v>
      </c>
      <c r="E36" s="40">
        <f>IFERROR(__xludf.DUMMYFUNCTION("IF(ISBLANK(E34),"""",HLOOKUP(REGEXEXTRACT(E34,"".*-(.*)""),INDIRECT(CONCATENATE(REGEXEXTRACT(E34,""(.*)-.*""),""!C3:Z"")),3,FALSE))"),1640.0)</f>
        <v>1640</v>
      </c>
      <c r="F36" s="43" t="str">
        <f>IFERROR(__xludf.DUMMYFUNCTION("IF(ISBLANK(F34),"""",HLOOKUP(REGEXEXTRACT(F34,"".*-(.*)""),INDIRECT(CONCATENATE(REGEXEXTRACT(F34,""(.*)-.*""),""!C3:P"")),3,FALSE))"),"")</f>
        <v/>
      </c>
      <c r="H36" s="35"/>
      <c r="I36" s="50"/>
      <c r="J36" s="12" t="str">
        <f>IFERROR(__xludf.DUMMYFUNCTION("IF(ISBLANK(J34),"""",HLOOKUP(REGEXEXTRACT(J34,"".*-(.*)""),INDIRECT(CONCATENATE(REGEXEXTRACT(J34,""(.*)-.*""),""!C3:P"")),3,FALSE))"),"")</f>
        <v/>
      </c>
      <c r="K36" s="12" t="str">
        <f>IFERROR(__xludf.DUMMYFUNCTION("IF(ISBLANK(K34),"""",HLOOKUP(REGEXEXTRACT(K34,"".*-(.*)""),INDIRECT(CONCATENATE(REGEXEXTRACT(K34,""(.*)-.*""),""!C3:P"")),3,FALSE))"),"")</f>
        <v/>
      </c>
      <c r="L36" s="12" t="str">
        <f>IFERROR(__xludf.DUMMYFUNCTION("IF(ISBLANK(L34),"""",HLOOKUP(REGEXEXTRACT(L34,"".*-(.*)""),INDIRECT(CONCATENATE(REGEXEXTRACT(L34,""(.*)-.*""),""!C3:P"")),3,FALSE))"),"")</f>
        <v/>
      </c>
      <c r="M36" s="13" t="str">
        <f>IFERROR(__xludf.DUMMYFUNCTION("IF(ISBLANK(M34),"""",HLOOKUP(REGEXEXTRACT(M34,"".*-(.*)""),INDIRECT(CONCATENATE(REGEXEXTRACT(M34,""(.*)-.*""),""!C3:P"")),3,FALSE))"),"")</f>
        <v/>
      </c>
    </row>
    <row r="38">
      <c r="A38" s="29" t="s">
        <v>0</v>
      </c>
      <c r="B38" s="30" t="s">
        <v>89</v>
      </c>
      <c r="C38" s="32" t="s">
        <v>91</v>
      </c>
      <c r="D38" s="32" t="s">
        <v>92</v>
      </c>
      <c r="E38" s="32" t="s">
        <v>81</v>
      </c>
      <c r="F38" s="33" t="s">
        <v>65</v>
      </c>
      <c r="H38" s="29"/>
      <c r="I38" s="3" t="s">
        <v>86</v>
      </c>
      <c r="J38" s="5"/>
      <c r="K38" s="5"/>
      <c r="L38" s="5"/>
      <c r="M38" s="5"/>
    </row>
    <row r="39">
      <c r="A39" s="35"/>
      <c r="B39" s="56"/>
      <c r="C39" s="37" t="str">
        <f>IFERROR(__xludf.DUMMYFUNCTION("IF(ISBLANK(C38),"""",HLOOKUP(REGEXEXTRACT(C38,"".*-(.*)""),INDIRECT(CONCATENATE(REGEXEXTRACT(C38,""(.*)-.*""),""!C3:V"")),2,FALSE))"),"Gunlancer")</f>
        <v>Gunlancer</v>
      </c>
      <c r="D39" s="37" t="str">
        <f>IFERROR(__xludf.DUMMYFUNCTION("IF(ISBLANK(D38),"""",HLOOKUP(REGEXEXTRACT(D38,"".*-(.*)""),INDIRECT(CONCATENATE(REGEXEXTRACT(D38,""(.*)-.*""),""!C3:P"")),2,FALSE))"),"Bard")</f>
        <v>Bard</v>
      </c>
      <c r="E39" s="37" t="str">
        <f>IFERROR(__xludf.DUMMYFUNCTION("IF(ISBLANK(E38),"""",HLOOKUP(REGEXEXTRACT(E38,"".*-(.*)""),INDIRECT(CONCATENATE(REGEXEXTRACT(E38,""(.*)-.*""),""!C3:P"")),2,FALSE))"),"Aeromancer")</f>
        <v>Aeromancer</v>
      </c>
      <c r="F39" s="42" t="str">
        <f>IFERROR(__xludf.DUMMYFUNCTION("IF(ISBLANK(F38),"""",HLOOKUP(REGEXEXTRACT(F38,"".*-(.*)""),INDIRECT(CONCATENATE(REGEXEXTRACT(F38,""(.*)-.*""),""!C3:P"")),2,FALSE))"),"Slayer")</f>
        <v>Slayer</v>
      </c>
      <c r="H39" s="35"/>
      <c r="I39" s="48"/>
      <c r="J39" s="9" t="str">
        <f>IFERROR(__xludf.DUMMYFUNCTION("IF(ISBLANK(J38),"""",HLOOKUP(REGEXEXTRACT(J38,"".*-(.*)""),INDIRECT(CONCATENATE(REGEXEXTRACT(J38,""(.*)-.*""),""!C3:P"")),2,FALSE))"),"")</f>
        <v/>
      </c>
      <c r="K39" s="9" t="str">
        <f>IFERROR(__xludf.DUMMYFUNCTION("IF(ISBLANK(K38),"""",HLOOKUP(REGEXEXTRACT(K38,"".*-(.*)""),INDIRECT(CONCATENATE(REGEXEXTRACT(K38,""(.*)-.*""),""!C3:P"")),2,FALSE))"),"")</f>
        <v/>
      </c>
      <c r="L39" s="9" t="str">
        <f>IFERROR(__xludf.DUMMYFUNCTION("IF(ISBLANK(L38),"""",HLOOKUP(REGEXEXTRACT(L38,"".*-(.*)""),INDIRECT(CONCATENATE(REGEXEXTRACT(L38,""(.*)-.*""),""!C3:P"")),2,FALSE))"),"")</f>
        <v/>
      </c>
      <c r="M39" s="10" t="str">
        <f>IFERROR(__xludf.DUMMYFUNCTION("IF(ISBLANK(M38),"""",HLOOKUP(REGEXEXTRACT(M38,"".*-(.*)""),INDIRECT(CONCATENATE(REGEXEXTRACT(M38,""(.*)-.*""),""!C3:P"")),2,FALSE))"),"")</f>
        <v/>
      </c>
    </row>
    <row r="40">
      <c r="A40" s="35"/>
      <c r="B40" s="57"/>
      <c r="C40" s="40">
        <f>IFERROR(__xludf.DUMMYFUNCTION("IF(ISBLANK(C38),"""",HLOOKUP(REGEXEXTRACT(C38,"".*-(.*)""),INDIRECT(CONCATENATE(REGEXEXTRACT(C38,""(.*)-.*""),""!C3:V"")),3,FALSE))"),1600.83)</f>
        <v>1600.83</v>
      </c>
      <c r="D40" s="40">
        <f>IFERROR(__xludf.DUMMYFUNCTION("IF(ISBLANK(D38),"""",HLOOKUP(REGEXEXTRACT(D38,"".*-(.*)""),INDIRECT(CONCATENATE(REGEXEXTRACT(D38,""(.*)-.*""),""!C3:P"")),3,FALSE))"),1670.0)</f>
        <v>1670</v>
      </c>
      <c r="E40" s="40">
        <f>IFERROR(__xludf.DUMMYFUNCTION("IF(ISBLANK(E38),"""",HLOOKUP(REGEXEXTRACT(E38,"".*-(.*)""),INDIRECT(CONCATENATE(REGEXEXTRACT(E38,""(.*)-.*""),""!C3:P"")),3,FALSE))"),1730.0)</f>
        <v>1730</v>
      </c>
      <c r="F40" s="43">
        <f>IFERROR(__xludf.DUMMYFUNCTION("IF(ISBLANK(F38),"""",HLOOKUP(REGEXEXTRACT(F38,"".*-(.*)""),INDIRECT(CONCATENATE(REGEXEXTRACT(F38,""(.*)-.*""),""!C3:P"")),3,FALSE))"),1610.0)</f>
        <v>1610</v>
      </c>
      <c r="H40" s="35"/>
      <c r="I40" s="50"/>
      <c r="J40" s="12" t="str">
        <f>IFERROR(__xludf.DUMMYFUNCTION("IF(ISBLANK(J38),"""",HLOOKUP(REGEXEXTRACT(J38,"".*-(.*)""),INDIRECT(CONCATENATE(REGEXEXTRACT(J38,""(.*)-.*""),""!C3:P"")),3,FALSE))"),"")</f>
        <v/>
      </c>
      <c r="K40" s="12" t="str">
        <f>IFERROR(__xludf.DUMMYFUNCTION("IF(ISBLANK(K38),"""",HLOOKUP(REGEXEXTRACT(K38,"".*-(.*)""),INDIRECT(CONCATENATE(REGEXEXTRACT(K38,""(.*)-.*""),""!C3:P"")),3,FALSE))"),"")</f>
        <v/>
      </c>
      <c r="L40" s="12" t="str">
        <f>IFERROR(__xludf.DUMMYFUNCTION("IF(ISBLANK(L38),"""",HLOOKUP(REGEXEXTRACT(L38,"".*-(.*)""),INDIRECT(CONCATENATE(REGEXEXTRACT(L38,""(.*)-.*""),""!C3:P"")),3,FALSE))"),"")</f>
        <v/>
      </c>
      <c r="M40" s="13" t="str">
        <f>IFERROR(__xludf.DUMMYFUNCTION("IF(ISBLANK(M38),"""",HLOOKUP(REGEXEXTRACT(M38,"".*-(.*)""),INDIRECT(CONCATENATE(REGEXEXTRACT(M38,""(.*)-.*""),""!C3:P"")),3,FALSE))"),"")</f>
        <v/>
      </c>
    </row>
    <row r="42">
      <c r="A42" s="2"/>
    </row>
    <row r="46">
      <c r="A46" s="2"/>
    </row>
  </sheetData>
  <mergeCells count="22">
    <mergeCell ref="H18:H20"/>
    <mergeCell ref="H22:H24"/>
    <mergeCell ref="H26:H28"/>
    <mergeCell ref="H30:H32"/>
    <mergeCell ref="H34:H36"/>
    <mergeCell ref="H38:H40"/>
    <mergeCell ref="A2:A4"/>
    <mergeCell ref="H2:H4"/>
    <mergeCell ref="A6:A8"/>
    <mergeCell ref="H6:H8"/>
    <mergeCell ref="A10:A12"/>
    <mergeCell ref="H10:H12"/>
    <mergeCell ref="H14:H16"/>
    <mergeCell ref="A42:A44"/>
    <mergeCell ref="A46:A48"/>
    <mergeCell ref="A14:A16"/>
    <mergeCell ref="A18:A20"/>
    <mergeCell ref="A22:A24"/>
    <mergeCell ref="A26:A28"/>
    <mergeCell ref="A30:A32"/>
    <mergeCell ref="A34:A36"/>
    <mergeCell ref="A38:A40"/>
  </mergeCells>
  <conditionalFormatting sqref="A2:A48 H2:H12 H14:H16 H18:H20 H22:H24 H26:H45 B33 B37 B41 B45">
    <cfRule type="cellIs" dxfId="0" priority="1" operator="equal">
      <formula>"DONE"</formula>
    </cfRule>
  </conditionalFormatting>
  <dataValidations>
    <dataValidation type="list" allowBlank="1" showErrorMessage="1" sqref="C2:F2 J2:M2 C6:F6 J6:M6 C10:F10 J10:M10 C14:F14 J14:M14 C18:F18 J18:M18 C22:F22 J22:M22 C26:F26 J26:M26 C30:F30 J30:M30 C34:F34 J34:M34 C38:F38 J38:M38">
      <formula1>chars!$B$2:$Z904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1.75"/>
    <col customWidth="1" min="3" max="10" width="18.13"/>
    <col customWidth="1" min="12" max="12" width="14.13"/>
    <col customWidth="1" min="13" max="13" width="5.25"/>
    <col customWidth="1" min="14" max="14" width="10.25"/>
    <col customWidth="1" min="15" max="15" width="5.5"/>
    <col customWidth="1" min="16" max="16" width="6.25"/>
    <col customWidth="1" min="17" max="17" width="5.13"/>
    <col customWidth="1" min="18" max="18" width="4.38"/>
    <col customWidth="1" min="19" max="19" width="5.0"/>
    <col customWidth="1" min="20" max="21" width="6.88"/>
    <col customWidth="1" min="22" max="23" width="7.13"/>
    <col customWidth="1" min="24" max="24" width="4.75"/>
    <col customWidth="1" min="25" max="25" width="13.5"/>
    <col customWidth="1" min="26" max="27" width="9.5"/>
    <col customWidth="1" min="28" max="28" width="5.75"/>
    <col customWidth="1" min="29" max="29" width="10.13"/>
    <col customWidth="1" min="30" max="30" width="5.75"/>
  </cols>
  <sheetData>
    <row r="1">
      <c r="A1" s="58" t="s">
        <v>93</v>
      </c>
    </row>
    <row r="2">
      <c r="K2" s="59"/>
      <c r="L2" s="60" t="s">
        <v>94</v>
      </c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>
      <c r="K3" s="59"/>
      <c r="AC3" s="61"/>
      <c r="AE3" s="59"/>
    </row>
    <row r="4">
      <c r="K4" s="62"/>
      <c r="L4" s="63" t="s">
        <v>95</v>
      </c>
      <c r="M4" s="64" t="s">
        <v>96</v>
      </c>
      <c r="N4" s="65" t="s">
        <v>97</v>
      </c>
      <c r="O4" s="66" t="s">
        <v>98</v>
      </c>
      <c r="P4" s="66" t="s">
        <v>99</v>
      </c>
      <c r="Q4" s="66" t="s">
        <v>100</v>
      </c>
      <c r="R4" s="66" t="s">
        <v>101</v>
      </c>
      <c r="S4" s="66" t="s">
        <v>102</v>
      </c>
      <c r="T4" s="66" t="s">
        <v>103</v>
      </c>
      <c r="U4" s="66" t="s">
        <v>104</v>
      </c>
      <c r="V4" s="66" t="s">
        <v>105</v>
      </c>
      <c r="W4" s="67" t="s">
        <v>106</v>
      </c>
      <c r="X4" s="67" t="s">
        <v>107</v>
      </c>
      <c r="Y4" s="66" t="s">
        <v>108</v>
      </c>
      <c r="Z4" s="68" t="s">
        <v>109</v>
      </c>
      <c r="AA4" s="69"/>
      <c r="AB4" s="70" t="s">
        <v>110</v>
      </c>
      <c r="AC4" s="61"/>
      <c r="AD4" s="61"/>
      <c r="AE4" s="59"/>
    </row>
    <row r="5">
      <c r="A5" s="2"/>
      <c r="B5" s="71" t="s">
        <v>111</v>
      </c>
      <c r="C5" s="72" t="s">
        <v>112</v>
      </c>
      <c r="D5" s="73" t="s">
        <v>4</v>
      </c>
      <c r="E5" s="73" t="s">
        <v>113</v>
      </c>
      <c r="F5" s="73" t="s">
        <v>114</v>
      </c>
      <c r="G5" s="73" t="s">
        <v>115</v>
      </c>
      <c r="H5" s="73" t="s">
        <v>116</v>
      </c>
      <c r="I5" s="73" t="s">
        <v>117</v>
      </c>
      <c r="J5" s="74" t="s">
        <v>118</v>
      </c>
      <c r="K5" s="59"/>
      <c r="L5" s="75"/>
      <c r="M5" s="76"/>
      <c r="N5" s="77" t="s">
        <v>119</v>
      </c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8"/>
      <c r="AC5" s="61"/>
      <c r="AD5" s="61"/>
      <c r="AE5" s="59"/>
    </row>
    <row r="6">
      <c r="B6" s="79" t="s">
        <v>120</v>
      </c>
      <c r="C6" s="80" t="str">
        <f>IFERROR(__xludf.DUMMYFUNCTION("IF(ISBLANK(C5),"""",HLOOKUP(REGEXEXTRACT(C5,"".*-(.*)""),INDIRECT(CONCATENATE(REGEXEXTRACT(C5,""(.*)-.*""),""!C3:V"")),2,FALSE))"),"Wildsoul")</f>
        <v>Wildsoul</v>
      </c>
      <c r="D6" s="81" t="str">
        <f>IFERROR(__xludf.DUMMYFUNCTION("IF(ISBLANK(D5),"""",HLOOKUP(REGEXEXTRACT(D5,"".*-(.*)""),INDIRECT(CONCATENATE(REGEXEXTRACT(D5,""(.*)-.*""),""!C3:V"")),2,FALSE))"),"Gunslinger")</f>
        <v>Gunslinger</v>
      </c>
      <c r="E6" s="80" t="str">
        <f>IFERROR(__xludf.DUMMYFUNCTION("IF(ISBLANK(E5),"""",HLOOKUP(REGEXEXTRACT(E5,"".*-(.*)""),INDIRECT(CONCATENATE(REGEXEXTRACT(E5,""(.*)-.*""),""!C3:V"")),2,FALSE))"),"G")</f>
        <v>G</v>
      </c>
      <c r="F6" s="81" t="str">
        <f>IFERROR(__xludf.DUMMYFUNCTION("IF(ISBLANK(F5),"""",HLOOKUP(REGEXEXTRACT(F5,"".*-(.*)""),INDIRECT(CONCATENATE(REGEXEXTRACT(F5,""(.*)-.*""),""!C3:V"")),2,FALSE))"),"Souleater")</f>
        <v>Souleater</v>
      </c>
      <c r="G6" s="81" t="str">
        <f>IFERROR(__xludf.DUMMYFUNCTION("IF(ISBLANK(G5),"""",HLOOKUP(REGEXEXTRACT(G5,"".*-(.*)""),INDIRECT(CONCATENATE(REGEXEXTRACT(G5,""(.*)-.*""),""!C3:V"")),2,FALSE))"),"Wildsoul")</f>
        <v>Wildsoul</v>
      </c>
      <c r="H6" s="82" t="s">
        <v>121</v>
      </c>
      <c r="I6" s="80" t="str">
        <f>IFERROR(__xludf.DUMMYFUNCTION("IF(ISBLANK(I5),"""",HLOOKUP(REGEXEXTRACT(I5,"".*-(.*)""),INDIRECT(CONCATENATE(REGEXEXTRACT(I5,""(.*)-.*""),""!C3:V"")),2,FALSE))"),"Artist")</f>
        <v>Artist</v>
      </c>
      <c r="J6" s="83" t="str">
        <f>IFERROR(__xludf.DUMMYFUNCTION("IF(ISBLANK(J5),"""",HLOOKUP(REGEXEXTRACT(J5,"".*-(.*)""),INDIRECT(CONCATENATE(REGEXEXTRACT(J5,""(.*)-.*""),""!C3:V"")),2,FALSE))"),"Arcana")</f>
        <v>Arcana</v>
      </c>
      <c r="K6" s="59"/>
      <c r="L6" s="84" t="s">
        <v>122</v>
      </c>
      <c r="M6" s="85">
        <v>0.7638888888888888</v>
      </c>
      <c r="N6" s="86" t="s">
        <v>123</v>
      </c>
      <c r="O6" s="86" t="s">
        <v>98</v>
      </c>
      <c r="P6" s="86" t="s">
        <v>99</v>
      </c>
      <c r="Q6" s="86"/>
      <c r="R6" s="87" t="s">
        <v>101</v>
      </c>
      <c r="S6" s="87" t="s">
        <v>102</v>
      </c>
      <c r="T6" s="86"/>
      <c r="W6" s="87" t="s">
        <v>106</v>
      </c>
      <c r="X6" s="87"/>
      <c r="AA6" s="87" t="s">
        <v>124</v>
      </c>
      <c r="AB6" s="88">
        <f t="array" ref="AB6">SUM(LEN(O6:X6) - LEN(SUBSTITUTE(O6:X6, "/", "")) + (O6:X6&lt;&gt;""))</f>
        <v>5</v>
      </c>
      <c r="AC6" s="61"/>
      <c r="AD6" s="61"/>
      <c r="AE6" s="59"/>
    </row>
    <row r="7">
      <c r="B7" s="89"/>
      <c r="C7" s="90">
        <f>IFERROR(__xludf.DUMMYFUNCTION("IF(ISBLANK(C5),"""",HLOOKUP(REGEXEXTRACT(C5,"".*-(.*)""),INDIRECT(CONCATENATE(REGEXEXTRACT(C5,""(.*)-.*""),""!C3:V"")),3,FALSE))"),1750.0)</f>
        <v>1750</v>
      </c>
      <c r="D7" s="91">
        <f>IFERROR(__xludf.DUMMYFUNCTION("IF(ISBLANK(D5),"""",HLOOKUP(REGEXEXTRACT(D5,"".*-(.*)""),INDIRECT(CONCATENATE(REGEXEXTRACT(D5,""(.*)-.*""),""!C3:V"")),3,FALSE))"),1750.0)</f>
        <v>1750</v>
      </c>
      <c r="E7" s="90">
        <f>IFERROR(__xludf.DUMMYFUNCTION("IF(ISBLANK(E5),"""",HLOOKUP(REGEXEXTRACT(E5,"".*-(.*)""),INDIRECT(CONCATENATE(REGEXEXTRACT(E5,""(.*)-.*""),""!C3:V"")),3,FALSE))"),1750.0)</f>
        <v>1750</v>
      </c>
      <c r="F7" s="91">
        <f>IFERROR(__xludf.DUMMYFUNCTION("IF(ISBLANK(F5),"""",HLOOKUP(REGEXEXTRACT(F5,"".*-(.*)""),INDIRECT(CONCATENATE(REGEXEXTRACT(F5,""(.*)-.*""),""!C3:V"")),3,FALSE))"),1750.0)</f>
        <v>1750</v>
      </c>
      <c r="G7" s="91">
        <f>IFERROR(__xludf.DUMMYFUNCTION("IF(ISBLANK(G5),"""",HLOOKUP(REGEXEXTRACT(G5,"".*-(.*)""),INDIRECT(CONCATENATE(REGEXEXTRACT(G5,""(.*)-.*""),""!C3:V"")),3,FALSE))"),1750.0)</f>
        <v>1750</v>
      </c>
      <c r="H7" s="92">
        <v>1730.0</v>
      </c>
      <c r="I7" s="90">
        <f>IFERROR(__xludf.DUMMYFUNCTION("IF(ISBLANK(I5),"""",HLOOKUP(REGEXEXTRACT(I5,"".*-(.*)""),INDIRECT(CONCATENATE(REGEXEXTRACT(I5,""(.*)-.*""),""!C3:V"")),3,FALSE))"),1730.0)</f>
        <v>1730</v>
      </c>
      <c r="J7" s="93">
        <f>IFERROR(__xludf.DUMMYFUNCTION("IF(ISBLANK(J5),"""",HLOOKUP(REGEXEXTRACT(J5,"".*-(.*)""),INDIRECT(CONCATENATE(REGEXEXTRACT(J5,""(.*)-.*""),""!C3:V"")),3,FALSE))"),1750.0)</f>
        <v>1750</v>
      </c>
      <c r="K7" s="59"/>
      <c r="L7" s="94" t="s">
        <v>125</v>
      </c>
      <c r="M7" s="95">
        <v>0.7777777777777778</v>
      </c>
      <c r="N7" s="96" t="s">
        <v>123</v>
      </c>
      <c r="O7" s="96" t="s">
        <v>98</v>
      </c>
      <c r="P7" s="96" t="s">
        <v>99</v>
      </c>
      <c r="R7" s="96" t="s">
        <v>101</v>
      </c>
      <c r="S7" s="97" t="s">
        <v>102</v>
      </c>
      <c r="T7" s="96"/>
      <c r="W7" s="97" t="s">
        <v>106</v>
      </c>
      <c r="AA7" s="98"/>
      <c r="AB7" s="99">
        <f t="array" ref="AB7">SUM(LEN(O7:X7) - LEN(SUBSTITUTE(O7:X7, "/", "")) + (O7:X7&lt;&gt;""))</f>
        <v>5</v>
      </c>
      <c r="AC7" s="61"/>
      <c r="AE7" s="59"/>
    </row>
    <row r="8">
      <c r="K8" s="59"/>
      <c r="L8" s="84"/>
      <c r="M8" s="85">
        <v>0.7916666666666666</v>
      </c>
      <c r="N8" s="86" t="s">
        <v>126</v>
      </c>
      <c r="O8" s="86" t="s">
        <v>98</v>
      </c>
      <c r="P8" s="86" t="s">
        <v>99</v>
      </c>
      <c r="Q8" s="87" t="s">
        <v>100</v>
      </c>
      <c r="R8" s="87" t="s">
        <v>101</v>
      </c>
      <c r="S8" s="87" t="s">
        <v>102</v>
      </c>
      <c r="T8" s="86" t="s">
        <v>103</v>
      </c>
      <c r="W8" s="87" t="s">
        <v>106</v>
      </c>
      <c r="X8" s="87"/>
      <c r="Z8" s="87" t="s">
        <v>127</v>
      </c>
      <c r="AA8" s="87" t="s">
        <v>128</v>
      </c>
      <c r="AB8" s="88">
        <f t="array" ref="AB8">SUM(LEN(O8:X8) - LEN(SUBSTITUTE(O8:X8, "/", "")) + (O8:X8&lt;&gt;""))</f>
        <v>7</v>
      </c>
      <c r="AC8" s="61"/>
      <c r="AD8" s="61"/>
      <c r="AE8" s="60"/>
    </row>
    <row r="9">
      <c r="A9" s="2"/>
      <c r="B9" s="71" t="s">
        <v>129</v>
      </c>
      <c r="C9" s="72" t="s">
        <v>43</v>
      </c>
      <c r="D9" s="73" t="s">
        <v>32</v>
      </c>
      <c r="E9" s="73" t="s">
        <v>75</v>
      </c>
      <c r="F9" s="73" t="s">
        <v>130</v>
      </c>
      <c r="G9" s="73" t="s">
        <v>131</v>
      </c>
      <c r="H9" s="73" t="s">
        <v>132</v>
      </c>
      <c r="I9" s="73" t="s">
        <v>133</v>
      </c>
      <c r="J9" s="74" t="s">
        <v>134</v>
      </c>
      <c r="K9" s="59"/>
      <c r="L9" s="94"/>
      <c r="M9" s="95">
        <v>0.8125</v>
      </c>
      <c r="N9" s="96" t="s">
        <v>126</v>
      </c>
      <c r="O9" s="96" t="s">
        <v>98</v>
      </c>
      <c r="P9" s="96" t="s">
        <v>99</v>
      </c>
      <c r="Q9" s="96" t="s">
        <v>100</v>
      </c>
      <c r="S9" s="96" t="s">
        <v>102</v>
      </c>
      <c r="T9" s="96" t="s">
        <v>103</v>
      </c>
      <c r="U9" s="97" t="s">
        <v>104</v>
      </c>
      <c r="V9" s="97" t="s">
        <v>105</v>
      </c>
      <c r="X9" s="97" t="s">
        <v>107</v>
      </c>
      <c r="Z9" s="97" t="s">
        <v>135</v>
      </c>
      <c r="AA9" s="98" t="s">
        <v>136</v>
      </c>
      <c r="AB9" s="99">
        <f t="array" ref="AB9">SUM(LEN(O9:Y9) - LEN(SUBSTITUTE(O9:Y9, "/", "")) + (O9:Y9&lt;&gt;""))</f>
        <v>8</v>
      </c>
      <c r="AC9" s="61"/>
      <c r="AD9" s="61"/>
      <c r="AE9" s="60"/>
    </row>
    <row r="10">
      <c r="B10" s="79" t="s">
        <v>120</v>
      </c>
      <c r="C10" s="80" t="str">
        <f>IFERROR(__xludf.DUMMYFUNCTION("IF(ISBLANK(C9),"""",HLOOKUP(REGEXEXTRACT(C9,"".*-(.*)""),INDIRECT(CONCATENATE(REGEXEXTRACT(C9,""(.*)-.*""),""!C3:V"")),2,FALSE))"),"Soulfist")</f>
        <v>Soulfist</v>
      </c>
      <c r="D10" s="80" t="str">
        <f>IFERROR(__xludf.DUMMYFUNCTION("IF(ISBLANK(D9),"""",HLOOKUP(REGEXEXTRACT(D9,"".*-(.*)""),INDIRECT(CONCATENATE(REGEXEXTRACT(D9,""(.*)-.*""),""!C3:V"")),2,FALSE))"),"Glaivier")</f>
        <v>Glaivier</v>
      </c>
      <c r="E10" s="81" t="str">
        <f>IFERROR(__xludf.DUMMYFUNCTION("IF(ISBLANK(E9),"""",HLOOKUP(REGEXEXTRACT(E9,"".*-(.*)""),INDIRECT(CONCATENATE(REGEXEXTRACT(E9,""(.*)-.*""),""!C3:V"")),2,FALSE))"),"BREAKER")</f>
        <v>BREAKER</v>
      </c>
      <c r="F10" s="80" t="str">
        <f>IFERROR(__xludf.DUMMYFUNCTION("IF(ISBLANK(F9),"""",HLOOKUP(REGEXEXTRACT(F9,"".*-(.*)""),INDIRECT(CONCATENATE(REGEXEXTRACT(F9,""(.*)-.*""),""!C3:V"")),2,FALSE))"),"Aeromancer")</f>
        <v>Aeromancer</v>
      </c>
      <c r="G10" s="81" t="str">
        <f>IFERROR(__xludf.DUMMYFUNCTION("IF(ISBLANK(G9),"""",HLOOKUP(REGEXEXTRACT(G9,"".*-(.*)""),INDIRECT(CONCATENATE(REGEXEXTRACT(G9,""(.*)-.*""),""!C3:V"")),2,FALSE))"),"Glaivier")</f>
        <v>Glaivier</v>
      </c>
      <c r="H10" s="100" t="s">
        <v>137</v>
      </c>
      <c r="I10" s="101" t="s">
        <v>138</v>
      </c>
      <c r="J10" s="102" t="s">
        <v>137</v>
      </c>
      <c r="K10" s="59"/>
      <c r="L10" s="103"/>
      <c r="M10" s="104">
        <v>0.8333333333333334</v>
      </c>
      <c r="N10" s="86" t="s">
        <v>126</v>
      </c>
      <c r="O10" s="86" t="s">
        <v>98</v>
      </c>
      <c r="P10" s="86" t="s">
        <v>99</v>
      </c>
      <c r="Q10" s="86" t="s">
        <v>100</v>
      </c>
      <c r="S10" s="86" t="s">
        <v>102</v>
      </c>
      <c r="T10" s="87" t="s">
        <v>103</v>
      </c>
      <c r="U10" s="87" t="s">
        <v>104</v>
      </c>
      <c r="V10" s="86" t="s">
        <v>105</v>
      </c>
      <c r="X10" s="87" t="s">
        <v>107</v>
      </c>
      <c r="Z10" s="86" t="s">
        <v>139</v>
      </c>
      <c r="AA10" s="87" t="s">
        <v>107</v>
      </c>
      <c r="AB10" s="88">
        <f t="array" ref="AB10">SUM(LEN(O10:Y10) - LEN(SUBSTITUTE(O10:Y10, "/", "")) + (O10:Y10&lt;&gt;""))</f>
        <v>8</v>
      </c>
      <c r="AC10" s="61"/>
      <c r="AD10" s="61"/>
      <c r="AE10" s="60"/>
    </row>
    <row r="11">
      <c r="B11" s="89"/>
      <c r="C11" s="90">
        <f>IFERROR(__xludf.DUMMYFUNCTION("IF(ISBLANK(C9),"""",HLOOKUP(REGEXEXTRACT(C9,"".*-(.*)""),INDIRECT(CONCATENATE(REGEXEXTRACT(C9,""(.*)-.*""),""!C3:V"")),3,FALSE))"),1750.0)</f>
        <v>1750</v>
      </c>
      <c r="D11" s="90">
        <f>IFERROR(__xludf.DUMMYFUNCTION("IF(ISBLANK(D9),"""",HLOOKUP(REGEXEXTRACT(D9,"".*-(.*)""),INDIRECT(CONCATENATE(REGEXEXTRACT(D9,""(.*)-.*""),""!C3:V"")),3,FALSE))"),1750.0)</f>
        <v>1750</v>
      </c>
      <c r="E11" s="91">
        <f>IFERROR(__xludf.DUMMYFUNCTION("IF(ISBLANK(E9),"""",HLOOKUP(REGEXEXTRACT(E9,"".*-(.*)""),INDIRECT(CONCATENATE(REGEXEXTRACT(E9,""(.*)-.*""),""!C3:V"")),3,FALSE))"),1750.0)</f>
        <v>1750</v>
      </c>
      <c r="F11" s="90">
        <f>IFERROR(__xludf.DUMMYFUNCTION("IF(ISBLANK(F9),"""",HLOOKUP(REGEXEXTRACT(F9,"".*-(.*)""),INDIRECT(CONCATENATE(REGEXEXTRACT(F9,""(.*)-.*""),""!C3:V"")),3,FALSE))"),1750.0)</f>
        <v>1750</v>
      </c>
      <c r="G11" s="91">
        <f>IFERROR(__xludf.DUMMYFUNCTION("IF(ISBLANK(G9),"""",HLOOKUP(REGEXEXTRACT(G9,"".*-(.*)""),INDIRECT(CONCATENATE(REGEXEXTRACT(G9,""(.*)-.*""),""!C3:V"")),3,FALSE))"),1750.0)</f>
        <v>1750</v>
      </c>
      <c r="H11" s="90"/>
      <c r="I11" s="91"/>
      <c r="J11" s="93"/>
      <c r="K11" s="59"/>
      <c r="L11" s="75"/>
      <c r="M11" s="76"/>
      <c r="N11" s="77" t="s">
        <v>140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8"/>
      <c r="AC11" s="61"/>
      <c r="AD11" s="61"/>
      <c r="AE11" s="60"/>
    </row>
    <row r="12">
      <c r="K12" s="59"/>
      <c r="L12" s="105" t="s">
        <v>141</v>
      </c>
      <c r="M12" s="106">
        <v>0.7569444444444444</v>
      </c>
      <c r="N12" s="86" t="s">
        <v>123</v>
      </c>
      <c r="O12" s="86" t="s">
        <v>98</v>
      </c>
      <c r="P12" s="86"/>
      <c r="Q12" s="86" t="s">
        <v>100</v>
      </c>
      <c r="R12" s="87" t="s">
        <v>101</v>
      </c>
      <c r="S12" s="86" t="s">
        <v>102</v>
      </c>
      <c r="T12" s="86"/>
      <c r="W12" s="87" t="s">
        <v>106</v>
      </c>
      <c r="AA12" s="107"/>
      <c r="AB12" s="108">
        <f t="array" ref="AB12">SUM(LEN(O12:X12) - LEN(SUBSTITUTE(O12:X12, "/", "")) + (O12:X12&lt;&gt;""))</f>
        <v>5</v>
      </c>
      <c r="AC12" s="61"/>
      <c r="AD12" s="61"/>
      <c r="AE12" s="60"/>
    </row>
    <row r="13">
      <c r="A13" s="2"/>
      <c r="B13" s="71" t="s">
        <v>142</v>
      </c>
      <c r="C13" s="72" t="s">
        <v>143</v>
      </c>
      <c r="D13" s="73" t="s">
        <v>144</v>
      </c>
      <c r="E13" s="73" t="s">
        <v>70</v>
      </c>
      <c r="F13" s="73" t="s">
        <v>145</v>
      </c>
      <c r="G13" s="73" t="s">
        <v>146</v>
      </c>
      <c r="H13" s="73" t="s">
        <v>147</v>
      </c>
      <c r="I13" s="73" t="s">
        <v>148</v>
      </c>
      <c r="J13" s="74" t="s">
        <v>149</v>
      </c>
      <c r="K13" s="59"/>
      <c r="L13" s="94"/>
      <c r="M13" s="109">
        <v>0.7708333333333334</v>
      </c>
      <c r="N13" s="96" t="s">
        <v>126</v>
      </c>
      <c r="O13" s="96" t="s">
        <v>98</v>
      </c>
      <c r="P13" s="96" t="s">
        <v>99</v>
      </c>
      <c r="Q13" s="96" t="s">
        <v>100</v>
      </c>
      <c r="R13" s="97" t="s">
        <v>101</v>
      </c>
      <c r="S13" s="97" t="s">
        <v>102</v>
      </c>
      <c r="T13" s="96" t="s">
        <v>103</v>
      </c>
      <c r="U13" s="96"/>
      <c r="W13" s="97" t="s">
        <v>106</v>
      </c>
      <c r="X13" s="110"/>
      <c r="Y13" s="110"/>
      <c r="Z13" s="97" t="s">
        <v>150</v>
      </c>
      <c r="AA13" s="111" t="s">
        <v>151</v>
      </c>
      <c r="AB13" s="99">
        <f t="array" ref="AB13">SUM(LEN(O13:X13) - LEN(SUBSTITUTE(O13:X13, "/", "")) + (O13:X13&lt;&gt;""))</f>
        <v>7</v>
      </c>
      <c r="AC13" s="61"/>
      <c r="AD13" s="61"/>
      <c r="AE13" s="60"/>
    </row>
    <row r="14">
      <c r="B14" s="79" t="s">
        <v>120</v>
      </c>
      <c r="C14" s="80" t="str">
        <f>IFERROR(__xludf.DUMMYFUNCTION("IF(ISBLANK(C13),"""",HLOOKUP(REGEXEXTRACT(C13,"".*-(.*)""),INDIRECT(CONCATENATE(REGEXEXTRACT(C13,""(.*)-.*""),""!C3:V"")),2,FALSE))"),"Valk")</f>
        <v>Valk</v>
      </c>
      <c r="D14" s="80" t="str">
        <f>IFERROR(__xludf.DUMMYFUNCTION("IF(ISBLANK(D13),"""",HLOOKUP(REGEXEXTRACT(D13,"".*-(.*)""),INDIRECT(CONCATENATE(REGEXEXTRACT(D13,""(.*)-.*""),""!C3:V"")),2,FALSE))"),"Souleater")</f>
        <v>Souleater</v>
      </c>
      <c r="E14" s="81" t="str">
        <f>IFERROR(__xludf.DUMMYFUNCTION("IF(ISBLANK(E13),"""",HLOOKUP(REGEXEXTRACT(E13,"".*-(.*)""),INDIRECT(CONCATENATE(REGEXEXTRACT(E13,""(.*)-.*""),""!C3:V"")),2,FALSE))"),"GL")</f>
        <v>GL</v>
      </c>
      <c r="F14" s="80" t="str">
        <f>IFERROR(__xludf.DUMMYFUNCTION("IF(ISBLANK(F13),"""",HLOOKUP(REGEXEXTRACT(F13,"".*-(.*)""),INDIRECT(CONCATENATE(REGEXEXTRACT(F13,""(.*)-.*""),""!C3:V"")),2,FALSE))"),"Slayer")</f>
        <v>Slayer</v>
      </c>
      <c r="G14" s="80" t="str">
        <f>IFERROR(__xludf.DUMMYFUNCTION("IF(ISBLANK(G13),"""",HLOOKUP(REGEXEXTRACT(G13,"".*-(.*)""),INDIRECT(CONCATENATE(REGEXEXTRACT(G13,""(.*)-.*""),""!C3:V"")),2,FALSE))"),"Guardianknight")</f>
        <v>Guardianknight</v>
      </c>
      <c r="H14" s="81" t="str">
        <f>IFERROR(__xludf.DUMMYFUNCTION("IF(ISBLANK(H13),"""",HLOOKUP(REGEXEXTRACT(H13,"".*-(.*)""),INDIRECT(CONCATENATE(REGEXEXTRACT(H13,""(.*)-.*""),""!C3:V"")),2,FALSE))"),"Slayer")</f>
        <v>Slayer</v>
      </c>
      <c r="I14" s="81" t="str">
        <f>IFERROR(__xludf.DUMMYFUNCTION("IF(ISBLANK(I13),"""",HLOOKUP(REGEXEXTRACT(I13,"".*-(.*)""),INDIRECT(CONCATENATE(REGEXEXTRACT(I13,""(.*)-.*""),""!C3:V"")),2,FALSE))"),"Scrapper")</f>
        <v>Scrapper</v>
      </c>
      <c r="J14" s="83" t="str">
        <f>IFERROR(__xludf.DUMMYFUNCTION("IF(ISBLANK(J13),"""",HLOOKUP(REGEXEXTRACT(J13,"".*-(.*)""),INDIRECT(CONCATENATE(REGEXEXTRACT(J13,""(.*)-.*""),""!C3:V"")),2,FALSE))"),"Artist")</f>
        <v>Artist</v>
      </c>
      <c r="K14" s="59"/>
      <c r="L14" s="112"/>
      <c r="M14" s="106">
        <v>0.7916666666666666</v>
      </c>
      <c r="N14" s="86" t="s">
        <v>126</v>
      </c>
      <c r="O14" s="86" t="s">
        <v>98</v>
      </c>
      <c r="P14" s="87" t="s">
        <v>99</v>
      </c>
      <c r="R14" s="86" t="s">
        <v>101</v>
      </c>
      <c r="S14" s="87" t="s">
        <v>102</v>
      </c>
      <c r="T14" s="86" t="s">
        <v>103</v>
      </c>
      <c r="U14" s="87" t="s">
        <v>104</v>
      </c>
      <c r="V14" s="86" t="s">
        <v>105</v>
      </c>
      <c r="W14" s="86"/>
      <c r="X14" s="86" t="s">
        <v>107</v>
      </c>
      <c r="Y14" s="113"/>
      <c r="Z14" s="86" t="s">
        <v>104</v>
      </c>
      <c r="AA14" s="86" t="s">
        <v>128</v>
      </c>
      <c r="AB14" s="88">
        <f t="array" ref="AB14">SUM(LEN(O14:Y14) - LEN(SUBSTITUTE(O14:Y14, "/", "")) + (O14:Y14&lt;&gt;""))</f>
        <v>8</v>
      </c>
      <c r="AC14" s="61"/>
      <c r="AD14" s="61"/>
      <c r="AE14" s="60"/>
    </row>
    <row r="15">
      <c r="B15" s="89"/>
      <c r="C15" s="90">
        <f>IFERROR(__xludf.DUMMYFUNCTION("IF(ISBLANK(C13),"""",HLOOKUP(REGEXEXTRACT(C13,"".*-(.*)""),INDIRECT(CONCATENATE(REGEXEXTRACT(C13,""(.*)-.*""),""!C3:V"")),3,FALSE))"),1750.0)</f>
        <v>1750</v>
      </c>
      <c r="D15" s="90">
        <f>IFERROR(__xludf.DUMMYFUNCTION("IF(ISBLANK(D13),"""",HLOOKUP(REGEXEXTRACT(D13,"".*-(.*)""),INDIRECT(CONCATENATE(REGEXEXTRACT(D13,""(.*)-.*""),""!C3:V"")),3,FALSE))"),1750.0)</f>
        <v>1750</v>
      </c>
      <c r="E15" s="91">
        <f>IFERROR(__xludf.DUMMYFUNCTION("IF(ISBLANK(E13),"""",HLOOKUP(REGEXEXTRACT(E13,"".*-(.*)""),INDIRECT(CONCATENATE(REGEXEXTRACT(E13,""(.*)-.*""),""!C3:V"")),3,FALSE))"),1750.0)</f>
        <v>1750</v>
      </c>
      <c r="F15" s="90">
        <f>IFERROR(__xludf.DUMMYFUNCTION("IF(ISBLANK(F13),"""",HLOOKUP(REGEXEXTRACT(F13,"".*-(.*)""),INDIRECT(CONCATENATE(REGEXEXTRACT(F13,""(.*)-.*""),""!C3:V"")),3,FALSE))"),1750.0)</f>
        <v>1750</v>
      </c>
      <c r="G15" s="90">
        <f>IFERROR(__xludf.DUMMYFUNCTION("IF(ISBLANK(G13),"""",HLOOKUP(REGEXEXTRACT(G13,"".*-(.*)""),INDIRECT(CONCATENATE(REGEXEXTRACT(G13,""(.*)-.*""),""!C3:V"")),3,FALSE))"),1750.0)</f>
        <v>1750</v>
      </c>
      <c r="H15" s="91">
        <f>IFERROR(__xludf.DUMMYFUNCTION("IF(ISBLANK(H13),"""",HLOOKUP(REGEXEXTRACT(H13,"".*-(.*)""),INDIRECT(CONCATENATE(REGEXEXTRACT(H13,""(.*)-.*""),""!C3:V"")),3,FALSE))"),1750.0)</f>
        <v>1750</v>
      </c>
      <c r="I15" s="91">
        <f>IFERROR(__xludf.DUMMYFUNCTION("IF(ISBLANK(I13),"""",HLOOKUP(REGEXEXTRACT(I13,"".*-(.*)""),INDIRECT(CONCATENATE(REGEXEXTRACT(I13,""(.*)-.*""),""!C3:V"")),3,FALSE))"),1700.0)</f>
        <v>1700</v>
      </c>
      <c r="J15" s="93">
        <f>IFERROR(__xludf.DUMMYFUNCTION("IF(ISBLANK(J13),"""",HLOOKUP(REGEXEXTRACT(J13,"".*-(.*)""),INDIRECT(CONCATENATE(REGEXEXTRACT(J13,""(.*)-.*""),""!C3:V"")),3,FALSE))"),1750.0)</f>
        <v>1750</v>
      </c>
      <c r="K15" s="59"/>
      <c r="L15" s="114"/>
      <c r="M15" s="115">
        <v>0.8125</v>
      </c>
      <c r="N15" s="96" t="s">
        <v>126</v>
      </c>
      <c r="O15" s="96" t="s">
        <v>98</v>
      </c>
      <c r="P15" s="96" t="s">
        <v>99</v>
      </c>
      <c r="R15" s="96" t="s">
        <v>101</v>
      </c>
      <c r="S15" s="96" t="s">
        <v>102</v>
      </c>
      <c r="T15" s="96" t="s">
        <v>103</v>
      </c>
      <c r="U15" s="96" t="s">
        <v>104</v>
      </c>
      <c r="V15" s="96" t="s">
        <v>105</v>
      </c>
      <c r="W15" s="110"/>
      <c r="X15" s="96" t="s">
        <v>107</v>
      </c>
      <c r="Y15" s="110"/>
      <c r="Z15" s="96" t="s">
        <v>152</v>
      </c>
      <c r="AA15" s="96" t="s">
        <v>153</v>
      </c>
      <c r="AB15" s="78">
        <f t="array" ref="AB15">SUM(LEN(O15:Y15) - LEN(SUBSTITUTE(O15:Y15, "/", "")) + (O15:Y15&lt;&gt;""))</f>
        <v>8</v>
      </c>
      <c r="AC15" s="61"/>
      <c r="AD15" s="61"/>
      <c r="AE15" s="59"/>
    </row>
    <row r="16">
      <c r="K16" s="59"/>
      <c r="L16" s="84"/>
      <c r="M16" s="85">
        <v>0.8333333333333334</v>
      </c>
      <c r="N16" s="86" t="s">
        <v>126</v>
      </c>
      <c r="O16" s="86" t="s">
        <v>98</v>
      </c>
      <c r="P16" s="87" t="s">
        <v>99</v>
      </c>
      <c r="R16" s="87" t="s">
        <v>101</v>
      </c>
      <c r="S16" s="113"/>
      <c r="T16" s="86" t="s">
        <v>103</v>
      </c>
      <c r="U16" s="86" t="s">
        <v>104</v>
      </c>
      <c r="V16" s="86" t="s">
        <v>105</v>
      </c>
      <c r="W16" s="86"/>
      <c r="X16" s="87" t="s">
        <v>107</v>
      </c>
      <c r="Y16" s="113"/>
      <c r="Z16" s="87" t="s">
        <v>154</v>
      </c>
      <c r="AA16" s="107" t="s">
        <v>155</v>
      </c>
      <c r="AB16" s="88">
        <f t="array" ref="AB16">SUM(LEN(O16:Y16) - LEN(SUBSTITUTE(O16:Y16, "/", "")) + (O16:Y16&lt;&gt;""))</f>
        <v>7</v>
      </c>
      <c r="AC16" s="61"/>
      <c r="AD16" s="61"/>
      <c r="AE16" s="59"/>
    </row>
    <row r="17">
      <c r="A17" s="2"/>
      <c r="B17" s="71" t="s">
        <v>156</v>
      </c>
      <c r="C17" s="72" t="s">
        <v>53</v>
      </c>
      <c r="D17" s="73" t="s">
        <v>157</v>
      </c>
      <c r="E17" s="73" t="s">
        <v>82</v>
      </c>
      <c r="F17" s="73" t="s">
        <v>158</v>
      </c>
      <c r="G17" s="73" t="s">
        <v>159</v>
      </c>
      <c r="H17" s="73" t="s">
        <v>160</v>
      </c>
      <c r="I17" s="73" t="s">
        <v>161</v>
      </c>
      <c r="J17" s="74" t="s">
        <v>162</v>
      </c>
      <c r="K17" s="59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61"/>
      <c r="AD17" s="61"/>
      <c r="AE17" s="59"/>
    </row>
    <row r="18">
      <c r="B18" s="79" t="s">
        <v>120</v>
      </c>
      <c r="C18" s="80" t="str">
        <f>IFERROR(__xludf.DUMMYFUNCTION("IF(ISBLANK(C17),"""",HLOOKUP(REGEXEXTRACT(C17,"".*-(.*)""),INDIRECT(CONCATENATE(REGEXEXTRACT(C17,""(.*)-.*""),""!C3:V"")),2,FALSE))"),"Summoner")</f>
        <v>Summoner</v>
      </c>
      <c r="D18" s="80" t="str">
        <f>IFERROR(__xludf.DUMMYFUNCTION("IF(ISBLANK(D17),"""",HLOOKUP(REGEXEXTRACT(D17,"".*-(.*)""),INDIRECT(CONCATENATE(REGEXEXTRACT(D17,""(.*)-.*""),""!C3:V"")),2,FALSE))"),"Valk")</f>
        <v>Valk</v>
      </c>
      <c r="E18" s="81" t="str">
        <f>IFERROR(__xludf.DUMMYFUNCTION("IF(ISBLANK(E17),"""",HLOOKUP(REGEXEXTRACT(E17,"".*-(.*)""),INDIRECT(CONCATENATE(REGEXEXTRACT(E17,""(.*)-.*""),""!C3:V"")),2,FALSE))"),"Bonk")</f>
        <v>Bonk</v>
      </c>
      <c r="F18" s="80" t="str">
        <f>IFERROR(__xludf.DUMMYFUNCTION("IF(ISBLANK(F17),"""",HLOOKUP(REGEXEXTRACT(F17,"".*-(.*)""),INDIRECT(CONCATENATE(REGEXEXTRACT(F17,""(.*)-.*""),""!C3:V"")),2,FALSE))"),"Artist")</f>
        <v>Artist</v>
      </c>
      <c r="G18" s="81" t="str">
        <f>IFERROR(__xludf.DUMMYFUNCTION("IF(ISBLANK(G17),"""",HLOOKUP(REGEXEXTRACT(G17,"".*-(.*)""),INDIRECT(CONCATENATE(REGEXEXTRACT(G17,""(.*)-.*""),""!C3:V"")),2,FALSE))"),"Glaivier")</f>
        <v>Glaivier</v>
      </c>
      <c r="H18" s="81" t="str">
        <f>IFERROR(__xludf.DUMMYFUNCTION("IF(ISBLANK(H17),"""",HLOOKUP(REGEXEXTRACT(H17,"".*-(.*)""),INDIRECT(CONCATENATE(REGEXEXTRACT(H17,""(.*)-.*""),""!C3:V"")),2,FALSE))"),"Deathblade")</f>
        <v>Deathblade</v>
      </c>
      <c r="I18" s="80" t="str">
        <f>IFERROR(__xludf.DUMMYFUNCTION("IF(ISBLANK(I17),"""",HLOOKUP(REGEXEXTRACT(I17,"".*-(.*)""),INDIRECT(CONCATENATE(REGEXEXTRACT(I17,""(.*)-.*""),""!C3:V"")),2,FALSE))"),"Sorc")</f>
        <v>Sorc</v>
      </c>
      <c r="J18" s="83" t="str">
        <f>IFERROR(__xludf.DUMMYFUNCTION("IF(ISBLANK(J17),"""",HLOOKUP(REGEXEXTRACT(J17,"".*-(.*)""),INDIRECT(CONCATENATE(REGEXEXTRACT(J17,""(.*)-.*""),""!C3:V"")),2,FALSE))"),"Paladin")</f>
        <v>Paladin</v>
      </c>
      <c r="K18" s="59"/>
      <c r="AE18" s="59"/>
    </row>
    <row r="19">
      <c r="B19" s="89"/>
      <c r="C19" s="90">
        <f>IFERROR(__xludf.DUMMYFUNCTION("IF(ISBLANK(C17),"""",HLOOKUP(REGEXEXTRACT(C17,"".*-(.*)""),INDIRECT(CONCATENATE(REGEXEXTRACT(C17,""(.*)-.*""),""!C3:V"")),3,FALSE))"),1750.0)</f>
        <v>1750</v>
      </c>
      <c r="D19" s="90">
        <f>IFERROR(__xludf.DUMMYFUNCTION("IF(ISBLANK(D17),"""",HLOOKUP(REGEXEXTRACT(D17,"".*-(.*)""),INDIRECT(CONCATENATE(REGEXEXTRACT(D17,""(.*)-.*""),""!C3:V"")),3,FALSE))"),1750.0)</f>
        <v>1750</v>
      </c>
      <c r="E19" s="91">
        <f>IFERROR(__xludf.DUMMYFUNCTION("IF(ISBLANK(E17),"""",HLOOKUP(REGEXEXTRACT(E17,"".*-(.*)""),INDIRECT(CONCATENATE(REGEXEXTRACT(E17,""(.*)-.*""),""!C3:V"")),3,FALSE))"),1750.0)</f>
        <v>1750</v>
      </c>
      <c r="F19" s="90">
        <f>IFERROR(__xludf.DUMMYFUNCTION("IF(ISBLANK(F17),"""",HLOOKUP(REGEXEXTRACT(F17,"".*-(.*)""),INDIRECT(CONCATENATE(REGEXEXTRACT(F17,""(.*)-.*""),""!C3:V"")),3,FALSE))"),1750.0)</f>
        <v>1750</v>
      </c>
      <c r="G19" s="91">
        <f>IFERROR(__xludf.DUMMYFUNCTION("IF(ISBLANK(G17),"""",HLOOKUP(REGEXEXTRACT(G17,"".*-(.*)""),INDIRECT(CONCATENATE(REGEXEXTRACT(G17,""(.*)-.*""),""!C3:V"")),3,FALSE))"),1750.0)</f>
        <v>1750</v>
      </c>
      <c r="H19" s="91">
        <f>IFERROR(__xludf.DUMMYFUNCTION("IF(ISBLANK(H17),"""",HLOOKUP(REGEXEXTRACT(H17,"".*-(.*)""),INDIRECT(CONCATENATE(REGEXEXTRACT(H17,""(.*)-.*""),""!C3:V"")),3,FALSE))"),1750.0)</f>
        <v>1750</v>
      </c>
      <c r="I19" s="90">
        <f>IFERROR(__xludf.DUMMYFUNCTION("IF(ISBLANK(I17),"""",HLOOKUP(REGEXEXTRACT(I17,"".*-(.*)""),INDIRECT(CONCATENATE(REGEXEXTRACT(I17,""(.*)-.*""),""!C3:V"")),3,FALSE))"),1750.0)</f>
        <v>1750</v>
      </c>
      <c r="J19" s="93">
        <f>IFERROR(__xludf.DUMMYFUNCTION("IF(ISBLANK(J17),"""",HLOOKUP(REGEXEXTRACT(J17,"".*-(.*)""),INDIRECT(CONCATENATE(REGEXEXTRACT(J17,""(.*)-.*""),""!C3:V"")),3,FALSE))"),1750.0)</f>
        <v>1750</v>
      </c>
      <c r="K19" s="59"/>
      <c r="AC19" s="61"/>
      <c r="AD19" s="61"/>
      <c r="AE19" s="59"/>
    </row>
    <row r="20">
      <c r="K20" s="59"/>
      <c r="AC20" s="61"/>
      <c r="AD20" s="61"/>
    </row>
    <row r="21">
      <c r="A21" s="2"/>
      <c r="B21" s="71" t="s">
        <v>163</v>
      </c>
      <c r="C21" s="72" t="s">
        <v>73</v>
      </c>
      <c r="D21" s="73" t="s">
        <v>14</v>
      </c>
      <c r="E21" s="73" t="s">
        <v>80</v>
      </c>
      <c r="F21" s="73" t="s">
        <v>164</v>
      </c>
      <c r="G21" s="73" t="s">
        <v>165</v>
      </c>
      <c r="H21" s="73" t="s">
        <v>107</v>
      </c>
      <c r="I21" s="73" t="s">
        <v>69</v>
      </c>
      <c r="J21" s="74" t="s">
        <v>166</v>
      </c>
      <c r="K21" s="59"/>
      <c r="AC21" s="61"/>
      <c r="AD21" s="61"/>
    </row>
    <row r="22">
      <c r="B22" s="79"/>
      <c r="C22" s="80" t="str">
        <f>IFERROR(__xludf.DUMMYFUNCTION("IF(ISBLANK(C21),"""",HLOOKUP(REGEXEXTRACT(C21,"".*-(.*)""),INDIRECT(CONCATENATE(REGEXEXTRACT(C21,""(.*)-.*""),""!C3:V"")),2,FALSE))"),"Souleater")</f>
        <v>Souleater</v>
      </c>
      <c r="D22" s="80" t="str">
        <f>IFERROR(__xludf.DUMMYFUNCTION("IF(ISBLANK(D21),"""",HLOOKUP(REGEXEXTRACT(D21,"".*-(.*)""),INDIRECT(CONCATENATE(REGEXEXTRACT(D21,""(.*)-.*""),""!C3:V"")),2,FALSE))"),"Sorceress")</f>
        <v>Sorceress</v>
      </c>
      <c r="E22" s="80" t="str">
        <f>IFERROR(__xludf.DUMMYFUNCTION("IF(ISBLANK(E21),"""",HLOOKUP(REGEXEXTRACT(E21,"".*-(.*)""),INDIRECT(CONCATENATE(REGEXEXTRACT(E21,""(.*)-.*""),""!C3:V"")),2,FALSE))"),"Paladin")</f>
        <v>Paladin</v>
      </c>
      <c r="F22" s="81" t="str">
        <f>IFERROR(__xludf.DUMMYFUNCTION("IF(ISBLANK(F21),"""",HLOOKUP(REGEXEXTRACT(F21,"".*-(.*)""),INDIRECT(CONCATENATE(REGEXEXTRACT(F21,""(.*)-.*""),""!C3:V"")),2,FALSE))"),"Valk")</f>
        <v>Valk</v>
      </c>
      <c r="G22" s="81" t="str">
        <f>IFERROR(__xludf.DUMMYFUNCTION("IF(ISBLANK(G21),"""",HLOOKUP(REGEXEXTRACT(G21,"".*-(.*)""),INDIRECT(CONCATENATE(REGEXEXTRACT(G21,""(.*)-.*""),""!C3:V"")),2,FALSE))"),"Souleater")</f>
        <v>Souleater</v>
      </c>
      <c r="H22" s="101" t="s">
        <v>167</v>
      </c>
      <c r="I22" s="80" t="str">
        <f>IFERROR(__xludf.DUMMYFUNCTION("IF(ISBLANK(I21),"""",HLOOKUP(REGEXEXTRACT(I21,"".*-(.*)""),INDIRECT(CONCATENATE(REGEXEXTRACT(I21,""(.*)-.*""),""!C3:V"")),2,FALSE))"),"Bard")</f>
        <v>Bard</v>
      </c>
      <c r="J22" s="83" t="str">
        <f>IFERROR(__xludf.DUMMYFUNCTION("IF(ISBLANK(J21),"""",HLOOKUP(REGEXEXTRACT(J21,"".*-(.*)""),INDIRECT(CONCATENATE(REGEXEXTRACT(J21,""(.*)-.*""),""!C3:V"")),2,FALSE))"),"Valk")</f>
        <v>Valk</v>
      </c>
      <c r="K22" s="59"/>
      <c r="AC22" s="61"/>
      <c r="AD22" s="61"/>
      <c r="AE22" s="59"/>
    </row>
    <row r="23">
      <c r="B23" s="89"/>
      <c r="C23" s="90">
        <f>IFERROR(__xludf.DUMMYFUNCTION("IF(ISBLANK(C21),"""",HLOOKUP(REGEXEXTRACT(C21,"".*-(.*)""),INDIRECT(CONCATENATE(REGEXEXTRACT(C21,""(.*)-.*""),""!C3:V"")),3,FALSE))"),1750.0)</f>
        <v>1750</v>
      </c>
      <c r="D23" s="90">
        <f>IFERROR(__xludf.DUMMYFUNCTION("IF(ISBLANK(D21),"""",HLOOKUP(REGEXEXTRACT(D21,"".*-(.*)""),INDIRECT(CONCATENATE(REGEXEXTRACT(D21,""(.*)-.*""),""!C3:V"")),3,FALSE))"),1750.0)</f>
        <v>1750</v>
      </c>
      <c r="E23" s="90">
        <f>IFERROR(__xludf.DUMMYFUNCTION("IF(ISBLANK(E21),"""",HLOOKUP(REGEXEXTRACT(E21,"".*-(.*)""),INDIRECT(CONCATENATE(REGEXEXTRACT(E21,""(.*)-.*""),""!C3:V"")),3,FALSE))"),1750.0)</f>
        <v>1750</v>
      </c>
      <c r="F23" s="91">
        <f>IFERROR(__xludf.DUMMYFUNCTION("IF(ISBLANK(F21),"""",HLOOKUP(REGEXEXTRACT(F21,"".*-(.*)""),INDIRECT(CONCATENATE(REGEXEXTRACT(F21,""(.*)-.*""),""!C3:V"")),3,FALSE))"),1750.0)</f>
        <v>1750</v>
      </c>
      <c r="G23" s="91">
        <f>IFERROR(__xludf.DUMMYFUNCTION("IF(ISBLANK(G21),"""",HLOOKUP(REGEXEXTRACT(G21,"".*-(.*)""),INDIRECT(CONCATENATE(REGEXEXTRACT(G21,""(.*)-.*""),""!C3:V"")),3,FALSE))"),1750.0)</f>
        <v>1750</v>
      </c>
      <c r="H23" s="91"/>
      <c r="I23" s="90">
        <f>IFERROR(__xludf.DUMMYFUNCTION("IF(ISBLANK(I21),"""",HLOOKUP(REGEXEXTRACT(I21,"".*-(.*)""),INDIRECT(CONCATENATE(REGEXEXTRACT(I21,""(.*)-.*""),""!C3:V"")),3,FALSE))"),1700.0)</f>
        <v>1700</v>
      </c>
      <c r="J23" s="93">
        <f>IFERROR(__xludf.DUMMYFUNCTION("IF(ISBLANK(J21),"""",HLOOKUP(REGEXEXTRACT(J21,"".*-(.*)""),INDIRECT(CONCATENATE(REGEXEXTRACT(J21,""(.*)-.*""),""!C3:V"")),3,FALSE))"),1750.0)</f>
        <v>1750</v>
      </c>
      <c r="K23" s="59"/>
      <c r="L23" s="63" t="s">
        <v>95</v>
      </c>
      <c r="M23" s="64" t="s">
        <v>96</v>
      </c>
      <c r="N23" s="65" t="s">
        <v>97</v>
      </c>
      <c r="O23" s="66" t="s">
        <v>98</v>
      </c>
      <c r="P23" s="66" t="s">
        <v>99</v>
      </c>
      <c r="Q23" s="66" t="s">
        <v>100</v>
      </c>
      <c r="R23" s="66" t="s">
        <v>101</v>
      </c>
      <c r="S23" s="66" t="s">
        <v>102</v>
      </c>
      <c r="T23" s="66" t="s">
        <v>103</v>
      </c>
      <c r="U23" s="66" t="s">
        <v>104</v>
      </c>
      <c r="V23" s="66" t="s">
        <v>105</v>
      </c>
      <c r="W23" s="67" t="s">
        <v>106</v>
      </c>
      <c r="X23" s="67" t="s">
        <v>107</v>
      </c>
      <c r="Y23" s="66" t="s">
        <v>108</v>
      </c>
      <c r="Z23" s="68" t="s">
        <v>109</v>
      </c>
      <c r="AA23" s="69"/>
      <c r="AB23" s="70" t="s">
        <v>110</v>
      </c>
      <c r="AC23" s="61"/>
      <c r="AD23" s="61"/>
      <c r="AE23" s="59"/>
    </row>
    <row r="24">
      <c r="K24" s="59"/>
      <c r="L24" s="75"/>
      <c r="M24" s="76"/>
      <c r="N24" s="77" t="s">
        <v>119</v>
      </c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8"/>
      <c r="AC24" s="61"/>
      <c r="AD24" s="61"/>
      <c r="AE24" s="59"/>
    </row>
    <row r="25">
      <c r="A25" s="2"/>
      <c r="B25" s="71" t="s">
        <v>168</v>
      </c>
      <c r="C25" s="72" t="s">
        <v>37</v>
      </c>
      <c r="D25" s="73" t="s">
        <v>157</v>
      </c>
      <c r="E25" s="73" t="s">
        <v>85</v>
      </c>
      <c r="F25" s="73" t="s">
        <v>106</v>
      </c>
      <c r="G25" s="73" t="s">
        <v>169</v>
      </c>
      <c r="H25" s="73" t="s">
        <v>170</v>
      </c>
      <c r="I25" s="73" t="s">
        <v>171</v>
      </c>
      <c r="J25" s="74" t="s">
        <v>172</v>
      </c>
      <c r="K25" s="59"/>
      <c r="L25" s="84" t="s">
        <v>122</v>
      </c>
      <c r="M25" s="85">
        <v>0.7222222222222222</v>
      </c>
      <c r="N25" s="86" t="s">
        <v>123</v>
      </c>
      <c r="O25" s="86" t="s">
        <v>98</v>
      </c>
      <c r="P25" s="86" t="s">
        <v>99</v>
      </c>
      <c r="Q25" s="86"/>
      <c r="R25" s="87" t="s">
        <v>101</v>
      </c>
      <c r="S25" s="87" t="s">
        <v>102</v>
      </c>
      <c r="T25" s="86"/>
      <c r="V25" s="87" t="s">
        <v>105</v>
      </c>
      <c r="W25" s="87" t="s">
        <v>106</v>
      </c>
      <c r="X25" s="87"/>
      <c r="AA25" s="87" t="s">
        <v>124</v>
      </c>
      <c r="AB25" s="88">
        <f t="array" ref="AB25">SUM(LEN(O25:X25) - LEN(SUBSTITUTE(O25:X25, "/", "")) + (O25:X25&lt;&gt;""))</f>
        <v>6</v>
      </c>
      <c r="AC25" s="61"/>
      <c r="AD25" s="61"/>
      <c r="AE25" s="59"/>
    </row>
    <row r="26">
      <c r="B26" s="79"/>
      <c r="C26" s="80" t="str">
        <f>IFERROR(__xludf.DUMMYFUNCTION("IF(ISBLANK(C25),"""",HLOOKUP(REGEXEXTRACT(C25,"".*-(.*)""),INDIRECT(CONCATENATE(REGEXEXTRACT(C25,""(.*)-.*""),""!C3:V"")),2,FALSE))"),"Guardianknight")</f>
        <v>Guardianknight</v>
      </c>
      <c r="D26" s="80" t="str">
        <f>IFERROR(__xludf.DUMMYFUNCTION("IF(ISBLANK(D25),"""",HLOOKUP(REGEXEXTRACT(D25,"".*-(.*)""),INDIRECT(CONCATENATE(REGEXEXTRACT(D25,""(.*)-.*""),""!C3:V"")),2,FALSE))"),"Valk")</f>
        <v>Valk</v>
      </c>
      <c r="E26" s="81" t="str">
        <f>IFERROR(__xludf.DUMMYFUNCTION("IF(ISBLANK(E25),"""",HLOOKUP(REGEXEXTRACT(E25,"".*-(.*)""),INDIRECT(CONCATENATE(REGEXEXTRACT(E25,""(.*)-.*""),""!C3:V"")),2,FALSE))"),"Artill")</f>
        <v>Artill</v>
      </c>
      <c r="F26" s="101" t="s">
        <v>173</v>
      </c>
      <c r="G26" s="80" t="str">
        <f>IFERROR(__xludf.DUMMYFUNCTION("IF(ISBLANK(G25),"""",HLOOKUP(REGEXEXTRACT(G25,"".*-(.*)""),INDIRECT(CONCATENATE(REGEXEXTRACT(G25,""(.*)-.*""),""!C3:V"")),2,FALSE))"),"Shadowhunter")</f>
        <v>Shadowhunter</v>
      </c>
      <c r="H26" s="81" t="str">
        <f>IFERROR(__xludf.DUMMYFUNCTION("IF(ISBLANK(H25),"""",HLOOKUP(REGEXEXTRACT(H25,"".*-(.*)""),INDIRECT(CONCATENATE(REGEXEXTRACT(H25,""(.*)-.*""),""!C3:V"")),2,FALSE))"),"Bard")</f>
        <v>Bard</v>
      </c>
      <c r="I26" s="81" t="str">
        <f>IFERROR(__xludf.DUMMYFUNCTION("IF(ISBLANK(I25),"""",HLOOKUP(REGEXEXTRACT(I25,"".*-(.*)""),INDIRECT(CONCATENATE(REGEXEXTRACT(I25,""(.*)-.*""),""!C3:V"")),2,FALSE))"),"Arcana")</f>
        <v>Arcana</v>
      </c>
      <c r="J26" s="116" t="str">
        <f>IFERROR(__xludf.DUMMYFUNCTION("IF(ISBLANK(J25),"""",HLOOKUP(REGEXEXTRACT(J25,"".*-(.*)""),INDIRECT(CONCATENATE(REGEXEXTRACT(J25,""(.*)-.*""),""!C3:V"")),2,FALSE))"),"Bard")</f>
        <v>Bard</v>
      </c>
      <c r="K26" s="59"/>
      <c r="L26" s="94" t="s">
        <v>125</v>
      </c>
      <c r="M26" s="95">
        <v>0.7361111111111112</v>
      </c>
      <c r="N26" s="96" t="s">
        <v>123</v>
      </c>
      <c r="O26" s="96" t="s">
        <v>98</v>
      </c>
      <c r="P26" s="96" t="s">
        <v>99</v>
      </c>
      <c r="R26" s="96" t="s">
        <v>101</v>
      </c>
      <c r="S26" s="97" t="s">
        <v>102</v>
      </c>
      <c r="T26" s="96"/>
      <c r="V26" s="97" t="s">
        <v>105</v>
      </c>
      <c r="W26" s="97" t="s">
        <v>106</v>
      </c>
      <c r="AA26" s="98" t="s">
        <v>136</v>
      </c>
      <c r="AB26" s="99">
        <f t="array" ref="AB26">SUM(LEN(O26:X26) - LEN(SUBSTITUTE(O26:X26, "/", "")) + (O26:X26&lt;&gt;""))</f>
        <v>6</v>
      </c>
      <c r="AC26" s="61"/>
      <c r="AD26" s="61"/>
      <c r="AE26" s="59"/>
    </row>
    <row r="27">
      <c r="B27" s="89"/>
      <c r="C27" s="90">
        <f>IFERROR(__xludf.DUMMYFUNCTION("IF(ISBLANK(C25),"""",HLOOKUP(REGEXEXTRACT(C25,"".*-(.*)""),INDIRECT(CONCATENATE(REGEXEXTRACT(C25,""(.*)-.*""),""!C3:V"")),3,FALSE))"),1750.0)</f>
        <v>1750</v>
      </c>
      <c r="D27" s="90">
        <f>IFERROR(__xludf.DUMMYFUNCTION("IF(ISBLANK(D25),"""",HLOOKUP(REGEXEXTRACT(D25,"".*-(.*)""),INDIRECT(CONCATENATE(REGEXEXTRACT(D25,""(.*)-.*""),""!C3:V"")),3,FALSE))"),1750.0)</f>
        <v>1750</v>
      </c>
      <c r="E27" s="91">
        <f>IFERROR(__xludf.DUMMYFUNCTION("IF(ISBLANK(E25),"""",HLOOKUP(REGEXEXTRACT(E25,"".*-(.*)""),INDIRECT(CONCATENATE(REGEXEXTRACT(E25,""(.*)-.*""),""!C3:V"")),3,FALSE))"),1750.0)</f>
        <v>1750</v>
      </c>
      <c r="F27" s="91"/>
      <c r="G27" s="90">
        <f>IFERROR(__xludf.DUMMYFUNCTION("IF(ISBLANK(G25),"""",HLOOKUP(REGEXEXTRACT(G25,"".*-(.*)""),INDIRECT(CONCATENATE(REGEXEXTRACT(G25,""(.*)-.*""),""!C3:V"")),3,FALSE))"),1750.0)</f>
        <v>1750</v>
      </c>
      <c r="H27" s="91">
        <f>IFERROR(__xludf.DUMMYFUNCTION("IF(ISBLANK(H25),"""",HLOOKUP(REGEXEXTRACT(H25,"".*-(.*)""),INDIRECT(CONCATENATE(REGEXEXTRACT(H25,""(.*)-.*""),""!C3:V"")),3,FALSE))"),1750.0)</f>
        <v>1750</v>
      </c>
      <c r="I27" s="91">
        <f>IFERROR(__xludf.DUMMYFUNCTION("IF(ISBLANK(I25),"""",HLOOKUP(REGEXEXTRACT(I25,"".*-(.*)""),INDIRECT(CONCATENATE(REGEXEXTRACT(I25,""(.*)-.*""),""!C3:V"")),3,FALSE))"),1690.0)</f>
        <v>1690</v>
      </c>
      <c r="J27" s="117">
        <f>IFERROR(__xludf.DUMMYFUNCTION("IF(ISBLANK(J25),"""",HLOOKUP(REGEXEXTRACT(J25,"".*-(.*)""),INDIRECT(CONCATENATE(REGEXEXTRACT(J25,""(.*)-.*""),""!C3:V"")),3,FALSE))"),1750.0)</f>
        <v>1750</v>
      </c>
      <c r="K27" s="59"/>
      <c r="L27" s="84"/>
      <c r="M27" s="85">
        <v>0.75</v>
      </c>
      <c r="N27" s="86" t="s">
        <v>126</v>
      </c>
      <c r="O27" s="86" t="s">
        <v>98</v>
      </c>
      <c r="P27" s="86" t="s">
        <v>99</v>
      </c>
      <c r="Q27" s="87" t="s">
        <v>100</v>
      </c>
      <c r="R27" s="87" t="s">
        <v>101</v>
      </c>
      <c r="S27" s="87" t="s">
        <v>102</v>
      </c>
      <c r="T27" s="86" t="s">
        <v>103</v>
      </c>
      <c r="V27" s="87" t="s">
        <v>105</v>
      </c>
      <c r="W27" s="87" t="s">
        <v>106</v>
      </c>
      <c r="X27" s="87"/>
      <c r="Z27" s="87" t="s">
        <v>127</v>
      </c>
      <c r="AA27" s="87" t="s">
        <v>136</v>
      </c>
      <c r="AB27" s="88">
        <f t="array" ref="AB27">SUM(LEN(O27:X27) - LEN(SUBSTITUTE(O27:X27, "/", "")) + (O27:X27&lt;&gt;""))</f>
        <v>8</v>
      </c>
      <c r="AC27" s="61"/>
      <c r="AD27" s="61"/>
      <c r="AE27" s="59"/>
    </row>
    <row r="28">
      <c r="K28" s="59"/>
      <c r="L28" s="94"/>
      <c r="M28" s="95">
        <v>0.7708333333333334</v>
      </c>
      <c r="N28" s="96" t="s">
        <v>126</v>
      </c>
      <c r="O28" s="96" t="s">
        <v>98</v>
      </c>
      <c r="P28" s="96" t="s">
        <v>99</v>
      </c>
      <c r="Q28" s="96" t="s">
        <v>100</v>
      </c>
      <c r="R28" s="96" t="s">
        <v>101</v>
      </c>
      <c r="S28" s="96" t="s">
        <v>102</v>
      </c>
      <c r="T28" s="96" t="s">
        <v>103</v>
      </c>
      <c r="U28" s="97" t="s">
        <v>104</v>
      </c>
      <c r="X28" s="97" t="s">
        <v>107</v>
      </c>
      <c r="Z28" s="97" t="s">
        <v>135</v>
      </c>
      <c r="AA28" s="98" t="s">
        <v>107</v>
      </c>
      <c r="AB28" s="99">
        <f t="array" ref="AB28">SUM(LEN(O28:Y28) - LEN(SUBSTITUTE(O28:Y28, "/", "")) + (O28:Y28&lt;&gt;""))</f>
        <v>8</v>
      </c>
      <c r="AE28" s="59"/>
    </row>
    <row r="29">
      <c r="H29" s="7"/>
      <c r="L29" s="103"/>
      <c r="M29" s="104">
        <v>0.7916666666666666</v>
      </c>
      <c r="N29" s="86" t="s">
        <v>126</v>
      </c>
      <c r="O29" s="86" t="s">
        <v>98</v>
      </c>
      <c r="P29" s="86" t="s">
        <v>99</v>
      </c>
      <c r="Q29" s="86" t="s">
        <v>100</v>
      </c>
      <c r="R29" s="87" t="s">
        <v>101</v>
      </c>
      <c r="S29" s="86" t="s">
        <v>102</v>
      </c>
      <c r="T29" s="87" t="s">
        <v>103</v>
      </c>
      <c r="U29" s="87" t="s">
        <v>104</v>
      </c>
      <c r="X29" s="87" t="s">
        <v>107</v>
      </c>
      <c r="Z29" s="86" t="s">
        <v>139</v>
      </c>
      <c r="AA29" s="87" t="s">
        <v>128</v>
      </c>
      <c r="AB29" s="88">
        <f t="array" ref="AB29">SUM(LEN(O29:Y29) - LEN(SUBSTITUTE(O29:Y29, "/", "")) + (O29:Y29&lt;&gt;""))</f>
        <v>8</v>
      </c>
      <c r="AC29" s="118"/>
      <c r="AE29" s="59"/>
    </row>
    <row r="30">
      <c r="H30" s="7" t="s">
        <v>174</v>
      </c>
      <c r="L30" s="75"/>
      <c r="M30" s="76"/>
      <c r="N30" s="77" t="s">
        <v>140</v>
      </c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8"/>
      <c r="AE30" s="59"/>
    </row>
    <row r="31">
      <c r="H31" s="7" t="s">
        <v>175</v>
      </c>
      <c r="L31" s="105" t="s">
        <v>141</v>
      </c>
      <c r="M31" s="106">
        <v>0.7361111111111112</v>
      </c>
      <c r="N31" s="86" t="s">
        <v>123</v>
      </c>
      <c r="O31" s="86" t="s">
        <v>98</v>
      </c>
      <c r="P31" s="86"/>
      <c r="Q31" s="86" t="s">
        <v>100</v>
      </c>
      <c r="R31" s="87" t="s">
        <v>101</v>
      </c>
      <c r="S31" s="86" t="s">
        <v>102</v>
      </c>
      <c r="T31" s="86"/>
      <c r="W31" s="87" t="s">
        <v>106</v>
      </c>
      <c r="AA31" s="107"/>
      <c r="AB31" s="108">
        <f t="array" ref="AB31">SUM(LEN(O31:X31) - LEN(SUBSTITUTE(O31:X31, "/", "")) + (O31:X31&lt;&gt;""))</f>
        <v>5</v>
      </c>
    </row>
    <row r="32">
      <c r="E32" s="7" t="s">
        <v>176</v>
      </c>
      <c r="F32" s="7" t="s">
        <v>176</v>
      </c>
      <c r="G32" s="7" t="s">
        <v>177</v>
      </c>
      <c r="I32" s="119"/>
      <c r="L32" s="94"/>
      <c r="M32" s="109">
        <v>0.75</v>
      </c>
      <c r="N32" s="96" t="s">
        <v>126</v>
      </c>
      <c r="O32" s="96" t="s">
        <v>98</v>
      </c>
      <c r="P32" s="96" t="s">
        <v>99</v>
      </c>
      <c r="Q32" s="96" t="s">
        <v>100</v>
      </c>
      <c r="R32" s="97" t="s">
        <v>101</v>
      </c>
      <c r="S32" s="97" t="s">
        <v>102</v>
      </c>
      <c r="T32" s="96" t="s">
        <v>103</v>
      </c>
      <c r="U32" s="96"/>
      <c r="V32" s="96" t="s">
        <v>105</v>
      </c>
      <c r="W32" s="97" t="s">
        <v>106</v>
      </c>
      <c r="X32" s="110"/>
      <c r="Y32" s="110"/>
      <c r="Z32" s="97" t="s">
        <v>150</v>
      </c>
      <c r="AA32" s="111" t="s">
        <v>151</v>
      </c>
      <c r="AB32" s="99">
        <f t="array" ref="AB32">SUM(LEN(O32:X32) - LEN(SUBSTITUTE(O32:X32, "/", "")) + (O32:X32&lt;&gt;""))</f>
        <v>8</v>
      </c>
      <c r="AC32" s="118"/>
    </row>
    <row r="33">
      <c r="E33" s="120" t="s">
        <v>178</v>
      </c>
      <c r="F33" s="120" t="s">
        <v>179</v>
      </c>
      <c r="G33" s="120" t="s">
        <v>180</v>
      </c>
      <c r="H33" s="120"/>
      <c r="I33" s="119"/>
      <c r="J33" s="119"/>
      <c r="L33" s="112"/>
      <c r="M33" s="106">
        <v>0.7708333333333334</v>
      </c>
      <c r="N33" s="86" t="s">
        <v>126</v>
      </c>
      <c r="O33" s="86" t="s">
        <v>98</v>
      </c>
      <c r="P33" s="87" t="s">
        <v>99</v>
      </c>
      <c r="R33" s="86" t="s">
        <v>101</v>
      </c>
      <c r="S33" s="87" t="s">
        <v>102</v>
      </c>
      <c r="T33" s="86" t="s">
        <v>103</v>
      </c>
      <c r="U33" s="87" t="s">
        <v>104</v>
      </c>
      <c r="V33" s="86" t="s">
        <v>105</v>
      </c>
      <c r="W33" s="86"/>
      <c r="X33" s="86" t="s">
        <v>107</v>
      </c>
      <c r="Y33" s="113"/>
      <c r="Z33" s="86" t="s">
        <v>104</v>
      </c>
      <c r="AA33" s="86" t="s">
        <v>128</v>
      </c>
      <c r="AB33" s="88">
        <f t="array" ref="AB33">SUM(LEN(O33:Y33) - LEN(SUBSTITUTE(O33:Y33, "/", "")) + (O33:Y33&lt;&gt;""))</f>
        <v>8</v>
      </c>
      <c r="AC33" s="118"/>
    </row>
    <row r="34">
      <c r="E34" s="120" t="s">
        <v>181</v>
      </c>
      <c r="F34" s="120" t="s">
        <v>182</v>
      </c>
      <c r="G34" s="120" t="s">
        <v>183</v>
      </c>
      <c r="H34" s="120"/>
      <c r="L34" s="114"/>
      <c r="M34" s="115">
        <v>0.7916666666666666</v>
      </c>
      <c r="N34" s="96" t="s">
        <v>126</v>
      </c>
      <c r="O34" s="96" t="s">
        <v>98</v>
      </c>
      <c r="P34" s="96" t="s">
        <v>99</v>
      </c>
      <c r="R34" s="110"/>
      <c r="S34" s="96" t="s">
        <v>102</v>
      </c>
      <c r="T34" s="96" t="s">
        <v>103</v>
      </c>
      <c r="U34" s="96" t="s">
        <v>104</v>
      </c>
      <c r="V34" s="96" t="s">
        <v>105</v>
      </c>
      <c r="W34" s="110"/>
      <c r="X34" s="96" t="s">
        <v>107</v>
      </c>
      <c r="Y34" s="110"/>
      <c r="Z34" s="96" t="s">
        <v>152</v>
      </c>
      <c r="AA34" s="96" t="s">
        <v>153</v>
      </c>
      <c r="AB34" s="78">
        <f t="array" ref="AB34">SUM(LEN(O34:Y34) - LEN(SUBSTITUTE(O34:Y34, "/", "")) + (O34:Y34&lt;&gt;""))</f>
        <v>7</v>
      </c>
      <c r="AC34" s="118"/>
    </row>
    <row r="35">
      <c r="E35" s="120" t="s">
        <v>184</v>
      </c>
      <c r="F35" s="120" t="s">
        <v>185</v>
      </c>
      <c r="G35" s="120" t="s">
        <v>186</v>
      </c>
      <c r="H35" s="120"/>
      <c r="L35" s="84"/>
      <c r="M35" s="85">
        <v>0.8125</v>
      </c>
      <c r="N35" s="86" t="s">
        <v>126</v>
      </c>
      <c r="O35" s="86" t="s">
        <v>98</v>
      </c>
      <c r="P35" s="87" t="s">
        <v>99</v>
      </c>
      <c r="R35" s="113"/>
      <c r="S35" s="113"/>
      <c r="T35" s="86" t="s">
        <v>103</v>
      </c>
      <c r="U35" s="86" t="s">
        <v>104</v>
      </c>
      <c r="V35" s="86" t="s">
        <v>105</v>
      </c>
      <c r="W35" s="86"/>
      <c r="X35" s="87" t="s">
        <v>107</v>
      </c>
      <c r="Y35" s="113"/>
      <c r="Z35" s="87" t="s">
        <v>154</v>
      </c>
      <c r="AA35" s="107" t="s">
        <v>155</v>
      </c>
      <c r="AB35" s="88">
        <f t="array" ref="AB35">SUM(LEN(O35:Y35) - LEN(SUBSTITUTE(O35:Y35, "/", "")) + (O35:Y35&lt;&gt;""))</f>
        <v>6</v>
      </c>
      <c r="AC35" s="118"/>
    </row>
    <row r="36">
      <c r="E36" s="121" t="s">
        <v>187</v>
      </c>
      <c r="F36" s="121" t="s">
        <v>188</v>
      </c>
      <c r="G36" s="121" t="s">
        <v>189</v>
      </c>
      <c r="H36" s="121"/>
      <c r="I36" s="122"/>
      <c r="J36" s="119"/>
      <c r="AC36" s="118"/>
    </row>
    <row r="37">
      <c r="H37" s="123"/>
      <c r="I37" s="122"/>
      <c r="J37" s="122"/>
      <c r="L37" s="63" t="s">
        <v>95</v>
      </c>
      <c r="M37" s="64" t="s">
        <v>96</v>
      </c>
      <c r="N37" s="65" t="s">
        <v>97</v>
      </c>
      <c r="O37" s="66" t="s">
        <v>98</v>
      </c>
      <c r="P37" s="66" t="s">
        <v>99</v>
      </c>
      <c r="Q37" s="66" t="s">
        <v>100</v>
      </c>
      <c r="R37" s="66" t="s">
        <v>101</v>
      </c>
      <c r="S37" s="66" t="s">
        <v>102</v>
      </c>
      <c r="T37" s="66" t="s">
        <v>103</v>
      </c>
      <c r="U37" s="66" t="s">
        <v>104</v>
      </c>
      <c r="V37" s="66" t="s">
        <v>105</v>
      </c>
      <c r="W37" s="67" t="s">
        <v>190</v>
      </c>
      <c r="X37" s="67" t="s">
        <v>107</v>
      </c>
      <c r="Y37" s="66" t="s">
        <v>108</v>
      </c>
      <c r="Z37" s="68" t="s">
        <v>109</v>
      </c>
      <c r="AA37" s="69"/>
      <c r="AB37" s="70" t="s">
        <v>110</v>
      </c>
    </row>
    <row r="38">
      <c r="L38" s="124"/>
      <c r="M38" s="125">
        <v>0.7569444444444444</v>
      </c>
      <c r="N38" s="126" t="s">
        <v>123</v>
      </c>
      <c r="O38" s="126" t="s">
        <v>98</v>
      </c>
      <c r="P38" s="126" t="s">
        <v>99</v>
      </c>
      <c r="Q38" s="127"/>
      <c r="R38" s="128" t="s">
        <v>101</v>
      </c>
      <c r="S38" s="127"/>
      <c r="T38" s="126" t="s">
        <v>103</v>
      </c>
      <c r="U38" s="128" t="s">
        <v>104</v>
      </c>
      <c r="V38" s="126" t="s">
        <v>105</v>
      </c>
      <c r="W38" s="126"/>
      <c r="X38" s="128" t="s">
        <v>107</v>
      </c>
      <c r="Y38" s="128" t="s">
        <v>106</v>
      </c>
      <c r="Z38" s="126" t="s">
        <v>154</v>
      </c>
      <c r="AA38" s="128" t="s">
        <v>191</v>
      </c>
      <c r="AB38" s="78">
        <f t="array" ref="AB38">SUM(LEN(O38:Y38) - LEN(SUBSTITUTE(O38:Y38, "/", "")) + (O38:Y38&lt;&gt;""))</f>
        <v>8</v>
      </c>
    </row>
    <row r="39">
      <c r="H39" s="123"/>
      <c r="L39" s="129"/>
      <c r="M39" s="125">
        <v>0.7708333333333334</v>
      </c>
      <c r="N39" s="126" t="s">
        <v>126</v>
      </c>
      <c r="O39" s="126" t="s">
        <v>98</v>
      </c>
      <c r="P39" s="126" t="s">
        <v>99</v>
      </c>
      <c r="Q39" s="128"/>
      <c r="R39" s="128" t="s">
        <v>101</v>
      </c>
      <c r="S39" s="126"/>
      <c r="T39" s="126" t="s">
        <v>103</v>
      </c>
      <c r="U39" s="126"/>
      <c r="V39" s="126" t="s">
        <v>105</v>
      </c>
      <c r="W39" s="127"/>
      <c r="X39" s="126" t="s">
        <v>107</v>
      </c>
      <c r="Y39" s="128" t="s">
        <v>106</v>
      </c>
      <c r="Z39" s="128" t="s">
        <v>151</v>
      </c>
      <c r="AA39" s="130" t="s">
        <v>191</v>
      </c>
      <c r="AB39" s="108">
        <f t="array" ref="AB39">SUM(LEN(O39:Y39) - LEN(SUBSTITUTE(O39:Y39, "/", "")) + (O39:Y39&lt;&gt;""))</f>
        <v>7</v>
      </c>
    </row>
    <row r="40">
      <c r="L40" s="131"/>
      <c r="M40" s="125">
        <v>0.7916666666666666</v>
      </c>
      <c r="N40" s="126" t="s">
        <v>123</v>
      </c>
      <c r="O40" s="126" t="s">
        <v>98</v>
      </c>
      <c r="P40" s="128" t="s">
        <v>99</v>
      </c>
      <c r="Q40" s="127"/>
      <c r="R40" s="126" t="s">
        <v>101</v>
      </c>
      <c r="S40" s="126" t="s">
        <v>102</v>
      </c>
      <c r="T40" s="126" t="s">
        <v>103</v>
      </c>
      <c r="U40" s="128" t="s">
        <v>104</v>
      </c>
      <c r="V40" s="126" t="s">
        <v>105</v>
      </c>
      <c r="W40" s="127"/>
      <c r="X40" s="128" t="s">
        <v>107</v>
      </c>
      <c r="Y40" s="127"/>
      <c r="Z40" s="126" t="s">
        <v>152</v>
      </c>
      <c r="AA40" s="126" t="s">
        <v>151</v>
      </c>
      <c r="AB40" s="78">
        <f t="array" ref="AB40">SUM(LEN(O40:Y40) - LEN(SUBSTITUTE(O40:Y40, "/", "")) + (O40:Y40&lt;&gt;""))</f>
        <v>8</v>
      </c>
    </row>
    <row r="41">
      <c r="G41" s="123"/>
      <c r="H41" s="123"/>
      <c r="L41" s="131"/>
      <c r="M41" s="132">
        <v>0.8125</v>
      </c>
      <c r="N41" s="126" t="s">
        <v>126</v>
      </c>
      <c r="O41" s="126" t="s">
        <v>98</v>
      </c>
      <c r="P41" s="128" t="s">
        <v>99</v>
      </c>
      <c r="Q41" s="127"/>
      <c r="R41" s="126" t="s">
        <v>101</v>
      </c>
      <c r="S41" s="128" t="s">
        <v>102</v>
      </c>
      <c r="T41" s="126" t="s">
        <v>103</v>
      </c>
      <c r="U41" s="126" t="s">
        <v>104</v>
      </c>
      <c r="V41" s="126" t="s">
        <v>105</v>
      </c>
      <c r="W41" s="126"/>
      <c r="X41" s="127"/>
      <c r="Y41" s="127"/>
      <c r="Z41" s="126" t="s">
        <v>155</v>
      </c>
      <c r="AA41" s="126" t="s">
        <v>128</v>
      </c>
      <c r="AB41" s="88">
        <f t="array" ref="AB41">SUM(LEN(O41:Y41) - LEN(SUBSTITUTE(O41:Y41, "/", "")) + (O41:Y41&lt;&gt;""))</f>
        <v>7</v>
      </c>
    </row>
    <row r="42">
      <c r="G42" s="123"/>
      <c r="H42" s="123"/>
      <c r="L42" s="124"/>
      <c r="M42" s="133">
        <v>0.8333333333333334</v>
      </c>
      <c r="N42" s="126" t="s">
        <v>123</v>
      </c>
      <c r="O42" s="126" t="s">
        <v>98</v>
      </c>
      <c r="P42" s="126" t="s">
        <v>99</v>
      </c>
      <c r="Q42" s="128" t="s">
        <v>100</v>
      </c>
      <c r="R42" s="126"/>
      <c r="S42" s="128" t="s">
        <v>102</v>
      </c>
      <c r="T42" s="126" t="s">
        <v>103</v>
      </c>
      <c r="U42" s="128" t="s">
        <v>104</v>
      </c>
      <c r="V42" s="126" t="s">
        <v>105</v>
      </c>
      <c r="W42" s="127"/>
      <c r="X42" s="128" t="s">
        <v>107</v>
      </c>
      <c r="Y42" s="127"/>
      <c r="Z42" s="128" t="s">
        <v>153</v>
      </c>
      <c r="AA42" s="130" t="s">
        <v>127</v>
      </c>
      <c r="AB42" s="78">
        <f t="array" ref="AB42">SUM(LEN(O42:Y42) - LEN(SUBSTITUTE(O42:Y42, "/", "")) + (O42:Y42&lt;&gt;""))</f>
        <v>8</v>
      </c>
    </row>
    <row r="43">
      <c r="B43" s="134"/>
      <c r="L43" s="135"/>
      <c r="M43" s="133">
        <v>0.8472222222222222</v>
      </c>
      <c r="N43" s="126" t="s">
        <v>126</v>
      </c>
      <c r="O43" s="126" t="s">
        <v>98</v>
      </c>
      <c r="P43" s="126" t="s">
        <v>99</v>
      </c>
      <c r="Q43" s="126" t="s">
        <v>100</v>
      </c>
      <c r="R43" s="127"/>
      <c r="S43" s="126" t="s">
        <v>102</v>
      </c>
      <c r="T43" s="126" t="s">
        <v>103</v>
      </c>
      <c r="U43" s="126" t="s">
        <v>104</v>
      </c>
      <c r="V43" s="126" t="s">
        <v>105</v>
      </c>
      <c r="W43" s="127"/>
      <c r="X43" s="126" t="s">
        <v>107</v>
      </c>
      <c r="Y43" s="127"/>
      <c r="Z43" s="126" t="s">
        <v>152</v>
      </c>
      <c r="AA43" s="126" t="s">
        <v>127</v>
      </c>
      <c r="AB43" s="88">
        <f t="array" ref="AB43">SUM(LEN(O43:Y43) - LEN(SUBSTITUTE(O43:Y43, "/", "")) + (O43:Y43&lt;&gt;""))</f>
        <v>8</v>
      </c>
    </row>
    <row r="44">
      <c r="B44" s="134"/>
      <c r="C44" s="7"/>
      <c r="D44" s="7"/>
      <c r="E44" s="7"/>
      <c r="F44" s="7"/>
      <c r="L44" s="135"/>
      <c r="M44" s="125">
        <v>0.8680555555555556</v>
      </c>
      <c r="N44" s="126" t="s">
        <v>126</v>
      </c>
      <c r="O44" s="126" t="s">
        <v>98</v>
      </c>
      <c r="P44" s="128" t="s">
        <v>99</v>
      </c>
      <c r="Q44" s="126" t="s">
        <v>100</v>
      </c>
      <c r="R44" s="127"/>
      <c r="S44" s="128" t="s">
        <v>102</v>
      </c>
      <c r="T44" s="126" t="s">
        <v>103</v>
      </c>
      <c r="U44" s="126" t="s">
        <v>104</v>
      </c>
      <c r="V44" s="126" t="s">
        <v>105</v>
      </c>
      <c r="W44" s="126"/>
      <c r="X44" s="128" t="s">
        <v>107</v>
      </c>
      <c r="Y44" s="127"/>
      <c r="Z44" s="128" t="s">
        <v>154</v>
      </c>
      <c r="AA44" s="136" t="s">
        <v>135</v>
      </c>
      <c r="AB44" s="78">
        <f t="array" ref="AB44">SUM(LEN(O44:Y44) - LEN(SUBSTITUTE(O44:Y44, "/", "")) + (O44:Y44&lt;&gt;""))</f>
        <v>8</v>
      </c>
    </row>
    <row r="45">
      <c r="B45" s="134"/>
      <c r="C45" s="7"/>
      <c r="D45" s="7"/>
      <c r="E45" s="7"/>
      <c r="F45" s="7"/>
      <c r="L45" s="137"/>
      <c r="M45" s="138"/>
      <c r="N45" s="139" t="s">
        <v>119</v>
      </c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88"/>
    </row>
    <row r="46">
      <c r="L46" s="135"/>
      <c r="M46" s="140">
        <v>0.7083333333333334</v>
      </c>
      <c r="N46" s="126" t="s">
        <v>123</v>
      </c>
      <c r="O46" s="126" t="s">
        <v>98</v>
      </c>
      <c r="P46" s="126" t="s">
        <v>99</v>
      </c>
      <c r="Q46" s="126" t="s">
        <v>100</v>
      </c>
      <c r="R46" s="126" t="s">
        <v>101</v>
      </c>
      <c r="S46" s="126" t="s">
        <v>102</v>
      </c>
      <c r="T46" s="126" t="s">
        <v>103</v>
      </c>
      <c r="U46" s="127"/>
      <c r="V46" s="127"/>
      <c r="W46" s="127"/>
      <c r="X46" s="128" t="s">
        <v>107</v>
      </c>
      <c r="Y46" s="128" t="s">
        <v>106</v>
      </c>
      <c r="Z46" s="128" t="s">
        <v>150</v>
      </c>
      <c r="AA46" s="136" t="s">
        <v>107</v>
      </c>
      <c r="AB46" s="99">
        <f t="array" ref="AB46">SUM(LEN(O46:Y46) - LEN(SUBSTITUTE(O46:Y46, "/", "")) + (O46:Y46&lt;&gt;""))</f>
        <v>8</v>
      </c>
    </row>
    <row r="47">
      <c r="L47" s="135"/>
      <c r="M47" s="133">
        <v>0.7222222222222222</v>
      </c>
      <c r="N47" s="126" t="s">
        <v>126</v>
      </c>
      <c r="O47" s="126" t="s">
        <v>98</v>
      </c>
      <c r="P47" s="126" t="s">
        <v>99</v>
      </c>
      <c r="Q47" s="126" t="s">
        <v>100</v>
      </c>
      <c r="R47" s="128" t="s">
        <v>101</v>
      </c>
      <c r="S47" s="128" t="s">
        <v>102</v>
      </c>
      <c r="T47" s="126" t="s">
        <v>103</v>
      </c>
      <c r="U47" s="127"/>
      <c r="V47" s="127"/>
      <c r="W47" s="127"/>
      <c r="X47" s="128"/>
      <c r="Y47" s="128" t="s">
        <v>106</v>
      </c>
      <c r="Z47" s="128" t="s">
        <v>153</v>
      </c>
      <c r="AA47" s="128" t="s">
        <v>150</v>
      </c>
      <c r="AB47" s="88">
        <f t="array" ref="AB47">SUM(LEN(O47:Y47) - LEN(SUBSTITUTE(O47:Y47, "/", "")) + (O47:Y47&lt;&gt;""))</f>
        <v>7</v>
      </c>
    </row>
    <row r="48">
      <c r="L48" s="124"/>
      <c r="M48" s="133">
        <v>0.7638888888888888</v>
      </c>
      <c r="N48" s="126" t="s">
        <v>123</v>
      </c>
      <c r="O48" s="126" t="s">
        <v>98</v>
      </c>
      <c r="P48" s="126" t="s">
        <v>99</v>
      </c>
      <c r="Q48" s="128" t="s">
        <v>100</v>
      </c>
      <c r="R48" s="126" t="s">
        <v>101</v>
      </c>
      <c r="S48" s="126" t="s">
        <v>102</v>
      </c>
      <c r="T48" s="126" t="s">
        <v>103</v>
      </c>
      <c r="U48" s="127"/>
      <c r="V48" s="127"/>
      <c r="W48" s="127"/>
      <c r="X48" s="126" t="s">
        <v>107</v>
      </c>
      <c r="Y48" s="128" t="s">
        <v>106</v>
      </c>
      <c r="Z48" s="128" t="s">
        <v>135</v>
      </c>
      <c r="AA48" s="128" t="s">
        <v>128</v>
      </c>
      <c r="AB48" s="78">
        <f t="array" ref="AB48">SUM(LEN(O48:Y48) - LEN(SUBSTITUTE(O48:Y48, "/", "")) + (O48:Y48&lt;&gt;""))</f>
        <v>8</v>
      </c>
    </row>
    <row r="49">
      <c r="L49" s="129"/>
      <c r="M49" s="125">
        <v>0.7430555555555556</v>
      </c>
      <c r="N49" s="126" t="s">
        <v>126</v>
      </c>
      <c r="O49" s="126" t="s">
        <v>98</v>
      </c>
      <c r="P49" s="126" t="s">
        <v>99</v>
      </c>
      <c r="Q49" s="128" t="s">
        <v>100</v>
      </c>
      <c r="R49" s="126" t="s">
        <v>101</v>
      </c>
      <c r="S49" s="126" t="s">
        <v>102</v>
      </c>
      <c r="T49" s="126" t="s">
        <v>103</v>
      </c>
      <c r="U49" s="128" t="s">
        <v>104</v>
      </c>
      <c r="V49" s="127"/>
      <c r="W49" s="127"/>
      <c r="X49" s="128" t="s">
        <v>107</v>
      </c>
      <c r="Y49" s="127"/>
      <c r="Z49" s="128" t="s">
        <v>139</v>
      </c>
      <c r="AA49" s="136" t="s">
        <v>107</v>
      </c>
      <c r="AB49" s="108">
        <f t="array" ref="AB49">SUM(LEN(O49:Y49) - LEN(SUBSTITUTE(O49:Y49, "/", "")) + (O49:Y49&lt;&gt;""))</f>
        <v>8</v>
      </c>
    </row>
    <row r="50">
      <c r="L50" s="141"/>
      <c r="M50" s="125">
        <v>0.7777777777777778</v>
      </c>
      <c r="N50" s="126" t="s">
        <v>123</v>
      </c>
      <c r="O50" s="126" t="s">
        <v>98</v>
      </c>
      <c r="P50" s="128" t="s">
        <v>99</v>
      </c>
      <c r="Q50" s="126" t="s">
        <v>100</v>
      </c>
      <c r="R50" s="126" t="s">
        <v>101</v>
      </c>
      <c r="S50" s="128" t="s">
        <v>102</v>
      </c>
      <c r="T50" s="128" t="s">
        <v>103</v>
      </c>
      <c r="U50" s="126" t="s">
        <v>104</v>
      </c>
      <c r="V50" s="126" t="s">
        <v>105</v>
      </c>
      <c r="W50" s="126"/>
      <c r="X50" s="126"/>
      <c r="Y50" s="127"/>
      <c r="Z50" s="128" t="s">
        <v>155</v>
      </c>
      <c r="AA50" s="126" t="s">
        <v>136</v>
      </c>
      <c r="AB50" s="78">
        <f t="array" ref="AB50">SUM(LEN(O50:Y50) - LEN(SUBSTITUTE(O50:Y50, "/", "")) + (O50:Y50&lt;&gt;""))</f>
        <v>8</v>
      </c>
    </row>
    <row r="51">
      <c r="L51" s="135"/>
      <c r="M51" s="125">
        <v>0.7916666666666666</v>
      </c>
      <c r="N51" s="126" t="s">
        <v>123</v>
      </c>
      <c r="O51" s="126" t="s">
        <v>98</v>
      </c>
      <c r="P51" s="126" t="s">
        <v>99</v>
      </c>
      <c r="Q51" s="128" t="s">
        <v>100</v>
      </c>
      <c r="R51" s="128" t="s">
        <v>101</v>
      </c>
      <c r="S51" s="126" t="s">
        <v>102</v>
      </c>
      <c r="T51" s="126" t="s">
        <v>103</v>
      </c>
      <c r="U51" s="126" t="s">
        <v>104</v>
      </c>
      <c r="V51" s="126" t="s">
        <v>105</v>
      </c>
      <c r="W51" s="127"/>
      <c r="X51" s="127"/>
      <c r="Y51" s="127"/>
      <c r="Z51" s="126" t="s">
        <v>104</v>
      </c>
      <c r="AA51" s="130" t="s">
        <v>139</v>
      </c>
      <c r="AB51" s="88">
        <f t="array" ref="AB51">SUM(LEN(O51:Y51) - LEN(SUBSTITUTE(O51:Y51, "/", "")) + (O51:Y51&lt;&gt;""))</f>
        <v>8</v>
      </c>
    </row>
    <row r="52">
      <c r="L52" s="124"/>
      <c r="M52" s="133">
        <v>0.8055555555555556</v>
      </c>
      <c r="N52" s="126" t="s">
        <v>126</v>
      </c>
      <c r="O52" s="126" t="s">
        <v>98</v>
      </c>
      <c r="P52" s="126" t="s">
        <v>99</v>
      </c>
      <c r="Q52" s="127"/>
      <c r="R52" s="128" t="s">
        <v>101</v>
      </c>
      <c r="S52" s="126" t="s">
        <v>102</v>
      </c>
      <c r="T52" s="128" t="s">
        <v>103</v>
      </c>
      <c r="U52" s="128" t="s">
        <v>104</v>
      </c>
      <c r="V52" s="128" t="s">
        <v>105</v>
      </c>
      <c r="W52" s="127"/>
      <c r="X52" s="128" t="s">
        <v>107</v>
      </c>
      <c r="Y52" s="127"/>
      <c r="Z52" s="126" t="s">
        <v>104</v>
      </c>
      <c r="AA52" s="128" t="s">
        <v>136</v>
      </c>
      <c r="AB52" s="78">
        <f t="array" ref="AB52">SUM(LEN(O52:Y52) - LEN(SUBSTITUTE(O52:Y52, "/", "")) + (O52:Y52&lt;&gt;""))</f>
        <v>8</v>
      </c>
    </row>
    <row r="53">
      <c r="B53" s="7"/>
      <c r="L53" s="137"/>
      <c r="M53" s="138"/>
      <c r="N53" s="139" t="s">
        <v>140</v>
      </c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88"/>
    </row>
    <row r="54">
      <c r="B54" s="7"/>
      <c r="L54" s="75"/>
      <c r="M54" s="109">
        <v>0.7916666666666666</v>
      </c>
      <c r="N54" s="96" t="s">
        <v>192</v>
      </c>
      <c r="O54" s="96" t="s">
        <v>98</v>
      </c>
      <c r="Q54" s="96"/>
      <c r="R54" s="96"/>
      <c r="S54" s="97" t="s">
        <v>102</v>
      </c>
      <c r="T54" s="97" t="s">
        <v>103</v>
      </c>
      <c r="U54" s="96"/>
      <c r="V54" s="96"/>
      <c r="W54" s="96"/>
      <c r="X54" s="96"/>
      <c r="Y54" s="97" t="s">
        <v>106</v>
      </c>
      <c r="AA54" s="96"/>
      <c r="AB54" s="78">
        <f t="array" ref="AB54">SUM(LEN(O54:Y54) - LEN(SUBSTITUTE(O54:Y54, "/", "")) + (O54:Y54&lt;&gt;""))</f>
        <v>4</v>
      </c>
    </row>
    <row r="55">
      <c r="L55" s="137"/>
      <c r="M55" s="138"/>
      <c r="N55" s="139" t="s">
        <v>193</v>
      </c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88"/>
    </row>
    <row r="56">
      <c r="L56" s="114" t="s">
        <v>194</v>
      </c>
      <c r="M56" s="142" t="s">
        <v>195</v>
      </c>
      <c r="N56" s="96" t="s">
        <v>196</v>
      </c>
      <c r="O56" s="96" t="s">
        <v>98</v>
      </c>
      <c r="P56" s="96"/>
      <c r="Q56" s="97" t="s">
        <v>100</v>
      </c>
      <c r="S56" s="96"/>
      <c r="T56" s="96"/>
      <c r="U56" s="96"/>
      <c r="V56" s="96"/>
      <c r="Z56" s="96"/>
      <c r="AA56" s="111"/>
      <c r="AB56" s="78">
        <f t="array" ref="AB56">SUM(LEN(O56:Y56) - LEN(SUBSTITUTE(O56:Y56, "/", "")) + (O56:Y56&lt;&gt;""))</f>
        <v>2</v>
      </c>
    </row>
    <row r="67">
      <c r="B67" s="59"/>
      <c r="C67" s="59"/>
      <c r="D67" s="59"/>
      <c r="E67" s="59"/>
      <c r="I67" s="59"/>
      <c r="J67" s="59"/>
    </row>
    <row r="68">
      <c r="B68" s="59"/>
      <c r="C68" s="59"/>
      <c r="D68" s="59"/>
      <c r="E68" s="59"/>
      <c r="I68" s="59"/>
      <c r="J68" s="59"/>
    </row>
  </sheetData>
  <mergeCells count="11">
    <mergeCell ref="Z23:AA23"/>
    <mergeCell ref="Z37:AA37"/>
    <mergeCell ref="E67:H67"/>
    <mergeCell ref="E68:H68"/>
    <mergeCell ref="Z4:AA4"/>
    <mergeCell ref="A5:A7"/>
    <mergeCell ref="A9:A11"/>
    <mergeCell ref="A13:A15"/>
    <mergeCell ref="A17:A19"/>
    <mergeCell ref="A21:A23"/>
    <mergeCell ref="A25:A27"/>
  </mergeCells>
  <conditionalFormatting sqref="A5:A7 A9:A11 A13:A15 A17:A19 A21:A23 A25:A27 A29:A30">
    <cfRule type="cellIs" dxfId="0" priority="1" operator="equal">
      <formula>"DONE"</formula>
    </cfRule>
  </conditionalFormatting>
  <conditionalFormatting sqref="U4:AB35 AC28 AC30:AC31 AD30 U37:AB56">
    <cfRule type="cellIs" dxfId="2" priority="2" operator="greaterThanOrEqual">
      <formula>8</formula>
    </cfRule>
  </conditionalFormatting>
  <conditionalFormatting sqref="U4:AB35 AC28 AC30:AC31 AD30 U37:AB56">
    <cfRule type="cellIs" dxfId="3" priority="3" operator="lessThan">
      <formula>8</formula>
    </cfRule>
  </conditionalFormatting>
  <dataValidations>
    <dataValidation type="list" allowBlank="1" showErrorMessage="1" sqref="C5:J5 C9:J9 C13:J13 C17:J17 C21:J21 C25:J25">
      <formula1>chars!$B$2:$Z869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38"/>
    <col customWidth="1" min="3" max="6" width="18.13"/>
    <col customWidth="1" hidden="1" min="7" max="7" width="18.13"/>
    <col customWidth="1" min="8" max="9" width="13.63"/>
    <col customWidth="1" min="10" max="13" width="18.13"/>
  </cols>
  <sheetData>
    <row r="4">
      <c r="A4" s="143" t="s">
        <v>0</v>
      </c>
      <c r="B4" s="144" t="s">
        <v>197</v>
      </c>
      <c r="C4" s="72" t="s">
        <v>53</v>
      </c>
      <c r="D4" s="73" t="s">
        <v>4</v>
      </c>
      <c r="E4" s="73" t="s">
        <v>75</v>
      </c>
      <c r="F4" s="74" t="s">
        <v>149</v>
      </c>
      <c r="H4" s="143" t="s">
        <v>0</v>
      </c>
      <c r="I4" s="145" t="s">
        <v>197</v>
      </c>
      <c r="J4" s="72" t="s">
        <v>169</v>
      </c>
      <c r="K4" s="73" t="s">
        <v>147</v>
      </c>
      <c r="L4" s="73" t="s">
        <v>148</v>
      </c>
      <c r="M4" s="74" t="s">
        <v>172</v>
      </c>
    </row>
    <row r="5">
      <c r="B5" s="146" t="s">
        <v>198</v>
      </c>
      <c r="C5" s="80" t="str">
        <f>IFERROR(__xludf.DUMMYFUNCTION("IF(ISBLANK(C4),"""",HLOOKUP(REGEXEXTRACT(C4,"".*-(.*)""),INDIRECT(CONCATENATE(REGEXEXTRACT(C4,""(.*)-.*""),""!C3:V"")),2,FALSE))"),"Summoner")</f>
        <v>Summoner</v>
      </c>
      <c r="D5" s="80" t="str">
        <f>IFERROR(__xludf.DUMMYFUNCTION("IF(ISBLANK(D4),"""",HLOOKUP(REGEXEXTRACT(D4,"".*-(.*)""),INDIRECT(CONCATENATE(REGEXEXTRACT(D4,""(.*)-.*""),""!C3:V"")),2,FALSE))"),"Gunslinger")</f>
        <v>Gunslinger</v>
      </c>
      <c r="E5" s="80" t="str">
        <f>IFERROR(__xludf.DUMMYFUNCTION("IF(ISBLANK(E4),"""",HLOOKUP(REGEXEXTRACT(E4,"".*-(.*)""),INDIRECT(CONCATENATE(REGEXEXTRACT(E4,""(.*)-.*""),""!C3:V"")),2,FALSE))"),"BREAKER")</f>
        <v>BREAKER</v>
      </c>
      <c r="F5" s="83" t="str">
        <f>IFERROR(__xludf.DUMMYFUNCTION("IF(ISBLANK(F4),"""",HLOOKUP(REGEXEXTRACT(F4,"".*-(.*)""),INDIRECT(CONCATENATE(REGEXEXTRACT(F4,""(.*)-.*""),""!C3:V"")),2,FALSE))"),"Artist")</f>
        <v>Artist</v>
      </c>
      <c r="I5" s="147" t="s">
        <v>199</v>
      </c>
      <c r="J5" s="80" t="str">
        <f>IFERROR(__xludf.DUMMYFUNCTION("IF(ISBLANK(J4),"""",HLOOKUP(REGEXEXTRACT(J4,"".*-(.*)""),INDIRECT(CONCATENATE(REGEXEXTRACT(J4,""(.*)-.*""),""!C3:V"")),2,FALSE))"),"Shadowhunter")</f>
        <v>Shadowhunter</v>
      </c>
      <c r="K5" s="80" t="str">
        <f>IFERROR(__xludf.DUMMYFUNCTION("IF(ISBLANK(K4),"""",HLOOKUP(REGEXEXTRACT(K4,"".*-(.*)""),INDIRECT(CONCATENATE(REGEXEXTRACT(K4,""(.*)-.*""),""!C3:V"")),2,FALSE))"),"Slayer")</f>
        <v>Slayer</v>
      </c>
      <c r="L5" s="80" t="str">
        <f>IFERROR(__xludf.DUMMYFUNCTION("IF(ISBLANK(L4),"""",HLOOKUP(REGEXEXTRACT(L4,"".*-(.*)""),INDIRECT(CONCATENATE(REGEXEXTRACT(L4,""(.*)-.*""),""!C3:V"")),2,FALSE))"),"Scrapper")</f>
        <v>Scrapper</v>
      </c>
      <c r="M5" s="83" t="str">
        <f>IFERROR(__xludf.DUMMYFUNCTION("IF(ISBLANK(M4),"""",HLOOKUP(REGEXEXTRACT(M4,"".*-(.*)""),INDIRECT(CONCATENATE(REGEXEXTRACT(M4,""(.*)-.*""),""!C3:V"")),2,FALSE))"),"Bard")</f>
        <v>Bard</v>
      </c>
    </row>
    <row r="6">
      <c r="B6" s="148"/>
      <c r="C6" s="90">
        <f>IFERROR(__xludf.DUMMYFUNCTION("IF(ISBLANK(C4),"""",HLOOKUP(REGEXEXTRACT(C4,"".*-(.*)""),INDIRECT(CONCATENATE(REGEXEXTRACT(C4,""(.*)-.*""),""!C3:V"")),3,FALSE))"),1750.0)</f>
        <v>1750</v>
      </c>
      <c r="D6" s="90">
        <f>IFERROR(__xludf.DUMMYFUNCTION("IF(ISBLANK(D4),"""",HLOOKUP(REGEXEXTRACT(D4,"".*-(.*)""),INDIRECT(CONCATENATE(REGEXEXTRACT(D4,""(.*)-.*""),""!C3:V"")),3,FALSE))"),1750.0)</f>
        <v>1750</v>
      </c>
      <c r="E6" s="90">
        <f>IFERROR(__xludf.DUMMYFUNCTION("IF(ISBLANK(E4),"""",HLOOKUP(REGEXEXTRACT(E4,"".*-(.*)""),INDIRECT(CONCATENATE(REGEXEXTRACT(E4,""(.*)-.*""),""!C3:V"")),3,FALSE))"),1750.0)</f>
        <v>1750</v>
      </c>
      <c r="F6" s="93">
        <f>IFERROR(__xludf.DUMMYFUNCTION("IF(ISBLANK(F4),"""",HLOOKUP(REGEXEXTRACT(F4,"".*-(.*)""),INDIRECT(CONCATENATE(REGEXEXTRACT(F4,""(.*)-.*""),""!C3:V"")),3,FALSE))"),1750.0)</f>
        <v>1750</v>
      </c>
      <c r="I6" s="149"/>
      <c r="J6" s="90">
        <f>IFERROR(__xludf.DUMMYFUNCTION("IF(ISBLANK(J4),"""",HLOOKUP(REGEXEXTRACT(J4,"".*-(.*)""),INDIRECT(CONCATENATE(REGEXEXTRACT(J4,""(.*)-.*""),""!C3:V"")),3,FALSE))"),1750.0)</f>
        <v>1750</v>
      </c>
      <c r="K6" s="90">
        <f>IFERROR(__xludf.DUMMYFUNCTION("IF(ISBLANK(K4),"""",HLOOKUP(REGEXEXTRACT(K4,"".*-(.*)""),INDIRECT(CONCATENATE(REGEXEXTRACT(K4,""(.*)-.*""),""!C3:V"")),3,FALSE))"),1750.0)</f>
        <v>1750</v>
      </c>
      <c r="L6" s="90">
        <f>IFERROR(__xludf.DUMMYFUNCTION("IF(ISBLANK(L4),"""",HLOOKUP(REGEXEXTRACT(L4,"".*-(.*)""),INDIRECT(CONCATENATE(REGEXEXTRACT(L4,""(.*)-.*""),""!C3:V"")),3,FALSE))"),1700.0)</f>
        <v>1700</v>
      </c>
      <c r="M6" s="93">
        <f>IFERROR(__xludf.DUMMYFUNCTION("IF(ISBLANK(M4),"""",HLOOKUP(REGEXEXTRACT(M4,"".*-(.*)""),INDIRECT(CONCATENATE(REGEXEXTRACT(M4,""(.*)-.*""),""!C3:V"")),3,FALSE))"),1750.0)</f>
        <v>1750</v>
      </c>
    </row>
    <row r="8">
      <c r="A8" s="143" t="s">
        <v>0</v>
      </c>
      <c r="B8" s="150" t="s">
        <v>197</v>
      </c>
      <c r="C8" s="72" t="s">
        <v>37</v>
      </c>
      <c r="D8" s="73" t="s">
        <v>131</v>
      </c>
      <c r="E8" s="73" t="s">
        <v>164</v>
      </c>
      <c r="F8" s="74" t="s">
        <v>157</v>
      </c>
      <c r="H8" s="151"/>
    </row>
    <row r="9">
      <c r="B9" s="152" t="s">
        <v>200</v>
      </c>
      <c r="C9" s="80" t="str">
        <f>IFERROR(__xludf.DUMMYFUNCTION("IF(ISBLANK(C8),"""",HLOOKUP(REGEXEXTRACT(C8,"".*-(.*)""),INDIRECT(CONCATENATE(REGEXEXTRACT(C8,""(.*)-.*""),""!C3:V"")),2,FALSE))"),"Guardianknight")</f>
        <v>Guardianknight</v>
      </c>
      <c r="D9" s="80" t="str">
        <f>IFERROR(__xludf.DUMMYFUNCTION("IF(ISBLANK(D8),"""",HLOOKUP(REGEXEXTRACT(D8,"".*-(.*)""),INDIRECT(CONCATENATE(REGEXEXTRACT(D8,""(.*)-.*""),""!C3:V"")),2,FALSE))"),"Glaivier")</f>
        <v>Glaivier</v>
      </c>
      <c r="E9" s="80" t="str">
        <f>IFERROR(__xludf.DUMMYFUNCTION("IF(ISBLANK(E8),"""",HLOOKUP(REGEXEXTRACT(E8,"".*-(.*)""),INDIRECT(CONCATENATE(REGEXEXTRACT(E8,""(.*)-.*""),""!C3:V"")),2,FALSE))"),"Valk")</f>
        <v>Valk</v>
      </c>
      <c r="F9" s="83" t="str">
        <f>IFERROR(__xludf.DUMMYFUNCTION("IF(ISBLANK(F8),"""",HLOOKUP(REGEXEXTRACT(F8,"".*-(.*)""),INDIRECT(CONCATENATE(REGEXEXTRACT(F8,""(.*)-.*""),""!C3:V"")),2,FALSE))"),"Valk")</f>
        <v>Valk</v>
      </c>
    </row>
    <row r="10">
      <c r="B10" s="153"/>
      <c r="C10" s="90">
        <f>IFERROR(__xludf.DUMMYFUNCTION("IF(ISBLANK(C8),"""",HLOOKUP(REGEXEXTRACT(C8,"".*-(.*)""),INDIRECT(CONCATENATE(REGEXEXTRACT(C8,""(.*)-.*""),""!C3:V"")),3,FALSE))"),1750.0)</f>
        <v>1750</v>
      </c>
      <c r="D10" s="90">
        <f>IFERROR(__xludf.DUMMYFUNCTION("IF(ISBLANK(D8),"""",HLOOKUP(REGEXEXTRACT(D8,"".*-(.*)""),INDIRECT(CONCATENATE(REGEXEXTRACT(D8,""(.*)-.*""),""!C3:V"")),3,FALSE))"),1750.0)</f>
        <v>1750</v>
      </c>
      <c r="E10" s="90">
        <f>IFERROR(__xludf.DUMMYFUNCTION("IF(ISBLANK(E8),"""",HLOOKUP(REGEXEXTRACT(E8,"".*-(.*)""),INDIRECT(CONCATENATE(REGEXEXTRACT(E8,""(.*)-.*""),""!C3:V"")),3,FALSE))"),1750.0)</f>
        <v>1750</v>
      </c>
      <c r="F10" s="93">
        <f>IFERROR(__xludf.DUMMYFUNCTION("IF(ISBLANK(F8),"""",HLOOKUP(REGEXEXTRACT(F8,"".*-(.*)""),INDIRECT(CONCATENATE(REGEXEXTRACT(F8,""(.*)-.*""),""!C3:V"")),3,FALSE))"),1750.0)</f>
        <v>1750</v>
      </c>
    </row>
    <row r="11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5"/>
      <c r="L11" s="154"/>
      <c r="M11" s="154"/>
      <c r="N11" s="154"/>
    </row>
    <row r="12">
      <c r="A12" s="143" t="s">
        <v>0</v>
      </c>
      <c r="B12" s="144" t="s">
        <v>201</v>
      </c>
      <c r="C12" s="72" t="s">
        <v>43</v>
      </c>
      <c r="D12" s="73" t="s">
        <v>144</v>
      </c>
      <c r="E12" s="73" t="s">
        <v>82</v>
      </c>
      <c r="F12" s="74" t="s">
        <v>158</v>
      </c>
      <c r="H12" s="156"/>
      <c r="I12" s="157" t="s">
        <v>201</v>
      </c>
      <c r="J12" s="72" t="s">
        <v>202</v>
      </c>
      <c r="K12" s="73" t="s">
        <v>14</v>
      </c>
      <c r="L12" s="73" t="s">
        <v>106</v>
      </c>
      <c r="M12" s="74" t="s">
        <v>143</v>
      </c>
    </row>
    <row r="13">
      <c r="B13" s="146" t="s">
        <v>200</v>
      </c>
      <c r="C13" s="80" t="str">
        <f>IFERROR(__xludf.DUMMYFUNCTION("IF(ISBLANK(C12),"""",HLOOKUP(REGEXEXTRACT(C12,"".*-(.*)""),INDIRECT(CONCATENATE(REGEXEXTRACT(C12,""(.*)-.*""),""!C3:V"")),2,FALSE))"),"Soulfist")</f>
        <v>Soulfist</v>
      </c>
      <c r="D13" s="80" t="str">
        <f>IFERROR(__xludf.DUMMYFUNCTION("IF(ISBLANK(D12),"""",HLOOKUP(REGEXEXTRACT(D12,"".*-(.*)""),INDIRECT(CONCATENATE(REGEXEXTRACT(D12,""(.*)-.*""),""!C3:V"")),2,FALSE))"),"Souleater")</f>
        <v>Souleater</v>
      </c>
      <c r="E13" s="80" t="str">
        <f>IFERROR(__xludf.DUMMYFUNCTION("IF(ISBLANK(E12),"""",HLOOKUP(REGEXEXTRACT(E12,"".*-(.*)""),INDIRECT(CONCATENATE(REGEXEXTRACT(E12,""(.*)-.*""),""!C3:V"")),2,FALSE))"),"Bonk")</f>
        <v>Bonk</v>
      </c>
      <c r="F13" s="83" t="str">
        <f>IFERROR(__xludf.DUMMYFUNCTION("IF(ISBLANK(F12),"""",HLOOKUP(REGEXEXTRACT(F12,"".*-(.*)""),INDIRECT(CONCATENATE(REGEXEXTRACT(F12,""(.*)-.*""),""!C3:V"")),2,FALSE))"),"Artist")</f>
        <v>Artist</v>
      </c>
      <c r="I13" s="158" t="s">
        <v>200</v>
      </c>
      <c r="J13" s="80" t="str">
        <f>IFERROR(__xludf.DUMMYFUNCTION("IF(ISBLANK(J12),"""",HLOOKUP(REGEXEXTRACT(J12,"".*-(.*)""),INDIRECT(CONCATENATE(REGEXEXTRACT(J12,""(.*)-.*""),""!C3:V"")),2,FALSE))"),"Souleater")</f>
        <v>Souleater</v>
      </c>
      <c r="K13" s="80" t="str">
        <f>IFERROR(__xludf.DUMMYFUNCTION("IF(ISBLANK(K12),"""",HLOOKUP(REGEXEXTRACT(K12,"".*-(.*)""),INDIRECT(CONCATENATE(REGEXEXTRACT(K12,""(.*)-.*""),""!C3:V"")),2,FALSE))"),"Sorceress")</f>
        <v>Sorceress</v>
      </c>
      <c r="L13" s="100" t="s">
        <v>173</v>
      </c>
      <c r="M13" s="83" t="str">
        <f>IFERROR(__xludf.DUMMYFUNCTION("IF(ISBLANK(M12),"""",HLOOKUP(REGEXEXTRACT(M12,"".*-(.*)""),INDIRECT(CONCATENATE(REGEXEXTRACT(M12,""(.*)-.*""),""!C3:V"")),2,FALSE))"),"Valk")</f>
        <v>Valk</v>
      </c>
    </row>
    <row r="14">
      <c r="B14" s="148"/>
      <c r="C14" s="90">
        <f>IFERROR(__xludf.DUMMYFUNCTION("IF(ISBLANK(C12),"""",HLOOKUP(REGEXEXTRACT(C12,"".*-(.*)""),INDIRECT(CONCATENATE(REGEXEXTRACT(C12,""(.*)-.*""),""!C3:V"")),3,FALSE))"),1750.0)</f>
        <v>1750</v>
      </c>
      <c r="D14" s="90">
        <f>IFERROR(__xludf.DUMMYFUNCTION("IF(ISBLANK(D12),"""",HLOOKUP(REGEXEXTRACT(D12,"".*-(.*)""),INDIRECT(CONCATENATE(REGEXEXTRACT(D12,""(.*)-.*""),""!C3:V"")),3,FALSE))"),1750.0)</f>
        <v>1750</v>
      </c>
      <c r="E14" s="90">
        <f>IFERROR(__xludf.DUMMYFUNCTION("IF(ISBLANK(E12),"""",HLOOKUP(REGEXEXTRACT(E12,"".*-(.*)""),INDIRECT(CONCATENATE(REGEXEXTRACT(E12,""(.*)-.*""),""!C3:V"")),3,FALSE))"),1750.0)</f>
        <v>1750</v>
      </c>
      <c r="F14" s="93">
        <f>IFERROR(__xludf.DUMMYFUNCTION("IF(ISBLANK(F12),"""",HLOOKUP(REGEXEXTRACT(F12,"".*-(.*)""),INDIRECT(CONCATENATE(REGEXEXTRACT(F12,""(.*)-.*""),""!C3:V"")),3,FALSE))"),1750.0)</f>
        <v>1750</v>
      </c>
      <c r="I14" s="159"/>
      <c r="J14" s="90">
        <f>IFERROR(__xludf.DUMMYFUNCTION("IF(ISBLANK(J12),"""",HLOOKUP(REGEXEXTRACT(J12,"".*-(.*)""),INDIRECT(CONCATENATE(REGEXEXTRACT(J12,""(.*)-.*""),""!C3:V"")),3,FALSE))"),1750.0)</f>
        <v>1750</v>
      </c>
      <c r="K14" s="90">
        <f>IFERROR(__xludf.DUMMYFUNCTION("IF(ISBLANK(K12),"""",HLOOKUP(REGEXEXTRACT(K12,"".*-(.*)""),INDIRECT(CONCATENATE(REGEXEXTRACT(K12,""(.*)-.*""),""!C3:V"")),3,FALSE))"),1750.0)</f>
        <v>1750</v>
      </c>
      <c r="L14" s="90"/>
      <c r="M14" s="93">
        <f>IFERROR(__xludf.DUMMYFUNCTION("IF(ISBLANK(M12),"""",HLOOKUP(REGEXEXTRACT(M12,"".*-(.*)""),INDIRECT(CONCATENATE(REGEXEXTRACT(M12,""(.*)-.*""),""!C3:V"")),3,FALSE))"),1750.0)</f>
        <v>1750</v>
      </c>
    </row>
    <row r="16">
      <c r="A16" s="143" t="s">
        <v>0</v>
      </c>
      <c r="B16" s="144" t="s">
        <v>201</v>
      </c>
      <c r="C16" s="72" t="s">
        <v>112</v>
      </c>
      <c r="D16" s="73" t="s">
        <v>32</v>
      </c>
      <c r="E16" s="73" t="s">
        <v>113</v>
      </c>
      <c r="F16" s="74" t="s">
        <v>117</v>
      </c>
      <c r="H16" s="156"/>
      <c r="I16" s="160" t="s">
        <v>201</v>
      </c>
      <c r="J16" s="72" t="s">
        <v>107</v>
      </c>
      <c r="K16" s="73" t="s">
        <v>165</v>
      </c>
      <c r="L16" s="73" t="s">
        <v>118</v>
      </c>
      <c r="M16" s="74" t="s">
        <v>80</v>
      </c>
    </row>
    <row r="17">
      <c r="B17" s="146" t="s">
        <v>200</v>
      </c>
      <c r="C17" s="80" t="str">
        <f>IFERROR(__xludf.DUMMYFUNCTION("IF(ISBLANK(C16),"""",HLOOKUP(REGEXEXTRACT(C16,"".*-(.*)""),INDIRECT(CONCATENATE(REGEXEXTRACT(C16,""(.*)-.*""),""!C3:V"")),2,FALSE))"),"Wildsoul")</f>
        <v>Wildsoul</v>
      </c>
      <c r="D17" s="80" t="str">
        <f>IFERROR(__xludf.DUMMYFUNCTION("IF(ISBLANK(D16),"""",HLOOKUP(REGEXEXTRACT(D16,"".*-(.*)""),INDIRECT(CONCATENATE(REGEXEXTRACT(D16,""(.*)-.*""),""!C3:V"")),2,FALSE))"),"Glaivier")</f>
        <v>Glaivier</v>
      </c>
      <c r="E17" s="80" t="str">
        <f>IFERROR(__xludf.DUMMYFUNCTION("IF(ISBLANK(E16),"""",HLOOKUP(REGEXEXTRACT(E16,"".*-(.*)""),INDIRECT(CONCATENATE(REGEXEXTRACT(E16,""(.*)-.*""),""!C3:V"")),2,FALSE))"),"G")</f>
        <v>G</v>
      </c>
      <c r="F17" s="83" t="str">
        <f>IFERROR(__xludf.DUMMYFUNCTION("IF(ISBLANK(F16),"""",HLOOKUP(REGEXEXTRACT(F16,"".*-(.*)""),INDIRECT(CONCATENATE(REGEXEXTRACT(F16,""(.*)-.*""),""!C3:V"")),2,FALSE))"),"Artist")</f>
        <v>Artist</v>
      </c>
      <c r="I17" s="161" t="s">
        <v>200</v>
      </c>
      <c r="J17" s="100" t="s">
        <v>203</v>
      </c>
      <c r="K17" s="80" t="str">
        <f>IFERROR(__xludf.DUMMYFUNCTION("IF(ISBLANK(K16),"""",HLOOKUP(REGEXEXTRACT(K16,"".*-(.*)""),INDIRECT(CONCATENATE(REGEXEXTRACT(K16,""(.*)-.*""),""!C3:V"")),2,FALSE))"),"Souleater")</f>
        <v>Souleater</v>
      </c>
      <c r="L17" s="80" t="str">
        <f>IFERROR(__xludf.DUMMYFUNCTION("IF(ISBLANK(L16),"""",HLOOKUP(REGEXEXTRACT(L16,"".*-(.*)""),INDIRECT(CONCATENATE(REGEXEXTRACT(L16,""(.*)-.*""),""!C3:V"")),2,FALSE))"),"Arcana")</f>
        <v>Arcana</v>
      </c>
      <c r="M17" s="83" t="str">
        <f>IFERROR(__xludf.DUMMYFUNCTION("IF(ISBLANK(M16),"""",HLOOKUP(REGEXEXTRACT(M16,"".*-(.*)""),INDIRECT(CONCATENATE(REGEXEXTRACT(M16,""(.*)-.*""),""!C3:V"")),2,FALSE))"),"Paladin")</f>
        <v>Paladin</v>
      </c>
    </row>
    <row r="18">
      <c r="B18" s="148"/>
      <c r="C18" s="90">
        <f>IFERROR(__xludf.DUMMYFUNCTION("IF(ISBLANK(C16),"""",HLOOKUP(REGEXEXTRACT(C16,"".*-(.*)""),INDIRECT(CONCATENATE(REGEXEXTRACT(C16,""(.*)-.*""),""!C3:V"")),3,FALSE))"),1750.0)</f>
        <v>1750</v>
      </c>
      <c r="D18" s="90">
        <f>IFERROR(__xludf.DUMMYFUNCTION("IF(ISBLANK(D16),"""",HLOOKUP(REGEXEXTRACT(D16,"".*-(.*)""),INDIRECT(CONCATENATE(REGEXEXTRACT(D16,""(.*)-.*""),""!C3:V"")),3,FALSE))"),1750.0)</f>
        <v>1750</v>
      </c>
      <c r="E18" s="90">
        <f>IFERROR(__xludf.DUMMYFUNCTION("IF(ISBLANK(E16),"""",HLOOKUP(REGEXEXTRACT(E16,"".*-(.*)""),INDIRECT(CONCATENATE(REGEXEXTRACT(E16,""(.*)-.*""),""!C3:V"")),3,FALSE))"),1750.0)</f>
        <v>1750</v>
      </c>
      <c r="F18" s="93">
        <f>IFERROR(__xludf.DUMMYFUNCTION("IF(ISBLANK(F16),"""",HLOOKUP(REGEXEXTRACT(F16,"".*-(.*)""),INDIRECT(CONCATENATE(REGEXEXTRACT(F16,""(.*)-.*""),""!C3:V"")),3,FALSE))"),1730.0)</f>
        <v>1730</v>
      </c>
      <c r="I18" s="162"/>
      <c r="J18" s="90"/>
      <c r="K18" s="90">
        <f>IFERROR(__xludf.DUMMYFUNCTION("IF(ISBLANK(K16),"""",HLOOKUP(REGEXEXTRACT(K16,"".*-(.*)""),INDIRECT(CONCATENATE(REGEXEXTRACT(K16,""(.*)-.*""),""!C3:V"")),3,FALSE))"),1750.0)</f>
        <v>1750</v>
      </c>
      <c r="L18" s="90">
        <f>IFERROR(__xludf.DUMMYFUNCTION("IF(ISBLANK(L16),"""",HLOOKUP(REGEXEXTRACT(L16,"".*-(.*)""),INDIRECT(CONCATENATE(REGEXEXTRACT(L16,""(.*)-.*""),""!C3:V"")),3,FALSE))"),1750.0)</f>
        <v>1750</v>
      </c>
      <c r="M18" s="93">
        <f>IFERROR(__xludf.DUMMYFUNCTION("IF(ISBLANK(M16),"""",HLOOKUP(REGEXEXTRACT(M16,"".*-(.*)""),INDIRECT(CONCATENATE(REGEXEXTRACT(M16,""(.*)-.*""),""!C3:V"")),3,FALSE))"),1750.0)</f>
        <v>1750</v>
      </c>
    </row>
    <row r="20">
      <c r="A20" s="156"/>
      <c r="B20" s="150" t="s">
        <v>201</v>
      </c>
      <c r="C20" s="72" t="s">
        <v>115</v>
      </c>
      <c r="D20" s="73" t="s">
        <v>73</v>
      </c>
      <c r="E20" s="73" t="s">
        <v>130</v>
      </c>
      <c r="F20" s="74" t="s">
        <v>54</v>
      </c>
      <c r="H20" s="156"/>
      <c r="I20" s="160" t="s">
        <v>201</v>
      </c>
      <c r="J20" s="72" t="s">
        <v>107</v>
      </c>
      <c r="K20" s="73" t="s">
        <v>159</v>
      </c>
      <c r="L20" s="73" t="s">
        <v>70</v>
      </c>
      <c r="M20" s="74" t="s">
        <v>162</v>
      </c>
    </row>
    <row r="21">
      <c r="B21" s="152" t="s">
        <v>200</v>
      </c>
      <c r="C21" s="80" t="str">
        <f>IFERROR(__xludf.DUMMYFUNCTION("IF(ISBLANK(C20),"""",HLOOKUP(REGEXEXTRACT(C20,"".*-(.*)""),INDIRECT(CONCATENATE(REGEXEXTRACT(C20,""(.*)-.*""),""!C3:V"")),2,FALSE))"),"Wildsoul")</f>
        <v>Wildsoul</v>
      </c>
      <c r="D21" s="80" t="str">
        <f>IFERROR(__xludf.DUMMYFUNCTION("IF(ISBLANK(D20),"""",HLOOKUP(REGEXEXTRACT(D20,"".*-(.*)""),INDIRECT(CONCATENATE(REGEXEXTRACT(D20,""(.*)-.*""),""!C3:V"")),2,FALSE))"),"Souleater")</f>
        <v>Souleater</v>
      </c>
      <c r="E21" s="80" t="str">
        <f>IFERROR(__xludf.DUMMYFUNCTION("IF(ISBLANK(E20),"""",HLOOKUP(REGEXEXTRACT(E20,"".*-(.*)""),INDIRECT(CONCATENATE(REGEXEXTRACT(E20,""(.*)-.*""),""!C3:V"")),2,FALSE))"),"Aeromancer")</f>
        <v>Aeromancer</v>
      </c>
      <c r="F21" s="83" t="str">
        <f>IFERROR(__xludf.DUMMYFUNCTION("IF(ISBLANK(F20),"""",HLOOKUP(REGEXEXTRACT(F20,"".*-(.*)""),INDIRECT(CONCATENATE(REGEXEXTRACT(F20,""(.*)-.*""),""!C3:V"")),2,FALSE))"),"Paladin")</f>
        <v>Paladin</v>
      </c>
      <c r="I21" s="161" t="s">
        <v>200</v>
      </c>
      <c r="J21" s="100" t="s">
        <v>204</v>
      </c>
      <c r="K21" s="80" t="str">
        <f>IFERROR(__xludf.DUMMYFUNCTION("IF(ISBLANK(K20),"""",HLOOKUP(REGEXEXTRACT(K20,"".*-(.*)""),INDIRECT(CONCATENATE(REGEXEXTRACT(K20,""(.*)-.*""),""!C3:V"")),2,FALSE))"),"Glaivier")</f>
        <v>Glaivier</v>
      </c>
      <c r="L21" s="80" t="str">
        <f>IFERROR(__xludf.DUMMYFUNCTION("IF(ISBLANK(L20),"""",HLOOKUP(REGEXEXTRACT(L20,"".*-(.*)""),INDIRECT(CONCATENATE(REGEXEXTRACT(L20,""(.*)-.*""),""!C3:V"")),2,FALSE))"),"GL")</f>
        <v>GL</v>
      </c>
      <c r="M21" s="83" t="str">
        <f>IFERROR(__xludf.DUMMYFUNCTION("IF(ISBLANK(M20),"""",HLOOKUP(REGEXEXTRACT(M20,"".*-(.*)""),INDIRECT(CONCATENATE(REGEXEXTRACT(M20,""(.*)-.*""),""!C3:V"")),2,FALSE))"),"Paladin")</f>
        <v>Paladin</v>
      </c>
    </row>
    <row r="22">
      <c r="B22" s="153"/>
      <c r="C22" s="90">
        <f>IFERROR(__xludf.DUMMYFUNCTION("IF(ISBLANK(C20),"""",HLOOKUP(REGEXEXTRACT(C20,"".*-(.*)""),INDIRECT(CONCATENATE(REGEXEXTRACT(C20,""(.*)-.*""),""!C3:V"")),3,FALSE))"),1750.0)</f>
        <v>1750</v>
      </c>
      <c r="D22" s="90">
        <f>IFERROR(__xludf.DUMMYFUNCTION("IF(ISBLANK(D20),"""",HLOOKUP(REGEXEXTRACT(D20,"".*-(.*)""),INDIRECT(CONCATENATE(REGEXEXTRACT(D20,""(.*)-.*""),""!C3:V"")),3,FALSE))"),1750.0)</f>
        <v>1750</v>
      </c>
      <c r="E22" s="90">
        <f>IFERROR(__xludf.DUMMYFUNCTION("IF(ISBLANK(E20),"""",HLOOKUP(REGEXEXTRACT(E20,"".*-(.*)""),INDIRECT(CONCATENATE(REGEXEXTRACT(E20,""(.*)-.*""),""!C3:V"")),3,FALSE))"),1750.0)</f>
        <v>1750</v>
      </c>
      <c r="F22" s="93">
        <f>IFERROR(__xludf.DUMMYFUNCTION("IF(ISBLANK(F20),"""",HLOOKUP(REGEXEXTRACT(F20,"".*-(.*)""),INDIRECT(CONCATENATE(REGEXEXTRACT(F20,""(.*)-.*""),""!C3:V"")),3,FALSE))"),1750.0)</f>
        <v>1750</v>
      </c>
      <c r="I22" s="162"/>
      <c r="J22" s="90"/>
      <c r="K22" s="90">
        <f>IFERROR(__xludf.DUMMYFUNCTION("IF(ISBLANK(K20),"""",HLOOKUP(REGEXEXTRACT(K20,"".*-(.*)""),INDIRECT(CONCATENATE(REGEXEXTRACT(K20,""(.*)-.*""),""!C3:V"")),3,FALSE))"),1750.0)</f>
        <v>1750</v>
      </c>
      <c r="L22" s="90">
        <f>IFERROR(__xludf.DUMMYFUNCTION("IF(ISBLANK(L20),"""",HLOOKUP(REGEXEXTRACT(L20,"".*-(.*)""),INDIRECT(CONCATENATE(REGEXEXTRACT(L20,""(.*)-.*""),""!C3:V"")),3,FALSE))"),1750.0)</f>
        <v>1750</v>
      </c>
      <c r="M22" s="93">
        <f>IFERROR(__xludf.DUMMYFUNCTION("IF(ISBLANK(M20),"""",HLOOKUP(REGEXEXTRACT(M20,"".*-(.*)""),INDIRECT(CONCATENATE(REGEXEXTRACT(M20,""(.*)-.*""),""!C3:V"")),3,FALSE))"),1750.0)</f>
        <v>1750</v>
      </c>
    </row>
    <row r="24">
      <c r="A24" s="151"/>
      <c r="B24" s="163" t="s">
        <v>201</v>
      </c>
      <c r="C24" s="72" t="s">
        <v>85</v>
      </c>
      <c r="D24" s="73" t="s">
        <v>24</v>
      </c>
      <c r="E24" s="73" t="s">
        <v>161</v>
      </c>
      <c r="F24" s="74" t="s">
        <v>170</v>
      </c>
      <c r="H24" s="143" t="s">
        <v>0</v>
      </c>
      <c r="I24" s="145" t="s">
        <v>201</v>
      </c>
      <c r="J24" s="72" t="s">
        <v>146</v>
      </c>
      <c r="K24" s="73" t="s">
        <v>160</v>
      </c>
      <c r="L24" s="73" t="s">
        <v>171</v>
      </c>
      <c r="M24" s="74" t="s">
        <v>166</v>
      </c>
    </row>
    <row r="25">
      <c r="B25" s="164" t="s">
        <v>200</v>
      </c>
      <c r="C25" s="80" t="str">
        <f>IFERROR(__xludf.DUMMYFUNCTION("IF(ISBLANK(C24),"""",HLOOKUP(REGEXEXTRACT(C24,"".*-(.*)""),INDIRECT(CONCATENATE(REGEXEXTRACT(C24,""(.*)-.*""),""!C3:V"")),2,FALSE))"),"Artill")</f>
        <v>Artill</v>
      </c>
      <c r="D25" s="80" t="str">
        <f>IFERROR(__xludf.DUMMYFUNCTION("IF(ISBLANK(D24),"""",HLOOKUP(REGEXEXTRACT(D24,"".*-(.*)""),INDIRECT(CONCATENATE(REGEXEXTRACT(D24,""(.*)-.*""),""!C3:V"")),2,FALSE))"),"Slayer")</f>
        <v>Slayer</v>
      </c>
      <c r="E25" s="80" t="str">
        <f>IFERROR(__xludf.DUMMYFUNCTION("IF(ISBLANK(E24),"""",HLOOKUP(REGEXEXTRACT(E24,"".*-(.*)""),INDIRECT(CONCATENATE(REGEXEXTRACT(E24,""(.*)-.*""),""!C3:V"")),2,FALSE))"),"Sorc")</f>
        <v>Sorc</v>
      </c>
      <c r="F25" s="83" t="str">
        <f>IFERROR(__xludf.DUMMYFUNCTION("IF(ISBLANK(F24),"""",HLOOKUP(REGEXEXTRACT(F24,"".*-(.*)""),INDIRECT(CONCATENATE(REGEXEXTRACT(F24,""(.*)-.*""),""!C3:V"")),2,FALSE))"),"Bard")</f>
        <v>Bard</v>
      </c>
      <c r="I25" s="147" t="s">
        <v>200</v>
      </c>
      <c r="J25" s="80" t="str">
        <f>IFERROR(__xludf.DUMMYFUNCTION("IF(ISBLANK(J24),"""",HLOOKUP(REGEXEXTRACT(J24,"".*-(.*)""),INDIRECT(CONCATENATE(REGEXEXTRACT(J24,""(.*)-.*""),""!C3:V"")),2,FALSE))"),"Guardianknight")</f>
        <v>Guardianknight</v>
      </c>
      <c r="K25" s="80" t="str">
        <f>IFERROR(__xludf.DUMMYFUNCTION("IF(ISBLANK(K24),"""",HLOOKUP(REGEXEXTRACT(K24,"".*-(.*)""),INDIRECT(CONCATENATE(REGEXEXTRACT(K24,""(.*)-.*""),""!C3:V"")),2,FALSE))"),"Deathblade")</f>
        <v>Deathblade</v>
      </c>
      <c r="L25" s="80" t="str">
        <f>IFERROR(__xludf.DUMMYFUNCTION("IF(ISBLANK(L24),"""",HLOOKUP(REGEXEXTRACT(L24,"".*-(.*)""),INDIRECT(CONCATENATE(REGEXEXTRACT(L24,""(.*)-.*""),""!C3:V"")),2,FALSE))"),"Arcana")</f>
        <v>Arcana</v>
      </c>
      <c r="M25" s="83" t="str">
        <f>IFERROR(__xludf.DUMMYFUNCTION("IF(ISBLANK(M24),"""",HLOOKUP(REGEXEXTRACT(M24,"".*-(.*)""),INDIRECT(CONCATENATE(REGEXEXTRACT(M24,""(.*)-.*""),""!C3:V"")),2,FALSE))"),"Valk")</f>
        <v>Valk</v>
      </c>
    </row>
    <row r="26">
      <c r="B26" s="165"/>
      <c r="C26" s="90">
        <f>IFERROR(__xludf.DUMMYFUNCTION("IF(ISBLANK(C24),"""",HLOOKUP(REGEXEXTRACT(C24,"".*-(.*)""),INDIRECT(CONCATENATE(REGEXEXTRACT(C24,""(.*)-.*""),""!C3:V"")),3,FALSE))"),1750.0)</f>
        <v>1750</v>
      </c>
      <c r="D26" s="90">
        <f>IFERROR(__xludf.DUMMYFUNCTION("IF(ISBLANK(D24),"""",HLOOKUP(REGEXEXTRACT(D24,"".*-(.*)""),INDIRECT(CONCATENATE(REGEXEXTRACT(D24,""(.*)-.*""),""!C3:V"")),3,FALSE))"),1750.0)</f>
        <v>1750</v>
      </c>
      <c r="E26" s="90">
        <f>IFERROR(__xludf.DUMMYFUNCTION("IF(ISBLANK(E24),"""",HLOOKUP(REGEXEXTRACT(E24,"".*-(.*)""),INDIRECT(CONCATENATE(REGEXEXTRACT(E24,""(.*)-.*""),""!C3:V"")),3,FALSE))"),1750.0)</f>
        <v>1750</v>
      </c>
      <c r="F26" s="93">
        <f>IFERROR(__xludf.DUMMYFUNCTION("IF(ISBLANK(F24),"""",HLOOKUP(REGEXEXTRACT(F24,"".*-(.*)""),INDIRECT(CONCATENATE(REGEXEXTRACT(F24,""(.*)-.*""),""!C3:V"")),3,FALSE))"),1750.0)</f>
        <v>1750</v>
      </c>
      <c r="I26" s="149"/>
      <c r="J26" s="90">
        <f>IFERROR(__xludf.DUMMYFUNCTION("IF(ISBLANK(J24),"""",HLOOKUP(REGEXEXTRACT(J24,"".*-(.*)""),INDIRECT(CONCATENATE(REGEXEXTRACT(J24,""(.*)-.*""),""!C3:V"")),3,FALSE))"),1750.0)</f>
        <v>1750</v>
      </c>
      <c r="K26" s="90">
        <f>IFERROR(__xludf.DUMMYFUNCTION("IF(ISBLANK(K24),"""",HLOOKUP(REGEXEXTRACT(K24,"".*-(.*)""),INDIRECT(CONCATENATE(REGEXEXTRACT(K24,""(.*)-.*""),""!C3:V"")),3,FALSE))"),1750.0)</f>
        <v>1750</v>
      </c>
      <c r="L26" s="90">
        <f>IFERROR(__xludf.DUMMYFUNCTION("IF(ISBLANK(L24),"""",HLOOKUP(REGEXEXTRACT(L24,"".*-(.*)""),INDIRECT(CONCATENATE(REGEXEXTRACT(L24,""(.*)-.*""),""!C3:V"")),3,FALSE))"),1690.0)</f>
        <v>1690</v>
      </c>
      <c r="M26" s="93">
        <f>IFERROR(__xludf.DUMMYFUNCTION("IF(ISBLANK(M24),"""",HLOOKUP(REGEXEXTRACT(M24,"".*-(.*)""),INDIRECT(CONCATENATE(REGEXEXTRACT(M24,""(.*)-.*""),""!C3:V"")),3,FALSE))"),1750.0)</f>
        <v>1750</v>
      </c>
    </row>
    <row r="27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</row>
    <row r="28">
      <c r="A28" s="143" t="s">
        <v>0</v>
      </c>
      <c r="B28" s="166" t="s">
        <v>205</v>
      </c>
      <c r="C28" s="72" t="s">
        <v>49</v>
      </c>
      <c r="D28" s="73" t="s">
        <v>206</v>
      </c>
      <c r="E28" s="73" t="s">
        <v>207</v>
      </c>
      <c r="F28" s="74" t="s">
        <v>208</v>
      </c>
      <c r="H28" s="151"/>
    </row>
    <row r="29">
      <c r="B29" s="167" t="s">
        <v>200</v>
      </c>
      <c r="C29" s="80" t="str">
        <f>IFERROR(__xludf.DUMMYFUNCTION("IF(ISBLANK(C28),"""",HLOOKUP(REGEXEXTRACT(C28,"".*-(.*)""),INDIRECT(CONCATENATE(REGEXEXTRACT(C28,""(.*)-.*""),""!C3:V"")),2,FALSE))"),"Bard")</f>
        <v>Bard</v>
      </c>
      <c r="D29" s="80" t="str">
        <f>IFERROR(__xludf.DUMMYFUNCTION("IF(ISBLANK(D28),"""",HLOOKUP(REGEXEXTRACT(D28,"".*-(.*)""),INDIRECT(CONCATENATE(REGEXEXTRACT(D28,""(.*)-.*""),""!C3:V"")),2,FALSE))"),"Gunslinger")</f>
        <v>Gunslinger</v>
      </c>
      <c r="E29" s="80" t="str">
        <f>IFERROR(__xludf.DUMMYFUNCTION("IF(ISBLANK(E28),"""",HLOOKUP(REGEXEXTRACT(E28,"".*-(.*)""),INDIRECT(CONCATENATE(REGEXEXTRACT(E28,""(.*)-.*""),""!C3:V"")),2,FALSE))"),"Gunlancer")</f>
        <v>Gunlancer</v>
      </c>
      <c r="F29" s="83" t="str">
        <f>IFERROR(__xludf.DUMMYFUNCTION("IF(ISBLANK(F28),"""",HLOOKUP(REGEXEXTRACT(F28,"".*-(.*)""),INDIRECT(CONCATENATE(REGEXEXTRACT(F28,""(.*)-.*""),""!C3:V"")),2,FALSE))"),"Valk")</f>
        <v>Valk</v>
      </c>
    </row>
    <row r="30">
      <c r="B30" s="168"/>
      <c r="C30" s="90">
        <f>IFERROR(__xludf.DUMMYFUNCTION("IF(ISBLANK(C28),"""",HLOOKUP(REGEXEXTRACT(C28,"".*-(.*)""),INDIRECT(CONCATENATE(REGEXEXTRACT(C28,""(.*)-.*""),""!C3:V"")),3,FALSE))"),1730.0)</f>
        <v>1730</v>
      </c>
      <c r="D30" s="90">
        <f>IFERROR(__xludf.DUMMYFUNCTION("IF(ISBLANK(D28),"""",HLOOKUP(REGEXEXTRACT(D28,"".*-(.*)""),INDIRECT(CONCATENATE(REGEXEXTRACT(D28,""(.*)-.*""),""!C3:V"")),3,FALSE))"),1750.0)</f>
        <v>1750</v>
      </c>
      <c r="E30" s="90">
        <f>IFERROR(__xludf.DUMMYFUNCTION("IF(ISBLANK(E28),"""",HLOOKUP(REGEXEXTRACT(E28,"".*-(.*)""),INDIRECT(CONCATENATE(REGEXEXTRACT(E28,""(.*)-.*""),""!C3:V"")),3,FALSE))"),1730.0)</f>
        <v>1730</v>
      </c>
      <c r="F30" s="93">
        <f>IFERROR(__xludf.DUMMYFUNCTION("IF(ISBLANK(F28),"""",HLOOKUP(REGEXEXTRACT(F28,"".*-(.*)""),INDIRECT(CONCATENATE(REGEXEXTRACT(F28,""(.*)-.*""),""!C3:V"")),3,FALSE))"),1730.0)</f>
        <v>1730</v>
      </c>
    </row>
  </sheetData>
  <mergeCells count="14">
    <mergeCell ref="A16:A18"/>
    <mergeCell ref="A20:A22"/>
    <mergeCell ref="A24:A26"/>
    <mergeCell ref="A28:A30"/>
    <mergeCell ref="H20:H22"/>
    <mergeCell ref="H24:H26"/>
    <mergeCell ref="H28:H30"/>
    <mergeCell ref="A4:A6"/>
    <mergeCell ref="H4:H6"/>
    <mergeCell ref="A8:A10"/>
    <mergeCell ref="H8:H10"/>
    <mergeCell ref="A12:A14"/>
    <mergeCell ref="H12:H14"/>
    <mergeCell ref="H16:H18"/>
  </mergeCells>
  <conditionalFormatting sqref="A4:A6 H4:H6 A8:A10 H8:H10 A12:A14 H12:H14 A16:A18 H16:H18 A20:A22 H20:H22 A24:A26 H24:H26 A28:A30 H28:H30">
    <cfRule type="cellIs" dxfId="0" priority="1" operator="equal">
      <formula>"DONE"</formula>
    </cfRule>
  </conditionalFormatting>
  <conditionalFormatting sqref="A4:A6 H4:H6 A8:A10 H8:H10 A12:A14 H12:H14 A16:A18 H16:H18 A20:A22 H20:H22 A24:A26 H24:H26 A28:A30 H28:H30">
    <cfRule type="containsBlanks" dxfId="4" priority="2">
      <formula>LEN(TRIM(A4))=0</formula>
    </cfRule>
  </conditionalFormatting>
  <dataValidations>
    <dataValidation type="list" allowBlank="1" showErrorMessage="1" sqref="C4:F4 J4:M4 C8:F8 C12:F12 J12:M12 C16:F16 J16:M16 C20:F20 J20:M20 C24:F24 J24:M24 C28:F28">
      <formula1>chars!$B$2:$Z1000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38"/>
    <col customWidth="1" min="3" max="6" width="18.13"/>
    <col customWidth="1" hidden="1" min="7" max="7" width="18.13"/>
    <col customWidth="1" min="8" max="9" width="13.63"/>
    <col customWidth="1" min="10" max="13" width="18.13"/>
  </cols>
  <sheetData>
    <row r="4">
      <c r="A4" s="143"/>
      <c r="B4" s="144" t="s">
        <v>197</v>
      </c>
      <c r="C4" s="72" t="s">
        <v>53</v>
      </c>
      <c r="D4" s="73" t="s">
        <v>4</v>
      </c>
      <c r="E4" s="73" t="s">
        <v>75</v>
      </c>
      <c r="F4" s="74" t="s">
        <v>149</v>
      </c>
      <c r="H4" s="156"/>
      <c r="I4" s="145" t="s">
        <v>197</v>
      </c>
      <c r="J4" s="72" t="s">
        <v>169</v>
      </c>
      <c r="K4" s="73" t="s">
        <v>147</v>
      </c>
      <c r="L4" s="73" t="s">
        <v>171</v>
      </c>
      <c r="M4" s="74" t="s">
        <v>172</v>
      </c>
    </row>
    <row r="5">
      <c r="B5" s="146" t="s">
        <v>198</v>
      </c>
      <c r="C5" s="80" t="str">
        <f>IFERROR(__xludf.DUMMYFUNCTION("IF(ISBLANK(C4),"""",HLOOKUP(REGEXEXTRACT(C4,"".*-(.*)""),INDIRECT(CONCATENATE(REGEXEXTRACT(C4,""(.*)-.*""),""!C3:V"")),2,FALSE))"),"Summoner")</f>
        <v>Summoner</v>
      </c>
      <c r="D5" s="80" t="str">
        <f>IFERROR(__xludf.DUMMYFUNCTION("IF(ISBLANK(D4),"""",HLOOKUP(REGEXEXTRACT(D4,"".*-(.*)""),INDIRECT(CONCATENATE(REGEXEXTRACT(D4,""(.*)-.*""),""!C3:V"")),2,FALSE))"),"Gunslinger")</f>
        <v>Gunslinger</v>
      </c>
      <c r="E5" s="80" t="str">
        <f>IFERROR(__xludf.DUMMYFUNCTION("IF(ISBLANK(E4),"""",HLOOKUP(REGEXEXTRACT(E4,"".*-(.*)""),INDIRECT(CONCATENATE(REGEXEXTRACT(E4,""(.*)-.*""),""!C3:V"")),2,FALSE))"),"BREAKER")</f>
        <v>BREAKER</v>
      </c>
      <c r="F5" s="83" t="str">
        <f>IFERROR(__xludf.DUMMYFUNCTION("IF(ISBLANK(F4),"""",HLOOKUP(REGEXEXTRACT(F4,"".*-(.*)""),INDIRECT(CONCATENATE(REGEXEXTRACT(F4,""(.*)-.*""),""!C3:V"")),2,FALSE))"),"Artist")</f>
        <v>Artist</v>
      </c>
      <c r="I5" s="147" t="s">
        <v>199</v>
      </c>
      <c r="J5" s="80" t="str">
        <f>IFERROR(__xludf.DUMMYFUNCTION("IF(ISBLANK(J4),"""",HLOOKUP(REGEXEXTRACT(J4,"".*-(.*)""),INDIRECT(CONCATENATE(REGEXEXTRACT(J4,""(.*)-.*""),""!C3:V"")),2,FALSE))"),"Shadowhunter")</f>
        <v>Shadowhunter</v>
      </c>
      <c r="K5" s="80" t="str">
        <f>IFERROR(__xludf.DUMMYFUNCTION("IF(ISBLANK(K4),"""",HLOOKUP(REGEXEXTRACT(K4,"".*-(.*)""),INDIRECT(CONCATENATE(REGEXEXTRACT(K4,""(.*)-.*""),""!C3:V"")),2,FALSE))"),"Slayer")</f>
        <v>Slayer</v>
      </c>
      <c r="L5" s="80" t="str">
        <f>IFERROR(__xludf.DUMMYFUNCTION("IF(ISBLANK(L4),"""",HLOOKUP(REGEXEXTRACT(L4,"".*-(.*)""),INDIRECT(CONCATENATE(REGEXEXTRACT(L4,""(.*)-.*""),""!C3:V"")),2,FALSE))"),"Arcana")</f>
        <v>Arcana</v>
      </c>
      <c r="M5" s="83" t="str">
        <f>IFERROR(__xludf.DUMMYFUNCTION("IF(ISBLANK(M4),"""",HLOOKUP(REGEXEXTRACT(M4,"".*-(.*)""),INDIRECT(CONCATENATE(REGEXEXTRACT(M4,""(.*)-.*""),""!C3:V"")),2,FALSE))"),"Bard")</f>
        <v>Bard</v>
      </c>
    </row>
    <row r="6">
      <c r="B6" s="148"/>
      <c r="C6" s="90">
        <f>IFERROR(__xludf.DUMMYFUNCTION("IF(ISBLANK(C4),"""",HLOOKUP(REGEXEXTRACT(C4,"".*-(.*)""),INDIRECT(CONCATENATE(REGEXEXTRACT(C4,""(.*)-.*""),""!C3:V"")),3,FALSE))"),1750.0)</f>
        <v>1750</v>
      </c>
      <c r="D6" s="90">
        <f>IFERROR(__xludf.DUMMYFUNCTION("IF(ISBLANK(D4),"""",HLOOKUP(REGEXEXTRACT(D4,"".*-(.*)""),INDIRECT(CONCATENATE(REGEXEXTRACT(D4,""(.*)-.*""),""!C3:V"")),3,FALSE))"),1750.0)</f>
        <v>1750</v>
      </c>
      <c r="E6" s="90">
        <f>IFERROR(__xludf.DUMMYFUNCTION("IF(ISBLANK(E4),"""",HLOOKUP(REGEXEXTRACT(E4,"".*-(.*)""),INDIRECT(CONCATENATE(REGEXEXTRACT(E4,""(.*)-.*""),""!C3:V"")),3,FALSE))"),1750.0)</f>
        <v>1750</v>
      </c>
      <c r="F6" s="93">
        <f>IFERROR(__xludf.DUMMYFUNCTION("IF(ISBLANK(F4),"""",HLOOKUP(REGEXEXTRACT(F4,"".*-(.*)""),INDIRECT(CONCATENATE(REGEXEXTRACT(F4,""(.*)-.*""),""!C3:V"")),3,FALSE))"),1750.0)</f>
        <v>1750</v>
      </c>
      <c r="I6" s="149"/>
      <c r="J6" s="90">
        <f>IFERROR(__xludf.DUMMYFUNCTION("IF(ISBLANK(J4),"""",HLOOKUP(REGEXEXTRACT(J4,"".*-(.*)""),INDIRECT(CONCATENATE(REGEXEXTRACT(J4,""(.*)-.*""),""!C3:V"")),3,FALSE))"),1750.0)</f>
        <v>1750</v>
      </c>
      <c r="K6" s="90">
        <f>IFERROR(__xludf.DUMMYFUNCTION("IF(ISBLANK(K4),"""",HLOOKUP(REGEXEXTRACT(K4,"".*-(.*)""),INDIRECT(CONCATENATE(REGEXEXTRACT(K4,""(.*)-.*""),""!C3:V"")),3,FALSE))"),1750.0)</f>
        <v>1750</v>
      </c>
      <c r="L6" s="90">
        <f>IFERROR(__xludf.DUMMYFUNCTION("IF(ISBLANK(L4),"""",HLOOKUP(REGEXEXTRACT(L4,"".*-(.*)""),INDIRECT(CONCATENATE(REGEXEXTRACT(L4,""(.*)-.*""),""!C3:V"")),3,FALSE))"),1690.0)</f>
        <v>1690</v>
      </c>
      <c r="M6" s="93">
        <f>IFERROR(__xludf.DUMMYFUNCTION("IF(ISBLANK(M4),"""",HLOOKUP(REGEXEXTRACT(M4,"".*-(.*)""),INDIRECT(CONCATENATE(REGEXEXTRACT(M4,""(.*)-.*""),""!C3:V"")),3,FALSE))"),1750.0)</f>
        <v>1750</v>
      </c>
    </row>
    <row r="8">
      <c r="A8" s="143"/>
      <c r="B8" s="150" t="s">
        <v>197</v>
      </c>
      <c r="C8" s="72" t="s">
        <v>37</v>
      </c>
      <c r="D8" s="73" t="s">
        <v>148</v>
      </c>
      <c r="E8" s="73" t="s">
        <v>164</v>
      </c>
      <c r="F8" s="74" t="s">
        <v>157</v>
      </c>
      <c r="H8" s="151"/>
    </row>
    <row r="9">
      <c r="B9" s="152" t="s">
        <v>200</v>
      </c>
      <c r="C9" s="80" t="str">
        <f>IFERROR(__xludf.DUMMYFUNCTION("IF(ISBLANK(C8),"""",HLOOKUP(REGEXEXTRACT(C8,"".*-(.*)""),INDIRECT(CONCATENATE(REGEXEXTRACT(C8,""(.*)-.*""),""!C3:V"")),2,FALSE))"),"Guardianknight")</f>
        <v>Guardianknight</v>
      </c>
      <c r="D9" s="80" t="str">
        <f>IFERROR(__xludf.DUMMYFUNCTION("IF(ISBLANK(D8),"""",HLOOKUP(REGEXEXTRACT(D8,"".*-(.*)""),INDIRECT(CONCATENATE(REGEXEXTRACT(D8,""(.*)-.*""),""!C3:V"")),2,FALSE))"),"Scrapper")</f>
        <v>Scrapper</v>
      </c>
      <c r="E9" s="80" t="str">
        <f>IFERROR(__xludf.DUMMYFUNCTION("IF(ISBLANK(E8),"""",HLOOKUP(REGEXEXTRACT(E8,"".*-(.*)""),INDIRECT(CONCATENATE(REGEXEXTRACT(E8,""(.*)-.*""),""!C3:V"")),2,FALSE))"),"Valk")</f>
        <v>Valk</v>
      </c>
      <c r="F9" s="83" t="str">
        <f>IFERROR(__xludf.DUMMYFUNCTION("IF(ISBLANK(F8),"""",HLOOKUP(REGEXEXTRACT(F8,"".*-(.*)""),INDIRECT(CONCATENATE(REGEXEXTRACT(F8,""(.*)-.*""),""!C3:V"")),2,FALSE))"),"Valk")</f>
        <v>Valk</v>
      </c>
    </row>
    <row r="10">
      <c r="B10" s="153"/>
      <c r="C10" s="90">
        <f>IFERROR(__xludf.DUMMYFUNCTION("IF(ISBLANK(C8),"""",HLOOKUP(REGEXEXTRACT(C8,"".*-(.*)""),INDIRECT(CONCATENATE(REGEXEXTRACT(C8,""(.*)-.*""),""!C3:V"")),3,FALSE))"),1750.0)</f>
        <v>1750</v>
      </c>
      <c r="D10" s="90">
        <f>IFERROR(__xludf.DUMMYFUNCTION("IF(ISBLANK(D8),"""",HLOOKUP(REGEXEXTRACT(D8,"".*-(.*)""),INDIRECT(CONCATENATE(REGEXEXTRACT(D8,""(.*)-.*""),""!C3:V"")),3,FALSE))"),1700.0)</f>
        <v>1700</v>
      </c>
      <c r="E10" s="90">
        <f>IFERROR(__xludf.DUMMYFUNCTION("IF(ISBLANK(E8),"""",HLOOKUP(REGEXEXTRACT(E8,"".*-(.*)""),INDIRECT(CONCATENATE(REGEXEXTRACT(E8,""(.*)-.*""),""!C3:V"")),3,FALSE))"),1750.0)</f>
        <v>1750</v>
      </c>
      <c r="F10" s="93">
        <f>IFERROR(__xludf.DUMMYFUNCTION("IF(ISBLANK(F8),"""",HLOOKUP(REGEXEXTRACT(F8,"".*-(.*)""),INDIRECT(CONCATENATE(REGEXEXTRACT(F8,""(.*)-.*""),""!C3:V"")),3,FALSE))"),1750.0)</f>
        <v>1750</v>
      </c>
    </row>
    <row r="11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5"/>
      <c r="L11" s="154"/>
      <c r="M11" s="154"/>
      <c r="N11" s="154"/>
    </row>
    <row r="12">
      <c r="A12" s="143"/>
      <c r="B12" s="144" t="s">
        <v>201</v>
      </c>
      <c r="C12" s="72" t="s">
        <v>43</v>
      </c>
      <c r="D12" s="73" t="s">
        <v>144</v>
      </c>
      <c r="E12" s="73" t="s">
        <v>82</v>
      </c>
      <c r="F12" s="74" t="s">
        <v>158</v>
      </c>
      <c r="H12" s="156"/>
      <c r="I12" s="157" t="s">
        <v>201</v>
      </c>
      <c r="J12" s="72" t="s">
        <v>202</v>
      </c>
      <c r="K12" s="73" t="s">
        <v>118</v>
      </c>
      <c r="L12" s="73" t="s">
        <v>106</v>
      </c>
      <c r="M12" s="74" t="s">
        <v>143</v>
      </c>
    </row>
    <row r="13">
      <c r="B13" s="146" t="s">
        <v>200</v>
      </c>
      <c r="C13" s="80" t="str">
        <f>IFERROR(__xludf.DUMMYFUNCTION("IF(ISBLANK(C12),"""",HLOOKUP(REGEXEXTRACT(C12,"".*-(.*)""),INDIRECT(CONCATENATE(REGEXEXTRACT(C12,""(.*)-.*""),""!C3:V"")),2,FALSE))"),"Soulfist")</f>
        <v>Soulfist</v>
      </c>
      <c r="D13" s="80" t="str">
        <f>IFERROR(__xludf.DUMMYFUNCTION("IF(ISBLANK(D12),"""",HLOOKUP(REGEXEXTRACT(D12,"".*-(.*)""),INDIRECT(CONCATENATE(REGEXEXTRACT(D12,""(.*)-.*""),""!C3:V"")),2,FALSE))"),"Souleater")</f>
        <v>Souleater</v>
      </c>
      <c r="E13" s="80" t="str">
        <f>IFERROR(__xludf.DUMMYFUNCTION("IF(ISBLANK(E12),"""",HLOOKUP(REGEXEXTRACT(E12,"".*-(.*)""),INDIRECT(CONCATENATE(REGEXEXTRACT(E12,""(.*)-.*""),""!C3:V"")),2,FALSE))"),"Bonk")</f>
        <v>Bonk</v>
      </c>
      <c r="F13" s="83" t="str">
        <f>IFERROR(__xludf.DUMMYFUNCTION("IF(ISBLANK(F12),"""",HLOOKUP(REGEXEXTRACT(F12,"".*-(.*)""),INDIRECT(CONCATENATE(REGEXEXTRACT(F12,""(.*)-.*""),""!C3:V"")),2,FALSE))"),"Artist")</f>
        <v>Artist</v>
      </c>
      <c r="I13" s="158" t="s">
        <v>200</v>
      </c>
      <c r="J13" s="80" t="str">
        <f>IFERROR(__xludf.DUMMYFUNCTION("IF(ISBLANK(J12),"""",HLOOKUP(REGEXEXTRACT(J12,"".*-(.*)""),INDIRECT(CONCATENATE(REGEXEXTRACT(J12,""(.*)-.*""),""!C3:V"")),2,FALSE))"),"Souleater")</f>
        <v>Souleater</v>
      </c>
      <c r="K13" s="80" t="str">
        <f>IFERROR(__xludf.DUMMYFUNCTION("IF(ISBLANK(K12),"""",HLOOKUP(REGEXEXTRACT(K12,"".*-(.*)""),INDIRECT(CONCATENATE(REGEXEXTRACT(K12,""(.*)-.*""),""!C3:V"")),2,FALSE))"),"Arcana")</f>
        <v>Arcana</v>
      </c>
      <c r="L13" s="100" t="s">
        <v>173</v>
      </c>
      <c r="M13" s="83" t="str">
        <f>IFERROR(__xludf.DUMMYFUNCTION("IF(ISBLANK(M12),"""",HLOOKUP(REGEXEXTRACT(M12,"".*-(.*)""),INDIRECT(CONCATENATE(REGEXEXTRACT(M12,""(.*)-.*""),""!C3:V"")),2,FALSE))"),"Valk")</f>
        <v>Valk</v>
      </c>
    </row>
    <row r="14">
      <c r="B14" s="148"/>
      <c r="C14" s="90">
        <f>IFERROR(__xludf.DUMMYFUNCTION("IF(ISBLANK(C12),"""",HLOOKUP(REGEXEXTRACT(C12,"".*-(.*)""),INDIRECT(CONCATENATE(REGEXEXTRACT(C12,""(.*)-.*""),""!C3:V"")),3,FALSE))"),1750.0)</f>
        <v>1750</v>
      </c>
      <c r="D14" s="90">
        <f>IFERROR(__xludf.DUMMYFUNCTION("IF(ISBLANK(D12),"""",HLOOKUP(REGEXEXTRACT(D12,"".*-(.*)""),INDIRECT(CONCATENATE(REGEXEXTRACT(D12,""(.*)-.*""),""!C3:V"")),3,FALSE))"),1750.0)</f>
        <v>1750</v>
      </c>
      <c r="E14" s="90">
        <f>IFERROR(__xludf.DUMMYFUNCTION("IF(ISBLANK(E12),"""",HLOOKUP(REGEXEXTRACT(E12,"".*-(.*)""),INDIRECT(CONCATENATE(REGEXEXTRACT(E12,""(.*)-.*""),""!C3:V"")),3,FALSE))"),1750.0)</f>
        <v>1750</v>
      </c>
      <c r="F14" s="93">
        <f>IFERROR(__xludf.DUMMYFUNCTION("IF(ISBLANK(F12),"""",HLOOKUP(REGEXEXTRACT(F12,"".*-(.*)""),INDIRECT(CONCATENATE(REGEXEXTRACT(F12,""(.*)-.*""),""!C3:V"")),3,FALSE))"),1750.0)</f>
        <v>1750</v>
      </c>
      <c r="I14" s="159"/>
      <c r="J14" s="90">
        <f>IFERROR(__xludf.DUMMYFUNCTION("IF(ISBLANK(J12),"""",HLOOKUP(REGEXEXTRACT(J12,"".*-(.*)""),INDIRECT(CONCATENATE(REGEXEXTRACT(J12,""(.*)-.*""),""!C3:V"")),3,FALSE))"),1750.0)</f>
        <v>1750</v>
      </c>
      <c r="K14" s="90">
        <f>IFERROR(__xludf.DUMMYFUNCTION("IF(ISBLANK(K12),"""",HLOOKUP(REGEXEXTRACT(K12,"".*-(.*)""),INDIRECT(CONCATENATE(REGEXEXTRACT(K12,""(.*)-.*""),""!C3:V"")),3,FALSE))"),1750.0)</f>
        <v>1750</v>
      </c>
      <c r="L14" s="90"/>
      <c r="M14" s="93">
        <f>IFERROR(__xludf.DUMMYFUNCTION("IF(ISBLANK(M12),"""",HLOOKUP(REGEXEXTRACT(M12,"".*-(.*)""),INDIRECT(CONCATENATE(REGEXEXTRACT(M12,""(.*)-.*""),""!C3:V"")),3,FALSE))"),1750.0)</f>
        <v>1750</v>
      </c>
    </row>
    <row r="16">
      <c r="A16" s="143"/>
      <c r="B16" s="144" t="s">
        <v>201</v>
      </c>
      <c r="C16" s="72" t="s">
        <v>112</v>
      </c>
      <c r="D16" s="73" t="s">
        <v>32</v>
      </c>
      <c r="E16" s="73" t="s">
        <v>113</v>
      </c>
      <c r="F16" s="74" t="s">
        <v>117</v>
      </c>
      <c r="H16" s="156"/>
      <c r="I16" s="160" t="s">
        <v>201</v>
      </c>
      <c r="J16" s="72" t="s">
        <v>107</v>
      </c>
      <c r="K16" s="73" t="s">
        <v>159</v>
      </c>
      <c r="L16" s="73" t="s">
        <v>160</v>
      </c>
      <c r="M16" s="74" t="s">
        <v>80</v>
      </c>
    </row>
    <row r="17">
      <c r="B17" s="146" t="s">
        <v>200</v>
      </c>
      <c r="C17" s="80" t="str">
        <f>IFERROR(__xludf.DUMMYFUNCTION("IF(ISBLANK(C16),"""",HLOOKUP(REGEXEXTRACT(C16,"".*-(.*)""),INDIRECT(CONCATENATE(REGEXEXTRACT(C16,""(.*)-.*""),""!C3:V"")),2,FALSE))"),"Wildsoul")</f>
        <v>Wildsoul</v>
      </c>
      <c r="D17" s="80" t="str">
        <f>IFERROR(__xludf.DUMMYFUNCTION("IF(ISBLANK(D16),"""",HLOOKUP(REGEXEXTRACT(D16,"".*-(.*)""),INDIRECT(CONCATENATE(REGEXEXTRACT(D16,""(.*)-.*""),""!C3:V"")),2,FALSE))"),"Glaivier")</f>
        <v>Glaivier</v>
      </c>
      <c r="E17" s="80" t="str">
        <f>IFERROR(__xludf.DUMMYFUNCTION("IF(ISBLANK(E16),"""",HLOOKUP(REGEXEXTRACT(E16,"".*-(.*)""),INDIRECT(CONCATENATE(REGEXEXTRACT(E16,""(.*)-.*""),""!C3:V"")),2,FALSE))"),"G")</f>
        <v>G</v>
      </c>
      <c r="F17" s="83" t="str">
        <f>IFERROR(__xludf.DUMMYFUNCTION("IF(ISBLANK(F16),"""",HLOOKUP(REGEXEXTRACT(F16,"".*-(.*)""),INDIRECT(CONCATENATE(REGEXEXTRACT(F16,""(.*)-.*""),""!C3:V"")),2,FALSE))"),"Artist")</f>
        <v>Artist</v>
      </c>
      <c r="I17" s="161" t="s">
        <v>200</v>
      </c>
      <c r="J17" s="100" t="s">
        <v>203</v>
      </c>
      <c r="K17" s="80" t="str">
        <f>IFERROR(__xludf.DUMMYFUNCTION("IF(ISBLANK(K16),"""",HLOOKUP(REGEXEXTRACT(K16,"".*-(.*)""),INDIRECT(CONCATENATE(REGEXEXTRACT(K16,""(.*)-.*""),""!C3:V"")),2,FALSE))"),"Glaivier")</f>
        <v>Glaivier</v>
      </c>
      <c r="L17" s="80" t="str">
        <f>IFERROR(__xludf.DUMMYFUNCTION("IF(ISBLANK(L16),"""",HLOOKUP(REGEXEXTRACT(L16,"".*-(.*)""),INDIRECT(CONCATENATE(REGEXEXTRACT(L16,""(.*)-.*""),""!C3:V"")),2,FALSE))"),"Deathblade")</f>
        <v>Deathblade</v>
      </c>
      <c r="M17" s="83" t="str">
        <f>IFERROR(__xludf.DUMMYFUNCTION("IF(ISBLANK(M16),"""",HLOOKUP(REGEXEXTRACT(M16,"".*-(.*)""),INDIRECT(CONCATENATE(REGEXEXTRACT(M16,""(.*)-.*""),""!C3:V"")),2,FALSE))"),"Paladin")</f>
        <v>Paladin</v>
      </c>
    </row>
    <row r="18">
      <c r="B18" s="148"/>
      <c r="C18" s="90">
        <f>IFERROR(__xludf.DUMMYFUNCTION("IF(ISBLANK(C16),"""",HLOOKUP(REGEXEXTRACT(C16,"".*-(.*)""),INDIRECT(CONCATENATE(REGEXEXTRACT(C16,""(.*)-.*""),""!C3:V"")),3,FALSE))"),1750.0)</f>
        <v>1750</v>
      </c>
      <c r="D18" s="90">
        <f>IFERROR(__xludf.DUMMYFUNCTION("IF(ISBLANK(D16),"""",HLOOKUP(REGEXEXTRACT(D16,"".*-(.*)""),INDIRECT(CONCATENATE(REGEXEXTRACT(D16,""(.*)-.*""),""!C3:V"")),3,FALSE))"),1750.0)</f>
        <v>1750</v>
      </c>
      <c r="E18" s="90">
        <f>IFERROR(__xludf.DUMMYFUNCTION("IF(ISBLANK(E16),"""",HLOOKUP(REGEXEXTRACT(E16,"".*-(.*)""),INDIRECT(CONCATENATE(REGEXEXTRACT(E16,""(.*)-.*""),""!C3:V"")),3,FALSE))"),1750.0)</f>
        <v>1750</v>
      </c>
      <c r="F18" s="93">
        <f>IFERROR(__xludf.DUMMYFUNCTION("IF(ISBLANK(F16),"""",HLOOKUP(REGEXEXTRACT(F16,"".*-(.*)""),INDIRECT(CONCATENATE(REGEXEXTRACT(F16,""(.*)-.*""),""!C3:V"")),3,FALSE))"),1730.0)</f>
        <v>1730</v>
      </c>
      <c r="I18" s="162"/>
      <c r="J18" s="90"/>
      <c r="K18" s="90">
        <f>IFERROR(__xludf.DUMMYFUNCTION("IF(ISBLANK(K16),"""",HLOOKUP(REGEXEXTRACT(K16,"".*-(.*)""),INDIRECT(CONCATENATE(REGEXEXTRACT(K16,""(.*)-.*""),""!C3:V"")),3,FALSE))"),1750.0)</f>
        <v>1750</v>
      </c>
      <c r="L18" s="90">
        <f>IFERROR(__xludf.DUMMYFUNCTION("IF(ISBLANK(L16),"""",HLOOKUP(REGEXEXTRACT(L16,"".*-(.*)""),INDIRECT(CONCATENATE(REGEXEXTRACT(L16,""(.*)-.*""),""!C3:V"")),3,FALSE))"),1750.0)</f>
        <v>1750</v>
      </c>
      <c r="M18" s="93">
        <f>IFERROR(__xludf.DUMMYFUNCTION("IF(ISBLANK(M16),"""",HLOOKUP(REGEXEXTRACT(M16,"".*-(.*)""),INDIRECT(CONCATENATE(REGEXEXTRACT(M16,""(.*)-.*""),""!C3:V"")),3,FALSE))"),1750.0)</f>
        <v>1750</v>
      </c>
    </row>
    <row r="20">
      <c r="A20" s="156"/>
      <c r="B20" s="169" t="s">
        <v>201</v>
      </c>
      <c r="C20" s="72" t="s">
        <v>115</v>
      </c>
      <c r="D20" s="73" t="s">
        <v>14</v>
      </c>
      <c r="E20" s="73" t="s">
        <v>130</v>
      </c>
      <c r="F20" s="74" t="s">
        <v>162</v>
      </c>
      <c r="H20" s="156"/>
      <c r="I20" s="160" t="s">
        <v>201</v>
      </c>
      <c r="J20" s="72" t="s">
        <v>107</v>
      </c>
      <c r="K20" s="73" t="s">
        <v>131</v>
      </c>
      <c r="L20" s="73" t="s">
        <v>70</v>
      </c>
      <c r="M20" s="74" t="s">
        <v>170</v>
      </c>
    </row>
    <row r="21">
      <c r="B21" s="170" t="s">
        <v>200</v>
      </c>
      <c r="C21" s="80" t="str">
        <f>IFERROR(__xludf.DUMMYFUNCTION("IF(ISBLANK(C20),"""",HLOOKUP(REGEXEXTRACT(C20,"".*-(.*)""),INDIRECT(CONCATENATE(REGEXEXTRACT(C20,""(.*)-.*""),""!C3:V"")),2,FALSE))"),"Wildsoul")</f>
        <v>Wildsoul</v>
      </c>
      <c r="D21" s="80" t="str">
        <f>IFERROR(__xludf.DUMMYFUNCTION("IF(ISBLANK(D20),"""",HLOOKUP(REGEXEXTRACT(D20,"".*-(.*)""),INDIRECT(CONCATENATE(REGEXEXTRACT(D20,""(.*)-.*""),""!C3:V"")),2,FALSE))"),"Sorceress")</f>
        <v>Sorceress</v>
      </c>
      <c r="E21" s="80" t="str">
        <f>IFERROR(__xludf.DUMMYFUNCTION("IF(ISBLANK(E20),"""",HLOOKUP(REGEXEXTRACT(E20,"".*-(.*)""),INDIRECT(CONCATENATE(REGEXEXTRACT(E20,""(.*)-.*""),""!C3:V"")),2,FALSE))"),"Aeromancer")</f>
        <v>Aeromancer</v>
      </c>
      <c r="F21" s="83" t="str">
        <f>IFERROR(__xludf.DUMMYFUNCTION("IF(ISBLANK(F20),"""",HLOOKUP(REGEXEXTRACT(F20,"".*-(.*)""),INDIRECT(CONCATENATE(REGEXEXTRACT(F20,""(.*)-.*""),""!C3:V"")),2,FALSE))"),"Paladin")</f>
        <v>Paladin</v>
      </c>
      <c r="I21" s="161" t="s">
        <v>200</v>
      </c>
      <c r="J21" s="100" t="s">
        <v>204</v>
      </c>
      <c r="K21" s="80" t="str">
        <f>IFERROR(__xludf.DUMMYFUNCTION("IF(ISBLANK(K20),"""",HLOOKUP(REGEXEXTRACT(K20,"".*-(.*)""),INDIRECT(CONCATENATE(REGEXEXTRACT(K20,""(.*)-.*""),""!C3:V"")),2,FALSE))"),"Glaivier")</f>
        <v>Glaivier</v>
      </c>
      <c r="L21" s="80" t="str">
        <f>IFERROR(__xludf.DUMMYFUNCTION("IF(ISBLANK(L20),"""",HLOOKUP(REGEXEXTRACT(L20,"".*-(.*)""),INDIRECT(CONCATENATE(REGEXEXTRACT(L20,""(.*)-.*""),""!C3:V"")),2,FALSE))"),"GL")</f>
        <v>GL</v>
      </c>
      <c r="M21" s="83" t="str">
        <f>IFERROR(__xludf.DUMMYFUNCTION("IF(ISBLANK(M20),"""",HLOOKUP(REGEXEXTRACT(M20,"".*-(.*)""),INDIRECT(CONCATENATE(REGEXEXTRACT(M20,""(.*)-.*""),""!C3:V"")),2,FALSE))"),"Bard")</f>
        <v>Bard</v>
      </c>
    </row>
    <row r="22">
      <c r="B22" s="171"/>
      <c r="C22" s="90">
        <f>IFERROR(__xludf.DUMMYFUNCTION("IF(ISBLANK(C20),"""",HLOOKUP(REGEXEXTRACT(C20,"".*-(.*)""),INDIRECT(CONCATENATE(REGEXEXTRACT(C20,""(.*)-.*""),""!C3:V"")),3,FALSE))"),1750.0)</f>
        <v>1750</v>
      </c>
      <c r="D22" s="90">
        <f>IFERROR(__xludf.DUMMYFUNCTION("IF(ISBLANK(D20),"""",HLOOKUP(REGEXEXTRACT(D20,"".*-(.*)""),INDIRECT(CONCATENATE(REGEXEXTRACT(D20,""(.*)-.*""),""!C3:V"")),3,FALSE))"),1750.0)</f>
        <v>1750</v>
      </c>
      <c r="E22" s="90">
        <f>IFERROR(__xludf.DUMMYFUNCTION("IF(ISBLANK(E20),"""",HLOOKUP(REGEXEXTRACT(E20,"".*-(.*)""),INDIRECT(CONCATENATE(REGEXEXTRACT(E20,""(.*)-.*""),""!C3:V"")),3,FALSE))"),1750.0)</f>
        <v>1750</v>
      </c>
      <c r="F22" s="93">
        <f>IFERROR(__xludf.DUMMYFUNCTION("IF(ISBLANK(F20),"""",HLOOKUP(REGEXEXTRACT(F20,"".*-(.*)""),INDIRECT(CONCATENATE(REGEXEXTRACT(F20,""(.*)-.*""),""!C3:V"")),3,FALSE))"),1750.0)</f>
        <v>1750</v>
      </c>
      <c r="I22" s="162"/>
      <c r="J22" s="90"/>
      <c r="K22" s="90">
        <f>IFERROR(__xludf.DUMMYFUNCTION("IF(ISBLANK(K20),"""",HLOOKUP(REGEXEXTRACT(K20,"".*-(.*)""),INDIRECT(CONCATENATE(REGEXEXTRACT(K20,""(.*)-.*""),""!C3:V"")),3,FALSE))"),1750.0)</f>
        <v>1750</v>
      </c>
      <c r="L22" s="90">
        <f>IFERROR(__xludf.DUMMYFUNCTION("IF(ISBLANK(L20),"""",HLOOKUP(REGEXEXTRACT(L20,"".*-(.*)""),INDIRECT(CONCATENATE(REGEXEXTRACT(L20,""(.*)-.*""),""!C3:V"")),3,FALSE))"),1750.0)</f>
        <v>1750</v>
      </c>
      <c r="M22" s="93">
        <f>IFERROR(__xludf.DUMMYFUNCTION("IF(ISBLANK(M20),"""",HLOOKUP(REGEXEXTRACT(M20,"".*-(.*)""),INDIRECT(CONCATENATE(REGEXEXTRACT(M20,""(.*)-.*""),""!C3:V"")),3,FALSE))"),1750.0)</f>
        <v>1750</v>
      </c>
    </row>
    <row r="24">
      <c r="A24" s="156"/>
      <c r="B24" s="169" t="s">
        <v>201</v>
      </c>
      <c r="C24" s="72" t="s">
        <v>165</v>
      </c>
      <c r="D24" s="73" t="s">
        <v>24</v>
      </c>
      <c r="E24" s="73" t="s">
        <v>161</v>
      </c>
      <c r="F24" s="74" t="s">
        <v>166</v>
      </c>
      <c r="H24" s="172"/>
      <c r="I24" s="173" t="s">
        <v>201</v>
      </c>
      <c r="J24" s="73" t="s">
        <v>146</v>
      </c>
      <c r="K24" s="73" t="s">
        <v>73</v>
      </c>
      <c r="L24" s="73" t="s">
        <v>85</v>
      </c>
      <c r="M24" s="74" t="s">
        <v>54</v>
      </c>
    </row>
    <row r="25">
      <c r="B25" s="170" t="s">
        <v>200</v>
      </c>
      <c r="C25" s="80" t="str">
        <f>IFERROR(__xludf.DUMMYFUNCTION("IF(ISBLANK(C24),"""",HLOOKUP(REGEXEXTRACT(C24,"".*-(.*)""),INDIRECT(CONCATENATE(REGEXEXTRACT(C24,""(.*)-.*""),""!C3:V"")),2,FALSE))"),"Souleater")</f>
        <v>Souleater</v>
      </c>
      <c r="D25" s="80" t="str">
        <f>IFERROR(__xludf.DUMMYFUNCTION("IF(ISBLANK(D24),"""",HLOOKUP(REGEXEXTRACT(D24,"".*-(.*)""),INDIRECT(CONCATENATE(REGEXEXTRACT(D24,""(.*)-.*""),""!C3:V"")),2,FALSE))"),"Slayer")</f>
        <v>Slayer</v>
      </c>
      <c r="E25" s="80" t="str">
        <f>IFERROR(__xludf.DUMMYFUNCTION("IF(ISBLANK(E24),"""",HLOOKUP(REGEXEXTRACT(E24,"".*-(.*)""),INDIRECT(CONCATENATE(REGEXEXTRACT(E24,""(.*)-.*""),""!C3:V"")),2,FALSE))"),"Sorc")</f>
        <v>Sorc</v>
      </c>
      <c r="F25" s="83" t="str">
        <f>IFERROR(__xludf.DUMMYFUNCTION("IF(ISBLANK(F24),"""",HLOOKUP(REGEXEXTRACT(F24,"".*-(.*)""),INDIRECT(CONCATENATE(REGEXEXTRACT(F24,""(.*)-.*""),""!C3:V"")),2,FALSE))"),"Valk")</f>
        <v>Valk</v>
      </c>
      <c r="H25" s="35"/>
      <c r="I25" s="174" t="s">
        <v>200</v>
      </c>
      <c r="J25" s="80" t="str">
        <f>IFERROR(__xludf.DUMMYFUNCTION("IF(ISBLANK(J24),"""",HLOOKUP(REGEXEXTRACT(J24,"".*-(.*)""),INDIRECT(CONCATENATE(REGEXEXTRACT(J24,""(.*)-.*""),""!C3:V"")),2,FALSE))"),"Guardianknight")</f>
        <v>Guardianknight</v>
      </c>
      <c r="K25" s="80" t="str">
        <f>IFERROR(__xludf.DUMMYFUNCTION("IF(ISBLANK(K24),"""",HLOOKUP(REGEXEXTRACT(K24,"".*-(.*)""),INDIRECT(CONCATENATE(REGEXEXTRACT(K24,""(.*)-.*""),""!C3:V"")),2,FALSE))"),"Souleater")</f>
        <v>Souleater</v>
      </c>
      <c r="L25" s="80" t="str">
        <f>IFERROR(__xludf.DUMMYFUNCTION("IF(ISBLANK(L24),"""",HLOOKUP(REGEXEXTRACT(L24,"".*-(.*)""),INDIRECT(CONCATENATE(REGEXEXTRACT(L24,""(.*)-.*""),""!C3:V"")),2,FALSE))"),"Artill")</f>
        <v>Artill</v>
      </c>
      <c r="M25" s="83" t="str">
        <f>IFERROR(__xludf.DUMMYFUNCTION("IF(ISBLANK(M24),"""",HLOOKUP(REGEXEXTRACT(M24,"".*-(.*)""),INDIRECT(CONCATENATE(REGEXEXTRACT(M24,""(.*)-.*""),""!C3:V"")),2,FALSE))"),"Paladin")</f>
        <v>Paladin</v>
      </c>
    </row>
    <row r="26">
      <c r="B26" s="171"/>
      <c r="C26" s="90">
        <f>IFERROR(__xludf.DUMMYFUNCTION("IF(ISBLANK(C24),"""",HLOOKUP(REGEXEXTRACT(C24,"".*-(.*)""),INDIRECT(CONCATENATE(REGEXEXTRACT(C24,""(.*)-.*""),""!C3:V"")),3,FALSE))"),1750.0)</f>
        <v>1750</v>
      </c>
      <c r="D26" s="90">
        <f>IFERROR(__xludf.DUMMYFUNCTION("IF(ISBLANK(D24),"""",HLOOKUP(REGEXEXTRACT(D24,"".*-(.*)""),INDIRECT(CONCATENATE(REGEXEXTRACT(D24,""(.*)-.*""),""!C3:V"")),3,FALSE))"),1750.0)</f>
        <v>1750</v>
      </c>
      <c r="E26" s="90">
        <f>IFERROR(__xludf.DUMMYFUNCTION("IF(ISBLANK(E24),"""",HLOOKUP(REGEXEXTRACT(E24,"".*-(.*)""),INDIRECT(CONCATENATE(REGEXEXTRACT(E24,""(.*)-.*""),""!C3:V"")),3,FALSE))"),1750.0)</f>
        <v>1750</v>
      </c>
      <c r="F26" s="93">
        <f>IFERROR(__xludf.DUMMYFUNCTION("IF(ISBLANK(F24),"""",HLOOKUP(REGEXEXTRACT(F24,"".*-(.*)""),INDIRECT(CONCATENATE(REGEXEXTRACT(F24,""(.*)-.*""),""!C3:V"")),3,FALSE))"),1750.0)</f>
        <v>1750</v>
      </c>
      <c r="H26" s="35"/>
      <c r="I26" s="175"/>
      <c r="J26" s="90">
        <f>IFERROR(__xludf.DUMMYFUNCTION("IF(ISBLANK(J24),"""",HLOOKUP(REGEXEXTRACT(J24,"".*-(.*)""),INDIRECT(CONCATENATE(REGEXEXTRACT(J24,""(.*)-.*""),""!C3:V"")),3,FALSE))"),1750.0)</f>
        <v>1750</v>
      </c>
      <c r="K26" s="90">
        <f>IFERROR(__xludf.DUMMYFUNCTION("IF(ISBLANK(K24),"""",HLOOKUP(REGEXEXTRACT(K24,"".*-(.*)""),INDIRECT(CONCATENATE(REGEXEXTRACT(K24,""(.*)-.*""),""!C3:V"")),3,FALSE))"),1750.0)</f>
        <v>1750</v>
      </c>
      <c r="L26" s="90">
        <f>IFERROR(__xludf.DUMMYFUNCTION("IF(ISBLANK(L24),"""",HLOOKUP(REGEXEXTRACT(L24,"".*-(.*)""),INDIRECT(CONCATENATE(REGEXEXTRACT(L24,""(.*)-.*""),""!C3:V"")),3,FALSE))"),1750.0)</f>
        <v>1750</v>
      </c>
      <c r="M26" s="93">
        <f>IFERROR(__xludf.DUMMYFUNCTION("IF(ISBLANK(M24),"""",HLOOKUP(REGEXEXTRACT(M24,"".*-(.*)""),INDIRECT(CONCATENATE(REGEXEXTRACT(M24,""(.*)-.*""),""!C3:V"")),3,FALSE))"),1750.0)</f>
        <v>1750</v>
      </c>
    </row>
    <row r="28">
      <c r="A28" s="156"/>
      <c r="B28" s="166" t="s">
        <v>201</v>
      </c>
      <c r="C28" s="72" t="s">
        <v>49</v>
      </c>
      <c r="D28" s="73" t="s">
        <v>206</v>
      </c>
      <c r="E28" s="73" t="s">
        <v>107</v>
      </c>
      <c r="F28" s="74" t="s">
        <v>69</v>
      </c>
      <c r="H28" s="151"/>
    </row>
    <row r="29">
      <c r="B29" s="167" t="s">
        <v>200</v>
      </c>
      <c r="C29" s="80" t="str">
        <f>IFERROR(__xludf.DUMMYFUNCTION("IF(ISBLANK(C28),"""",HLOOKUP(REGEXEXTRACT(C28,"".*-(.*)""),INDIRECT(CONCATENATE(REGEXEXTRACT(C28,""(.*)-.*""),""!C3:V"")),2,FALSE))"),"Bard")</f>
        <v>Bard</v>
      </c>
      <c r="D29" s="80" t="str">
        <f>IFERROR(__xludf.DUMMYFUNCTION("IF(ISBLANK(D28),"""",HLOOKUP(REGEXEXTRACT(D28,"".*-(.*)""),INDIRECT(CONCATENATE(REGEXEXTRACT(D28,""(.*)-.*""),""!C3:V"")),2,FALSE))"),"Gunslinger")</f>
        <v>Gunslinger</v>
      </c>
      <c r="E29" s="80" t="str">
        <f>IFERROR(__xludf.DUMMYFUNCTION("IF(ISBLANK(E28),"""",HLOOKUP(REGEXEXTRACT(E28,"".*-(.*)""),INDIRECT(CONCATENATE(REGEXEXTRACT(E28,""(.*)-.*""),""!C3:V"")),2,FALSE))"),"#N/A")</f>
        <v>#N/A</v>
      </c>
      <c r="F29" s="83" t="str">
        <f>IFERROR(__xludf.DUMMYFUNCTION("IF(ISBLANK(F28),"""",HLOOKUP(REGEXEXTRACT(F28,"".*-(.*)""),INDIRECT(CONCATENATE(REGEXEXTRACT(F28,""(.*)-.*""),""!C3:V"")),2,FALSE))"),"Bard")</f>
        <v>Bard</v>
      </c>
    </row>
    <row r="30">
      <c r="B30" s="168"/>
      <c r="C30" s="90">
        <f>IFERROR(__xludf.DUMMYFUNCTION("IF(ISBLANK(C28),"""",HLOOKUP(REGEXEXTRACT(C28,"".*-(.*)""),INDIRECT(CONCATENATE(REGEXEXTRACT(C28,""(.*)-.*""),""!C3:V"")),3,FALSE))"),1730.0)</f>
        <v>1730</v>
      </c>
      <c r="D30" s="90">
        <f>IFERROR(__xludf.DUMMYFUNCTION("IF(ISBLANK(D28),"""",HLOOKUP(REGEXEXTRACT(D28,"".*-(.*)""),INDIRECT(CONCATENATE(REGEXEXTRACT(D28,""(.*)-.*""),""!C3:V"")),3,FALSE))"),1750.0)</f>
        <v>1750</v>
      </c>
      <c r="E30" s="90" t="str">
        <f>IFERROR(__xludf.DUMMYFUNCTION("IF(ISBLANK(E28),"""",HLOOKUP(REGEXEXTRACT(E28,"".*-(.*)""),INDIRECT(CONCATENATE(REGEXEXTRACT(E28,""(.*)-.*""),""!C3:V"")),3,FALSE))"),"#N/A")</f>
        <v>#N/A</v>
      </c>
      <c r="F30" s="93">
        <f>IFERROR(__xludf.DUMMYFUNCTION("IF(ISBLANK(F28),"""",HLOOKUP(REGEXEXTRACT(F28,"".*-(.*)""),INDIRECT(CONCATENATE(REGEXEXTRACT(F28,""(.*)-.*""),""!C3:V"")),3,FALSE))"),1700.0)</f>
        <v>1700</v>
      </c>
    </row>
  </sheetData>
  <mergeCells count="14">
    <mergeCell ref="A16:A18"/>
    <mergeCell ref="A20:A22"/>
    <mergeCell ref="A24:A26"/>
    <mergeCell ref="A28:A30"/>
    <mergeCell ref="H20:H22"/>
    <mergeCell ref="H24:H26"/>
    <mergeCell ref="H28:H30"/>
    <mergeCell ref="A4:A6"/>
    <mergeCell ref="H4:H6"/>
    <mergeCell ref="A8:A10"/>
    <mergeCell ref="H8:H10"/>
    <mergeCell ref="A12:A14"/>
    <mergeCell ref="H12:H14"/>
    <mergeCell ref="H16:H18"/>
  </mergeCells>
  <conditionalFormatting sqref="A4:A6 H4:H6 A8:A10 H8:H10 A12:A14 H12:H14 A16:A18 H16:H18 A20:A22 H20:H22 A24:A26 H24:H26 A28:A30 H28:H30">
    <cfRule type="cellIs" dxfId="0" priority="1" operator="equal">
      <formula>"DONE"</formula>
    </cfRule>
  </conditionalFormatting>
  <conditionalFormatting sqref="A4:A6 H4:H6 A8:A10 H8:H10 A12:A14 H12:H14 A16:A18 H16:H18 A20:A22 H20:H22 A24:A26 H24:H26 A28:A30 H28:H30">
    <cfRule type="containsBlanks" dxfId="4" priority="2">
      <formula>LEN(TRIM(A4))=0</formula>
    </cfRule>
  </conditionalFormatting>
  <dataValidations>
    <dataValidation type="list" allowBlank="1" showErrorMessage="1" sqref="C4:F4 J4:M4 C8:F8 C12:F12 J12:M12 C16:F16 J16:M16 C20:F20 J20:M20 C24:F24 J24:M24 C28:F28">
      <formula1>chars!$B$2:$Z976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38"/>
    <col customWidth="1" min="3" max="6" width="18.13"/>
    <col customWidth="1" hidden="1" min="7" max="7" width="18.13"/>
    <col customWidth="1" min="8" max="9" width="13.63"/>
    <col customWidth="1" min="10" max="13" width="18.13"/>
  </cols>
  <sheetData>
    <row r="4">
      <c r="A4" s="143"/>
      <c r="B4" s="144" t="s">
        <v>197</v>
      </c>
      <c r="C4" s="72" t="s">
        <v>53</v>
      </c>
      <c r="D4" s="73" t="s">
        <v>4</v>
      </c>
      <c r="E4" s="73" t="s">
        <v>75</v>
      </c>
      <c r="F4" s="74" t="s">
        <v>149</v>
      </c>
      <c r="H4" s="156"/>
      <c r="I4" s="145" t="s">
        <v>197</v>
      </c>
      <c r="J4" s="72" t="s">
        <v>169</v>
      </c>
      <c r="K4" s="73" t="s">
        <v>147</v>
      </c>
      <c r="L4" s="73" t="s">
        <v>171</v>
      </c>
      <c r="M4" s="74" t="s">
        <v>172</v>
      </c>
    </row>
    <row r="5">
      <c r="B5" s="146" t="s">
        <v>198</v>
      </c>
      <c r="C5" s="80" t="str">
        <f>IFERROR(__xludf.DUMMYFUNCTION("IF(ISBLANK(C4),"""",HLOOKUP(REGEXEXTRACT(C4,"".*-(.*)""),INDIRECT(CONCATENATE(REGEXEXTRACT(C4,""(.*)-.*""),""!C3:V"")),2,FALSE))"),"Summoner")</f>
        <v>Summoner</v>
      </c>
      <c r="D5" s="80" t="str">
        <f>IFERROR(__xludf.DUMMYFUNCTION("IF(ISBLANK(D4),"""",HLOOKUP(REGEXEXTRACT(D4,"".*-(.*)""),INDIRECT(CONCATENATE(REGEXEXTRACT(D4,""(.*)-.*""),""!C3:V"")),2,FALSE))"),"Gunslinger")</f>
        <v>Gunslinger</v>
      </c>
      <c r="E5" s="80" t="str">
        <f>IFERROR(__xludf.DUMMYFUNCTION("IF(ISBLANK(E4),"""",HLOOKUP(REGEXEXTRACT(E4,"".*-(.*)""),INDIRECT(CONCATENATE(REGEXEXTRACT(E4,""(.*)-.*""),""!C3:V"")),2,FALSE))"),"BREAKER")</f>
        <v>BREAKER</v>
      </c>
      <c r="F5" s="83" t="str">
        <f>IFERROR(__xludf.DUMMYFUNCTION("IF(ISBLANK(F4),"""",HLOOKUP(REGEXEXTRACT(F4,"".*-(.*)""),INDIRECT(CONCATENATE(REGEXEXTRACT(F4,""(.*)-.*""),""!C3:V"")),2,FALSE))"),"Artist")</f>
        <v>Artist</v>
      </c>
      <c r="I5" s="147" t="s">
        <v>199</v>
      </c>
      <c r="J5" s="80" t="str">
        <f>IFERROR(__xludf.DUMMYFUNCTION("IF(ISBLANK(J4),"""",HLOOKUP(REGEXEXTRACT(J4,"".*-(.*)""),INDIRECT(CONCATENATE(REGEXEXTRACT(J4,""(.*)-.*""),""!C3:V"")),2,FALSE))"),"Shadowhunter")</f>
        <v>Shadowhunter</v>
      </c>
      <c r="K5" s="80" t="str">
        <f>IFERROR(__xludf.DUMMYFUNCTION("IF(ISBLANK(K4),"""",HLOOKUP(REGEXEXTRACT(K4,"".*-(.*)""),INDIRECT(CONCATENATE(REGEXEXTRACT(K4,""(.*)-.*""),""!C3:V"")),2,FALSE))"),"Slayer")</f>
        <v>Slayer</v>
      </c>
      <c r="L5" s="80" t="str">
        <f>IFERROR(__xludf.DUMMYFUNCTION("IF(ISBLANK(L4),"""",HLOOKUP(REGEXEXTRACT(L4,"".*-(.*)""),INDIRECT(CONCATENATE(REGEXEXTRACT(L4,""(.*)-.*""),""!C3:V"")),2,FALSE))"),"Arcana")</f>
        <v>Arcana</v>
      </c>
      <c r="M5" s="83" t="str">
        <f>IFERROR(__xludf.DUMMYFUNCTION("IF(ISBLANK(M4),"""",HLOOKUP(REGEXEXTRACT(M4,"".*-(.*)""),INDIRECT(CONCATENATE(REGEXEXTRACT(M4,""(.*)-.*""),""!C3:V"")),2,FALSE))"),"Bard")</f>
        <v>Bard</v>
      </c>
    </row>
    <row r="6">
      <c r="B6" s="148"/>
      <c r="C6" s="90">
        <f>IFERROR(__xludf.DUMMYFUNCTION("IF(ISBLANK(C4),"""",HLOOKUP(REGEXEXTRACT(C4,"".*-(.*)""),INDIRECT(CONCATENATE(REGEXEXTRACT(C4,""(.*)-.*""),""!C3:V"")),3,FALSE))"),1750.0)</f>
        <v>1750</v>
      </c>
      <c r="D6" s="90">
        <f>IFERROR(__xludf.DUMMYFUNCTION("IF(ISBLANK(D4),"""",HLOOKUP(REGEXEXTRACT(D4,"".*-(.*)""),INDIRECT(CONCATENATE(REGEXEXTRACT(D4,""(.*)-.*""),""!C3:V"")),3,FALSE))"),1750.0)</f>
        <v>1750</v>
      </c>
      <c r="E6" s="90">
        <f>IFERROR(__xludf.DUMMYFUNCTION("IF(ISBLANK(E4),"""",HLOOKUP(REGEXEXTRACT(E4,"".*-(.*)""),INDIRECT(CONCATENATE(REGEXEXTRACT(E4,""(.*)-.*""),""!C3:V"")),3,FALSE))"),1750.0)</f>
        <v>1750</v>
      </c>
      <c r="F6" s="93">
        <f>IFERROR(__xludf.DUMMYFUNCTION("IF(ISBLANK(F4),"""",HLOOKUP(REGEXEXTRACT(F4,"".*-(.*)""),INDIRECT(CONCATENATE(REGEXEXTRACT(F4,""(.*)-.*""),""!C3:V"")),3,FALSE))"),1750.0)</f>
        <v>1750</v>
      </c>
      <c r="I6" s="149"/>
      <c r="J6" s="90">
        <f>IFERROR(__xludf.DUMMYFUNCTION("IF(ISBLANK(J4),"""",HLOOKUP(REGEXEXTRACT(J4,"".*-(.*)""),INDIRECT(CONCATENATE(REGEXEXTRACT(J4,""(.*)-.*""),""!C3:V"")),3,FALSE))"),1750.0)</f>
        <v>1750</v>
      </c>
      <c r="K6" s="90">
        <f>IFERROR(__xludf.DUMMYFUNCTION("IF(ISBLANK(K4),"""",HLOOKUP(REGEXEXTRACT(K4,"".*-(.*)""),INDIRECT(CONCATENATE(REGEXEXTRACT(K4,""(.*)-.*""),""!C3:V"")),3,FALSE))"),1750.0)</f>
        <v>1750</v>
      </c>
      <c r="L6" s="90">
        <f>IFERROR(__xludf.DUMMYFUNCTION("IF(ISBLANK(L4),"""",HLOOKUP(REGEXEXTRACT(L4,"".*-(.*)""),INDIRECT(CONCATENATE(REGEXEXTRACT(L4,""(.*)-.*""),""!C3:V"")),3,FALSE))"),1690.0)</f>
        <v>1690</v>
      </c>
      <c r="M6" s="93">
        <f>IFERROR(__xludf.DUMMYFUNCTION("IF(ISBLANK(M4),"""",HLOOKUP(REGEXEXTRACT(M4,"".*-(.*)""),INDIRECT(CONCATENATE(REGEXEXTRACT(M4,""(.*)-.*""),""!C3:V"")),3,FALSE))"),1750.0)</f>
        <v>1750</v>
      </c>
    </row>
    <row r="8">
      <c r="A8" s="143"/>
      <c r="B8" s="144" t="s">
        <v>197</v>
      </c>
      <c r="C8" s="72" t="s">
        <v>112</v>
      </c>
      <c r="D8" s="73" t="s">
        <v>32</v>
      </c>
      <c r="E8" s="73" t="s">
        <v>113</v>
      </c>
      <c r="F8" s="74" t="s">
        <v>117</v>
      </c>
      <c r="H8" s="143"/>
      <c r="I8" s="150" t="s">
        <v>197</v>
      </c>
      <c r="J8" s="72" t="s">
        <v>37</v>
      </c>
      <c r="K8" s="73" t="s">
        <v>148</v>
      </c>
      <c r="L8" s="73" t="s">
        <v>164</v>
      </c>
      <c r="M8" s="74" t="s">
        <v>157</v>
      </c>
    </row>
    <row r="9">
      <c r="B9" s="146" t="s">
        <v>200</v>
      </c>
      <c r="C9" s="80" t="str">
        <f>IFERROR(__xludf.DUMMYFUNCTION("IF(ISBLANK(C8),"""",HLOOKUP(REGEXEXTRACT(C8,"".*-(.*)""),INDIRECT(CONCATENATE(REGEXEXTRACT(C8,""(.*)-.*""),""!C3:V"")),2,FALSE))"),"Wildsoul")</f>
        <v>Wildsoul</v>
      </c>
      <c r="D9" s="80" t="str">
        <f>IFERROR(__xludf.DUMMYFUNCTION("IF(ISBLANK(D8),"""",HLOOKUP(REGEXEXTRACT(D8,"".*-(.*)""),INDIRECT(CONCATENATE(REGEXEXTRACT(D8,""(.*)-.*""),""!C3:V"")),2,FALSE))"),"Glaivier")</f>
        <v>Glaivier</v>
      </c>
      <c r="E9" s="80" t="str">
        <f>IFERROR(__xludf.DUMMYFUNCTION("IF(ISBLANK(E8),"""",HLOOKUP(REGEXEXTRACT(E8,"".*-(.*)""),INDIRECT(CONCATENATE(REGEXEXTRACT(E8,""(.*)-.*""),""!C3:V"")),2,FALSE))"),"G")</f>
        <v>G</v>
      </c>
      <c r="F9" s="83" t="str">
        <f>IFERROR(__xludf.DUMMYFUNCTION("IF(ISBLANK(F8),"""",HLOOKUP(REGEXEXTRACT(F8,"".*-(.*)""),INDIRECT(CONCATENATE(REGEXEXTRACT(F8,""(.*)-.*""),""!C3:V"")),2,FALSE))"),"Artist")</f>
        <v>Artist</v>
      </c>
      <c r="I9" s="152" t="s">
        <v>200</v>
      </c>
      <c r="J9" s="80" t="str">
        <f>IFERROR(__xludf.DUMMYFUNCTION("IF(ISBLANK(J8),"""",HLOOKUP(REGEXEXTRACT(J8,"".*-(.*)""),INDIRECT(CONCATENATE(REGEXEXTRACT(J8,""(.*)-.*""),""!C3:V"")),2,FALSE))"),"Guardianknight")</f>
        <v>Guardianknight</v>
      </c>
      <c r="K9" s="80" t="str">
        <f>IFERROR(__xludf.DUMMYFUNCTION("IF(ISBLANK(K8),"""",HLOOKUP(REGEXEXTRACT(K8,"".*-(.*)""),INDIRECT(CONCATENATE(REGEXEXTRACT(K8,""(.*)-.*""),""!C3:V"")),2,FALSE))"),"Scrapper")</f>
        <v>Scrapper</v>
      </c>
      <c r="L9" s="80" t="str">
        <f>IFERROR(__xludf.DUMMYFUNCTION("IF(ISBLANK(L8),"""",HLOOKUP(REGEXEXTRACT(L8,"".*-(.*)""),INDIRECT(CONCATENATE(REGEXEXTRACT(L8,""(.*)-.*""),""!C3:V"")),2,FALSE))"),"Valk")</f>
        <v>Valk</v>
      </c>
      <c r="M9" s="83" t="str">
        <f>IFERROR(__xludf.DUMMYFUNCTION("IF(ISBLANK(M8),"""",HLOOKUP(REGEXEXTRACT(M8,"".*-(.*)""),INDIRECT(CONCATENATE(REGEXEXTRACT(M8,""(.*)-.*""),""!C3:V"")),2,FALSE))"),"Valk")</f>
        <v>Valk</v>
      </c>
    </row>
    <row r="10">
      <c r="B10" s="148"/>
      <c r="C10" s="90">
        <f>IFERROR(__xludf.DUMMYFUNCTION("IF(ISBLANK(C8),"""",HLOOKUP(REGEXEXTRACT(C8,"".*-(.*)""),INDIRECT(CONCATENATE(REGEXEXTRACT(C8,""(.*)-.*""),""!C3:V"")),3,FALSE))"),1750.0)</f>
        <v>1750</v>
      </c>
      <c r="D10" s="90">
        <f>IFERROR(__xludf.DUMMYFUNCTION("IF(ISBLANK(D8),"""",HLOOKUP(REGEXEXTRACT(D8,"".*-(.*)""),INDIRECT(CONCATENATE(REGEXEXTRACT(D8,""(.*)-.*""),""!C3:V"")),3,FALSE))"),1750.0)</f>
        <v>1750</v>
      </c>
      <c r="E10" s="90">
        <f>IFERROR(__xludf.DUMMYFUNCTION("IF(ISBLANK(E8),"""",HLOOKUP(REGEXEXTRACT(E8,"".*-(.*)""),INDIRECT(CONCATENATE(REGEXEXTRACT(E8,""(.*)-.*""),""!C3:V"")),3,FALSE))"),1750.0)</f>
        <v>1750</v>
      </c>
      <c r="F10" s="93">
        <f>IFERROR(__xludf.DUMMYFUNCTION("IF(ISBLANK(F8),"""",HLOOKUP(REGEXEXTRACT(F8,"".*-(.*)""),INDIRECT(CONCATENATE(REGEXEXTRACT(F8,""(.*)-.*""),""!C3:V"")),3,FALSE))"),1730.0)</f>
        <v>1730</v>
      </c>
      <c r="I10" s="153"/>
      <c r="J10" s="90">
        <f>IFERROR(__xludf.DUMMYFUNCTION("IF(ISBLANK(J8),"""",HLOOKUP(REGEXEXTRACT(J8,"".*-(.*)""),INDIRECT(CONCATENATE(REGEXEXTRACT(J8,""(.*)-.*""),""!C3:V"")),3,FALSE))"),1750.0)</f>
        <v>1750</v>
      </c>
      <c r="K10" s="90">
        <f>IFERROR(__xludf.DUMMYFUNCTION("IF(ISBLANK(K8),"""",HLOOKUP(REGEXEXTRACT(K8,"".*-(.*)""),INDIRECT(CONCATENATE(REGEXEXTRACT(K8,""(.*)-.*""),""!C3:V"")),3,FALSE))"),1700.0)</f>
        <v>1700</v>
      </c>
      <c r="L10" s="90">
        <f>IFERROR(__xludf.DUMMYFUNCTION("IF(ISBLANK(L8),"""",HLOOKUP(REGEXEXTRACT(L8,"".*-(.*)""),INDIRECT(CONCATENATE(REGEXEXTRACT(L8,""(.*)-.*""),""!C3:V"")),3,FALSE))"),1750.0)</f>
        <v>1750</v>
      </c>
      <c r="M10" s="93">
        <f>IFERROR(__xludf.DUMMYFUNCTION("IF(ISBLANK(M8),"""",HLOOKUP(REGEXEXTRACT(M8,"".*-(.*)""),INDIRECT(CONCATENATE(REGEXEXTRACT(M8,""(.*)-.*""),""!C3:V"")),3,FALSE))"),1750.0)</f>
        <v>1750</v>
      </c>
    </row>
    <row r="11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5"/>
      <c r="L11" s="154"/>
      <c r="M11" s="154"/>
      <c r="N11" s="154"/>
    </row>
    <row r="12">
      <c r="A12" s="143"/>
      <c r="B12" s="144" t="s">
        <v>201</v>
      </c>
      <c r="C12" s="72" t="s">
        <v>73</v>
      </c>
      <c r="D12" s="73" t="s">
        <v>14</v>
      </c>
      <c r="E12" s="73" t="s">
        <v>82</v>
      </c>
      <c r="F12" s="74" t="s">
        <v>158</v>
      </c>
      <c r="H12" s="156"/>
      <c r="I12" s="145" t="s">
        <v>201</v>
      </c>
      <c r="J12" s="72" t="s">
        <v>159</v>
      </c>
      <c r="K12" s="73" t="s">
        <v>160</v>
      </c>
      <c r="L12" s="73" t="s">
        <v>118</v>
      </c>
      <c r="M12" s="74" t="s">
        <v>69</v>
      </c>
    </row>
    <row r="13">
      <c r="B13" s="146" t="s">
        <v>200</v>
      </c>
      <c r="C13" s="80" t="str">
        <f>IFERROR(__xludf.DUMMYFUNCTION("IF(ISBLANK(C12),"""",HLOOKUP(REGEXEXTRACT(C12,"".*-(.*)""),INDIRECT(CONCATENATE(REGEXEXTRACT(C12,""(.*)-.*""),""!C3:V"")),2,FALSE))"),"Souleater")</f>
        <v>Souleater</v>
      </c>
      <c r="D13" s="80" t="str">
        <f>IFERROR(__xludf.DUMMYFUNCTION("IF(ISBLANK(D12),"""",HLOOKUP(REGEXEXTRACT(D12,"".*-(.*)""),INDIRECT(CONCATENATE(REGEXEXTRACT(D12,""(.*)-.*""),""!C3:V"")),2,FALSE))"),"Sorceress")</f>
        <v>Sorceress</v>
      </c>
      <c r="E13" s="80" t="str">
        <f>IFERROR(__xludf.DUMMYFUNCTION("IF(ISBLANK(E12),"""",HLOOKUP(REGEXEXTRACT(E12,"".*-(.*)""),INDIRECT(CONCATENATE(REGEXEXTRACT(E12,""(.*)-.*""),""!C3:V"")),2,FALSE))"),"Bonk")</f>
        <v>Bonk</v>
      </c>
      <c r="F13" s="83" t="str">
        <f>IFERROR(__xludf.DUMMYFUNCTION("IF(ISBLANK(F12),"""",HLOOKUP(REGEXEXTRACT(F12,"".*-(.*)""),INDIRECT(CONCATENATE(REGEXEXTRACT(F12,""(.*)-.*""),""!C3:V"")),2,FALSE))"),"Artist")</f>
        <v>Artist</v>
      </c>
      <c r="I13" s="147" t="s">
        <v>200</v>
      </c>
      <c r="J13" s="80" t="str">
        <f>IFERROR(__xludf.DUMMYFUNCTION("IF(ISBLANK(J12),"""",HLOOKUP(REGEXEXTRACT(J12,"".*-(.*)""),INDIRECT(CONCATENATE(REGEXEXTRACT(J12,""(.*)-.*""),""!C3:V"")),2,FALSE))"),"Glaivier")</f>
        <v>Glaivier</v>
      </c>
      <c r="K13" s="80" t="str">
        <f>IFERROR(__xludf.DUMMYFUNCTION("IF(ISBLANK(K12),"""",HLOOKUP(REGEXEXTRACT(K12,"".*-(.*)""),INDIRECT(CONCATENATE(REGEXEXTRACT(K12,""(.*)-.*""),""!C3:V"")),2,FALSE))"),"Deathblade")</f>
        <v>Deathblade</v>
      </c>
      <c r="L13" s="80" t="str">
        <f>IFERROR(__xludf.DUMMYFUNCTION("IF(ISBLANK(L12),"""",HLOOKUP(REGEXEXTRACT(L12,"".*-(.*)""),INDIRECT(CONCATENATE(REGEXEXTRACT(L12,""(.*)-.*""),""!C3:V"")),2,FALSE))"),"Arcana")</f>
        <v>Arcana</v>
      </c>
      <c r="M13" s="83" t="str">
        <f>IFERROR(__xludf.DUMMYFUNCTION("IF(ISBLANK(M12),"""",HLOOKUP(REGEXEXTRACT(M12,"".*-(.*)""),INDIRECT(CONCATENATE(REGEXEXTRACT(M12,""(.*)-.*""),""!C3:V"")),2,FALSE))"),"Bard")</f>
        <v>Bard</v>
      </c>
    </row>
    <row r="14">
      <c r="B14" s="148"/>
      <c r="C14" s="90">
        <f>IFERROR(__xludf.DUMMYFUNCTION("IF(ISBLANK(C12),"""",HLOOKUP(REGEXEXTRACT(C12,"".*-(.*)""),INDIRECT(CONCATENATE(REGEXEXTRACT(C12,""(.*)-.*""),""!C3:V"")),3,FALSE))"),1750.0)</f>
        <v>1750</v>
      </c>
      <c r="D14" s="90">
        <f>IFERROR(__xludf.DUMMYFUNCTION("IF(ISBLANK(D12),"""",HLOOKUP(REGEXEXTRACT(D12,"".*-(.*)""),INDIRECT(CONCATENATE(REGEXEXTRACT(D12,""(.*)-.*""),""!C3:V"")),3,FALSE))"),1750.0)</f>
        <v>1750</v>
      </c>
      <c r="E14" s="90">
        <f>IFERROR(__xludf.DUMMYFUNCTION("IF(ISBLANK(E12),"""",HLOOKUP(REGEXEXTRACT(E12,"".*-(.*)""),INDIRECT(CONCATENATE(REGEXEXTRACT(E12,""(.*)-.*""),""!C3:V"")),3,FALSE))"),1750.0)</f>
        <v>1750</v>
      </c>
      <c r="F14" s="93">
        <f>IFERROR(__xludf.DUMMYFUNCTION("IF(ISBLANK(F12),"""",HLOOKUP(REGEXEXTRACT(F12,"".*-(.*)""),INDIRECT(CONCATENATE(REGEXEXTRACT(F12,""(.*)-.*""),""!C3:V"")),3,FALSE))"),1750.0)</f>
        <v>1750</v>
      </c>
      <c r="I14" s="149"/>
      <c r="J14" s="90">
        <f>IFERROR(__xludf.DUMMYFUNCTION("IF(ISBLANK(J12),"""",HLOOKUP(REGEXEXTRACT(J12,"".*-(.*)""),INDIRECT(CONCATENATE(REGEXEXTRACT(J12,""(.*)-.*""),""!C3:V"")),3,FALSE))"),1750.0)</f>
        <v>1750</v>
      </c>
      <c r="K14" s="90">
        <f>IFERROR(__xludf.DUMMYFUNCTION("IF(ISBLANK(K12),"""",HLOOKUP(REGEXEXTRACT(K12,"".*-(.*)""),INDIRECT(CONCATENATE(REGEXEXTRACT(K12,""(.*)-.*""),""!C3:V"")),3,FALSE))"),1750.0)</f>
        <v>1750</v>
      </c>
      <c r="L14" s="90">
        <f>IFERROR(__xludf.DUMMYFUNCTION("IF(ISBLANK(L12),"""",HLOOKUP(REGEXEXTRACT(L12,"".*-(.*)""),INDIRECT(CONCATENATE(REGEXEXTRACT(L12,""(.*)-.*""),""!C3:V"")),3,FALSE))"),1750.0)</f>
        <v>1750</v>
      </c>
      <c r="M14" s="93">
        <f>IFERROR(__xludf.DUMMYFUNCTION("IF(ISBLANK(M12),"""",HLOOKUP(REGEXEXTRACT(M12,"".*-(.*)""),INDIRECT(CONCATENATE(REGEXEXTRACT(M12,""(.*)-.*""),""!C3:V"")),3,FALSE))"),1700.0)</f>
        <v>1700</v>
      </c>
    </row>
    <row r="16">
      <c r="A16" s="172"/>
      <c r="B16" s="176" t="s">
        <v>201</v>
      </c>
      <c r="C16" s="73" t="s">
        <v>144</v>
      </c>
      <c r="D16" s="73" t="s">
        <v>43</v>
      </c>
      <c r="E16" s="73" t="s">
        <v>106</v>
      </c>
      <c r="F16" s="74" t="s">
        <v>170</v>
      </c>
      <c r="H16" s="156"/>
      <c r="I16" s="160" t="s">
        <v>201</v>
      </c>
      <c r="J16" s="72" t="s">
        <v>107</v>
      </c>
      <c r="K16" s="73" t="s">
        <v>70</v>
      </c>
      <c r="L16" s="73" t="s">
        <v>131</v>
      </c>
      <c r="M16" s="74" t="s">
        <v>162</v>
      </c>
    </row>
    <row r="17">
      <c r="A17" s="35"/>
      <c r="B17" s="177" t="s">
        <v>200</v>
      </c>
      <c r="C17" s="80" t="str">
        <f>IFERROR(__xludf.DUMMYFUNCTION("IF(ISBLANK(C16),"""",HLOOKUP(REGEXEXTRACT(C16,"".*-(.*)""),INDIRECT(CONCATENATE(REGEXEXTRACT(C16,""(.*)-.*""),""!C3:V"")),2,FALSE))"),"Souleater")</f>
        <v>Souleater</v>
      </c>
      <c r="D17" s="80" t="str">
        <f>IFERROR(__xludf.DUMMYFUNCTION("IF(ISBLANK(D16),"""",HLOOKUP(REGEXEXTRACT(D16,"".*-(.*)""),INDIRECT(CONCATENATE(REGEXEXTRACT(D16,""(.*)-.*""),""!C3:V"")),2,FALSE))"),"Soulfist")</f>
        <v>Soulfist</v>
      </c>
      <c r="E17" s="100" t="s">
        <v>173</v>
      </c>
      <c r="F17" s="83" t="str">
        <f>IFERROR(__xludf.DUMMYFUNCTION("IF(ISBLANK(F16),"""",HLOOKUP(REGEXEXTRACT(F16,"".*-(.*)""),INDIRECT(CONCATENATE(REGEXEXTRACT(F16,""(.*)-.*""),""!C3:V"")),2,FALSE))"),"Bard")</f>
        <v>Bard</v>
      </c>
      <c r="I17" s="161" t="s">
        <v>200</v>
      </c>
      <c r="J17" s="100" t="s">
        <v>204</v>
      </c>
      <c r="K17" s="80" t="str">
        <f>IFERROR(__xludf.DUMMYFUNCTION("IF(ISBLANK(K16),"""",HLOOKUP(REGEXEXTRACT(K16,"".*-(.*)""),INDIRECT(CONCATENATE(REGEXEXTRACT(K16,""(.*)-.*""),""!C3:V"")),2,FALSE))"),"GL")</f>
        <v>GL</v>
      </c>
      <c r="L17" s="80" t="str">
        <f>IFERROR(__xludf.DUMMYFUNCTION("IF(ISBLANK(L16),"""",HLOOKUP(REGEXEXTRACT(L16,"".*-(.*)""),INDIRECT(CONCATENATE(REGEXEXTRACT(L16,""(.*)-.*""),""!C3:V"")),2,FALSE))"),"Glaivier")</f>
        <v>Glaivier</v>
      </c>
      <c r="M17" s="83" t="str">
        <f>IFERROR(__xludf.DUMMYFUNCTION("IF(ISBLANK(M16),"""",HLOOKUP(REGEXEXTRACT(M16,"".*-(.*)""),INDIRECT(CONCATENATE(REGEXEXTRACT(M16,""(.*)-.*""),""!C3:V"")),2,FALSE))"),"Paladin")</f>
        <v>Paladin</v>
      </c>
    </row>
    <row r="18">
      <c r="A18" s="35"/>
      <c r="B18" s="178"/>
      <c r="C18" s="90">
        <f>IFERROR(__xludf.DUMMYFUNCTION("IF(ISBLANK(C16),"""",HLOOKUP(REGEXEXTRACT(C16,"".*-(.*)""),INDIRECT(CONCATENATE(REGEXEXTRACT(C16,""(.*)-.*""),""!C3:V"")),3,FALSE))"),1750.0)</f>
        <v>1750</v>
      </c>
      <c r="D18" s="90">
        <f>IFERROR(__xludf.DUMMYFUNCTION("IF(ISBLANK(D16),"""",HLOOKUP(REGEXEXTRACT(D16,"".*-(.*)""),INDIRECT(CONCATENATE(REGEXEXTRACT(D16,""(.*)-.*""),""!C3:V"")),3,FALSE))"),1750.0)</f>
        <v>1750</v>
      </c>
      <c r="E18" s="90"/>
      <c r="F18" s="93">
        <f>IFERROR(__xludf.DUMMYFUNCTION("IF(ISBLANK(F16),"""",HLOOKUP(REGEXEXTRACT(F16,"".*-(.*)""),INDIRECT(CONCATENATE(REGEXEXTRACT(F16,""(.*)-.*""),""!C3:V"")),3,FALSE))"),1750.0)</f>
        <v>1750</v>
      </c>
      <c r="I18" s="162"/>
      <c r="J18" s="90"/>
      <c r="K18" s="90">
        <f>IFERROR(__xludf.DUMMYFUNCTION("IF(ISBLANK(K16),"""",HLOOKUP(REGEXEXTRACT(K16,"".*-(.*)""),INDIRECT(CONCATENATE(REGEXEXTRACT(K16,""(.*)-.*""),""!C3:V"")),3,FALSE))"),1750.0)</f>
        <v>1750</v>
      </c>
      <c r="L18" s="90">
        <f>IFERROR(__xludf.DUMMYFUNCTION("IF(ISBLANK(L16),"""",HLOOKUP(REGEXEXTRACT(L16,"".*-(.*)""),INDIRECT(CONCATENATE(REGEXEXTRACT(L16,""(.*)-.*""),""!C3:V"")),3,FALSE))"),1750.0)</f>
        <v>1750</v>
      </c>
      <c r="M18" s="93">
        <f>IFERROR(__xludf.DUMMYFUNCTION("IF(ISBLANK(M16),"""",HLOOKUP(REGEXEXTRACT(M16,"".*-(.*)""),INDIRECT(CONCATENATE(REGEXEXTRACT(M16,""(.*)-.*""),""!C3:V"")),3,FALSE))"),1750.0)</f>
        <v>1750</v>
      </c>
    </row>
    <row r="20">
      <c r="A20" s="156"/>
      <c r="B20" s="179" t="s">
        <v>201</v>
      </c>
      <c r="C20" s="72" t="s">
        <v>130</v>
      </c>
      <c r="D20" s="73" t="s">
        <v>24</v>
      </c>
      <c r="E20" s="73" t="s">
        <v>115</v>
      </c>
      <c r="F20" s="74" t="s">
        <v>143</v>
      </c>
      <c r="H20" s="156"/>
      <c r="I20" s="160" t="s">
        <v>201</v>
      </c>
      <c r="J20" s="72" t="s">
        <v>107</v>
      </c>
      <c r="K20" s="73" t="s">
        <v>206</v>
      </c>
      <c r="L20" s="73" t="s">
        <v>146</v>
      </c>
      <c r="M20" s="74" t="s">
        <v>80</v>
      </c>
    </row>
    <row r="21">
      <c r="B21" s="180" t="s">
        <v>200</v>
      </c>
      <c r="C21" s="80" t="str">
        <f>IFERROR(__xludf.DUMMYFUNCTION("IF(ISBLANK(C20),"""",HLOOKUP(REGEXEXTRACT(C20,"".*-(.*)""),INDIRECT(CONCATENATE(REGEXEXTRACT(C20,""(.*)-.*""),""!C3:V"")),2,FALSE))"),"Aeromancer")</f>
        <v>Aeromancer</v>
      </c>
      <c r="D21" s="80" t="str">
        <f>IFERROR(__xludf.DUMMYFUNCTION("IF(ISBLANK(D20),"""",HLOOKUP(REGEXEXTRACT(D20,"".*-(.*)""),INDIRECT(CONCATENATE(REGEXEXTRACT(D20,""(.*)-.*""),""!C3:V"")),2,FALSE))"),"Slayer")</f>
        <v>Slayer</v>
      </c>
      <c r="E21" s="80" t="str">
        <f>IFERROR(__xludf.DUMMYFUNCTION("IF(ISBLANK(E20),"""",HLOOKUP(REGEXEXTRACT(E20,"".*-(.*)""),INDIRECT(CONCATENATE(REGEXEXTRACT(E20,""(.*)-.*""),""!C3:V"")),2,FALSE))"),"Wildsoul")</f>
        <v>Wildsoul</v>
      </c>
      <c r="F21" s="83" t="str">
        <f>IFERROR(__xludf.DUMMYFUNCTION("IF(ISBLANK(F20),"""",HLOOKUP(REGEXEXTRACT(F20,"".*-(.*)""),INDIRECT(CONCATENATE(REGEXEXTRACT(F20,""(.*)-.*""),""!C3:V"")),2,FALSE))"),"Valk")</f>
        <v>Valk</v>
      </c>
      <c r="I21" s="161" t="s">
        <v>200</v>
      </c>
      <c r="J21" s="100" t="s">
        <v>209</v>
      </c>
      <c r="K21" s="80" t="str">
        <f>IFERROR(__xludf.DUMMYFUNCTION("IF(ISBLANK(K20),"""",HLOOKUP(REGEXEXTRACT(K20,"".*-(.*)""),INDIRECT(CONCATENATE(REGEXEXTRACT(K20,""(.*)-.*""),""!C3:V"")),2,FALSE))"),"Gunslinger")</f>
        <v>Gunslinger</v>
      </c>
      <c r="L21" s="80" t="str">
        <f>IFERROR(__xludf.DUMMYFUNCTION("IF(ISBLANK(L20),"""",HLOOKUP(REGEXEXTRACT(L20,"".*-(.*)""),INDIRECT(CONCATENATE(REGEXEXTRACT(L20,""(.*)-.*""),""!C3:V"")),2,FALSE))"),"Guardianknight")</f>
        <v>Guardianknight</v>
      </c>
      <c r="M21" s="83" t="str">
        <f>IFERROR(__xludf.DUMMYFUNCTION("IF(ISBLANK(M20),"""",HLOOKUP(REGEXEXTRACT(M20,"".*-(.*)""),INDIRECT(CONCATENATE(REGEXEXTRACT(M20,""(.*)-.*""),""!C3:V"")),2,FALSE))"),"Paladin")</f>
        <v>Paladin</v>
      </c>
    </row>
    <row r="22">
      <c r="B22" s="181"/>
      <c r="C22" s="90">
        <f>IFERROR(__xludf.DUMMYFUNCTION("IF(ISBLANK(C20),"""",HLOOKUP(REGEXEXTRACT(C20,"".*-(.*)""),INDIRECT(CONCATENATE(REGEXEXTRACT(C20,""(.*)-.*""),""!C3:V"")),3,FALSE))"),1750.0)</f>
        <v>1750</v>
      </c>
      <c r="D22" s="90">
        <f>IFERROR(__xludf.DUMMYFUNCTION("IF(ISBLANK(D20),"""",HLOOKUP(REGEXEXTRACT(D20,"".*-(.*)""),INDIRECT(CONCATENATE(REGEXEXTRACT(D20,""(.*)-.*""),""!C3:V"")),3,FALSE))"),1750.0)</f>
        <v>1750</v>
      </c>
      <c r="E22" s="90">
        <f>IFERROR(__xludf.DUMMYFUNCTION("IF(ISBLANK(E20),"""",HLOOKUP(REGEXEXTRACT(E20,"".*-(.*)""),INDIRECT(CONCATENATE(REGEXEXTRACT(E20,""(.*)-.*""),""!C3:V"")),3,FALSE))"),1750.0)</f>
        <v>1750</v>
      </c>
      <c r="F22" s="93">
        <f>IFERROR(__xludf.DUMMYFUNCTION("IF(ISBLANK(F20),"""",HLOOKUP(REGEXEXTRACT(F20,"".*-(.*)""),INDIRECT(CONCATENATE(REGEXEXTRACT(F20,""(.*)-.*""),""!C3:V"")),3,FALSE))"),1750.0)</f>
        <v>1750</v>
      </c>
      <c r="I22" s="162"/>
      <c r="J22" s="90"/>
      <c r="K22" s="90">
        <f>IFERROR(__xludf.DUMMYFUNCTION("IF(ISBLANK(K20),"""",HLOOKUP(REGEXEXTRACT(K20,"".*-(.*)""),INDIRECT(CONCATENATE(REGEXEXTRACT(K20,""(.*)-.*""),""!C3:V"")),3,FALSE))"),1750.0)</f>
        <v>1750</v>
      </c>
      <c r="L22" s="90">
        <f>IFERROR(__xludf.DUMMYFUNCTION("IF(ISBLANK(L20),"""",HLOOKUP(REGEXEXTRACT(L20,"".*-(.*)""),INDIRECT(CONCATENATE(REGEXEXTRACT(L20,""(.*)-.*""),""!C3:V"")),3,FALSE))"),1750.0)</f>
        <v>1750</v>
      </c>
      <c r="M22" s="93">
        <f>IFERROR(__xludf.DUMMYFUNCTION("IF(ISBLANK(M20),"""",HLOOKUP(REGEXEXTRACT(M20,"".*-(.*)""),INDIRECT(CONCATENATE(REGEXEXTRACT(M20,""(.*)-.*""),""!C3:V"")),3,FALSE))"),1750.0)</f>
        <v>1750</v>
      </c>
    </row>
    <row r="24">
      <c r="A24" s="156"/>
      <c r="B24" s="179" t="s">
        <v>201</v>
      </c>
      <c r="C24" s="72" t="s">
        <v>49</v>
      </c>
      <c r="D24" s="73" t="s">
        <v>161</v>
      </c>
      <c r="E24" s="73" t="s">
        <v>202</v>
      </c>
      <c r="F24" s="74" t="s">
        <v>54</v>
      </c>
      <c r="H24" s="156"/>
      <c r="I24" s="160" t="s">
        <v>201</v>
      </c>
      <c r="J24" s="72" t="s">
        <v>107</v>
      </c>
      <c r="K24" s="73" t="s">
        <v>85</v>
      </c>
      <c r="L24" s="73" t="s">
        <v>165</v>
      </c>
      <c r="M24" s="74" t="s">
        <v>166</v>
      </c>
    </row>
    <row r="25">
      <c r="B25" s="180" t="s">
        <v>200</v>
      </c>
      <c r="C25" s="80" t="str">
        <f>IFERROR(__xludf.DUMMYFUNCTION("IF(ISBLANK(C24),"""",HLOOKUP(REGEXEXTRACT(C24,"".*-(.*)""),INDIRECT(CONCATENATE(REGEXEXTRACT(C24,""(.*)-.*""),""!C3:V"")),2,FALSE))"),"Bard")</f>
        <v>Bard</v>
      </c>
      <c r="D25" s="80" t="str">
        <f>IFERROR(__xludf.DUMMYFUNCTION("IF(ISBLANK(D24),"""",HLOOKUP(REGEXEXTRACT(D24,"".*-(.*)""),INDIRECT(CONCATENATE(REGEXEXTRACT(D24,""(.*)-.*""),""!C3:V"")),2,FALSE))"),"Sorc")</f>
        <v>Sorc</v>
      </c>
      <c r="E25" s="80" t="str">
        <f>IFERROR(__xludf.DUMMYFUNCTION("IF(ISBLANK(E24),"""",HLOOKUP(REGEXEXTRACT(E24,"".*-(.*)""),INDIRECT(CONCATENATE(REGEXEXTRACT(E24,""(.*)-.*""),""!C3:V"")),2,FALSE))"),"Souleater")</f>
        <v>Souleater</v>
      </c>
      <c r="F25" s="83" t="str">
        <f>IFERROR(__xludf.DUMMYFUNCTION("IF(ISBLANK(F24),"""",HLOOKUP(REGEXEXTRACT(F24,"".*-(.*)""),INDIRECT(CONCATENATE(REGEXEXTRACT(F24,""(.*)-.*""),""!C3:V"")),2,FALSE))"),"Paladin")</f>
        <v>Paladin</v>
      </c>
      <c r="I25" s="161" t="s">
        <v>200</v>
      </c>
      <c r="J25" s="100" t="s">
        <v>203</v>
      </c>
      <c r="K25" s="80" t="str">
        <f>IFERROR(__xludf.DUMMYFUNCTION("IF(ISBLANK(K24),"""",HLOOKUP(REGEXEXTRACT(K24,"".*-(.*)""),INDIRECT(CONCATENATE(REGEXEXTRACT(K24,""(.*)-.*""),""!C3:V"")),2,FALSE))"),"Artill")</f>
        <v>Artill</v>
      </c>
      <c r="L25" s="80" t="str">
        <f>IFERROR(__xludf.DUMMYFUNCTION("IF(ISBLANK(L24),"""",HLOOKUP(REGEXEXTRACT(L24,"".*-(.*)""),INDIRECT(CONCATENATE(REGEXEXTRACT(L24,""(.*)-.*""),""!C3:V"")),2,FALSE))"),"Souleater")</f>
        <v>Souleater</v>
      </c>
      <c r="M25" s="83" t="str">
        <f>IFERROR(__xludf.DUMMYFUNCTION("IF(ISBLANK(M24),"""",HLOOKUP(REGEXEXTRACT(M24,"".*-(.*)""),INDIRECT(CONCATENATE(REGEXEXTRACT(M24,""(.*)-.*""),""!C3:V"")),2,FALSE))"),"Valk")</f>
        <v>Valk</v>
      </c>
    </row>
    <row r="26">
      <c r="B26" s="181"/>
      <c r="C26" s="90">
        <f>IFERROR(__xludf.DUMMYFUNCTION("IF(ISBLANK(C24),"""",HLOOKUP(REGEXEXTRACT(C24,"".*-(.*)""),INDIRECT(CONCATENATE(REGEXEXTRACT(C24,""(.*)-.*""),""!C3:V"")),3,FALSE))"),1730.0)</f>
        <v>1730</v>
      </c>
      <c r="D26" s="90">
        <f>IFERROR(__xludf.DUMMYFUNCTION("IF(ISBLANK(D24),"""",HLOOKUP(REGEXEXTRACT(D24,"".*-(.*)""),INDIRECT(CONCATENATE(REGEXEXTRACT(D24,""(.*)-.*""),""!C3:V"")),3,FALSE))"),1750.0)</f>
        <v>1750</v>
      </c>
      <c r="E26" s="90">
        <f>IFERROR(__xludf.DUMMYFUNCTION("IF(ISBLANK(E24),"""",HLOOKUP(REGEXEXTRACT(E24,"".*-(.*)""),INDIRECT(CONCATENATE(REGEXEXTRACT(E24,""(.*)-.*""),""!C3:V"")),3,FALSE))"),1750.0)</f>
        <v>1750</v>
      </c>
      <c r="F26" s="93">
        <f>IFERROR(__xludf.DUMMYFUNCTION("IF(ISBLANK(F24),"""",HLOOKUP(REGEXEXTRACT(F24,"".*-(.*)""),INDIRECT(CONCATENATE(REGEXEXTRACT(F24,""(.*)-.*""),""!C3:V"")),3,FALSE))"),1750.0)</f>
        <v>1750</v>
      </c>
      <c r="I26" s="162"/>
      <c r="J26" s="90"/>
      <c r="K26" s="90">
        <f>IFERROR(__xludf.DUMMYFUNCTION("IF(ISBLANK(K24),"""",HLOOKUP(REGEXEXTRACT(K24,"".*-(.*)""),INDIRECT(CONCATENATE(REGEXEXTRACT(K24,""(.*)-.*""),""!C3:V"")),3,FALSE))"),1750.0)</f>
        <v>1750</v>
      </c>
      <c r="L26" s="90">
        <f>IFERROR(__xludf.DUMMYFUNCTION("IF(ISBLANK(L24),"""",HLOOKUP(REGEXEXTRACT(L24,"".*-(.*)""),INDIRECT(CONCATENATE(REGEXEXTRACT(L24,""(.*)-.*""),""!C3:V"")),3,FALSE))"),1750.0)</f>
        <v>1750</v>
      </c>
      <c r="M26" s="93">
        <f>IFERROR(__xludf.DUMMYFUNCTION("IF(ISBLANK(M24),"""",HLOOKUP(REGEXEXTRACT(M24,"".*-(.*)""),INDIRECT(CONCATENATE(REGEXEXTRACT(M24,""(.*)-.*""),""!C3:V"")),3,FALSE))"),1750.0)</f>
        <v>1750</v>
      </c>
    </row>
    <row r="28">
      <c r="A28" s="182"/>
      <c r="H28" s="151"/>
    </row>
    <row r="29">
      <c r="A29" s="182"/>
    </row>
    <row r="30">
      <c r="A30" s="182"/>
    </row>
    <row r="35">
      <c r="E35" s="7" t="s">
        <v>210</v>
      </c>
    </row>
    <row r="43">
      <c r="E43" s="7" t="s">
        <v>211</v>
      </c>
    </row>
  </sheetData>
  <mergeCells count="13">
    <mergeCell ref="A16:A18"/>
    <mergeCell ref="A20:A22"/>
    <mergeCell ref="A24:A26"/>
    <mergeCell ref="H20:H22"/>
    <mergeCell ref="H24:H26"/>
    <mergeCell ref="H28:H30"/>
    <mergeCell ref="A4:A6"/>
    <mergeCell ref="H4:H6"/>
    <mergeCell ref="A8:A10"/>
    <mergeCell ref="H8:H10"/>
    <mergeCell ref="A12:A14"/>
    <mergeCell ref="H12:H14"/>
    <mergeCell ref="H16:H18"/>
  </mergeCells>
  <conditionalFormatting sqref="A4:A6 H4:H6 A8:A10 H8:H10 A12:A14 H12:H14 A16:A18 H16:H18 A20:A22 H20:H22 A24:A26 H24:H26 A28:A30 H28:H30">
    <cfRule type="cellIs" dxfId="0" priority="1" operator="equal">
      <formula>"DONE"</formula>
    </cfRule>
  </conditionalFormatting>
  <conditionalFormatting sqref="A4:A6 H4:H6 A8:A10 H8:H10 A12:A14 H12:H14 A16:A18 H16:H18 A20:A22 H20:H22 A24:A26 H24:H26 A28:A30 H28:H30">
    <cfRule type="containsBlanks" dxfId="4" priority="2">
      <formula>LEN(TRIM(A4))=0</formula>
    </cfRule>
  </conditionalFormatting>
  <dataValidations>
    <dataValidation type="list" allowBlank="1" showErrorMessage="1" sqref="C4:F4 J4:M4 C8:F8 J8:M8 C12:F12 J12:M12 C16:F16 J16:M16 C20:F20 J20:M20 C24:F24 J24:M24">
      <formula1>chars!$B$2:$Z976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38"/>
    <col customWidth="1" min="3" max="6" width="18.13"/>
    <col customWidth="1" hidden="1" min="7" max="7" width="18.13"/>
    <col customWidth="1" min="8" max="9" width="13.63"/>
    <col customWidth="1" min="10" max="13" width="18.13"/>
  </cols>
  <sheetData>
    <row r="4">
      <c r="A4" s="143" t="s">
        <v>0</v>
      </c>
      <c r="B4" s="144" t="s">
        <v>197</v>
      </c>
      <c r="C4" s="72" t="s">
        <v>53</v>
      </c>
      <c r="D4" s="73" t="s">
        <v>4</v>
      </c>
      <c r="E4" s="73" t="s">
        <v>75</v>
      </c>
      <c r="F4" s="74" t="s">
        <v>149</v>
      </c>
      <c r="H4" s="143" t="s">
        <v>0</v>
      </c>
      <c r="I4" s="145" t="s">
        <v>197</v>
      </c>
      <c r="J4" s="72" t="s">
        <v>169</v>
      </c>
      <c r="K4" s="73" t="s">
        <v>147</v>
      </c>
      <c r="L4" s="73" t="s">
        <v>171</v>
      </c>
      <c r="M4" s="74" t="s">
        <v>172</v>
      </c>
    </row>
    <row r="5">
      <c r="B5" s="146" t="s">
        <v>198</v>
      </c>
      <c r="C5" s="80" t="str">
        <f>IFERROR(__xludf.DUMMYFUNCTION("IF(ISBLANK(C4),"""",HLOOKUP(REGEXEXTRACT(C4,"".*-(.*)""),INDIRECT(CONCATENATE(REGEXEXTRACT(C4,""(.*)-.*""),""!C3:V"")),2,FALSE))"),"Summoner")</f>
        <v>Summoner</v>
      </c>
      <c r="D5" s="80" t="str">
        <f>IFERROR(__xludf.DUMMYFUNCTION("IF(ISBLANK(D4),"""",HLOOKUP(REGEXEXTRACT(D4,"".*-(.*)""),INDIRECT(CONCATENATE(REGEXEXTRACT(D4,""(.*)-.*""),""!C3:V"")),2,FALSE))"),"Gunslinger")</f>
        <v>Gunslinger</v>
      </c>
      <c r="E5" s="80" t="str">
        <f>IFERROR(__xludf.DUMMYFUNCTION("IF(ISBLANK(E4),"""",HLOOKUP(REGEXEXTRACT(E4,"".*-(.*)""),INDIRECT(CONCATENATE(REGEXEXTRACT(E4,""(.*)-.*""),""!C3:V"")),2,FALSE))"),"BREAKER")</f>
        <v>BREAKER</v>
      </c>
      <c r="F5" s="83" t="str">
        <f>IFERROR(__xludf.DUMMYFUNCTION("IF(ISBLANK(F4),"""",HLOOKUP(REGEXEXTRACT(F4,"".*-(.*)""),INDIRECT(CONCATENATE(REGEXEXTRACT(F4,""(.*)-.*""),""!C3:V"")),2,FALSE))"),"Artist")</f>
        <v>Artist</v>
      </c>
      <c r="I5" s="147" t="s">
        <v>199</v>
      </c>
      <c r="J5" s="80" t="str">
        <f>IFERROR(__xludf.DUMMYFUNCTION("IF(ISBLANK(J4),"""",HLOOKUP(REGEXEXTRACT(J4,"".*-(.*)""),INDIRECT(CONCATENATE(REGEXEXTRACT(J4,""(.*)-.*""),""!C3:V"")),2,FALSE))"),"Shadowhunter")</f>
        <v>Shadowhunter</v>
      </c>
      <c r="K5" s="80" t="str">
        <f>IFERROR(__xludf.DUMMYFUNCTION("IF(ISBLANK(K4),"""",HLOOKUP(REGEXEXTRACT(K4,"".*-(.*)""),INDIRECT(CONCATENATE(REGEXEXTRACT(K4,""(.*)-.*""),""!C3:V"")),2,FALSE))"),"Slayer")</f>
        <v>Slayer</v>
      </c>
      <c r="L5" s="80" t="str">
        <f>IFERROR(__xludf.DUMMYFUNCTION("IF(ISBLANK(L4),"""",HLOOKUP(REGEXEXTRACT(L4,"".*-(.*)""),INDIRECT(CONCATENATE(REGEXEXTRACT(L4,""(.*)-.*""),""!C3:V"")),2,FALSE))"),"Arcana")</f>
        <v>Arcana</v>
      </c>
      <c r="M5" s="83" t="str">
        <f>IFERROR(__xludf.DUMMYFUNCTION("IF(ISBLANK(M4),"""",HLOOKUP(REGEXEXTRACT(M4,"".*-(.*)""),INDIRECT(CONCATENATE(REGEXEXTRACT(M4,""(.*)-.*""),""!C3:V"")),2,FALSE))"),"Bard")</f>
        <v>Bard</v>
      </c>
    </row>
    <row r="6">
      <c r="B6" s="148"/>
      <c r="C6" s="90">
        <f>IFERROR(__xludf.DUMMYFUNCTION("IF(ISBLANK(C4),"""",HLOOKUP(REGEXEXTRACT(C4,"".*-(.*)""),INDIRECT(CONCATENATE(REGEXEXTRACT(C4,""(.*)-.*""),""!C3:V"")),3,FALSE))"),1750.0)</f>
        <v>1750</v>
      </c>
      <c r="D6" s="90">
        <f>IFERROR(__xludf.DUMMYFUNCTION("IF(ISBLANK(D4),"""",HLOOKUP(REGEXEXTRACT(D4,"".*-(.*)""),INDIRECT(CONCATENATE(REGEXEXTRACT(D4,""(.*)-.*""),""!C3:V"")),3,FALSE))"),1750.0)</f>
        <v>1750</v>
      </c>
      <c r="E6" s="90">
        <f>IFERROR(__xludf.DUMMYFUNCTION("IF(ISBLANK(E4),"""",HLOOKUP(REGEXEXTRACT(E4,"".*-(.*)""),INDIRECT(CONCATENATE(REGEXEXTRACT(E4,""(.*)-.*""),""!C3:V"")),3,FALSE))"),1750.0)</f>
        <v>1750</v>
      </c>
      <c r="F6" s="93">
        <f>IFERROR(__xludf.DUMMYFUNCTION("IF(ISBLANK(F4),"""",HLOOKUP(REGEXEXTRACT(F4,"".*-(.*)""),INDIRECT(CONCATENATE(REGEXEXTRACT(F4,""(.*)-.*""),""!C3:V"")),3,FALSE))"),1750.0)</f>
        <v>1750</v>
      </c>
      <c r="I6" s="149"/>
      <c r="J6" s="90">
        <f>IFERROR(__xludf.DUMMYFUNCTION("IF(ISBLANK(J4),"""",HLOOKUP(REGEXEXTRACT(J4,"".*-(.*)""),INDIRECT(CONCATENATE(REGEXEXTRACT(J4,""(.*)-.*""),""!C3:V"")),3,FALSE))"),1750.0)</f>
        <v>1750</v>
      </c>
      <c r="K6" s="90">
        <f>IFERROR(__xludf.DUMMYFUNCTION("IF(ISBLANK(K4),"""",HLOOKUP(REGEXEXTRACT(K4,"".*-(.*)""),INDIRECT(CONCATENATE(REGEXEXTRACT(K4,""(.*)-.*""),""!C3:V"")),3,FALSE))"),1750.0)</f>
        <v>1750</v>
      </c>
      <c r="L6" s="90">
        <f>IFERROR(__xludf.DUMMYFUNCTION("IF(ISBLANK(L4),"""",HLOOKUP(REGEXEXTRACT(L4,"".*-(.*)""),INDIRECT(CONCATENATE(REGEXEXTRACT(L4,""(.*)-.*""),""!C3:V"")),3,FALSE))"),1690.0)</f>
        <v>1690</v>
      </c>
      <c r="M6" s="93">
        <f>IFERROR(__xludf.DUMMYFUNCTION("IF(ISBLANK(M4),"""",HLOOKUP(REGEXEXTRACT(M4,"".*-(.*)""),INDIRECT(CONCATENATE(REGEXEXTRACT(M4,""(.*)-.*""),""!C3:V"")),3,FALSE))"),1750.0)</f>
        <v>1750</v>
      </c>
    </row>
    <row r="8">
      <c r="A8" s="143" t="s">
        <v>0</v>
      </c>
      <c r="B8" s="144" t="s">
        <v>197</v>
      </c>
      <c r="C8" s="72" t="s">
        <v>112</v>
      </c>
      <c r="D8" s="73" t="s">
        <v>32</v>
      </c>
      <c r="E8" s="73" t="s">
        <v>113</v>
      </c>
      <c r="F8" s="74" t="s">
        <v>117</v>
      </c>
      <c r="H8" s="143"/>
      <c r="I8" s="150" t="s">
        <v>197</v>
      </c>
      <c r="J8" s="72" t="s">
        <v>37</v>
      </c>
      <c r="K8" s="73" t="s">
        <v>148</v>
      </c>
      <c r="L8" s="73" t="s">
        <v>164</v>
      </c>
      <c r="M8" s="74" t="s">
        <v>157</v>
      </c>
    </row>
    <row r="9">
      <c r="B9" s="146" t="s">
        <v>200</v>
      </c>
      <c r="C9" s="80" t="str">
        <f>IFERROR(__xludf.DUMMYFUNCTION("IF(ISBLANK(C8),"""",HLOOKUP(REGEXEXTRACT(C8,"".*-(.*)""),INDIRECT(CONCATENATE(REGEXEXTRACT(C8,""(.*)-.*""),""!C3:V"")),2,FALSE))"),"Wildsoul")</f>
        <v>Wildsoul</v>
      </c>
      <c r="D9" s="80" t="str">
        <f>IFERROR(__xludf.DUMMYFUNCTION("IF(ISBLANK(D8),"""",HLOOKUP(REGEXEXTRACT(D8,"".*-(.*)""),INDIRECT(CONCATENATE(REGEXEXTRACT(D8,""(.*)-.*""),""!C3:V"")),2,FALSE))"),"Glaivier")</f>
        <v>Glaivier</v>
      </c>
      <c r="E9" s="80" t="str">
        <f>IFERROR(__xludf.DUMMYFUNCTION("IF(ISBLANK(E8),"""",HLOOKUP(REGEXEXTRACT(E8,"".*-(.*)""),INDIRECT(CONCATENATE(REGEXEXTRACT(E8,""(.*)-.*""),""!C3:V"")),2,FALSE))"),"G")</f>
        <v>G</v>
      </c>
      <c r="F9" s="83" t="str">
        <f>IFERROR(__xludf.DUMMYFUNCTION("IF(ISBLANK(F8),"""",HLOOKUP(REGEXEXTRACT(F8,"".*-(.*)""),INDIRECT(CONCATENATE(REGEXEXTRACT(F8,""(.*)-.*""),""!C3:V"")),2,FALSE))"),"Artist")</f>
        <v>Artist</v>
      </c>
      <c r="I9" s="152" t="s">
        <v>200</v>
      </c>
      <c r="J9" s="80" t="str">
        <f>IFERROR(__xludf.DUMMYFUNCTION("IF(ISBLANK(J8),"""",HLOOKUP(REGEXEXTRACT(J8,"".*-(.*)""),INDIRECT(CONCATENATE(REGEXEXTRACT(J8,""(.*)-.*""),""!C3:V"")),2,FALSE))"),"Guardianknight")</f>
        <v>Guardianknight</v>
      </c>
      <c r="K9" s="80" t="str">
        <f>IFERROR(__xludf.DUMMYFUNCTION("IF(ISBLANK(K8),"""",HLOOKUP(REGEXEXTRACT(K8,"".*-(.*)""),INDIRECT(CONCATENATE(REGEXEXTRACT(K8,""(.*)-.*""),""!C3:V"")),2,FALSE))"),"Scrapper")</f>
        <v>Scrapper</v>
      </c>
      <c r="L9" s="80" t="str">
        <f>IFERROR(__xludf.DUMMYFUNCTION("IF(ISBLANK(L8),"""",HLOOKUP(REGEXEXTRACT(L8,"".*-(.*)""),INDIRECT(CONCATENATE(REGEXEXTRACT(L8,""(.*)-.*""),""!C3:V"")),2,FALSE))"),"Valk")</f>
        <v>Valk</v>
      </c>
      <c r="M9" s="83" t="str">
        <f>IFERROR(__xludf.DUMMYFUNCTION("IF(ISBLANK(M8),"""",HLOOKUP(REGEXEXTRACT(M8,"".*-(.*)""),INDIRECT(CONCATENATE(REGEXEXTRACT(M8,""(.*)-.*""),""!C3:V"")),2,FALSE))"),"Valk")</f>
        <v>Valk</v>
      </c>
    </row>
    <row r="10">
      <c r="B10" s="148"/>
      <c r="C10" s="90">
        <f>IFERROR(__xludf.DUMMYFUNCTION("IF(ISBLANK(C8),"""",HLOOKUP(REGEXEXTRACT(C8,"".*-(.*)""),INDIRECT(CONCATENATE(REGEXEXTRACT(C8,""(.*)-.*""),""!C3:V"")),3,FALSE))"),1750.0)</f>
        <v>1750</v>
      </c>
      <c r="D10" s="90">
        <f>IFERROR(__xludf.DUMMYFUNCTION("IF(ISBLANK(D8),"""",HLOOKUP(REGEXEXTRACT(D8,"".*-(.*)""),INDIRECT(CONCATENATE(REGEXEXTRACT(D8,""(.*)-.*""),""!C3:V"")),3,FALSE))"),1750.0)</f>
        <v>1750</v>
      </c>
      <c r="E10" s="90">
        <f>IFERROR(__xludf.DUMMYFUNCTION("IF(ISBLANK(E8),"""",HLOOKUP(REGEXEXTRACT(E8,"".*-(.*)""),INDIRECT(CONCATENATE(REGEXEXTRACT(E8,""(.*)-.*""),""!C3:V"")),3,FALSE))"),1750.0)</f>
        <v>1750</v>
      </c>
      <c r="F10" s="93">
        <f>IFERROR(__xludf.DUMMYFUNCTION("IF(ISBLANK(F8),"""",HLOOKUP(REGEXEXTRACT(F8,"".*-(.*)""),INDIRECT(CONCATENATE(REGEXEXTRACT(F8,""(.*)-.*""),""!C3:V"")),3,FALSE))"),1730.0)</f>
        <v>1730</v>
      </c>
      <c r="I10" s="153"/>
      <c r="J10" s="90">
        <f>IFERROR(__xludf.DUMMYFUNCTION("IF(ISBLANK(J8),"""",HLOOKUP(REGEXEXTRACT(J8,"".*-(.*)""),INDIRECT(CONCATENATE(REGEXEXTRACT(J8,""(.*)-.*""),""!C3:V"")),3,FALSE))"),1750.0)</f>
        <v>1750</v>
      </c>
      <c r="K10" s="90">
        <f>IFERROR(__xludf.DUMMYFUNCTION("IF(ISBLANK(K8),"""",HLOOKUP(REGEXEXTRACT(K8,"".*-(.*)""),INDIRECT(CONCATENATE(REGEXEXTRACT(K8,""(.*)-.*""),""!C3:V"")),3,FALSE))"),1700.0)</f>
        <v>1700</v>
      </c>
      <c r="L10" s="90">
        <f>IFERROR(__xludf.DUMMYFUNCTION("IF(ISBLANK(L8),"""",HLOOKUP(REGEXEXTRACT(L8,"".*-(.*)""),INDIRECT(CONCATENATE(REGEXEXTRACT(L8,""(.*)-.*""),""!C3:V"")),3,FALSE))"),1750.0)</f>
        <v>1750</v>
      </c>
      <c r="M10" s="93">
        <f>IFERROR(__xludf.DUMMYFUNCTION("IF(ISBLANK(M8),"""",HLOOKUP(REGEXEXTRACT(M8,"".*-(.*)""),INDIRECT(CONCATENATE(REGEXEXTRACT(M8,""(.*)-.*""),""!C3:V"")),3,FALSE))"),1750.0)</f>
        <v>1750</v>
      </c>
    </row>
    <row r="11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5"/>
      <c r="L11" s="154"/>
      <c r="M11" s="154"/>
      <c r="N11" s="154"/>
    </row>
    <row r="12">
      <c r="A12" s="143" t="s">
        <v>0</v>
      </c>
      <c r="B12" s="144" t="s">
        <v>201</v>
      </c>
      <c r="C12" s="72" t="s">
        <v>73</v>
      </c>
      <c r="D12" s="73" t="s">
        <v>14</v>
      </c>
      <c r="E12" s="73" t="s">
        <v>82</v>
      </c>
      <c r="F12" s="74" t="s">
        <v>158</v>
      </c>
      <c r="H12" s="143" t="s">
        <v>0</v>
      </c>
      <c r="I12" s="145" t="s">
        <v>201</v>
      </c>
      <c r="J12" s="72" t="s">
        <v>131</v>
      </c>
      <c r="K12" s="73" t="s">
        <v>160</v>
      </c>
      <c r="L12" s="73" t="s">
        <v>118</v>
      </c>
      <c r="M12" s="74" t="s">
        <v>69</v>
      </c>
    </row>
    <row r="13">
      <c r="B13" s="146" t="s">
        <v>200</v>
      </c>
      <c r="C13" s="80" t="str">
        <f>IFERROR(__xludf.DUMMYFUNCTION("IF(ISBLANK(C12),"""",HLOOKUP(REGEXEXTRACT(C12,"".*-(.*)""),INDIRECT(CONCATENATE(REGEXEXTRACT(C12,""(.*)-.*""),""!C3:V"")),2,FALSE))"),"Souleater")</f>
        <v>Souleater</v>
      </c>
      <c r="D13" s="80" t="str">
        <f>IFERROR(__xludf.DUMMYFUNCTION("IF(ISBLANK(D12),"""",HLOOKUP(REGEXEXTRACT(D12,"".*-(.*)""),INDIRECT(CONCATENATE(REGEXEXTRACT(D12,""(.*)-.*""),""!C3:V"")),2,FALSE))"),"Sorceress")</f>
        <v>Sorceress</v>
      </c>
      <c r="E13" s="80" t="str">
        <f>IFERROR(__xludf.DUMMYFUNCTION("IF(ISBLANK(E12),"""",HLOOKUP(REGEXEXTRACT(E12,"".*-(.*)""),INDIRECT(CONCATENATE(REGEXEXTRACT(E12,""(.*)-.*""),""!C3:V"")),2,FALSE))"),"Bonk")</f>
        <v>Bonk</v>
      </c>
      <c r="F13" s="83" t="str">
        <f>IFERROR(__xludf.DUMMYFUNCTION("IF(ISBLANK(F12),"""",HLOOKUP(REGEXEXTRACT(F12,"".*-(.*)""),INDIRECT(CONCATENATE(REGEXEXTRACT(F12,""(.*)-.*""),""!C3:V"")),2,FALSE))"),"Artist")</f>
        <v>Artist</v>
      </c>
      <c r="I13" s="147" t="s">
        <v>200</v>
      </c>
      <c r="J13" s="80" t="str">
        <f>IFERROR(__xludf.DUMMYFUNCTION("IF(ISBLANK(J12),"""",HLOOKUP(REGEXEXTRACT(J12,"".*-(.*)""),INDIRECT(CONCATENATE(REGEXEXTRACT(J12,""(.*)-.*""),""!C3:V"")),2,FALSE))"),"Glaivier")</f>
        <v>Glaivier</v>
      </c>
      <c r="K13" s="80" t="str">
        <f>IFERROR(__xludf.DUMMYFUNCTION("IF(ISBLANK(K12),"""",HLOOKUP(REGEXEXTRACT(K12,"".*-(.*)""),INDIRECT(CONCATENATE(REGEXEXTRACT(K12,""(.*)-.*""),""!C3:V"")),2,FALSE))"),"Deathblade")</f>
        <v>Deathblade</v>
      </c>
      <c r="L13" s="80" t="str">
        <f>IFERROR(__xludf.DUMMYFUNCTION("IF(ISBLANK(L12),"""",HLOOKUP(REGEXEXTRACT(L12,"".*-(.*)""),INDIRECT(CONCATENATE(REGEXEXTRACT(L12,""(.*)-.*""),""!C3:V"")),2,FALSE))"),"Arcana")</f>
        <v>Arcana</v>
      </c>
      <c r="M13" s="83" t="str">
        <f>IFERROR(__xludf.DUMMYFUNCTION("IF(ISBLANK(M12),"""",HLOOKUP(REGEXEXTRACT(M12,"".*-(.*)""),INDIRECT(CONCATENATE(REGEXEXTRACT(M12,""(.*)-.*""),""!C3:V"")),2,FALSE))"),"Bard")</f>
        <v>Bard</v>
      </c>
    </row>
    <row r="14">
      <c r="B14" s="148"/>
      <c r="C14" s="90">
        <f>IFERROR(__xludf.DUMMYFUNCTION("IF(ISBLANK(C12),"""",HLOOKUP(REGEXEXTRACT(C12,"".*-(.*)""),INDIRECT(CONCATENATE(REGEXEXTRACT(C12,""(.*)-.*""),""!C3:V"")),3,FALSE))"),1750.0)</f>
        <v>1750</v>
      </c>
      <c r="D14" s="90">
        <f>IFERROR(__xludf.DUMMYFUNCTION("IF(ISBLANK(D12),"""",HLOOKUP(REGEXEXTRACT(D12,"".*-(.*)""),INDIRECT(CONCATENATE(REGEXEXTRACT(D12,""(.*)-.*""),""!C3:V"")),3,FALSE))"),1750.0)</f>
        <v>1750</v>
      </c>
      <c r="E14" s="90">
        <f>IFERROR(__xludf.DUMMYFUNCTION("IF(ISBLANK(E12),"""",HLOOKUP(REGEXEXTRACT(E12,"".*-(.*)""),INDIRECT(CONCATENATE(REGEXEXTRACT(E12,""(.*)-.*""),""!C3:V"")),3,FALSE))"),1750.0)</f>
        <v>1750</v>
      </c>
      <c r="F14" s="93">
        <f>IFERROR(__xludf.DUMMYFUNCTION("IF(ISBLANK(F12),"""",HLOOKUP(REGEXEXTRACT(F12,"".*-(.*)""),INDIRECT(CONCATENATE(REGEXEXTRACT(F12,""(.*)-.*""),""!C3:V"")),3,FALSE))"),1750.0)</f>
        <v>1750</v>
      </c>
      <c r="I14" s="149"/>
      <c r="J14" s="90">
        <f>IFERROR(__xludf.DUMMYFUNCTION("IF(ISBLANK(J12),"""",HLOOKUP(REGEXEXTRACT(J12,"".*-(.*)""),INDIRECT(CONCATENATE(REGEXEXTRACT(J12,""(.*)-.*""),""!C3:V"")),3,FALSE))"),1750.0)</f>
        <v>1750</v>
      </c>
      <c r="K14" s="90">
        <f>IFERROR(__xludf.DUMMYFUNCTION("IF(ISBLANK(K12),"""",HLOOKUP(REGEXEXTRACT(K12,"".*-(.*)""),INDIRECT(CONCATENATE(REGEXEXTRACT(K12,""(.*)-.*""),""!C3:V"")),3,FALSE))"),1750.0)</f>
        <v>1750</v>
      </c>
      <c r="L14" s="90">
        <f>IFERROR(__xludf.DUMMYFUNCTION("IF(ISBLANK(L12),"""",HLOOKUP(REGEXEXTRACT(L12,"".*-(.*)""),INDIRECT(CONCATENATE(REGEXEXTRACT(L12,""(.*)-.*""),""!C3:V"")),3,FALSE))"),1750.0)</f>
        <v>1750</v>
      </c>
      <c r="M14" s="93">
        <f>IFERROR(__xludf.DUMMYFUNCTION("IF(ISBLANK(M12),"""",HLOOKUP(REGEXEXTRACT(M12,"".*-(.*)""),INDIRECT(CONCATENATE(REGEXEXTRACT(M12,""(.*)-.*""),""!C3:V"")),3,FALSE))"),1700.0)</f>
        <v>1700</v>
      </c>
    </row>
    <row r="16">
      <c r="A16" s="183" t="s">
        <v>0</v>
      </c>
      <c r="B16" s="176" t="s">
        <v>201</v>
      </c>
      <c r="C16" s="73" t="s">
        <v>24</v>
      </c>
      <c r="D16" s="73" t="s">
        <v>70</v>
      </c>
      <c r="E16" s="73" t="s">
        <v>106</v>
      </c>
      <c r="F16" s="74" t="s">
        <v>170</v>
      </c>
      <c r="H16" s="143" t="s">
        <v>0</v>
      </c>
      <c r="I16" s="160" t="s">
        <v>201</v>
      </c>
      <c r="J16" s="72" t="s">
        <v>107</v>
      </c>
      <c r="K16" s="73" t="s">
        <v>43</v>
      </c>
      <c r="L16" s="73" t="s">
        <v>159</v>
      </c>
      <c r="M16" s="74" t="s">
        <v>166</v>
      </c>
    </row>
    <row r="17">
      <c r="A17" s="184"/>
      <c r="B17" s="177" t="s">
        <v>200</v>
      </c>
      <c r="C17" s="80" t="str">
        <f>IFERROR(__xludf.DUMMYFUNCTION("IF(ISBLANK(C16),"""",HLOOKUP(REGEXEXTRACT(C16,"".*-(.*)""),INDIRECT(CONCATENATE(REGEXEXTRACT(C16,""(.*)-.*""),""!C3:V"")),2,FALSE))"),"Slayer")</f>
        <v>Slayer</v>
      </c>
      <c r="D17" s="80" t="str">
        <f>IFERROR(__xludf.DUMMYFUNCTION("IF(ISBLANK(D16),"""",HLOOKUP(REGEXEXTRACT(D16,"".*-(.*)""),INDIRECT(CONCATENATE(REGEXEXTRACT(D16,""(.*)-.*""),""!C3:V"")),2,FALSE))"),"GL")</f>
        <v>GL</v>
      </c>
      <c r="E17" s="100" t="s">
        <v>173</v>
      </c>
      <c r="F17" s="83" t="str">
        <f>IFERROR(__xludf.DUMMYFUNCTION("IF(ISBLANK(F16),"""",HLOOKUP(REGEXEXTRACT(F16,"".*-(.*)""),INDIRECT(CONCATENATE(REGEXEXTRACT(F16,""(.*)-.*""),""!C3:V"")),2,FALSE))"),"Bard")</f>
        <v>Bard</v>
      </c>
      <c r="I17" s="161" t="s">
        <v>200</v>
      </c>
      <c r="J17" s="100" t="s">
        <v>204</v>
      </c>
      <c r="K17" s="80" t="str">
        <f>IFERROR(__xludf.DUMMYFUNCTION("IF(ISBLANK(K16),"""",HLOOKUP(REGEXEXTRACT(K16,"".*-(.*)""),INDIRECT(CONCATENATE(REGEXEXTRACT(K16,""(.*)-.*""),""!C3:V"")),2,FALSE))"),"Soulfist")</f>
        <v>Soulfist</v>
      </c>
      <c r="L17" s="80" t="str">
        <f>IFERROR(__xludf.DUMMYFUNCTION("IF(ISBLANK(L16),"""",HLOOKUP(REGEXEXTRACT(L16,"".*-(.*)""),INDIRECT(CONCATENATE(REGEXEXTRACT(L16,""(.*)-.*""),""!C3:V"")),2,FALSE))"),"Glaivier")</f>
        <v>Glaivier</v>
      </c>
      <c r="M17" s="83" t="str">
        <f>IFERROR(__xludf.DUMMYFUNCTION("IF(ISBLANK(M16),"""",HLOOKUP(REGEXEXTRACT(M16,"".*-(.*)""),INDIRECT(CONCATENATE(REGEXEXTRACT(M16,""(.*)-.*""),""!C3:V"")),2,FALSE))"),"Valk")</f>
        <v>Valk</v>
      </c>
    </row>
    <row r="18">
      <c r="A18" s="184"/>
      <c r="B18" s="178"/>
      <c r="C18" s="90">
        <f>IFERROR(__xludf.DUMMYFUNCTION("IF(ISBLANK(C16),"""",HLOOKUP(REGEXEXTRACT(C16,"".*-(.*)""),INDIRECT(CONCATENATE(REGEXEXTRACT(C16,""(.*)-.*""),""!C3:V"")),3,FALSE))"),1750.0)</f>
        <v>1750</v>
      </c>
      <c r="D18" s="90">
        <f>IFERROR(__xludf.DUMMYFUNCTION("IF(ISBLANK(D16),"""",HLOOKUP(REGEXEXTRACT(D16,"".*-(.*)""),INDIRECT(CONCATENATE(REGEXEXTRACT(D16,""(.*)-.*""),""!C3:V"")),3,FALSE))"),1750.0)</f>
        <v>1750</v>
      </c>
      <c r="E18" s="90"/>
      <c r="F18" s="93">
        <f>IFERROR(__xludf.DUMMYFUNCTION("IF(ISBLANK(F16),"""",HLOOKUP(REGEXEXTRACT(F16,"".*-(.*)""),INDIRECT(CONCATENATE(REGEXEXTRACT(F16,""(.*)-.*""),""!C3:V"")),3,FALSE))"),1750.0)</f>
        <v>1750</v>
      </c>
      <c r="I18" s="162"/>
      <c r="J18" s="90"/>
      <c r="K18" s="90">
        <f>IFERROR(__xludf.DUMMYFUNCTION("IF(ISBLANK(K16),"""",HLOOKUP(REGEXEXTRACT(K16,"".*-(.*)""),INDIRECT(CONCATENATE(REGEXEXTRACT(K16,""(.*)-.*""),""!C3:V"")),3,FALSE))"),1750.0)</f>
        <v>1750</v>
      </c>
      <c r="L18" s="90">
        <f>IFERROR(__xludf.DUMMYFUNCTION("IF(ISBLANK(L16),"""",HLOOKUP(REGEXEXTRACT(L16,"".*-(.*)""),INDIRECT(CONCATENATE(REGEXEXTRACT(L16,""(.*)-.*""),""!C3:V"")),3,FALSE))"),1750.0)</f>
        <v>1750</v>
      </c>
      <c r="M18" s="93">
        <f>IFERROR(__xludf.DUMMYFUNCTION("IF(ISBLANK(M16),"""",HLOOKUP(REGEXEXTRACT(M16,"".*-(.*)""),INDIRECT(CONCATENATE(REGEXEXTRACT(M16,""(.*)-.*""),""!C3:V"")),3,FALSE))"),1750.0)</f>
        <v>1750</v>
      </c>
    </row>
    <row r="20">
      <c r="A20" s="143" t="s">
        <v>0</v>
      </c>
      <c r="B20" s="179" t="s">
        <v>201</v>
      </c>
      <c r="C20" s="72" t="s">
        <v>130</v>
      </c>
      <c r="D20" s="73" t="s">
        <v>144</v>
      </c>
      <c r="E20" s="73" t="s">
        <v>146</v>
      </c>
      <c r="F20" s="74" t="s">
        <v>80</v>
      </c>
      <c r="H20" s="143" t="s">
        <v>0</v>
      </c>
      <c r="I20" s="160" t="s">
        <v>201</v>
      </c>
      <c r="J20" s="72" t="s">
        <v>107</v>
      </c>
      <c r="K20" s="73" t="s">
        <v>206</v>
      </c>
      <c r="L20" s="73" t="s">
        <v>115</v>
      </c>
      <c r="M20" s="74" t="s">
        <v>143</v>
      </c>
    </row>
    <row r="21">
      <c r="B21" s="180" t="s">
        <v>200</v>
      </c>
      <c r="C21" s="80" t="str">
        <f>IFERROR(__xludf.DUMMYFUNCTION("IF(ISBLANK(C20),"""",HLOOKUP(REGEXEXTRACT(C20,"".*-(.*)""),INDIRECT(CONCATENATE(REGEXEXTRACT(C20,""(.*)-.*""),""!C3:V"")),2,FALSE))"),"Aeromancer")</f>
        <v>Aeromancer</v>
      </c>
      <c r="D21" s="80" t="str">
        <f>IFERROR(__xludf.DUMMYFUNCTION("IF(ISBLANK(D20),"""",HLOOKUP(REGEXEXTRACT(D20,"".*-(.*)""),INDIRECT(CONCATENATE(REGEXEXTRACT(D20,""(.*)-.*""),""!C3:V"")),2,FALSE))"),"Souleater")</f>
        <v>Souleater</v>
      </c>
      <c r="E21" s="80" t="str">
        <f>IFERROR(__xludf.DUMMYFUNCTION("IF(ISBLANK(E20),"""",HLOOKUP(REGEXEXTRACT(E20,"".*-(.*)""),INDIRECT(CONCATENATE(REGEXEXTRACT(E20,""(.*)-.*""),""!C3:V"")),2,FALSE))"),"Guardianknight")</f>
        <v>Guardianknight</v>
      </c>
      <c r="F21" s="83" t="str">
        <f>IFERROR(__xludf.DUMMYFUNCTION("IF(ISBLANK(F20),"""",HLOOKUP(REGEXEXTRACT(F20,"".*-(.*)""),INDIRECT(CONCATENATE(REGEXEXTRACT(F20,""(.*)-.*""),""!C3:V"")),2,FALSE))"),"Paladin")</f>
        <v>Paladin</v>
      </c>
      <c r="I21" s="161" t="s">
        <v>200</v>
      </c>
      <c r="J21" s="100" t="s">
        <v>209</v>
      </c>
      <c r="K21" s="80" t="str">
        <f>IFERROR(__xludf.DUMMYFUNCTION("IF(ISBLANK(K20),"""",HLOOKUP(REGEXEXTRACT(K20,"".*-(.*)""),INDIRECT(CONCATENATE(REGEXEXTRACT(K20,""(.*)-.*""),""!C3:V"")),2,FALSE))"),"Gunslinger")</f>
        <v>Gunslinger</v>
      </c>
      <c r="L21" s="80" t="str">
        <f>IFERROR(__xludf.DUMMYFUNCTION("IF(ISBLANK(L20),"""",HLOOKUP(REGEXEXTRACT(L20,"".*-(.*)""),INDIRECT(CONCATENATE(REGEXEXTRACT(L20,""(.*)-.*""),""!C3:V"")),2,FALSE))"),"Wildsoul")</f>
        <v>Wildsoul</v>
      </c>
      <c r="M21" s="83" t="str">
        <f>IFERROR(__xludf.DUMMYFUNCTION("IF(ISBLANK(M20),"""",HLOOKUP(REGEXEXTRACT(M20,"".*-(.*)""),INDIRECT(CONCATENATE(REGEXEXTRACT(M20,""(.*)-.*""),""!C3:V"")),2,FALSE))"),"Valk")</f>
        <v>Valk</v>
      </c>
    </row>
    <row r="22">
      <c r="B22" s="181"/>
      <c r="C22" s="90">
        <f>IFERROR(__xludf.DUMMYFUNCTION("IF(ISBLANK(C20),"""",HLOOKUP(REGEXEXTRACT(C20,"".*-(.*)""),INDIRECT(CONCATENATE(REGEXEXTRACT(C20,""(.*)-.*""),""!C3:V"")),3,FALSE))"),1750.0)</f>
        <v>1750</v>
      </c>
      <c r="D22" s="90">
        <f>IFERROR(__xludf.DUMMYFUNCTION("IF(ISBLANK(D20),"""",HLOOKUP(REGEXEXTRACT(D20,"".*-(.*)""),INDIRECT(CONCATENATE(REGEXEXTRACT(D20,""(.*)-.*""),""!C3:V"")),3,FALSE))"),1750.0)</f>
        <v>1750</v>
      </c>
      <c r="E22" s="90">
        <f>IFERROR(__xludf.DUMMYFUNCTION("IF(ISBLANK(E20),"""",HLOOKUP(REGEXEXTRACT(E20,"".*-(.*)""),INDIRECT(CONCATENATE(REGEXEXTRACT(E20,""(.*)-.*""),""!C3:V"")),3,FALSE))"),1750.0)</f>
        <v>1750</v>
      </c>
      <c r="F22" s="93">
        <f>IFERROR(__xludf.DUMMYFUNCTION("IF(ISBLANK(F20),"""",HLOOKUP(REGEXEXTRACT(F20,"".*-(.*)""),INDIRECT(CONCATENATE(REGEXEXTRACT(F20,""(.*)-.*""),""!C3:V"")),3,FALSE))"),1750.0)</f>
        <v>1750</v>
      </c>
      <c r="I22" s="162"/>
      <c r="J22" s="90"/>
      <c r="K22" s="90">
        <f>IFERROR(__xludf.DUMMYFUNCTION("IF(ISBLANK(K20),"""",HLOOKUP(REGEXEXTRACT(K20,"".*-(.*)""),INDIRECT(CONCATENATE(REGEXEXTRACT(K20,""(.*)-.*""),""!C3:V"")),3,FALSE))"),1750.0)</f>
        <v>1750</v>
      </c>
      <c r="L22" s="90">
        <f>IFERROR(__xludf.DUMMYFUNCTION("IF(ISBLANK(L20),"""",HLOOKUP(REGEXEXTRACT(L20,"".*-(.*)""),INDIRECT(CONCATENATE(REGEXEXTRACT(L20,""(.*)-.*""),""!C3:V"")),3,FALSE))"),1750.0)</f>
        <v>1750</v>
      </c>
      <c r="M22" s="93">
        <f>IFERROR(__xludf.DUMMYFUNCTION("IF(ISBLANK(M20),"""",HLOOKUP(REGEXEXTRACT(M20,"".*-(.*)""),INDIRECT(CONCATENATE(REGEXEXTRACT(M20,""(.*)-.*""),""!C3:V"")),3,FALSE))"),1750.0)</f>
        <v>1750</v>
      </c>
    </row>
    <row r="24">
      <c r="A24" s="143" t="s">
        <v>0</v>
      </c>
      <c r="B24" s="179" t="s">
        <v>201</v>
      </c>
      <c r="C24" s="72" t="s">
        <v>85</v>
      </c>
      <c r="D24" s="73" t="s">
        <v>161</v>
      </c>
      <c r="E24" s="73" t="s">
        <v>202</v>
      </c>
      <c r="F24" s="74" t="s">
        <v>54</v>
      </c>
      <c r="H24" s="143" t="s">
        <v>0</v>
      </c>
      <c r="I24" s="160" t="s">
        <v>201</v>
      </c>
      <c r="J24" s="72" t="s">
        <v>107</v>
      </c>
      <c r="K24" s="73" t="s">
        <v>49</v>
      </c>
      <c r="L24" s="73" t="s">
        <v>165</v>
      </c>
      <c r="M24" s="74" t="s">
        <v>162</v>
      </c>
    </row>
    <row r="25">
      <c r="B25" s="180" t="s">
        <v>200</v>
      </c>
      <c r="C25" s="80" t="str">
        <f>IFERROR(__xludf.DUMMYFUNCTION("IF(ISBLANK(C24),"""",HLOOKUP(REGEXEXTRACT(C24,"".*-(.*)""),INDIRECT(CONCATENATE(REGEXEXTRACT(C24,""(.*)-.*""),""!C3:V"")),2,FALSE))"),"Artill")</f>
        <v>Artill</v>
      </c>
      <c r="D25" s="80" t="str">
        <f>IFERROR(__xludf.DUMMYFUNCTION("IF(ISBLANK(D24),"""",HLOOKUP(REGEXEXTRACT(D24,"".*-(.*)""),INDIRECT(CONCATENATE(REGEXEXTRACT(D24,""(.*)-.*""),""!C3:V"")),2,FALSE))"),"Sorc")</f>
        <v>Sorc</v>
      </c>
      <c r="E25" s="80" t="str">
        <f>IFERROR(__xludf.DUMMYFUNCTION("IF(ISBLANK(E24),"""",HLOOKUP(REGEXEXTRACT(E24,"".*-(.*)""),INDIRECT(CONCATENATE(REGEXEXTRACT(E24,""(.*)-.*""),""!C3:V"")),2,FALSE))"),"Souleater")</f>
        <v>Souleater</v>
      </c>
      <c r="F25" s="83" t="str">
        <f>IFERROR(__xludf.DUMMYFUNCTION("IF(ISBLANK(F24),"""",HLOOKUP(REGEXEXTRACT(F24,"".*-(.*)""),INDIRECT(CONCATENATE(REGEXEXTRACT(F24,""(.*)-.*""),""!C3:V"")),2,FALSE))"),"Paladin")</f>
        <v>Paladin</v>
      </c>
      <c r="I25" s="161" t="s">
        <v>200</v>
      </c>
      <c r="J25" s="100" t="s">
        <v>203</v>
      </c>
      <c r="K25" s="80" t="str">
        <f>IFERROR(__xludf.DUMMYFUNCTION("IF(ISBLANK(K24),"""",HLOOKUP(REGEXEXTRACT(K24,"".*-(.*)""),INDIRECT(CONCATENATE(REGEXEXTRACT(K24,""(.*)-.*""),""!C3:V"")),2,FALSE))"),"Bard")</f>
        <v>Bard</v>
      </c>
      <c r="L25" s="80" t="str">
        <f>IFERROR(__xludf.DUMMYFUNCTION("IF(ISBLANK(L24),"""",HLOOKUP(REGEXEXTRACT(L24,"".*-(.*)""),INDIRECT(CONCATENATE(REGEXEXTRACT(L24,""(.*)-.*""),""!C3:V"")),2,FALSE))"),"Souleater")</f>
        <v>Souleater</v>
      </c>
      <c r="M25" s="83" t="str">
        <f>IFERROR(__xludf.DUMMYFUNCTION("IF(ISBLANK(M24),"""",HLOOKUP(REGEXEXTRACT(M24,"".*-(.*)""),INDIRECT(CONCATENATE(REGEXEXTRACT(M24,""(.*)-.*""),""!C3:V"")),2,FALSE))"),"Paladin")</f>
        <v>Paladin</v>
      </c>
    </row>
    <row r="26">
      <c r="B26" s="181"/>
      <c r="C26" s="90">
        <f>IFERROR(__xludf.DUMMYFUNCTION("IF(ISBLANK(C24),"""",HLOOKUP(REGEXEXTRACT(C24,"".*-(.*)""),INDIRECT(CONCATENATE(REGEXEXTRACT(C24,""(.*)-.*""),""!C3:V"")),3,FALSE))"),1750.0)</f>
        <v>1750</v>
      </c>
      <c r="D26" s="90">
        <f>IFERROR(__xludf.DUMMYFUNCTION("IF(ISBLANK(D24),"""",HLOOKUP(REGEXEXTRACT(D24,"".*-(.*)""),INDIRECT(CONCATENATE(REGEXEXTRACT(D24,""(.*)-.*""),""!C3:V"")),3,FALSE))"),1750.0)</f>
        <v>1750</v>
      </c>
      <c r="E26" s="90">
        <f>IFERROR(__xludf.DUMMYFUNCTION("IF(ISBLANK(E24),"""",HLOOKUP(REGEXEXTRACT(E24,"".*-(.*)""),INDIRECT(CONCATENATE(REGEXEXTRACT(E24,""(.*)-.*""),""!C3:V"")),3,FALSE))"),1750.0)</f>
        <v>1750</v>
      </c>
      <c r="F26" s="93">
        <f>IFERROR(__xludf.DUMMYFUNCTION("IF(ISBLANK(F24),"""",HLOOKUP(REGEXEXTRACT(F24,"".*-(.*)""),INDIRECT(CONCATENATE(REGEXEXTRACT(F24,""(.*)-.*""),""!C3:V"")),3,FALSE))"),1750.0)</f>
        <v>1750</v>
      </c>
      <c r="I26" s="162"/>
      <c r="J26" s="90"/>
      <c r="K26" s="90">
        <f>IFERROR(__xludf.DUMMYFUNCTION("IF(ISBLANK(K24),"""",HLOOKUP(REGEXEXTRACT(K24,"".*-(.*)""),INDIRECT(CONCATENATE(REGEXEXTRACT(K24,""(.*)-.*""),""!C3:V"")),3,FALSE))"),1730.0)</f>
        <v>1730</v>
      </c>
      <c r="L26" s="90">
        <f>IFERROR(__xludf.DUMMYFUNCTION("IF(ISBLANK(L24),"""",HLOOKUP(REGEXEXTRACT(L24,"".*-(.*)""),INDIRECT(CONCATENATE(REGEXEXTRACT(L24,""(.*)-.*""),""!C3:V"")),3,FALSE))"),1750.0)</f>
        <v>1750</v>
      </c>
      <c r="M26" s="93">
        <f>IFERROR(__xludf.DUMMYFUNCTION("IF(ISBLANK(M24),"""",HLOOKUP(REGEXEXTRACT(M24,"".*-(.*)""),INDIRECT(CONCATENATE(REGEXEXTRACT(M24,""(.*)-.*""),""!C3:V"")),3,FALSE))"),1750.0)</f>
        <v>1750</v>
      </c>
    </row>
    <row r="28">
      <c r="A28" s="182"/>
      <c r="H28" s="182"/>
    </row>
    <row r="29">
      <c r="A29" s="182"/>
      <c r="H29" s="182"/>
    </row>
    <row r="30">
      <c r="A30" s="182"/>
      <c r="H30" s="182"/>
    </row>
    <row r="35">
      <c r="E35" s="7" t="s">
        <v>210</v>
      </c>
    </row>
    <row r="43">
      <c r="E43" s="7" t="s">
        <v>211</v>
      </c>
    </row>
  </sheetData>
  <mergeCells count="12">
    <mergeCell ref="A16:A18"/>
    <mergeCell ref="A20:A22"/>
    <mergeCell ref="A24:A26"/>
    <mergeCell ref="H20:H22"/>
    <mergeCell ref="H24:H26"/>
    <mergeCell ref="A4:A6"/>
    <mergeCell ref="H4:H6"/>
    <mergeCell ref="A8:A10"/>
    <mergeCell ref="H8:H10"/>
    <mergeCell ref="A12:A14"/>
    <mergeCell ref="H12:H14"/>
    <mergeCell ref="H16:H18"/>
  </mergeCells>
  <conditionalFormatting sqref="A4:A6 H4:H6 A8:A10 H8:H10 A12:A14 H12:H14 A16:A18 H16:H18 A20:A22 H20:H22 A24:A26 H24:H26 A28:A30 H28:H30">
    <cfRule type="cellIs" dxfId="0" priority="1" operator="equal">
      <formula>"DONE"</formula>
    </cfRule>
  </conditionalFormatting>
  <conditionalFormatting sqref="A4:A6 H4:H6 A8:A10 H8:H10 A12:A14 H12:H14 A16:A18 H16:H18 A20:A22 H20:H22 A24:A26 H24:H26 A28:A30 H28:H30">
    <cfRule type="containsBlanks" dxfId="4" priority="2">
      <formula>LEN(TRIM(A4))=0</formula>
    </cfRule>
  </conditionalFormatting>
  <dataValidations>
    <dataValidation type="list" allowBlank="1" showErrorMessage="1" sqref="C4:F4 J4:M4 C8:F8 J8:M8 C12:F12 J12:M12 C16:F16 J16:M16 C20:F20 J20:M20 C24:F24 J24:M24">
      <formula1>chars!$B$2:$Z976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38"/>
    <col customWidth="1" min="3" max="6" width="18.13"/>
    <col customWidth="1" hidden="1" min="7" max="7" width="18.13"/>
    <col customWidth="1" min="8" max="8" width="13.63"/>
    <col customWidth="1" min="9" max="9" width="14.38"/>
    <col customWidth="1" min="10" max="13" width="18.13"/>
  </cols>
  <sheetData>
    <row r="4">
      <c r="A4" s="185"/>
      <c r="B4" s="144" t="s">
        <v>197</v>
      </c>
      <c r="C4" s="72" t="s">
        <v>112</v>
      </c>
      <c r="D4" s="73" t="s">
        <v>4</v>
      </c>
      <c r="E4" s="73" t="s">
        <v>75</v>
      </c>
      <c r="F4" s="74" t="s">
        <v>149</v>
      </c>
      <c r="H4" s="185"/>
      <c r="I4" s="145" t="s">
        <v>197</v>
      </c>
      <c r="J4" s="72" t="s">
        <v>169</v>
      </c>
      <c r="K4" s="73" t="s">
        <v>160</v>
      </c>
      <c r="L4" s="73" t="s">
        <v>107</v>
      </c>
      <c r="M4" s="74" t="s">
        <v>172</v>
      </c>
    </row>
    <row r="5">
      <c r="B5" s="146" t="s">
        <v>198</v>
      </c>
      <c r="C5" s="80" t="str">
        <f>IFERROR(__xludf.DUMMYFUNCTION("IF(ISBLANK(C4),"""",HLOOKUP(REGEXEXTRACT(C4,"".*-(.*)""),INDIRECT(CONCATENATE(REGEXEXTRACT(C4,""(.*)-.*""),""!C3:V"")),2,FALSE))"),"Wildsoul")</f>
        <v>Wildsoul</v>
      </c>
      <c r="D5" s="80" t="str">
        <f>IFERROR(__xludf.DUMMYFUNCTION("IF(ISBLANK(D4),"""",HLOOKUP(REGEXEXTRACT(D4,"".*-(.*)""),INDIRECT(CONCATENATE(REGEXEXTRACT(D4,""(.*)-.*""),""!C3:V"")),2,FALSE))"),"Gunslinger")</f>
        <v>Gunslinger</v>
      </c>
      <c r="E5" s="80" t="str">
        <f>IFERROR(__xludf.DUMMYFUNCTION("IF(ISBLANK(E4),"""",HLOOKUP(REGEXEXTRACT(E4,"".*-(.*)""),INDIRECT(CONCATENATE(REGEXEXTRACT(E4,""(.*)-.*""),""!C3:V"")),2,FALSE))"),"BREAKER")</f>
        <v>BREAKER</v>
      </c>
      <c r="F5" s="83" t="str">
        <f>IFERROR(__xludf.DUMMYFUNCTION("IF(ISBLANK(F4),"""",HLOOKUP(REGEXEXTRACT(F4,"".*-(.*)""),INDIRECT(CONCATENATE(REGEXEXTRACT(F4,""(.*)-.*""),""!C3:V"")),2,FALSE))"),"Artist")</f>
        <v>Artist</v>
      </c>
      <c r="I5" s="147" t="s">
        <v>199</v>
      </c>
      <c r="J5" s="80" t="str">
        <f>IFERROR(__xludf.DUMMYFUNCTION("IF(ISBLANK(J4),"""",HLOOKUP(REGEXEXTRACT(J4,"".*-(.*)""),INDIRECT(CONCATENATE(REGEXEXTRACT(J4,""(.*)-.*""),""!C3:V"")),2,FALSE))"),"Shadowhunter")</f>
        <v>Shadowhunter</v>
      </c>
      <c r="K5" s="80" t="str">
        <f>IFERROR(__xludf.DUMMYFUNCTION("IF(ISBLANK(K4),"""",HLOOKUP(REGEXEXTRACT(K4,"".*-(.*)""),INDIRECT(CONCATENATE(REGEXEXTRACT(K4,""(.*)-.*""),""!C3:V"")),2,FALSE))"),"Deathblade")</f>
        <v>Deathblade</v>
      </c>
      <c r="L5" s="100" t="s">
        <v>212</v>
      </c>
      <c r="M5" s="83" t="str">
        <f>IFERROR(__xludf.DUMMYFUNCTION("IF(ISBLANK(M4),"""",HLOOKUP(REGEXEXTRACT(M4,"".*-(.*)""),INDIRECT(CONCATENATE(REGEXEXTRACT(M4,""(.*)-.*""),""!C3:V"")),2,FALSE))"),"Bard")</f>
        <v>Bard</v>
      </c>
    </row>
    <row r="6">
      <c r="B6" s="148"/>
      <c r="C6" s="90">
        <f>IFERROR(__xludf.DUMMYFUNCTION("IF(ISBLANK(C4),"""",HLOOKUP(REGEXEXTRACT(C4,"".*-(.*)""),INDIRECT(CONCATENATE(REGEXEXTRACT(C4,""(.*)-.*""),""!C3:V"")),3,FALSE))"),1750.0)</f>
        <v>1750</v>
      </c>
      <c r="D6" s="90">
        <f>IFERROR(__xludf.DUMMYFUNCTION("IF(ISBLANK(D4),"""",HLOOKUP(REGEXEXTRACT(D4,"".*-(.*)""),INDIRECT(CONCATENATE(REGEXEXTRACT(D4,""(.*)-.*""),""!C3:V"")),3,FALSE))"),1750.0)</f>
        <v>1750</v>
      </c>
      <c r="E6" s="90">
        <f>IFERROR(__xludf.DUMMYFUNCTION("IF(ISBLANK(E4),"""",HLOOKUP(REGEXEXTRACT(E4,"".*-(.*)""),INDIRECT(CONCATENATE(REGEXEXTRACT(E4,""(.*)-.*""),""!C3:V"")),3,FALSE))"),1750.0)</f>
        <v>1750</v>
      </c>
      <c r="F6" s="93">
        <f>IFERROR(__xludf.DUMMYFUNCTION("IF(ISBLANK(F4),"""",HLOOKUP(REGEXEXTRACT(F4,"".*-(.*)""),INDIRECT(CONCATENATE(REGEXEXTRACT(F4,""(.*)-.*""),""!C3:V"")),3,FALSE))"),1750.0)</f>
        <v>1750</v>
      </c>
      <c r="I6" s="149"/>
      <c r="J6" s="90">
        <f>IFERROR(__xludf.DUMMYFUNCTION("IF(ISBLANK(J4),"""",HLOOKUP(REGEXEXTRACT(J4,"".*-(.*)""),INDIRECT(CONCATENATE(REGEXEXTRACT(J4,""(.*)-.*""),""!C3:V"")),3,FALSE))"),1750.0)</f>
        <v>1750</v>
      </c>
      <c r="K6" s="90">
        <f>IFERROR(__xludf.DUMMYFUNCTION("IF(ISBLANK(K4),"""",HLOOKUP(REGEXEXTRACT(K4,"".*-(.*)""),INDIRECT(CONCATENATE(REGEXEXTRACT(K4,""(.*)-.*""),""!C3:V"")),3,FALSE))"),1750.0)</f>
        <v>1750</v>
      </c>
      <c r="L6" s="90"/>
      <c r="M6" s="93">
        <f>IFERROR(__xludf.DUMMYFUNCTION("IF(ISBLANK(M4),"""",HLOOKUP(REGEXEXTRACT(M4,"".*-(.*)""),INDIRECT(CONCATENATE(REGEXEXTRACT(M4,""(.*)-.*""),""!C3:V"")),3,FALSE))"),1750.0)</f>
        <v>1750</v>
      </c>
    </row>
    <row r="8">
      <c r="A8" s="185"/>
      <c r="B8" s="186" t="s">
        <v>197</v>
      </c>
      <c r="C8" s="72" t="s">
        <v>53</v>
      </c>
      <c r="D8" s="73" t="s">
        <v>32</v>
      </c>
      <c r="E8" s="73" t="s">
        <v>115</v>
      </c>
      <c r="F8" s="74" t="s">
        <v>117</v>
      </c>
      <c r="H8" s="185"/>
      <c r="I8" s="150" t="s">
        <v>197</v>
      </c>
      <c r="J8" s="72" t="s">
        <v>37</v>
      </c>
      <c r="K8" s="73" t="s">
        <v>202</v>
      </c>
      <c r="L8" s="73" t="s">
        <v>164</v>
      </c>
      <c r="M8" s="74" t="s">
        <v>157</v>
      </c>
    </row>
    <row r="9">
      <c r="B9" s="187" t="s">
        <v>200</v>
      </c>
      <c r="C9" s="80" t="str">
        <f>IFERROR(__xludf.DUMMYFUNCTION("IF(ISBLANK(C8),"""",HLOOKUP(REGEXEXTRACT(C8,"".*-(.*)""),INDIRECT(CONCATENATE(REGEXEXTRACT(C8,""(.*)-.*""),""!C3:V"")),2,FALSE))"),"Summoner")</f>
        <v>Summoner</v>
      </c>
      <c r="D9" s="80" t="str">
        <f>IFERROR(__xludf.DUMMYFUNCTION("IF(ISBLANK(D8),"""",HLOOKUP(REGEXEXTRACT(D8,"".*-(.*)""),INDIRECT(CONCATENATE(REGEXEXTRACT(D8,""(.*)-.*""),""!C3:V"")),2,FALSE))"),"Glaivier")</f>
        <v>Glaivier</v>
      </c>
      <c r="E9" s="80" t="str">
        <f>IFERROR(__xludf.DUMMYFUNCTION("IF(ISBLANK(E8),"""",HLOOKUP(REGEXEXTRACT(E8,"".*-(.*)""),INDIRECT(CONCATENATE(REGEXEXTRACT(E8,""(.*)-.*""),""!C3:V"")),2,FALSE))"),"Wildsoul")</f>
        <v>Wildsoul</v>
      </c>
      <c r="F9" s="83" t="str">
        <f>IFERROR(__xludf.DUMMYFUNCTION("IF(ISBLANK(F8),"""",HLOOKUP(REGEXEXTRACT(F8,"".*-(.*)""),INDIRECT(CONCATENATE(REGEXEXTRACT(F8,""(.*)-.*""),""!C3:V"")),2,FALSE))"),"Artist")</f>
        <v>Artist</v>
      </c>
      <c r="I9" s="152" t="s">
        <v>200</v>
      </c>
      <c r="J9" s="80" t="str">
        <f>IFERROR(__xludf.DUMMYFUNCTION("IF(ISBLANK(J8),"""",HLOOKUP(REGEXEXTRACT(J8,"".*-(.*)""),INDIRECT(CONCATENATE(REGEXEXTRACT(J8,""(.*)-.*""),""!C3:V"")),2,FALSE))"),"Guardianknight")</f>
        <v>Guardianknight</v>
      </c>
      <c r="K9" s="80" t="str">
        <f>IFERROR(__xludf.DUMMYFUNCTION("IF(ISBLANK(K8),"""",HLOOKUP(REGEXEXTRACT(K8,"".*-(.*)""),INDIRECT(CONCATENATE(REGEXEXTRACT(K8,""(.*)-.*""),""!C3:V"")),2,FALSE))"),"Souleater")</f>
        <v>Souleater</v>
      </c>
      <c r="L9" s="80" t="str">
        <f>IFERROR(__xludf.DUMMYFUNCTION("IF(ISBLANK(L8),"""",HLOOKUP(REGEXEXTRACT(L8,"".*-(.*)""),INDIRECT(CONCATENATE(REGEXEXTRACT(L8,""(.*)-.*""),""!C3:V"")),2,FALSE))"),"Valk")</f>
        <v>Valk</v>
      </c>
      <c r="M9" s="83" t="str">
        <f>IFERROR(__xludf.DUMMYFUNCTION("IF(ISBLANK(M8),"""",HLOOKUP(REGEXEXTRACT(M8,"".*-(.*)""),INDIRECT(CONCATENATE(REGEXEXTRACT(M8,""(.*)-.*""),""!C3:V"")),2,FALSE))"),"Valk")</f>
        <v>Valk</v>
      </c>
    </row>
    <row r="10">
      <c r="B10" s="188"/>
      <c r="C10" s="90">
        <f>IFERROR(__xludf.DUMMYFUNCTION("IF(ISBLANK(C8),"""",HLOOKUP(REGEXEXTRACT(C8,"".*-(.*)""),INDIRECT(CONCATENATE(REGEXEXTRACT(C8,""(.*)-.*""),""!C3:V"")),3,FALSE))"),1750.0)</f>
        <v>1750</v>
      </c>
      <c r="D10" s="90">
        <f>IFERROR(__xludf.DUMMYFUNCTION("IF(ISBLANK(D8),"""",HLOOKUP(REGEXEXTRACT(D8,"".*-(.*)""),INDIRECT(CONCATENATE(REGEXEXTRACT(D8,""(.*)-.*""),""!C3:V"")),3,FALSE))"),1750.0)</f>
        <v>1750</v>
      </c>
      <c r="E10" s="90">
        <f>IFERROR(__xludf.DUMMYFUNCTION("IF(ISBLANK(E8),"""",HLOOKUP(REGEXEXTRACT(E8,"".*-(.*)""),INDIRECT(CONCATENATE(REGEXEXTRACT(E8,""(.*)-.*""),""!C3:V"")),3,FALSE))"),1750.0)</f>
        <v>1750</v>
      </c>
      <c r="F10" s="93">
        <f>IFERROR(__xludf.DUMMYFUNCTION("IF(ISBLANK(F8),"""",HLOOKUP(REGEXEXTRACT(F8,"".*-(.*)""),INDIRECT(CONCATENATE(REGEXEXTRACT(F8,""(.*)-.*""),""!C3:V"")),3,FALSE))"),1730.0)</f>
        <v>1730</v>
      </c>
      <c r="I10" s="153"/>
      <c r="J10" s="90">
        <f>IFERROR(__xludf.DUMMYFUNCTION("IF(ISBLANK(J8),"""",HLOOKUP(REGEXEXTRACT(J8,"".*-(.*)""),INDIRECT(CONCATENATE(REGEXEXTRACT(J8,""(.*)-.*""),""!C3:V"")),3,FALSE))"),1750.0)</f>
        <v>1750</v>
      </c>
      <c r="K10" s="90">
        <f>IFERROR(__xludf.DUMMYFUNCTION("IF(ISBLANK(K8),"""",HLOOKUP(REGEXEXTRACT(K8,"".*-(.*)""),INDIRECT(CONCATENATE(REGEXEXTRACT(K8,""(.*)-.*""),""!C3:V"")),3,FALSE))"),1750.0)</f>
        <v>1750</v>
      </c>
      <c r="L10" s="90">
        <f>IFERROR(__xludf.DUMMYFUNCTION("IF(ISBLANK(L8),"""",HLOOKUP(REGEXEXTRACT(L8,"".*-(.*)""),INDIRECT(CONCATENATE(REGEXEXTRACT(L8,""(.*)-.*""),""!C3:V"")),3,FALSE))"),1750.0)</f>
        <v>1750</v>
      </c>
      <c r="M10" s="93">
        <f>IFERROR(__xludf.DUMMYFUNCTION("IF(ISBLANK(M8),"""",HLOOKUP(REGEXEXTRACT(M8,"".*-(.*)""),INDIRECT(CONCATENATE(REGEXEXTRACT(M8,""(.*)-.*""),""!C3:V"")),3,FALSE))"),1750.0)</f>
        <v>1750</v>
      </c>
    </row>
    <row r="12">
      <c r="A12" s="182"/>
      <c r="H12" s="182"/>
      <c r="I12" s="160" t="s">
        <v>197</v>
      </c>
      <c r="J12" s="72" t="s">
        <v>107</v>
      </c>
      <c r="K12" s="73" t="s">
        <v>147</v>
      </c>
      <c r="L12" s="73" t="s">
        <v>70</v>
      </c>
      <c r="M12" s="74" t="s">
        <v>162</v>
      </c>
    </row>
    <row r="13">
      <c r="A13" s="182"/>
      <c r="H13" s="182"/>
      <c r="I13" s="161" t="s">
        <v>200</v>
      </c>
      <c r="J13" s="100" t="s">
        <v>209</v>
      </c>
      <c r="K13" s="80" t="str">
        <f>IFERROR(__xludf.DUMMYFUNCTION("IF(ISBLANK(K12),"""",HLOOKUP(REGEXEXTRACT(K12,"".*-(.*)""),INDIRECT(CONCATENATE(REGEXEXTRACT(K12,""(.*)-.*""),""!C3:V"")),2,FALSE))"),"Slayer")</f>
        <v>Slayer</v>
      </c>
      <c r="L13" s="80" t="str">
        <f>IFERROR(__xludf.DUMMYFUNCTION("IF(ISBLANK(L12),"""",HLOOKUP(REGEXEXTRACT(L12,"".*-(.*)""),INDIRECT(CONCATENATE(REGEXEXTRACT(L12,""(.*)-.*""),""!C3:V"")),2,FALSE))"),"GL")</f>
        <v>GL</v>
      </c>
      <c r="M13" s="83" t="str">
        <f>IFERROR(__xludf.DUMMYFUNCTION("IF(ISBLANK(M12),"""",HLOOKUP(REGEXEXTRACT(M12,"".*-(.*)""),INDIRECT(CONCATENATE(REGEXEXTRACT(M12,""(.*)-.*""),""!C3:V"")),2,FALSE))"),"Paladin")</f>
        <v>Paladin</v>
      </c>
    </row>
    <row r="14">
      <c r="A14" s="182"/>
      <c r="H14" s="182"/>
      <c r="I14" s="162"/>
      <c r="J14" s="90"/>
      <c r="K14" s="90">
        <f>IFERROR(__xludf.DUMMYFUNCTION("IF(ISBLANK(K12),"""",HLOOKUP(REGEXEXTRACT(K12,"".*-(.*)""),INDIRECT(CONCATENATE(REGEXEXTRACT(K12,""(.*)-.*""),""!C3:V"")),3,FALSE))"),1750.0)</f>
        <v>1750</v>
      </c>
      <c r="L14" s="90">
        <f>IFERROR(__xludf.DUMMYFUNCTION("IF(ISBLANK(L12),"""",HLOOKUP(REGEXEXTRACT(L12,"".*-(.*)""),INDIRECT(CONCATENATE(REGEXEXTRACT(L12,""(.*)-.*""),""!C3:V"")),3,FALSE))"),1750.0)</f>
        <v>1750</v>
      </c>
      <c r="M14" s="93">
        <f>IFERROR(__xludf.DUMMYFUNCTION("IF(ISBLANK(M12),"""",HLOOKUP(REGEXEXTRACT(M12,"".*-(.*)""),INDIRECT(CONCATENATE(REGEXEXTRACT(M12,""(.*)-.*""),""!C3:V"")),3,FALSE))"),1750.0)</f>
        <v>1750</v>
      </c>
    </row>
    <row r="15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5"/>
      <c r="L15" s="154"/>
      <c r="M15" s="154"/>
      <c r="N15" s="154"/>
    </row>
    <row r="16">
      <c r="A16" s="185"/>
      <c r="B16" s="144" t="s">
        <v>201</v>
      </c>
      <c r="C16" s="72" t="s">
        <v>73</v>
      </c>
      <c r="D16" s="73" t="s">
        <v>14</v>
      </c>
      <c r="E16" s="73" t="s">
        <v>82</v>
      </c>
      <c r="F16" s="74" t="s">
        <v>158</v>
      </c>
      <c r="H16" s="185"/>
      <c r="I16" s="145" t="s">
        <v>201</v>
      </c>
      <c r="J16" s="72" t="s">
        <v>131</v>
      </c>
      <c r="K16" s="73" t="s">
        <v>207</v>
      </c>
      <c r="L16" s="73" t="s">
        <v>118</v>
      </c>
      <c r="M16" s="74" t="s">
        <v>107</v>
      </c>
    </row>
    <row r="17">
      <c r="B17" s="146" t="s">
        <v>200</v>
      </c>
      <c r="C17" s="80" t="str">
        <f>IFERROR(__xludf.DUMMYFUNCTION("IF(ISBLANK(C16),"""",HLOOKUP(REGEXEXTRACT(C16,"".*-(.*)""),INDIRECT(CONCATENATE(REGEXEXTRACT(C16,""(.*)-.*""),""!C3:V"")),2,FALSE))"),"Souleater")</f>
        <v>Souleater</v>
      </c>
      <c r="D17" s="80" t="str">
        <f>IFERROR(__xludf.DUMMYFUNCTION("IF(ISBLANK(D16),"""",HLOOKUP(REGEXEXTRACT(D16,"".*-(.*)""),INDIRECT(CONCATENATE(REGEXEXTRACT(D16,""(.*)-.*""),""!C3:V"")),2,FALSE))"),"Sorceress")</f>
        <v>Sorceress</v>
      </c>
      <c r="E17" s="80" t="str">
        <f>IFERROR(__xludf.DUMMYFUNCTION("IF(ISBLANK(E16),"""",HLOOKUP(REGEXEXTRACT(E16,"".*-(.*)""),INDIRECT(CONCATENATE(REGEXEXTRACT(E16,""(.*)-.*""),""!C3:V"")),2,FALSE))"),"Bonk")</f>
        <v>Bonk</v>
      </c>
      <c r="F17" s="83" t="str">
        <f>IFERROR(__xludf.DUMMYFUNCTION("IF(ISBLANK(F16),"""",HLOOKUP(REGEXEXTRACT(F16,"".*-(.*)""),INDIRECT(CONCATENATE(REGEXEXTRACT(F16,""(.*)-.*""),""!C3:V"")),2,FALSE))"),"Artist")</f>
        <v>Artist</v>
      </c>
      <c r="I17" s="147" t="s">
        <v>200</v>
      </c>
      <c r="J17" s="80" t="str">
        <f>IFERROR(__xludf.DUMMYFUNCTION("IF(ISBLANK(J16),"""",HLOOKUP(REGEXEXTRACT(J16,"".*-(.*)""),INDIRECT(CONCATENATE(REGEXEXTRACT(J16,""(.*)-.*""),""!C3:V"")),2,FALSE))"),"Glaivier")</f>
        <v>Glaivier</v>
      </c>
      <c r="K17" s="80" t="str">
        <f>IFERROR(__xludf.DUMMYFUNCTION("IF(ISBLANK(K16),"""",HLOOKUP(REGEXEXTRACT(K16,"".*-(.*)""),INDIRECT(CONCATENATE(REGEXEXTRACT(K16,""(.*)-.*""),""!C3:V"")),2,FALSE))"),"Gunlancer")</f>
        <v>Gunlancer</v>
      </c>
      <c r="L17" s="80" t="str">
        <f>IFERROR(__xludf.DUMMYFUNCTION("IF(ISBLANK(L16),"""",HLOOKUP(REGEXEXTRACT(L16,"".*-(.*)""),INDIRECT(CONCATENATE(REGEXEXTRACT(L16,""(.*)-.*""),""!C3:V"")),2,FALSE))"),"Arcana")</f>
        <v>Arcana</v>
      </c>
      <c r="M17" s="102" t="s">
        <v>213</v>
      </c>
    </row>
    <row r="18">
      <c r="B18" s="148"/>
      <c r="C18" s="90">
        <f>IFERROR(__xludf.DUMMYFUNCTION("IF(ISBLANK(C16),"""",HLOOKUP(REGEXEXTRACT(C16,"".*-(.*)""),INDIRECT(CONCATENATE(REGEXEXTRACT(C16,""(.*)-.*""),""!C3:V"")),3,FALSE))"),1750.0)</f>
        <v>1750</v>
      </c>
      <c r="D18" s="90">
        <f>IFERROR(__xludf.DUMMYFUNCTION("IF(ISBLANK(D16),"""",HLOOKUP(REGEXEXTRACT(D16,"".*-(.*)""),INDIRECT(CONCATENATE(REGEXEXTRACT(D16,""(.*)-.*""),""!C3:V"")),3,FALSE))"),1750.0)</f>
        <v>1750</v>
      </c>
      <c r="E18" s="90">
        <f>IFERROR(__xludf.DUMMYFUNCTION("IF(ISBLANK(E16),"""",HLOOKUP(REGEXEXTRACT(E16,"".*-(.*)""),INDIRECT(CONCATENATE(REGEXEXTRACT(E16,""(.*)-.*""),""!C3:V"")),3,FALSE))"),1750.0)</f>
        <v>1750</v>
      </c>
      <c r="F18" s="93">
        <f>IFERROR(__xludf.DUMMYFUNCTION("IF(ISBLANK(F16),"""",HLOOKUP(REGEXEXTRACT(F16,"".*-(.*)""),INDIRECT(CONCATENATE(REGEXEXTRACT(F16,""(.*)-.*""),""!C3:V"")),3,FALSE))"),1750.0)</f>
        <v>1750</v>
      </c>
      <c r="I18" s="149"/>
      <c r="J18" s="90">
        <f>IFERROR(__xludf.DUMMYFUNCTION("IF(ISBLANK(J16),"""",HLOOKUP(REGEXEXTRACT(J16,"".*-(.*)""),INDIRECT(CONCATENATE(REGEXEXTRACT(J16,""(.*)-.*""),""!C3:V"")),3,FALSE))"),1750.0)</f>
        <v>1750</v>
      </c>
      <c r="K18" s="90">
        <f>IFERROR(__xludf.DUMMYFUNCTION("IF(ISBLANK(K16),"""",HLOOKUP(REGEXEXTRACT(K16,"".*-(.*)""),INDIRECT(CONCATENATE(REGEXEXTRACT(K16,""(.*)-.*""),""!C3:V"")),3,FALSE))"),1730.0)</f>
        <v>1730</v>
      </c>
      <c r="L18" s="90">
        <f>IFERROR(__xludf.DUMMYFUNCTION("IF(ISBLANK(L16),"""",HLOOKUP(REGEXEXTRACT(L16,"".*-(.*)""),INDIRECT(CONCATENATE(REGEXEXTRACT(L16,""(.*)-.*""),""!C3:V"")),3,FALSE))"),1750.0)</f>
        <v>1750</v>
      </c>
      <c r="M18" s="93"/>
    </row>
    <row r="20">
      <c r="A20" s="185"/>
      <c r="B20" s="189" t="s">
        <v>201</v>
      </c>
      <c r="C20" s="73" t="s">
        <v>43</v>
      </c>
      <c r="D20" s="73" t="s">
        <v>24</v>
      </c>
      <c r="E20" s="73" t="s">
        <v>146</v>
      </c>
      <c r="F20" s="74" t="s">
        <v>208</v>
      </c>
      <c r="H20" s="185"/>
      <c r="I20" s="160" t="s">
        <v>201</v>
      </c>
      <c r="J20" s="72" t="s">
        <v>107</v>
      </c>
      <c r="K20" s="73" t="s">
        <v>206</v>
      </c>
      <c r="L20" s="73" t="s">
        <v>113</v>
      </c>
      <c r="M20" s="74" t="s">
        <v>170</v>
      </c>
    </row>
    <row r="21">
      <c r="B21" s="190" t="s">
        <v>200</v>
      </c>
      <c r="C21" s="80" t="str">
        <f>IFERROR(__xludf.DUMMYFUNCTION("IF(ISBLANK(C20),"""",HLOOKUP(REGEXEXTRACT(C20,"".*-(.*)""),INDIRECT(CONCATENATE(REGEXEXTRACT(C20,""(.*)-.*""),""!C3:V"")),2,FALSE))"),"Soulfist")</f>
        <v>Soulfist</v>
      </c>
      <c r="D21" s="80" t="str">
        <f>IFERROR(__xludf.DUMMYFUNCTION("IF(ISBLANK(D20),"""",HLOOKUP(REGEXEXTRACT(D20,"".*-(.*)""),INDIRECT(CONCATENATE(REGEXEXTRACT(D20,""(.*)-.*""),""!C3:V"")),2,FALSE))"),"Slayer")</f>
        <v>Slayer</v>
      </c>
      <c r="E21" s="80" t="str">
        <f>IFERROR(__xludf.DUMMYFUNCTION("IF(ISBLANK(E20),"""",HLOOKUP(REGEXEXTRACT(E20,"".*-(.*)""),INDIRECT(CONCATENATE(REGEXEXTRACT(E20,""(.*)-.*""),""!C3:V"")),2,FALSE))"),"Guardianknight")</f>
        <v>Guardianknight</v>
      </c>
      <c r="F21" s="83" t="str">
        <f>IFERROR(__xludf.DUMMYFUNCTION("IF(ISBLANK(F20),"""",HLOOKUP(REGEXEXTRACT(F20,"".*-(.*)""),INDIRECT(CONCATENATE(REGEXEXTRACT(F20,""(.*)-.*""),""!C3:V"")),2,FALSE))"),"Valk")</f>
        <v>Valk</v>
      </c>
      <c r="I21" s="161" t="s">
        <v>200</v>
      </c>
      <c r="J21" s="100" t="s">
        <v>204</v>
      </c>
      <c r="K21" s="80" t="str">
        <f>IFERROR(__xludf.DUMMYFUNCTION("IF(ISBLANK(K20),"""",HLOOKUP(REGEXEXTRACT(K20,"".*-(.*)""),INDIRECT(CONCATENATE(REGEXEXTRACT(K20,""(.*)-.*""),""!C3:V"")),2,FALSE))"),"Gunslinger")</f>
        <v>Gunslinger</v>
      </c>
      <c r="L21" s="80" t="str">
        <f>IFERROR(__xludf.DUMMYFUNCTION("IF(ISBLANK(L20),"""",HLOOKUP(REGEXEXTRACT(L20,"".*-(.*)""),INDIRECT(CONCATENATE(REGEXEXTRACT(L20,""(.*)-.*""),""!C3:V"")),2,FALSE))"),"G")</f>
        <v>G</v>
      </c>
      <c r="M21" s="83" t="str">
        <f>IFERROR(__xludf.DUMMYFUNCTION("IF(ISBLANK(M20),"""",HLOOKUP(REGEXEXTRACT(M20,"".*-(.*)""),INDIRECT(CONCATENATE(REGEXEXTRACT(M20,""(.*)-.*""),""!C3:V"")),2,FALSE))"),"Bard")</f>
        <v>Bard</v>
      </c>
    </row>
    <row r="22">
      <c r="B22" s="191"/>
      <c r="C22" s="90">
        <f>IFERROR(__xludf.DUMMYFUNCTION("IF(ISBLANK(C20),"""",HLOOKUP(REGEXEXTRACT(C20,"".*-(.*)""),INDIRECT(CONCATENATE(REGEXEXTRACT(C20,""(.*)-.*""),""!C3:V"")),3,FALSE))"),1750.0)</f>
        <v>1750</v>
      </c>
      <c r="D22" s="90">
        <f>IFERROR(__xludf.DUMMYFUNCTION("IF(ISBLANK(D20),"""",HLOOKUP(REGEXEXTRACT(D20,"".*-(.*)""),INDIRECT(CONCATENATE(REGEXEXTRACT(D20,""(.*)-.*""),""!C3:V"")),3,FALSE))"),1750.0)</f>
        <v>1750</v>
      </c>
      <c r="E22" s="90">
        <f>IFERROR(__xludf.DUMMYFUNCTION("IF(ISBLANK(E20),"""",HLOOKUP(REGEXEXTRACT(E20,"".*-(.*)""),INDIRECT(CONCATENATE(REGEXEXTRACT(E20,""(.*)-.*""),""!C3:V"")),3,FALSE))"),1750.0)</f>
        <v>1750</v>
      </c>
      <c r="F22" s="93">
        <f>IFERROR(__xludf.DUMMYFUNCTION("IF(ISBLANK(F20),"""",HLOOKUP(REGEXEXTRACT(F20,"".*-(.*)""),INDIRECT(CONCATENATE(REGEXEXTRACT(F20,""(.*)-.*""),""!C3:V"")),3,FALSE))"),1730.0)</f>
        <v>1730</v>
      </c>
      <c r="I22" s="162"/>
      <c r="J22" s="90"/>
      <c r="K22" s="90">
        <f>IFERROR(__xludf.DUMMYFUNCTION("IF(ISBLANK(K20),"""",HLOOKUP(REGEXEXTRACT(K20,"".*-(.*)""),INDIRECT(CONCATENATE(REGEXEXTRACT(K20,""(.*)-.*""),""!C3:V"")),3,FALSE))"),1750.0)</f>
        <v>1750</v>
      </c>
      <c r="L22" s="90">
        <f>IFERROR(__xludf.DUMMYFUNCTION("IF(ISBLANK(L20),"""",HLOOKUP(REGEXEXTRACT(L20,"".*-(.*)""),INDIRECT(CONCATENATE(REGEXEXTRACT(L20,""(.*)-.*""),""!C3:V"")),3,FALSE))"),1750.0)</f>
        <v>1750</v>
      </c>
      <c r="M22" s="93">
        <f>IFERROR(__xludf.DUMMYFUNCTION("IF(ISBLANK(M20),"""",HLOOKUP(REGEXEXTRACT(M20,"".*-(.*)""),INDIRECT(CONCATENATE(REGEXEXTRACT(M20,""(.*)-.*""),""!C3:V"")),3,FALSE))"),1750.0)</f>
        <v>1750</v>
      </c>
    </row>
    <row r="24">
      <c r="A24" s="185"/>
      <c r="B24" s="192" t="s">
        <v>201</v>
      </c>
      <c r="C24" s="72" t="s">
        <v>106</v>
      </c>
      <c r="D24" s="73" t="s">
        <v>144</v>
      </c>
      <c r="E24" s="73" t="s">
        <v>130</v>
      </c>
      <c r="F24" s="74" t="s">
        <v>80</v>
      </c>
      <c r="H24" s="185"/>
      <c r="I24" s="193" t="s">
        <v>201</v>
      </c>
      <c r="J24" s="72" t="s">
        <v>107</v>
      </c>
      <c r="K24" s="73" t="s">
        <v>49</v>
      </c>
      <c r="L24" s="73" t="s">
        <v>165</v>
      </c>
      <c r="M24" s="74" t="s">
        <v>166</v>
      </c>
    </row>
    <row r="25">
      <c r="B25" s="194" t="s">
        <v>200</v>
      </c>
      <c r="C25" s="100" t="s">
        <v>173</v>
      </c>
      <c r="D25" s="80" t="str">
        <f>IFERROR(__xludf.DUMMYFUNCTION("IF(ISBLANK(D24),"""",HLOOKUP(REGEXEXTRACT(D24,"".*-(.*)""),INDIRECT(CONCATENATE(REGEXEXTRACT(D24,""(.*)-.*""),""!C3:V"")),2,FALSE))"),"Souleater")</f>
        <v>Souleater</v>
      </c>
      <c r="E25" s="80" t="str">
        <f>IFERROR(__xludf.DUMMYFUNCTION("IF(ISBLANK(E24),"""",HLOOKUP(REGEXEXTRACT(E24,"".*-(.*)""),INDIRECT(CONCATENATE(REGEXEXTRACT(E24,""(.*)-.*""),""!C3:V"")),2,FALSE))"),"Aeromancer")</f>
        <v>Aeromancer</v>
      </c>
      <c r="F25" s="83" t="str">
        <f>IFERROR(__xludf.DUMMYFUNCTION("IF(ISBLANK(F24),"""",HLOOKUP(REGEXEXTRACT(F24,"".*-(.*)""),INDIRECT(CONCATENATE(REGEXEXTRACT(F24,""(.*)-.*""),""!C3:V"")),2,FALSE))"),"Paladin")</f>
        <v>Paladin</v>
      </c>
      <c r="I25" s="195" t="s">
        <v>200</v>
      </c>
      <c r="J25" s="100" t="s">
        <v>203</v>
      </c>
      <c r="K25" s="80" t="str">
        <f>IFERROR(__xludf.DUMMYFUNCTION("IF(ISBLANK(K24),"""",HLOOKUP(REGEXEXTRACT(K24,"".*-(.*)""),INDIRECT(CONCATENATE(REGEXEXTRACT(K24,""(.*)-.*""),""!C3:V"")),2,FALSE))"),"Bard")</f>
        <v>Bard</v>
      </c>
      <c r="L25" s="80" t="str">
        <f>IFERROR(__xludf.DUMMYFUNCTION("IF(ISBLANK(L24),"""",HLOOKUP(REGEXEXTRACT(L24,"".*-(.*)""),INDIRECT(CONCATENATE(REGEXEXTRACT(L24,""(.*)-.*""),""!C3:V"")),2,FALSE))"),"Souleater")</f>
        <v>Souleater</v>
      </c>
      <c r="M25" s="83" t="str">
        <f>IFERROR(__xludf.DUMMYFUNCTION("IF(ISBLANK(M24),"""",HLOOKUP(REGEXEXTRACT(M24,"".*-(.*)""),INDIRECT(CONCATENATE(REGEXEXTRACT(M24,""(.*)-.*""),""!C3:V"")),2,FALSE))"),"Valk")</f>
        <v>Valk</v>
      </c>
    </row>
    <row r="26">
      <c r="B26" s="196"/>
      <c r="C26" s="90"/>
      <c r="D26" s="90">
        <f>IFERROR(__xludf.DUMMYFUNCTION("IF(ISBLANK(D24),"""",HLOOKUP(REGEXEXTRACT(D24,"".*-(.*)""),INDIRECT(CONCATENATE(REGEXEXTRACT(D24,""(.*)-.*""),""!C3:V"")),3,FALSE))"),1750.0)</f>
        <v>1750</v>
      </c>
      <c r="E26" s="90">
        <f>IFERROR(__xludf.DUMMYFUNCTION("IF(ISBLANK(E24),"""",HLOOKUP(REGEXEXTRACT(E24,"".*-(.*)""),INDIRECT(CONCATENATE(REGEXEXTRACT(E24,""(.*)-.*""),""!C3:V"")),3,FALSE))"),1750.0)</f>
        <v>1750</v>
      </c>
      <c r="F26" s="93">
        <f>IFERROR(__xludf.DUMMYFUNCTION("IF(ISBLANK(F24),"""",HLOOKUP(REGEXEXTRACT(F24,"".*-(.*)""),INDIRECT(CONCATENATE(REGEXEXTRACT(F24,""(.*)-.*""),""!C3:V"")),3,FALSE))"),1750.0)</f>
        <v>1750</v>
      </c>
      <c r="I26" s="197"/>
      <c r="J26" s="90"/>
      <c r="K26" s="90">
        <f>IFERROR(__xludf.DUMMYFUNCTION("IF(ISBLANK(K24),"""",HLOOKUP(REGEXEXTRACT(K24,"".*-(.*)""),INDIRECT(CONCATENATE(REGEXEXTRACT(K24,""(.*)-.*""),""!C3:V"")),3,FALSE))"),1730.0)</f>
        <v>1730</v>
      </c>
      <c r="L26" s="90">
        <f>IFERROR(__xludf.DUMMYFUNCTION("IF(ISBLANK(L24),"""",HLOOKUP(REGEXEXTRACT(L24,"".*-(.*)""),INDIRECT(CONCATENATE(REGEXEXTRACT(L24,""(.*)-.*""),""!C3:V"")),3,FALSE))"),1750.0)</f>
        <v>1750</v>
      </c>
      <c r="M26" s="93">
        <f>IFERROR(__xludf.DUMMYFUNCTION("IF(ISBLANK(M24),"""",HLOOKUP(REGEXEXTRACT(M24,"".*-(.*)""),INDIRECT(CONCATENATE(REGEXEXTRACT(M24,""(.*)-.*""),""!C3:V"")),3,FALSE))"),1750.0)</f>
        <v>1750</v>
      </c>
    </row>
    <row r="28">
      <c r="A28" s="185"/>
      <c r="B28" s="192" t="s">
        <v>201</v>
      </c>
      <c r="C28" s="72" t="s">
        <v>106</v>
      </c>
      <c r="D28" s="73" t="s">
        <v>85</v>
      </c>
      <c r="E28" s="73" t="s">
        <v>161</v>
      </c>
      <c r="F28" s="74" t="s">
        <v>54</v>
      </c>
      <c r="H28" s="185"/>
      <c r="I28" s="198" t="s">
        <v>201</v>
      </c>
      <c r="J28" s="72"/>
      <c r="K28" s="73"/>
      <c r="L28" s="73" t="s">
        <v>214</v>
      </c>
      <c r="M28" s="74"/>
    </row>
    <row r="29">
      <c r="B29" s="194" t="s">
        <v>200</v>
      </c>
      <c r="C29" s="100" t="s">
        <v>215</v>
      </c>
      <c r="D29" s="80" t="str">
        <f>IFERROR(__xludf.DUMMYFUNCTION("IF(ISBLANK(D28),"""",HLOOKUP(REGEXEXTRACT(D28,"".*-(.*)""),INDIRECT(CONCATENATE(REGEXEXTRACT(D28,""(.*)-.*""),""!C3:V"")),2,FALSE))"),"Artill")</f>
        <v>Artill</v>
      </c>
      <c r="E29" s="80" t="str">
        <f>IFERROR(__xludf.DUMMYFUNCTION("IF(ISBLANK(E28),"""",HLOOKUP(REGEXEXTRACT(E28,"".*-(.*)""),INDIRECT(CONCATENATE(REGEXEXTRACT(E28,""(.*)-.*""),""!C3:V"")),2,FALSE))"),"Sorc")</f>
        <v>Sorc</v>
      </c>
      <c r="F29" s="83" t="str">
        <f>IFERROR(__xludf.DUMMYFUNCTION("IF(ISBLANK(F28),"""",HLOOKUP(REGEXEXTRACT(F28,"".*-(.*)""),INDIRECT(CONCATENATE(REGEXEXTRACT(F28,""(.*)-.*""),""!C3:V"")),2,FALSE))"),"Paladin")</f>
        <v>Paladin</v>
      </c>
      <c r="I29" s="199" t="s">
        <v>200</v>
      </c>
      <c r="J29" s="100"/>
      <c r="K29" s="80" t="str">
        <f>IFERROR(__xludf.DUMMYFUNCTION("IF(ISBLANK(K28),"""",HLOOKUP(REGEXEXTRACT(K28,"".*-(.*)""),INDIRECT(CONCATENATE(REGEXEXTRACT(K28,""(.*)-.*""),""!C3:V"")),2,FALSE))"),"")</f>
        <v/>
      </c>
      <c r="L29" s="80" t="str">
        <f>IFERROR(__xludf.DUMMYFUNCTION("IF(ISBLANK(L28),"""",HLOOKUP(REGEXEXTRACT(L28,"".*-(.*)""),INDIRECT(CONCATENATE(REGEXEXTRACT(L28,""(.*)-.*""),""!C3:V"")),2,FALSE))"),"Valkyrie")</f>
        <v>Valkyrie</v>
      </c>
      <c r="M29" s="83" t="str">
        <f>IFERROR(__xludf.DUMMYFUNCTION("IF(ISBLANK(M28),"""",HLOOKUP(REGEXEXTRACT(M28,"".*-(.*)""),INDIRECT(CONCATENATE(REGEXEXTRACT(M28,""(.*)-.*""),""!C3:V"")),2,FALSE))"),"")</f>
        <v/>
      </c>
    </row>
    <row r="30">
      <c r="B30" s="196"/>
      <c r="C30" s="90"/>
      <c r="D30" s="90">
        <f>IFERROR(__xludf.DUMMYFUNCTION("IF(ISBLANK(D28),"""",HLOOKUP(REGEXEXTRACT(D28,"".*-(.*)""),INDIRECT(CONCATENATE(REGEXEXTRACT(D28,""(.*)-.*""),""!C3:V"")),3,FALSE))"),1750.0)</f>
        <v>1750</v>
      </c>
      <c r="E30" s="90">
        <f>IFERROR(__xludf.DUMMYFUNCTION("IF(ISBLANK(E28),"""",HLOOKUP(REGEXEXTRACT(E28,"".*-(.*)""),INDIRECT(CONCATENATE(REGEXEXTRACT(E28,""(.*)-.*""),""!C3:V"")),3,FALSE))"),1750.0)</f>
        <v>1750</v>
      </c>
      <c r="F30" s="93">
        <f>IFERROR(__xludf.DUMMYFUNCTION("IF(ISBLANK(F28),"""",HLOOKUP(REGEXEXTRACT(F28,"".*-(.*)""),INDIRECT(CONCATENATE(REGEXEXTRACT(F28,""(.*)-.*""),""!C3:V"")),3,FALSE))"),1750.0)</f>
        <v>1750</v>
      </c>
      <c r="I30" s="200"/>
      <c r="J30" s="90"/>
      <c r="K30" s="90" t="str">
        <f>IFERROR(__xludf.DUMMYFUNCTION("IF(ISBLANK(K28),"""",HLOOKUP(REGEXEXTRACT(K28,"".*-(.*)""),INDIRECT(CONCATENATE(REGEXEXTRACT(K28,""(.*)-.*""),""!C3:V"")),3,FALSE))"),"")</f>
        <v/>
      </c>
      <c r="L30" s="90">
        <f>IFERROR(__xludf.DUMMYFUNCTION("IF(ISBLANK(L28),"""",HLOOKUP(REGEXEXTRACT(L28,"".*-(.*)""),INDIRECT(CONCATENATE(REGEXEXTRACT(L28,""(.*)-.*""),""!C3:V"")),3,FALSE))"),1730.0)</f>
        <v>1730</v>
      </c>
      <c r="M30" s="93" t="str">
        <f>IFERROR(__xludf.DUMMYFUNCTION("IF(ISBLANK(M28),"""",HLOOKUP(REGEXEXTRACT(M28,"".*-(.*)""),INDIRECT(CONCATENATE(REGEXEXTRACT(M28,""(.*)-.*""),""!C3:V"")),3,FALSE))"),"")</f>
        <v/>
      </c>
    </row>
    <row r="32">
      <c r="A32" s="185"/>
      <c r="B32" s="157" t="s">
        <v>201</v>
      </c>
      <c r="C32" s="72" t="s">
        <v>216</v>
      </c>
      <c r="D32" s="73" t="s">
        <v>159</v>
      </c>
      <c r="E32" s="73" t="s">
        <v>217</v>
      </c>
      <c r="F32" s="74" t="s">
        <v>143</v>
      </c>
      <c r="H32" s="182"/>
      <c r="I32" s="198" t="s">
        <v>201</v>
      </c>
      <c r="J32" s="72"/>
      <c r="K32" s="73"/>
      <c r="L32" s="73"/>
      <c r="M32" s="74"/>
    </row>
    <row r="33">
      <c r="B33" s="158" t="s">
        <v>200</v>
      </c>
      <c r="C33" s="80" t="str">
        <f>IFERROR(__xludf.DUMMYFUNCTION("IF(ISBLANK(C32),"""",HLOOKUP(REGEXEXTRACT(C32,"".*-(.*)""),INDIRECT(CONCATENATE(REGEXEXTRACT(C32,""(.*)-.*""),""!C3:V"")),2,FALSE))"),"Aeromancer")</f>
        <v>Aeromancer</v>
      </c>
      <c r="D33" s="80" t="str">
        <f>IFERROR(__xludf.DUMMYFUNCTION("IF(ISBLANK(D32),"""",HLOOKUP(REGEXEXTRACT(D32,"".*-(.*)""),INDIRECT(CONCATENATE(REGEXEXTRACT(D32,""(.*)-.*""),""!C3:V"")),2,FALSE))"),"Glaivier")</f>
        <v>Glaivier</v>
      </c>
      <c r="E33" s="80" t="str">
        <f>IFERROR(__xludf.DUMMYFUNCTION("IF(ISBLANK(E32),"""",HLOOKUP(REGEXEXTRACT(E32,"".*-(.*)""),INDIRECT(CONCATENATE(REGEXEXTRACT(E32,""(.*)-.*""),""!C3:V"")),2,FALSE))"),"Souleater")</f>
        <v>Souleater</v>
      </c>
      <c r="F33" s="83" t="str">
        <f>IFERROR(__xludf.DUMMYFUNCTION("IF(ISBLANK(F32),"""",HLOOKUP(REGEXEXTRACT(F32,"".*-(.*)""),INDIRECT(CONCATENATE(REGEXEXTRACT(F32,""(.*)-.*""),""!C3:V"")),2,FALSE))"),"Valk")</f>
        <v>Valk</v>
      </c>
      <c r="H33" s="182"/>
      <c r="I33" s="199" t="s">
        <v>200</v>
      </c>
      <c r="J33" s="80" t="str">
        <f>IFERROR(__xludf.DUMMYFUNCTION("IF(ISBLANK(J32),"""",HLOOKUP(REGEXEXTRACT(J32,"".*-(.*)""),INDIRECT(CONCATENATE(REGEXEXTRACT(J32,""(.*)-.*""),""!C3:V"")),2,FALSE))"),"")</f>
        <v/>
      </c>
      <c r="K33" s="80" t="str">
        <f>IFERROR(__xludf.DUMMYFUNCTION("IF(ISBLANK(K32),"""",HLOOKUP(REGEXEXTRACT(K32,"".*-(.*)""),INDIRECT(CONCATENATE(REGEXEXTRACT(K32,""(.*)-.*""),""!C3:V"")),2,FALSE))"),"")</f>
        <v/>
      </c>
      <c r="L33" s="80" t="str">
        <f>IFERROR(__xludf.DUMMYFUNCTION("IF(ISBLANK(L32),"""",HLOOKUP(REGEXEXTRACT(L32,"".*-(.*)""),INDIRECT(CONCATENATE(REGEXEXTRACT(L32,""(.*)-.*""),""!C3:V"")),2,FALSE))"),"")</f>
        <v/>
      </c>
      <c r="M33" s="83" t="str">
        <f>IFERROR(__xludf.DUMMYFUNCTION("IF(ISBLANK(M32),"""",HLOOKUP(REGEXEXTRACT(M32,"".*-(.*)""),INDIRECT(CONCATENATE(REGEXEXTRACT(M32,""(.*)-.*""),""!C3:V"")),2,FALSE))"),"")</f>
        <v/>
      </c>
    </row>
    <row r="34">
      <c r="B34" s="159"/>
      <c r="C34" s="90">
        <f>IFERROR(__xludf.DUMMYFUNCTION("IF(ISBLANK(C32),"""",HLOOKUP(REGEXEXTRACT(C32,"".*-(.*)""),INDIRECT(CONCATENATE(REGEXEXTRACT(C32,""(.*)-.*""),""!C3:V"")),3,FALSE))"),1730.0)</f>
        <v>1730</v>
      </c>
      <c r="D34" s="90">
        <f>IFERROR(__xludf.DUMMYFUNCTION("IF(ISBLANK(D32),"""",HLOOKUP(REGEXEXTRACT(D32,"".*-(.*)""),INDIRECT(CONCATENATE(REGEXEXTRACT(D32,""(.*)-.*""),""!C3:V"")),3,FALSE))"),1750.0)</f>
        <v>1750</v>
      </c>
      <c r="E34" s="90">
        <f>IFERROR(__xludf.DUMMYFUNCTION("IF(ISBLANK(E32),"""",HLOOKUP(REGEXEXTRACT(E32,"".*-(.*)""),INDIRECT(CONCATENATE(REGEXEXTRACT(E32,""(.*)-.*""),""!C3:V"")),3,FALSE))"),1730.0)</f>
        <v>1730</v>
      </c>
      <c r="F34" s="93">
        <f>IFERROR(__xludf.DUMMYFUNCTION("IF(ISBLANK(F32),"""",HLOOKUP(REGEXEXTRACT(F32,"".*-(.*)""),INDIRECT(CONCATENATE(REGEXEXTRACT(F32,""(.*)-.*""),""!C3:V"")),3,FALSE))"),1750.0)</f>
        <v>1750</v>
      </c>
      <c r="H34" s="182"/>
      <c r="I34" s="200"/>
      <c r="J34" s="90" t="str">
        <f>IFERROR(__xludf.DUMMYFUNCTION("IF(ISBLANK(J32),"""",HLOOKUP(REGEXEXTRACT(J32,"".*-(.*)""),INDIRECT(CONCATENATE(REGEXEXTRACT(J32,""(.*)-.*""),""!C3:V"")),3,FALSE))"),"")</f>
        <v/>
      </c>
      <c r="K34" s="90" t="str">
        <f>IFERROR(__xludf.DUMMYFUNCTION("IF(ISBLANK(K32),"""",HLOOKUP(REGEXEXTRACT(K32,"".*-(.*)""),INDIRECT(CONCATENATE(REGEXEXTRACT(K32,""(.*)-.*""),""!C3:V"")),3,FALSE))"),"")</f>
        <v/>
      </c>
      <c r="L34" s="90" t="str">
        <f>IFERROR(__xludf.DUMMYFUNCTION("IF(ISBLANK(L32),"""",HLOOKUP(REGEXEXTRACT(L32,"".*-(.*)""),INDIRECT(CONCATENATE(REGEXEXTRACT(L32,""(.*)-.*""),""!C3:V"")),3,FALSE))"),"")</f>
        <v/>
      </c>
      <c r="M34" s="93" t="str">
        <f>IFERROR(__xludf.DUMMYFUNCTION("IF(ISBLANK(M32),"""",HLOOKUP(REGEXEXTRACT(M32,"".*-(.*)""),INDIRECT(CONCATENATE(REGEXEXTRACT(M32,""(.*)-.*""),""!C3:V"")),3,FALSE))"),"")</f>
        <v/>
      </c>
    </row>
    <row r="35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5"/>
      <c r="L35" s="154"/>
      <c r="M35" s="154"/>
      <c r="N35" s="154"/>
    </row>
    <row r="36">
      <c r="A36" s="185"/>
      <c r="B36" s="198" t="s">
        <v>205</v>
      </c>
      <c r="C36" s="72" t="s">
        <v>216</v>
      </c>
      <c r="D36" s="73" t="s">
        <v>62</v>
      </c>
      <c r="E36" s="73" t="s">
        <v>218</v>
      </c>
      <c r="F36" s="74"/>
    </row>
    <row r="37">
      <c r="B37" s="199"/>
      <c r="C37" s="80" t="str">
        <f>IFERROR(__xludf.DUMMYFUNCTION("IF(ISBLANK(C36),"""",HLOOKUP(REGEXEXTRACT(C36,"".*-(.*)""),INDIRECT(CONCATENATE(REGEXEXTRACT(C36,""(.*)-.*""),""!C3:V"")),2,FALSE))"),"Aeromancer")</f>
        <v>Aeromancer</v>
      </c>
      <c r="D37" s="80" t="str">
        <f>IFERROR(__xludf.DUMMYFUNCTION("IF(ISBLANK(D36),"""",HLOOKUP(REGEXEXTRACT(D36,"".*-(.*)""),INDIRECT(CONCATENATE(REGEXEXTRACT(D36,""(.*)-.*""),""!C3:V"")),2,FALSE))"),"Breaker")</f>
        <v>Breaker</v>
      </c>
      <c r="E37" s="80" t="str">
        <f>IFERROR(__xludf.DUMMYFUNCTION("IF(ISBLANK(E36),"""",HLOOKUP(REGEXEXTRACT(E36,"".*-(.*)""),INDIRECT(CONCATENATE(REGEXEXTRACT(E36,""(.*)-.*""),""!C3:V"")),2,FALSE))"),"Shadowhunter")</f>
        <v>Shadowhunter</v>
      </c>
      <c r="F37" s="83" t="str">
        <f>IFERROR(__xludf.DUMMYFUNCTION("IF(ISBLANK(F36),"""",HLOOKUP(REGEXEXTRACT(F36,"".*-(.*)""),INDIRECT(CONCATENATE(REGEXEXTRACT(F36,""(.*)-.*""),""!C3:V"")),2,FALSE))"),"")</f>
        <v/>
      </c>
    </row>
    <row r="38">
      <c r="B38" s="200"/>
      <c r="C38" s="90">
        <f>IFERROR(__xludf.DUMMYFUNCTION("IF(ISBLANK(C36),"""",HLOOKUP(REGEXEXTRACT(C36,"".*-(.*)""),INDIRECT(CONCATENATE(REGEXEXTRACT(C36,""(.*)-.*""),""!C3:V"")),3,FALSE))"),1730.0)</f>
        <v>1730</v>
      </c>
      <c r="D38" s="90">
        <f>IFERROR(__xludf.DUMMYFUNCTION("IF(ISBLANK(D36),"""",HLOOKUP(REGEXEXTRACT(D36,"".*-(.*)""),INDIRECT(CONCATENATE(REGEXEXTRACT(D36,""(.*)-.*""),""!C3:V"")),3,FALSE))"),1730.0)</f>
        <v>1730</v>
      </c>
      <c r="E38" s="90">
        <f>IFERROR(__xludf.DUMMYFUNCTION("IF(ISBLANK(E36),"""",HLOOKUP(REGEXEXTRACT(E36,"".*-(.*)""),INDIRECT(CONCATENATE(REGEXEXTRACT(E36,""(.*)-.*""),""!C3:V"")),3,FALSE))"),1710.0)</f>
        <v>1710</v>
      </c>
      <c r="F38" s="93" t="str">
        <f>IFERROR(__xludf.DUMMYFUNCTION("IF(ISBLANK(F36),"""",HLOOKUP(REGEXEXTRACT(F36,"".*-(.*)""),INDIRECT(CONCATENATE(REGEXEXTRACT(F36,""(.*)-.*""),""!C3:V"")),3,FALSE))"),"")</f>
        <v/>
      </c>
    </row>
    <row r="43">
      <c r="E43" s="7" t="s">
        <v>211</v>
      </c>
    </row>
  </sheetData>
  <mergeCells count="14">
    <mergeCell ref="A20:A22"/>
    <mergeCell ref="A24:A26"/>
    <mergeCell ref="A28:A30"/>
    <mergeCell ref="A32:A34"/>
    <mergeCell ref="A36:A38"/>
    <mergeCell ref="H24:H26"/>
    <mergeCell ref="H28:H30"/>
    <mergeCell ref="A4:A6"/>
    <mergeCell ref="H4:H6"/>
    <mergeCell ref="A8:A10"/>
    <mergeCell ref="H8:H10"/>
    <mergeCell ref="A16:A18"/>
    <mergeCell ref="H16:H18"/>
    <mergeCell ref="H20:H22"/>
  </mergeCells>
  <conditionalFormatting sqref="A4:A6 H4:H6 A8:A10 H8:H10 A12:A14 H12:H14 A16:A18 H16:H18 A20:A22 H20:H22 A24:A26 H24:H26 A28:A30 H28:H30 A32:A34 H32:H34 A36:A38">
    <cfRule type="cellIs" dxfId="0" priority="1" operator="equal">
      <formula>"DONE"</formula>
    </cfRule>
  </conditionalFormatting>
  <conditionalFormatting sqref="A4:A6 H4:H6 A8:A10 H8:H10 A12:A14 H12:H14 A16:A18 H16:H18 A20:A22 H20:H22 A24:A26 H24:H26 A28:A30 H28:H30 A32:A34 H32:H34 A36:A38">
    <cfRule type="containsBlanks" dxfId="4" priority="2">
      <formula>LEN(TRIM(A4))=0</formula>
    </cfRule>
  </conditionalFormatting>
  <dataValidations>
    <dataValidation type="list" allowBlank="1" showErrorMessage="1" sqref="C4:F4 J4:M4 C8:F8 J8:M8 J12:M12 C16:F16 J16:M16 C20:F20 J20:M20 C24:F24 J24:M24 C28:F28 J28:M28 C32:F32 J32:M32 C36:F36">
      <formula1>chars!$B$2:$Z976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38"/>
    <col customWidth="1" min="3" max="6" width="18.13"/>
    <col customWidth="1" hidden="1" min="7" max="7" width="18.13"/>
    <col customWidth="1" min="8" max="8" width="13.63"/>
    <col customWidth="1" min="9" max="9" width="14.38"/>
    <col customWidth="1" min="10" max="13" width="18.13"/>
  </cols>
  <sheetData>
    <row r="4">
      <c r="A4" s="185"/>
      <c r="B4" s="144" t="s">
        <v>219</v>
      </c>
      <c r="C4" s="72" t="s">
        <v>112</v>
      </c>
      <c r="D4" s="73" t="s">
        <v>4</v>
      </c>
      <c r="E4" s="73" t="s">
        <v>75</v>
      </c>
      <c r="F4" s="74" t="s">
        <v>149</v>
      </c>
      <c r="H4" s="185"/>
      <c r="I4" s="145" t="s">
        <v>219</v>
      </c>
      <c r="J4" s="72" t="s">
        <v>169</v>
      </c>
      <c r="K4" s="73" t="s">
        <v>147</v>
      </c>
      <c r="L4" s="73" t="s">
        <v>107</v>
      </c>
      <c r="M4" s="74" t="s">
        <v>172</v>
      </c>
    </row>
    <row r="5">
      <c r="B5" s="146" t="s">
        <v>198</v>
      </c>
      <c r="C5" s="80" t="str">
        <f>IFERROR(__xludf.DUMMYFUNCTION("IF(ISBLANK(C4),"""",HLOOKUP(REGEXEXTRACT(C4,"".*-(.*)""),INDIRECT(CONCATENATE(REGEXEXTRACT(C4,""(.*)-.*""),""!C3:V"")),2,FALSE))"),"Wildsoul")</f>
        <v>Wildsoul</v>
      </c>
      <c r="D5" s="80" t="str">
        <f>IFERROR(__xludf.DUMMYFUNCTION("IF(ISBLANK(D4),"""",HLOOKUP(REGEXEXTRACT(D4,"".*-(.*)""),INDIRECT(CONCATENATE(REGEXEXTRACT(D4,""(.*)-.*""),""!C3:V"")),2,FALSE))"),"Gunslinger")</f>
        <v>Gunslinger</v>
      </c>
      <c r="E5" s="80" t="str">
        <f>IFERROR(__xludf.DUMMYFUNCTION("IF(ISBLANK(E4),"""",HLOOKUP(REGEXEXTRACT(E4,"".*-(.*)""),INDIRECT(CONCATENATE(REGEXEXTRACT(E4,""(.*)-.*""),""!C3:V"")),2,FALSE))"),"BREAKER")</f>
        <v>BREAKER</v>
      </c>
      <c r="F5" s="83" t="str">
        <f>IFERROR(__xludf.DUMMYFUNCTION("IF(ISBLANK(F4),"""",HLOOKUP(REGEXEXTRACT(F4,"".*-(.*)""),INDIRECT(CONCATENATE(REGEXEXTRACT(F4,""(.*)-.*""),""!C3:V"")),2,FALSE))"),"Artist")</f>
        <v>Artist</v>
      </c>
      <c r="I5" s="147" t="s">
        <v>199</v>
      </c>
      <c r="J5" s="80" t="str">
        <f>IFERROR(__xludf.DUMMYFUNCTION("IF(ISBLANK(J4),"""",HLOOKUP(REGEXEXTRACT(J4,"".*-(.*)""),INDIRECT(CONCATENATE(REGEXEXTRACT(J4,""(.*)-.*""),""!C3:V"")),2,FALSE))"),"Shadowhunter")</f>
        <v>Shadowhunter</v>
      </c>
      <c r="K5" s="80" t="str">
        <f>IFERROR(__xludf.DUMMYFUNCTION("IF(ISBLANK(K4),"""",HLOOKUP(REGEXEXTRACT(K4,"".*-(.*)""),INDIRECT(CONCATENATE(REGEXEXTRACT(K4,""(.*)-.*""),""!C3:V"")),2,FALSE))"),"Slayer")</f>
        <v>Slayer</v>
      </c>
      <c r="L5" s="100" t="s">
        <v>212</v>
      </c>
      <c r="M5" s="83" t="str">
        <f>IFERROR(__xludf.DUMMYFUNCTION("IF(ISBLANK(M4),"""",HLOOKUP(REGEXEXTRACT(M4,"".*-(.*)""),INDIRECT(CONCATENATE(REGEXEXTRACT(M4,""(.*)-.*""),""!C3:V"")),2,FALSE))"),"Bard")</f>
        <v>Bard</v>
      </c>
    </row>
    <row r="6">
      <c r="B6" s="148"/>
      <c r="C6" s="90">
        <f>IFERROR(__xludf.DUMMYFUNCTION("IF(ISBLANK(C4),"""",HLOOKUP(REGEXEXTRACT(C4,"".*-(.*)""),INDIRECT(CONCATENATE(REGEXEXTRACT(C4,""(.*)-.*""),""!C3:V"")),3,FALSE))"),1750.0)</f>
        <v>1750</v>
      </c>
      <c r="D6" s="90">
        <f>IFERROR(__xludf.DUMMYFUNCTION("IF(ISBLANK(D4),"""",HLOOKUP(REGEXEXTRACT(D4,"".*-(.*)""),INDIRECT(CONCATENATE(REGEXEXTRACT(D4,""(.*)-.*""),""!C3:V"")),3,FALSE))"),1750.0)</f>
        <v>1750</v>
      </c>
      <c r="E6" s="90">
        <f>IFERROR(__xludf.DUMMYFUNCTION("IF(ISBLANK(E4),"""",HLOOKUP(REGEXEXTRACT(E4,"".*-(.*)""),INDIRECT(CONCATENATE(REGEXEXTRACT(E4,""(.*)-.*""),""!C3:V"")),3,FALSE))"),1750.0)</f>
        <v>1750</v>
      </c>
      <c r="F6" s="93">
        <f>IFERROR(__xludf.DUMMYFUNCTION("IF(ISBLANK(F4),"""",HLOOKUP(REGEXEXTRACT(F4,"".*-(.*)""),INDIRECT(CONCATENATE(REGEXEXTRACT(F4,""(.*)-.*""),""!C3:V"")),3,FALSE))"),1750.0)</f>
        <v>1750</v>
      </c>
      <c r="I6" s="149"/>
      <c r="J6" s="90">
        <f>IFERROR(__xludf.DUMMYFUNCTION("IF(ISBLANK(J4),"""",HLOOKUP(REGEXEXTRACT(J4,"".*-(.*)""),INDIRECT(CONCATENATE(REGEXEXTRACT(J4,""(.*)-.*""),""!C3:V"")),3,FALSE))"),1750.0)</f>
        <v>1750</v>
      </c>
      <c r="K6" s="90">
        <f>IFERROR(__xludf.DUMMYFUNCTION("IF(ISBLANK(K4),"""",HLOOKUP(REGEXEXTRACT(K4,"".*-(.*)""),INDIRECT(CONCATENATE(REGEXEXTRACT(K4,""(.*)-.*""),""!C3:V"")),3,FALSE))"),1750.0)</f>
        <v>1750</v>
      </c>
      <c r="L6" s="92">
        <v>1750.0</v>
      </c>
      <c r="M6" s="93">
        <f>IFERROR(__xludf.DUMMYFUNCTION("IF(ISBLANK(M4),"""",HLOOKUP(REGEXEXTRACT(M4,"".*-(.*)""),INDIRECT(CONCATENATE(REGEXEXTRACT(M4,""(.*)-.*""),""!C3:V"")),3,FALSE))"),1750.0)</f>
        <v>1750</v>
      </c>
    </row>
    <row r="8">
      <c r="A8" s="185"/>
      <c r="B8" s="144" t="s">
        <v>219</v>
      </c>
      <c r="C8" s="72" t="s">
        <v>53</v>
      </c>
      <c r="D8" s="73" t="s">
        <v>32</v>
      </c>
      <c r="E8" s="73" t="s">
        <v>82</v>
      </c>
      <c r="F8" s="74" t="s">
        <v>158</v>
      </c>
      <c r="H8" s="185"/>
      <c r="I8" s="145" t="s">
        <v>219</v>
      </c>
      <c r="J8" s="72" t="s">
        <v>131</v>
      </c>
      <c r="K8" s="73" t="s">
        <v>160</v>
      </c>
      <c r="L8" s="73" t="s">
        <v>118</v>
      </c>
      <c r="M8" s="74" t="s">
        <v>107</v>
      </c>
    </row>
    <row r="9">
      <c r="B9" s="146" t="s">
        <v>200</v>
      </c>
      <c r="C9" s="80" t="str">
        <f>IFERROR(__xludf.DUMMYFUNCTION("IF(ISBLANK(C8),"""",HLOOKUP(REGEXEXTRACT(C8,"".*-(.*)""),INDIRECT(CONCATENATE(REGEXEXTRACT(C8,""(.*)-.*""),""!C3:V"")),2,FALSE))"),"Summoner")</f>
        <v>Summoner</v>
      </c>
      <c r="D9" s="80" t="str">
        <f>IFERROR(__xludf.DUMMYFUNCTION("IF(ISBLANK(D8),"""",HLOOKUP(REGEXEXTRACT(D8,"".*-(.*)""),INDIRECT(CONCATENATE(REGEXEXTRACT(D8,""(.*)-.*""),""!C3:V"")),2,FALSE))"),"Glaivier")</f>
        <v>Glaivier</v>
      </c>
      <c r="E9" s="80" t="str">
        <f>IFERROR(__xludf.DUMMYFUNCTION("IF(ISBLANK(E8),"""",HLOOKUP(REGEXEXTRACT(E8,"".*-(.*)""),INDIRECT(CONCATENATE(REGEXEXTRACT(E8,""(.*)-.*""),""!C3:V"")),2,FALSE))"),"Bonk")</f>
        <v>Bonk</v>
      </c>
      <c r="F9" s="83" t="str">
        <f>IFERROR(__xludf.DUMMYFUNCTION("IF(ISBLANK(F8),"""",HLOOKUP(REGEXEXTRACT(F8,"".*-(.*)""),INDIRECT(CONCATENATE(REGEXEXTRACT(F8,""(.*)-.*""),""!C3:V"")),2,FALSE))"),"Artist")</f>
        <v>Artist</v>
      </c>
      <c r="I9" s="147" t="s">
        <v>200</v>
      </c>
      <c r="J9" s="80" t="str">
        <f>IFERROR(__xludf.DUMMYFUNCTION("IF(ISBLANK(J8),"""",HLOOKUP(REGEXEXTRACT(J8,"".*-(.*)""),INDIRECT(CONCATENATE(REGEXEXTRACT(J8,""(.*)-.*""),""!C3:V"")),2,FALSE))"),"Glaivier")</f>
        <v>Glaivier</v>
      </c>
      <c r="K9" s="80" t="str">
        <f>IFERROR(__xludf.DUMMYFUNCTION("IF(ISBLANK(K8),"""",HLOOKUP(REGEXEXTRACT(K8,"".*-(.*)""),INDIRECT(CONCATENATE(REGEXEXTRACT(K8,""(.*)-.*""),""!C3:V"")),2,FALSE))"),"Deathblade")</f>
        <v>Deathblade</v>
      </c>
      <c r="L9" s="80" t="str">
        <f>IFERROR(__xludf.DUMMYFUNCTION("IF(ISBLANK(L8),"""",HLOOKUP(REGEXEXTRACT(L8,"".*-(.*)""),INDIRECT(CONCATENATE(REGEXEXTRACT(L8,""(.*)-.*""),""!C3:V"")),2,FALSE))"),"Arcana")</f>
        <v>Arcana</v>
      </c>
      <c r="M9" s="102" t="s">
        <v>213</v>
      </c>
    </row>
    <row r="10">
      <c r="B10" s="148"/>
      <c r="C10" s="90">
        <f>IFERROR(__xludf.DUMMYFUNCTION("IF(ISBLANK(C8),"""",HLOOKUP(REGEXEXTRACT(C8,"".*-(.*)""),INDIRECT(CONCATENATE(REGEXEXTRACT(C8,""(.*)-.*""),""!C3:V"")),3,FALSE))"),1750.0)</f>
        <v>1750</v>
      </c>
      <c r="D10" s="90">
        <f>IFERROR(__xludf.DUMMYFUNCTION("IF(ISBLANK(D8),"""",HLOOKUP(REGEXEXTRACT(D8,"".*-(.*)""),INDIRECT(CONCATENATE(REGEXEXTRACT(D8,""(.*)-.*""),""!C3:V"")),3,FALSE))"),1750.0)</f>
        <v>1750</v>
      </c>
      <c r="E10" s="90">
        <f>IFERROR(__xludf.DUMMYFUNCTION("IF(ISBLANK(E8),"""",HLOOKUP(REGEXEXTRACT(E8,"".*-(.*)""),INDIRECT(CONCATENATE(REGEXEXTRACT(E8,""(.*)-.*""),""!C3:V"")),3,FALSE))"),1750.0)</f>
        <v>1750</v>
      </c>
      <c r="F10" s="93">
        <f>IFERROR(__xludf.DUMMYFUNCTION("IF(ISBLANK(F8),"""",HLOOKUP(REGEXEXTRACT(F8,"".*-(.*)""),INDIRECT(CONCATENATE(REGEXEXTRACT(F8,""(.*)-.*""),""!C3:V"")),3,FALSE))"),1750.0)</f>
        <v>1750</v>
      </c>
      <c r="I10" s="149"/>
      <c r="J10" s="90">
        <f>IFERROR(__xludf.DUMMYFUNCTION("IF(ISBLANK(J8),"""",HLOOKUP(REGEXEXTRACT(J8,"".*-(.*)""),INDIRECT(CONCATENATE(REGEXEXTRACT(J8,""(.*)-.*""),""!C3:V"")),3,FALSE))"),1750.0)</f>
        <v>1750</v>
      </c>
      <c r="K10" s="90">
        <f>IFERROR(__xludf.DUMMYFUNCTION("IF(ISBLANK(K8),"""",HLOOKUP(REGEXEXTRACT(K8,"".*-(.*)""),INDIRECT(CONCATENATE(REGEXEXTRACT(K8,""(.*)-.*""),""!C3:V"")),3,FALSE))"),1750.0)</f>
        <v>1750</v>
      </c>
      <c r="L10" s="90">
        <f>IFERROR(__xludf.DUMMYFUNCTION("IF(ISBLANK(L8),"""",HLOOKUP(REGEXEXTRACT(L8,"".*-(.*)""),INDIRECT(CONCATENATE(REGEXEXTRACT(L8,""(.*)-.*""),""!C3:V"")),3,FALSE))"),1750.0)</f>
        <v>1750</v>
      </c>
      <c r="M10" s="201">
        <v>1750.0</v>
      </c>
    </row>
    <row r="12">
      <c r="A12" s="185"/>
      <c r="B12" s="186" t="s">
        <v>219</v>
      </c>
      <c r="C12" s="72" t="s">
        <v>73</v>
      </c>
      <c r="D12" s="73" t="s">
        <v>14</v>
      </c>
      <c r="E12" s="73" t="s">
        <v>165</v>
      </c>
      <c r="F12" s="74" t="s">
        <v>80</v>
      </c>
      <c r="H12" s="185"/>
      <c r="I12" s="163" t="s">
        <v>219</v>
      </c>
      <c r="J12" s="72" t="s">
        <v>106</v>
      </c>
      <c r="K12" s="73" t="s">
        <v>115</v>
      </c>
      <c r="L12" s="73" t="s">
        <v>130</v>
      </c>
      <c r="M12" s="74" t="s">
        <v>162</v>
      </c>
    </row>
    <row r="13">
      <c r="B13" s="187" t="s">
        <v>200</v>
      </c>
      <c r="C13" s="80" t="str">
        <f>IFERROR(__xludf.DUMMYFUNCTION("IF(ISBLANK(C12),"""",HLOOKUP(REGEXEXTRACT(C12,"".*-(.*)""),INDIRECT(CONCATENATE(REGEXEXTRACT(C12,""(.*)-.*""),""!C3:V"")),2,FALSE))"),"Souleater")</f>
        <v>Souleater</v>
      </c>
      <c r="D13" s="80" t="str">
        <f>IFERROR(__xludf.DUMMYFUNCTION("IF(ISBLANK(D12),"""",HLOOKUP(REGEXEXTRACT(D12,"".*-(.*)""),INDIRECT(CONCATENATE(REGEXEXTRACT(D12,""(.*)-.*""),""!C3:V"")),2,FALSE))"),"Sorceress")</f>
        <v>Sorceress</v>
      </c>
      <c r="E13" s="80" t="str">
        <f>IFERROR(__xludf.DUMMYFUNCTION("IF(ISBLANK(E12),"""",HLOOKUP(REGEXEXTRACT(E12,"".*-(.*)""),INDIRECT(CONCATENATE(REGEXEXTRACT(E12,""(.*)-.*""),""!C3:V"")),2,FALSE))"),"Souleater")</f>
        <v>Souleater</v>
      </c>
      <c r="F13" s="83" t="str">
        <f>IFERROR(__xludf.DUMMYFUNCTION("IF(ISBLANK(F12),"""",HLOOKUP(REGEXEXTRACT(F12,"".*-(.*)""),INDIRECT(CONCATENATE(REGEXEXTRACT(F12,""(.*)-.*""),""!C3:V"")),2,FALSE))"),"Paladin")</f>
        <v>Paladin</v>
      </c>
      <c r="I13" s="164" t="s">
        <v>200</v>
      </c>
      <c r="J13" s="100" t="s">
        <v>173</v>
      </c>
      <c r="K13" s="80" t="str">
        <f>IFERROR(__xludf.DUMMYFUNCTION("IF(ISBLANK(K12),"""",HLOOKUP(REGEXEXTRACT(K12,"".*-(.*)""),INDIRECT(CONCATENATE(REGEXEXTRACT(K12,""(.*)-.*""),""!C3:V"")),2,FALSE))"),"Wildsoul")</f>
        <v>Wildsoul</v>
      </c>
      <c r="L13" s="80" t="str">
        <f>IFERROR(__xludf.DUMMYFUNCTION("IF(ISBLANK(L12),"""",HLOOKUP(REGEXEXTRACT(L12,"".*-(.*)""),INDIRECT(CONCATENATE(REGEXEXTRACT(L12,""(.*)-.*""),""!C3:V"")),2,FALSE))"),"Aeromancer")</f>
        <v>Aeromancer</v>
      </c>
      <c r="M13" s="83" t="str">
        <f>IFERROR(__xludf.DUMMYFUNCTION("IF(ISBLANK(M12),"""",HLOOKUP(REGEXEXTRACT(M12,"".*-(.*)""),INDIRECT(CONCATENATE(REGEXEXTRACT(M12,""(.*)-.*""),""!C3:V"")),2,FALSE))"),"Paladin")</f>
        <v>Paladin</v>
      </c>
      <c r="Q13" s="182"/>
    </row>
    <row r="14">
      <c r="B14" s="188"/>
      <c r="C14" s="90">
        <f>IFERROR(__xludf.DUMMYFUNCTION("IF(ISBLANK(C12),"""",HLOOKUP(REGEXEXTRACT(C12,"".*-(.*)""),INDIRECT(CONCATENATE(REGEXEXTRACT(C12,""(.*)-.*""),""!C3:V"")),3,FALSE))"),1750.0)</f>
        <v>1750</v>
      </c>
      <c r="D14" s="90">
        <f>IFERROR(__xludf.DUMMYFUNCTION("IF(ISBLANK(D12),"""",HLOOKUP(REGEXEXTRACT(D12,"".*-(.*)""),INDIRECT(CONCATENATE(REGEXEXTRACT(D12,""(.*)-.*""),""!C3:V"")),3,FALSE))"),1750.0)</f>
        <v>1750</v>
      </c>
      <c r="E14" s="90">
        <f>IFERROR(__xludf.DUMMYFUNCTION("IF(ISBLANK(E12),"""",HLOOKUP(REGEXEXTRACT(E12,"".*-(.*)""),INDIRECT(CONCATENATE(REGEXEXTRACT(E12,""(.*)-.*""),""!C3:V"")),3,FALSE))"),1750.0)</f>
        <v>1750</v>
      </c>
      <c r="F14" s="93">
        <f>IFERROR(__xludf.DUMMYFUNCTION("IF(ISBLANK(F12),"""",HLOOKUP(REGEXEXTRACT(F12,"".*-(.*)""),INDIRECT(CONCATENATE(REGEXEXTRACT(F12,""(.*)-.*""),""!C3:V"")),3,FALSE))"),1750.0)</f>
        <v>1750</v>
      </c>
      <c r="I14" s="165"/>
      <c r="J14" s="92">
        <v>1750.0</v>
      </c>
      <c r="K14" s="90">
        <f>IFERROR(__xludf.DUMMYFUNCTION("IF(ISBLANK(K12),"""",HLOOKUP(REGEXEXTRACT(K12,"".*-(.*)""),INDIRECT(CONCATENATE(REGEXEXTRACT(K12,""(.*)-.*""),""!C3:V"")),3,FALSE))"),1750.0)</f>
        <v>1750</v>
      </c>
      <c r="L14" s="90">
        <f>IFERROR(__xludf.DUMMYFUNCTION("IF(ISBLANK(L12),"""",HLOOKUP(REGEXEXTRACT(L12,"".*-(.*)""),INDIRECT(CONCATENATE(REGEXEXTRACT(L12,""(.*)-.*""),""!C3:V"")),3,FALSE))"),1750.0)</f>
        <v>1750</v>
      </c>
      <c r="M14" s="93">
        <f>IFERROR(__xludf.DUMMYFUNCTION("IF(ISBLANK(M12),"""",HLOOKUP(REGEXEXTRACT(M12,"".*-(.*)""),INDIRECT(CONCATENATE(REGEXEXTRACT(M12,""(.*)-.*""),""!C3:V"")),3,FALSE))"),1750.0)</f>
        <v>1750</v>
      </c>
      <c r="Q14" s="182"/>
    </row>
    <row r="15">
      <c r="K15" s="7"/>
      <c r="Q15" s="182"/>
    </row>
    <row r="16">
      <c r="A16" s="185"/>
      <c r="B16" s="186" t="s">
        <v>219</v>
      </c>
      <c r="C16" s="73" t="s">
        <v>85</v>
      </c>
      <c r="D16" s="73" t="s">
        <v>24</v>
      </c>
      <c r="E16" s="73" t="s">
        <v>146</v>
      </c>
      <c r="F16" s="74" t="s">
        <v>143</v>
      </c>
      <c r="H16" s="185"/>
      <c r="I16" s="163" t="s">
        <v>219</v>
      </c>
      <c r="J16" s="72" t="s">
        <v>106</v>
      </c>
      <c r="K16" s="73" t="s">
        <v>202</v>
      </c>
      <c r="L16" s="73" t="s">
        <v>161</v>
      </c>
      <c r="M16" s="74" t="s">
        <v>166</v>
      </c>
    </row>
    <row r="17">
      <c r="B17" s="187" t="s">
        <v>200</v>
      </c>
      <c r="C17" s="80" t="str">
        <f>IFERROR(__xludf.DUMMYFUNCTION("IF(ISBLANK(C16),"""",HLOOKUP(REGEXEXTRACT(C16,"".*-(.*)""),INDIRECT(CONCATENATE(REGEXEXTRACT(C16,""(.*)-.*""),""!C3:V"")),2,FALSE))"),"Artill")</f>
        <v>Artill</v>
      </c>
      <c r="D17" s="80" t="str">
        <f>IFERROR(__xludf.DUMMYFUNCTION("IF(ISBLANK(D16),"""",HLOOKUP(REGEXEXTRACT(D16,"".*-(.*)""),INDIRECT(CONCATENATE(REGEXEXTRACT(D16,""(.*)-.*""),""!C3:V"")),2,FALSE))"),"Slayer")</f>
        <v>Slayer</v>
      </c>
      <c r="E17" s="80" t="str">
        <f>IFERROR(__xludf.DUMMYFUNCTION("IF(ISBLANK(E16),"""",HLOOKUP(REGEXEXTRACT(E16,"".*-(.*)""),INDIRECT(CONCATENATE(REGEXEXTRACT(E16,""(.*)-.*""),""!C3:V"")),2,FALSE))"),"Guardianknight")</f>
        <v>Guardianknight</v>
      </c>
      <c r="F17" s="83" t="str">
        <f>IFERROR(__xludf.DUMMYFUNCTION("IF(ISBLANK(F16),"""",HLOOKUP(REGEXEXTRACT(F16,"".*-(.*)""),INDIRECT(CONCATENATE(REGEXEXTRACT(F16,""(.*)-.*""),""!C3:V"")),2,FALSE))"),"Valk")</f>
        <v>Valk</v>
      </c>
      <c r="I17" s="164" t="s">
        <v>200</v>
      </c>
      <c r="J17" s="100" t="s">
        <v>215</v>
      </c>
      <c r="K17" s="80" t="str">
        <f>IFERROR(__xludf.DUMMYFUNCTION("IF(ISBLANK(K16),"""",HLOOKUP(REGEXEXTRACT(K16,"".*-(.*)""),INDIRECT(CONCATENATE(REGEXEXTRACT(K16,""(.*)-.*""),""!C3:V"")),2,FALSE))"),"Souleater")</f>
        <v>Souleater</v>
      </c>
      <c r="L17" s="80" t="str">
        <f>IFERROR(__xludf.DUMMYFUNCTION("IF(ISBLANK(L16),"""",HLOOKUP(REGEXEXTRACT(L16,"".*-(.*)""),INDIRECT(CONCATENATE(REGEXEXTRACT(L16,""(.*)-.*""),""!C3:V"")),2,FALSE))"),"Sorc")</f>
        <v>Sorc</v>
      </c>
      <c r="M17" s="83" t="str">
        <f>IFERROR(__xludf.DUMMYFUNCTION("IF(ISBLANK(M16),"""",HLOOKUP(REGEXEXTRACT(M16,"".*-(.*)""),INDIRECT(CONCATENATE(REGEXEXTRACT(M16,""(.*)-.*""),""!C3:V"")),2,FALSE))"),"Valk")</f>
        <v>Valk</v>
      </c>
    </row>
    <row r="18">
      <c r="B18" s="188"/>
      <c r="C18" s="90">
        <f>IFERROR(__xludf.DUMMYFUNCTION("IF(ISBLANK(C16),"""",HLOOKUP(REGEXEXTRACT(C16,"".*-(.*)""),INDIRECT(CONCATENATE(REGEXEXTRACT(C16,""(.*)-.*""),""!C3:V"")),3,FALSE))"),1750.0)</f>
        <v>1750</v>
      </c>
      <c r="D18" s="90">
        <f>IFERROR(__xludf.DUMMYFUNCTION("IF(ISBLANK(D16),"""",HLOOKUP(REGEXEXTRACT(D16,"".*-(.*)""),INDIRECT(CONCATENATE(REGEXEXTRACT(D16,""(.*)-.*""),""!C3:V"")),3,FALSE))"),1750.0)</f>
        <v>1750</v>
      </c>
      <c r="E18" s="90">
        <f>IFERROR(__xludf.DUMMYFUNCTION("IF(ISBLANK(E16),"""",HLOOKUP(REGEXEXTRACT(E16,"".*-(.*)""),INDIRECT(CONCATENATE(REGEXEXTRACT(E16,""(.*)-.*""),""!C3:V"")),3,FALSE))"),1750.0)</f>
        <v>1750</v>
      </c>
      <c r="F18" s="93">
        <f>IFERROR(__xludf.DUMMYFUNCTION("IF(ISBLANK(F16),"""",HLOOKUP(REGEXEXTRACT(F16,"".*-(.*)""),INDIRECT(CONCATENATE(REGEXEXTRACT(F16,""(.*)-.*""),""!C3:V"")),3,FALSE))"),1750.0)</f>
        <v>1750</v>
      </c>
      <c r="I18" s="165"/>
      <c r="J18" s="92">
        <v>1750.0</v>
      </c>
      <c r="K18" s="90">
        <f>IFERROR(__xludf.DUMMYFUNCTION("IF(ISBLANK(K16),"""",HLOOKUP(REGEXEXTRACT(K16,"".*-(.*)""),INDIRECT(CONCATENATE(REGEXEXTRACT(K16,""(.*)-.*""),""!C3:V"")),3,FALSE))"),1750.0)</f>
        <v>1750</v>
      </c>
      <c r="L18" s="90">
        <f>IFERROR(__xludf.DUMMYFUNCTION("IF(ISBLANK(L16),"""",HLOOKUP(REGEXEXTRACT(L16,"".*-(.*)""),INDIRECT(CONCATENATE(REGEXEXTRACT(L16,""(.*)-.*""),""!C3:V"")),3,FALSE))"),1750.0)</f>
        <v>1750</v>
      </c>
      <c r="M18" s="93">
        <f>IFERROR(__xludf.DUMMYFUNCTION("IF(ISBLANK(M16),"""",HLOOKUP(REGEXEXTRACT(M16,"".*-(.*)""),INDIRECT(CONCATENATE(REGEXEXTRACT(M16,""(.*)-.*""),""!C3:V"")),3,FALSE))"),1750.0)</f>
        <v>1750</v>
      </c>
    </row>
    <row r="20">
      <c r="A20" s="185"/>
      <c r="B20" s="202" t="s">
        <v>219</v>
      </c>
      <c r="C20" s="72"/>
      <c r="D20" s="73" t="s">
        <v>70</v>
      </c>
      <c r="E20" s="73" t="s">
        <v>116</v>
      </c>
      <c r="F20" s="74" t="s">
        <v>54</v>
      </c>
      <c r="H20" s="185"/>
      <c r="I20" s="160" t="s">
        <v>219</v>
      </c>
      <c r="J20" s="72" t="s">
        <v>107</v>
      </c>
      <c r="K20" s="73" t="s">
        <v>206</v>
      </c>
      <c r="L20" s="73" t="s">
        <v>113</v>
      </c>
      <c r="M20" s="74" t="s">
        <v>170</v>
      </c>
    </row>
    <row r="21">
      <c r="B21" s="203" t="s">
        <v>200</v>
      </c>
      <c r="C21" s="100"/>
      <c r="D21" s="80" t="str">
        <f>IFERROR(__xludf.DUMMYFUNCTION("IF(ISBLANK(D20),"""",HLOOKUP(REGEXEXTRACT(D20,"".*-(.*)""),INDIRECT(CONCATENATE(REGEXEXTRACT(D20,""(.*)-.*""),""!C3:V"")),2,FALSE))"),"GL")</f>
        <v>GL</v>
      </c>
      <c r="E21" s="100" t="s">
        <v>220</v>
      </c>
      <c r="F21" s="83" t="str">
        <f>IFERROR(__xludf.DUMMYFUNCTION("IF(ISBLANK(F20),"""",HLOOKUP(REGEXEXTRACT(F20,"".*-(.*)""),INDIRECT(CONCATENATE(REGEXEXTRACT(F20,""(.*)-.*""),""!C3:V"")),2,FALSE))"),"Paladin")</f>
        <v>Paladin</v>
      </c>
      <c r="I21" s="161" t="s">
        <v>200</v>
      </c>
      <c r="J21" s="100" t="s">
        <v>212</v>
      </c>
      <c r="K21" s="80" t="str">
        <f>IFERROR(__xludf.DUMMYFUNCTION("IF(ISBLANK(K20),"""",HLOOKUP(REGEXEXTRACT(K20,"".*-(.*)""),INDIRECT(CONCATENATE(REGEXEXTRACT(K20,""(.*)-.*""),""!C3:V"")),2,FALSE))"),"Gunslinger")</f>
        <v>Gunslinger</v>
      </c>
      <c r="L21" s="80" t="str">
        <f>IFERROR(__xludf.DUMMYFUNCTION("IF(ISBLANK(L20),"""",HLOOKUP(REGEXEXTRACT(L20,"".*-(.*)""),INDIRECT(CONCATENATE(REGEXEXTRACT(L20,""(.*)-.*""),""!C3:V"")),2,FALSE))"),"G")</f>
        <v>G</v>
      </c>
      <c r="M21" s="83" t="str">
        <f>IFERROR(__xludf.DUMMYFUNCTION("IF(ISBLANK(M20),"""",HLOOKUP(REGEXEXTRACT(M20,"".*-(.*)""),INDIRECT(CONCATENATE(REGEXEXTRACT(M20,""(.*)-.*""),""!C3:V"")),2,FALSE))"),"Bard")</f>
        <v>Bard</v>
      </c>
    </row>
    <row r="22">
      <c r="B22" s="204"/>
      <c r="C22" s="92"/>
      <c r="D22" s="90">
        <f>IFERROR(__xludf.DUMMYFUNCTION("IF(ISBLANK(D20),"""",HLOOKUP(REGEXEXTRACT(D20,"".*-(.*)""),INDIRECT(CONCATENATE(REGEXEXTRACT(D20,""(.*)-.*""),""!C3:V"")),3,FALSE))"),1750.0)</f>
        <v>1750</v>
      </c>
      <c r="E22" s="92">
        <v>1750.0</v>
      </c>
      <c r="F22" s="93">
        <f>IFERROR(__xludf.DUMMYFUNCTION("IF(ISBLANK(F20),"""",HLOOKUP(REGEXEXTRACT(F20,"".*-(.*)""),INDIRECT(CONCATENATE(REGEXEXTRACT(F20,""(.*)-.*""),""!C3:V"")),3,FALSE))"),1750.0)</f>
        <v>1750</v>
      </c>
      <c r="I22" s="162"/>
      <c r="J22" s="92">
        <v>1750.0</v>
      </c>
      <c r="K22" s="90">
        <f>IFERROR(__xludf.DUMMYFUNCTION("IF(ISBLANK(K20),"""",HLOOKUP(REGEXEXTRACT(K20,"".*-(.*)""),INDIRECT(CONCATENATE(REGEXEXTRACT(K20,""(.*)-.*""),""!C3:V"")),3,FALSE))"),1750.0)</f>
        <v>1750</v>
      </c>
      <c r="L22" s="90">
        <f>IFERROR(__xludf.DUMMYFUNCTION("IF(ISBLANK(L20),"""",HLOOKUP(REGEXEXTRACT(L20,"".*-(.*)""),INDIRECT(CONCATENATE(REGEXEXTRACT(L20,""(.*)-.*""),""!C3:V"")),3,FALSE))"),1750.0)</f>
        <v>1750</v>
      </c>
      <c r="M22" s="93">
        <f>IFERROR(__xludf.DUMMYFUNCTION("IF(ISBLANK(M20),"""",HLOOKUP(REGEXEXTRACT(M20,"".*-(.*)""),INDIRECT(CONCATENATE(REGEXEXTRACT(M20,""(.*)-.*""),""!C3:V"")),3,FALSE))"),1750.0)</f>
        <v>1750</v>
      </c>
    </row>
    <row r="24">
      <c r="A24" s="182"/>
      <c r="B24" s="198" t="s">
        <v>219</v>
      </c>
      <c r="C24" s="72"/>
      <c r="D24" s="73" t="s">
        <v>43</v>
      </c>
      <c r="E24" s="73" t="s">
        <v>144</v>
      </c>
      <c r="F24" s="74" t="s">
        <v>116</v>
      </c>
      <c r="H24" s="185"/>
      <c r="I24" s="150" t="s">
        <v>219</v>
      </c>
      <c r="J24" s="72" t="s">
        <v>37</v>
      </c>
      <c r="K24" s="73" t="s">
        <v>159</v>
      </c>
      <c r="L24" s="73" t="s">
        <v>164</v>
      </c>
      <c r="M24" s="74" t="s">
        <v>157</v>
      </c>
    </row>
    <row r="25">
      <c r="A25" s="182"/>
      <c r="B25" s="199" t="s">
        <v>200</v>
      </c>
      <c r="C25" s="80" t="str">
        <f>IFERROR(__xludf.DUMMYFUNCTION("IF(ISBLANK(C24),"""",HLOOKUP(REGEXEXTRACT(C24,"".*-(.*)""),INDIRECT(CONCATENATE(REGEXEXTRACT(C24,""(.*)-.*""),""!C3:V"")),2,FALSE))"),"")</f>
        <v/>
      </c>
      <c r="D25" s="80" t="str">
        <f>IFERROR(__xludf.DUMMYFUNCTION("IF(ISBLANK(D24),"""",HLOOKUP(REGEXEXTRACT(D24,"".*-(.*)""),INDIRECT(CONCATENATE(REGEXEXTRACT(D24,""(.*)-.*""),""!C3:V"")),2,FALSE))"),"Soulfist")</f>
        <v>Soulfist</v>
      </c>
      <c r="E25" s="80" t="str">
        <f>IFERROR(__xludf.DUMMYFUNCTION("IF(ISBLANK(E24),"""",HLOOKUP(REGEXEXTRACT(E24,"".*-(.*)""),INDIRECT(CONCATENATE(REGEXEXTRACT(E24,""(.*)-.*""),""!C3:V"")),2,FALSE))"),"Souleater")</f>
        <v>Souleater</v>
      </c>
      <c r="F25" s="102" t="s">
        <v>221</v>
      </c>
      <c r="I25" s="152" t="s">
        <v>200</v>
      </c>
      <c r="J25" s="80" t="str">
        <f>IFERROR(__xludf.DUMMYFUNCTION("IF(ISBLANK(J24),"""",HLOOKUP(REGEXEXTRACT(J24,"".*-(.*)""),INDIRECT(CONCATENATE(REGEXEXTRACT(J24,""(.*)-.*""),""!C3:V"")),2,FALSE))"),"Guardianknight")</f>
        <v>Guardianknight</v>
      </c>
      <c r="K25" s="80" t="str">
        <f>IFERROR(__xludf.DUMMYFUNCTION("IF(ISBLANK(K24),"""",HLOOKUP(REGEXEXTRACT(K24,"".*-(.*)""),INDIRECT(CONCATENATE(REGEXEXTRACT(K24,""(.*)-.*""),""!C3:V"")),2,FALSE))"),"Glaivier")</f>
        <v>Glaivier</v>
      </c>
      <c r="L25" s="80" t="str">
        <f>IFERROR(__xludf.DUMMYFUNCTION("IF(ISBLANK(L24),"""",HLOOKUP(REGEXEXTRACT(L24,"".*-(.*)""),INDIRECT(CONCATENATE(REGEXEXTRACT(L24,""(.*)-.*""),""!C3:V"")),2,FALSE))"),"Valk")</f>
        <v>Valk</v>
      </c>
      <c r="M25" s="83" t="str">
        <f>IFERROR(__xludf.DUMMYFUNCTION("IF(ISBLANK(M24),"""",HLOOKUP(REGEXEXTRACT(M24,"".*-(.*)""),INDIRECT(CONCATENATE(REGEXEXTRACT(M24,""(.*)-.*""),""!C3:V"")),2,FALSE))"),"Valk")</f>
        <v>Valk</v>
      </c>
    </row>
    <row r="26">
      <c r="A26" s="182"/>
      <c r="B26" s="200"/>
      <c r="C26" s="90" t="str">
        <f>IFERROR(__xludf.DUMMYFUNCTION("IF(ISBLANK(C24),"""",HLOOKUP(REGEXEXTRACT(C24,"".*-(.*)""),INDIRECT(CONCATENATE(REGEXEXTRACT(C24,""(.*)-.*""),""!C3:V"")),3,FALSE))"),"")</f>
        <v/>
      </c>
      <c r="D26" s="90">
        <f>IFERROR(__xludf.DUMMYFUNCTION("IF(ISBLANK(D24),"""",HLOOKUP(REGEXEXTRACT(D24,"".*-(.*)""),INDIRECT(CONCATENATE(REGEXEXTRACT(D24,""(.*)-.*""),""!C3:V"")),3,FALSE))"),1750.0)</f>
        <v>1750</v>
      </c>
      <c r="E26" s="90">
        <f>IFERROR(__xludf.DUMMYFUNCTION("IF(ISBLANK(E24),"""",HLOOKUP(REGEXEXTRACT(E24,"".*-(.*)""),INDIRECT(CONCATENATE(REGEXEXTRACT(E24,""(.*)-.*""),""!C3:V"")),3,FALSE))"),1750.0)</f>
        <v>1750</v>
      </c>
      <c r="F26" s="201">
        <v>1750.0</v>
      </c>
      <c r="I26" s="153"/>
      <c r="J26" s="90">
        <f>IFERROR(__xludf.DUMMYFUNCTION("IF(ISBLANK(J24),"""",HLOOKUP(REGEXEXTRACT(J24,"".*-(.*)""),INDIRECT(CONCATENATE(REGEXEXTRACT(J24,""(.*)-.*""),""!C3:V"")),3,FALSE))"),1750.0)</f>
        <v>1750</v>
      </c>
      <c r="K26" s="90">
        <f>IFERROR(__xludf.DUMMYFUNCTION("IF(ISBLANK(K24),"""",HLOOKUP(REGEXEXTRACT(K24,"".*-(.*)""),INDIRECT(CONCATENATE(REGEXEXTRACT(K24,""(.*)-.*""),""!C3:V"")),3,FALSE))"),1750.0)</f>
        <v>1750</v>
      </c>
      <c r="L26" s="90">
        <f>IFERROR(__xludf.DUMMYFUNCTION("IF(ISBLANK(L24),"""",HLOOKUP(REGEXEXTRACT(L24,"".*-(.*)""),INDIRECT(CONCATENATE(REGEXEXTRACT(L24,""(.*)-.*""),""!C3:V"")),3,FALSE))"),1750.0)</f>
        <v>1750</v>
      </c>
      <c r="M26" s="93">
        <f>IFERROR(__xludf.DUMMYFUNCTION("IF(ISBLANK(M24),"""",HLOOKUP(REGEXEXTRACT(M24,"".*-(.*)""),INDIRECT(CONCATENATE(REGEXEXTRACT(M24,""(.*)-.*""),""!C3:V"")),3,FALSE))"),1750.0)</f>
        <v>1750</v>
      </c>
    </row>
    <row r="27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5"/>
      <c r="L27" s="154"/>
      <c r="M27" s="154"/>
      <c r="N27" s="154"/>
    </row>
    <row r="28">
      <c r="A28" s="185"/>
      <c r="B28" s="205" t="s">
        <v>222</v>
      </c>
      <c r="C28" s="72"/>
      <c r="D28" s="73" t="s">
        <v>107</v>
      </c>
      <c r="E28" s="73" t="s">
        <v>207</v>
      </c>
      <c r="F28" s="74" t="s">
        <v>117</v>
      </c>
      <c r="H28" s="185"/>
      <c r="I28" s="205" t="s">
        <v>222</v>
      </c>
      <c r="J28" s="72"/>
      <c r="K28" s="73" t="s">
        <v>107</v>
      </c>
      <c r="L28" s="73" t="s">
        <v>216</v>
      </c>
      <c r="M28" s="74" t="s">
        <v>214</v>
      </c>
    </row>
    <row r="29">
      <c r="B29" s="206" t="s">
        <v>200</v>
      </c>
      <c r="C29" s="100"/>
      <c r="D29" s="100" t="s">
        <v>204</v>
      </c>
      <c r="E29" s="80" t="str">
        <f>IFERROR(__xludf.DUMMYFUNCTION("IF(ISBLANK(E28),"""",HLOOKUP(REGEXEXTRACT(E28,"".*-(.*)""),INDIRECT(CONCATENATE(REGEXEXTRACT(E28,""(.*)-.*""),""!C3:V"")),2,FALSE))"),"Gunlancer")</f>
        <v>Gunlancer</v>
      </c>
      <c r="F29" s="83" t="str">
        <f>IFERROR(__xludf.DUMMYFUNCTION("IF(ISBLANK(F28),"""",HLOOKUP(REGEXEXTRACT(F28,"".*-(.*)""),INDIRECT(CONCATENATE(REGEXEXTRACT(F28,""(.*)-.*""),""!C3:V"")),2,FALSE))"),"Artist")</f>
        <v>Artist</v>
      </c>
      <c r="I29" s="206" t="s">
        <v>200</v>
      </c>
      <c r="J29" s="100"/>
      <c r="K29" s="100" t="s">
        <v>203</v>
      </c>
      <c r="L29" s="80" t="str">
        <f>IFERROR(__xludf.DUMMYFUNCTION("IF(ISBLANK(L28),"""",HLOOKUP(REGEXEXTRACT(L28,"".*-(.*)""),INDIRECT(CONCATENATE(REGEXEXTRACT(L28,""(.*)-.*""),""!C3:V"")),2,FALSE))"),"Aeromancer")</f>
        <v>Aeromancer</v>
      </c>
      <c r="M29" s="83" t="str">
        <f>IFERROR(__xludf.DUMMYFUNCTION("IF(ISBLANK(M28),"""",HLOOKUP(REGEXEXTRACT(M28,"".*-(.*)""),INDIRECT(CONCATENATE(REGEXEXTRACT(M28,""(.*)-.*""),""!C3:V"")),2,FALSE))"),"Valkyrie")</f>
        <v>Valkyrie</v>
      </c>
    </row>
    <row r="30">
      <c r="B30" s="207"/>
      <c r="C30" s="92"/>
      <c r="D30" s="92">
        <v>1730.0</v>
      </c>
      <c r="E30" s="90">
        <f>IFERROR(__xludf.DUMMYFUNCTION("IF(ISBLANK(E28),"""",HLOOKUP(REGEXEXTRACT(E28,"".*-(.*)""),INDIRECT(CONCATENATE(REGEXEXTRACT(E28,""(.*)-.*""),""!C3:V"")),3,FALSE))"),1730.0)</f>
        <v>1730</v>
      </c>
      <c r="F30" s="93">
        <f>IFERROR(__xludf.DUMMYFUNCTION("IF(ISBLANK(F28),"""",HLOOKUP(REGEXEXTRACT(F28,"".*-(.*)""),INDIRECT(CONCATENATE(REGEXEXTRACT(F28,""(.*)-.*""),""!C3:V"")),3,FALSE))"),1730.0)</f>
        <v>1730</v>
      </c>
      <c r="I30" s="207"/>
      <c r="J30" s="92"/>
      <c r="K30" s="92">
        <v>1730.0</v>
      </c>
      <c r="L30" s="90">
        <f>IFERROR(__xludf.DUMMYFUNCTION("IF(ISBLANK(L28),"""",HLOOKUP(REGEXEXTRACT(L28,"".*-(.*)""),INDIRECT(CONCATENATE(REGEXEXTRACT(L28,""(.*)-.*""),""!C3:V"")),3,FALSE))"),1730.0)</f>
        <v>1730</v>
      </c>
      <c r="M30" s="93">
        <f>IFERROR(__xludf.DUMMYFUNCTION("IF(ISBLANK(M28),"""",HLOOKUP(REGEXEXTRACT(M28,"".*-(.*)""),INDIRECT(CONCATENATE(REGEXEXTRACT(M28,""(.*)-.*""),""!C3:V"")),3,FALSE))"),1730.0)</f>
        <v>1730</v>
      </c>
    </row>
    <row r="32">
      <c r="A32" s="185"/>
      <c r="B32" s="198" t="s">
        <v>222</v>
      </c>
      <c r="C32" s="72"/>
      <c r="D32" s="73" t="s">
        <v>62</v>
      </c>
      <c r="E32" s="73" t="s">
        <v>217</v>
      </c>
      <c r="F32" s="74" t="s">
        <v>208</v>
      </c>
      <c r="H32" s="182"/>
      <c r="I32" s="198" t="s">
        <v>222</v>
      </c>
      <c r="J32" s="72"/>
      <c r="K32" s="73"/>
      <c r="L32" s="73"/>
      <c r="M32" s="74"/>
    </row>
    <row r="33">
      <c r="B33" s="199" t="s">
        <v>200</v>
      </c>
      <c r="C33" s="80" t="str">
        <f>IFERROR(__xludf.DUMMYFUNCTION("IF(ISBLANK(C32),"""",HLOOKUP(REGEXEXTRACT(C32,"".*-(.*)""),INDIRECT(CONCATENATE(REGEXEXTRACT(C32,""(.*)-.*""),""!C3:V"")),2,FALSE))"),"")</f>
        <v/>
      </c>
      <c r="D33" s="80" t="str">
        <f>IFERROR(__xludf.DUMMYFUNCTION("IF(ISBLANK(D32),"""",HLOOKUP(REGEXEXTRACT(D32,"".*-(.*)""),INDIRECT(CONCATENATE(REGEXEXTRACT(D32,""(.*)-.*""),""!C3:V"")),2,FALSE))"),"Breaker")</f>
        <v>Breaker</v>
      </c>
      <c r="E33" s="80" t="str">
        <f>IFERROR(__xludf.DUMMYFUNCTION("IF(ISBLANK(E32),"""",HLOOKUP(REGEXEXTRACT(E32,"".*-(.*)""),INDIRECT(CONCATENATE(REGEXEXTRACT(E32,""(.*)-.*""),""!C3:V"")),2,FALSE))"),"Souleater")</f>
        <v>Souleater</v>
      </c>
      <c r="F33" s="83" t="str">
        <f>IFERROR(__xludf.DUMMYFUNCTION("IF(ISBLANK(F32),"""",HLOOKUP(REGEXEXTRACT(F32,"".*-(.*)""),INDIRECT(CONCATENATE(REGEXEXTRACT(F32,""(.*)-.*""),""!C3:V"")),2,FALSE))"),"Valk")</f>
        <v>Valk</v>
      </c>
      <c r="H33" s="182"/>
      <c r="I33" s="199" t="s">
        <v>200</v>
      </c>
      <c r="J33" s="80" t="str">
        <f>IFERROR(__xludf.DUMMYFUNCTION("IF(ISBLANK(J32),"""",HLOOKUP(REGEXEXTRACT(J32,"".*-(.*)""),INDIRECT(CONCATENATE(REGEXEXTRACT(J32,""(.*)-.*""),""!C3:V"")),2,FALSE))"),"")</f>
        <v/>
      </c>
      <c r="K33" s="80" t="str">
        <f>IFERROR(__xludf.DUMMYFUNCTION("IF(ISBLANK(K32),"""",HLOOKUP(REGEXEXTRACT(K32,"".*-(.*)""),INDIRECT(CONCATENATE(REGEXEXTRACT(K32,""(.*)-.*""),""!C3:V"")),2,FALSE))"),"")</f>
        <v/>
      </c>
      <c r="L33" s="80" t="str">
        <f>IFERROR(__xludf.DUMMYFUNCTION("IF(ISBLANK(L32),"""",HLOOKUP(REGEXEXTRACT(L32,"".*-(.*)""),INDIRECT(CONCATENATE(REGEXEXTRACT(L32,""(.*)-.*""),""!C3:V"")),2,FALSE))"),"")</f>
        <v/>
      </c>
      <c r="M33" s="83" t="str">
        <f>IFERROR(__xludf.DUMMYFUNCTION("IF(ISBLANK(M32),"""",HLOOKUP(REGEXEXTRACT(M32,"".*-(.*)""),INDIRECT(CONCATENATE(REGEXEXTRACT(M32,""(.*)-.*""),""!C3:V"")),2,FALSE))"),"")</f>
        <v/>
      </c>
    </row>
    <row r="34">
      <c r="B34" s="200"/>
      <c r="C34" s="90" t="str">
        <f>IFERROR(__xludf.DUMMYFUNCTION("IF(ISBLANK(C32),"""",HLOOKUP(REGEXEXTRACT(C32,"".*-(.*)""),INDIRECT(CONCATENATE(REGEXEXTRACT(C32,""(.*)-.*""),""!C3:V"")),3,FALSE))"),"")</f>
        <v/>
      </c>
      <c r="D34" s="90">
        <f>IFERROR(__xludf.DUMMYFUNCTION("IF(ISBLANK(D32),"""",HLOOKUP(REGEXEXTRACT(D32,"".*-(.*)""),INDIRECT(CONCATENATE(REGEXEXTRACT(D32,""(.*)-.*""),""!C3:V"")),3,FALSE))"),1730.0)</f>
        <v>1730</v>
      </c>
      <c r="E34" s="90">
        <f>IFERROR(__xludf.DUMMYFUNCTION("IF(ISBLANK(E32),"""",HLOOKUP(REGEXEXTRACT(E32,"".*-(.*)""),INDIRECT(CONCATENATE(REGEXEXTRACT(E32,""(.*)-.*""),""!C3:V"")),3,FALSE))"),1730.0)</f>
        <v>1730</v>
      </c>
      <c r="F34" s="93">
        <f>IFERROR(__xludf.DUMMYFUNCTION("IF(ISBLANK(F32),"""",HLOOKUP(REGEXEXTRACT(F32,"".*-(.*)""),INDIRECT(CONCATENATE(REGEXEXTRACT(F32,""(.*)-.*""),""!C3:V"")),3,FALSE))"),1730.0)</f>
        <v>1730</v>
      </c>
      <c r="H34" s="182"/>
      <c r="I34" s="200"/>
      <c r="J34" s="90" t="str">
        <f>IFERROR(__xludf.DUMMYFUNCTION("IF(ISBLANK(J32),"""",HLOOKUP(REGEXEXTRACT(J32,"".*-(.*)""),INDIRECT(CONCATENATE(REGEXEXTRACT(J32,""(.*)-.*""),""!C3:V"")),3,FALSE))"),"")</f>
        <v/>
      </c>
      <c r="K34" s="90" t="str">
        <f>IFERROR(__xludf.DUMMYFUNCTION("IF(ISBLANK(K32),"""",HLOOKUP(REGEXEXTRACT(K32,"".*-(.*)""),INDIRECT(CONCATENATE(REGEXEXTRACT(K32,""(.*)-.*""),""!C3:V"")),3,FALSE))"),"")</f>
        <v/>
      </c>
      <c r="L34" s="90" t="str">
        <f>IFERROR(__xludf.DUMMYFUNCTION("IF(ISBLANK(L32),"""",HLOOKUP(REGEXEXTRACT(L32,"".*-(.*)""),INDIRECT(CONCATENATE(REGEXEXTRACT(L32,""(.*)-.*""),""!C3:V"")),3,FALSE))"),"")</f>
        <v/>
      </c>
      <c r="M34" s="93" t="str">
        <f>IFERROR(__xludf.DUMMYFUNCTION("IF(ISBLANK(M32),"""",HLOOKUP(REGEXEXTRACT(M32,"".*-(.*)""),INDIRECT(CONCATENATE(REGEXEXTRACT(M32,""(.*)-.*""),""!C3:V"")),3,FALSE))"),"")</f>
        <v/>
      </c>
    </row>
    <row r="35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5"/>
      <c r="L35" s="154"/>
      <c r="M35" s="154"/>
      <c r="N35" s="154"/>
    </row>
    <row r="36">
      <c r="A36" s="185"/>
      <c r="B36" s="198" t="s">
        <v>205</v>
      </c>
      <c r="C36" s="72" t="s">
        <v>223</v>
      </c>
      <c r="D36" s="73"/>
      <c r="E36" s="73" t="s">
        <v>218</v>
      </c>
      <c r="F36" s="74"/>
    </row>
    <row r="37">
      <c r="B37" s="199"/>
      <c r="C37" s="80" t="str">
        <f>IFERROR(__xludf.DUMMYFUNCTION("IF(ISBLANK(C36),"""",HLOOKUP(REGEXEXTRACT(C36,"".*-(.*)""),INDIRECT(CONCATENATE(REGEXEXTRACT(C36,""(.*)-.*""),""!C3:V"")),2,FALSE))"),"Souleater")</f>
        <v>Souleater</v>
      </c>
      <c r="D37" s="80" t="str">
        <f>IFERROR(__xludf.DUMMYFUNCTION("IF(ISBLANK(D36),"""",HLOOKUP(REGEXEXTRACT(D36,"".*-(.*)""),INDIRECT(CONCATENATE(REGEXEXTRACT(D36,""(.*)-.*""),""!C3:V"")),2,FALSE))"),"")</f>
        <v/>
      </c>
      <c r="E37" s="80" t="str">
        <f>IFERROR(__xludf.DUMMYFUNCTION("IF(ISBLANK(E36),"""",HLOOKUP(REGEXEXTRACT(E36,"".*-(.*)""),INDIRECT(CONCATENATE(REGEXEXTRACT(E36,""(.*)-.*""),""!C3:V"")),2,FALSE))"),"Shadowhunter")</f>
        <v>Shadowhunter</v>
      </c>
      <c r="F37" s="83" t="str">
        <f>IFERROR(__xludf.DUMMYFUNCTION("IF(ISBLANK(F36),"""",HLOOKUP(REGEXEXTRACT(F36,"".*-(.*)""),INDIRECT(CONCATENATE(REGEXEXTRACT(F36,""(.*)-.*""),""!C3:V"")),2,FALSE))"),"")</f>
        <v/>
      </c>
    </row>
    <row r="38">
      <c r="B38" s="200"/>
      <c r="C38" s="90">
        <f>IFERROR(__xludf.DUMMYFUNCTION("IF(ISBLANK(C36),"""",HLOOKUP(REGEXEXTRACT(C36,"".*-(.*)""),INDIRECT(CONCATENATE(REGEXEXTRACT(C36,""(.*)-.*""),""!C3:V"")),3,FALSE))"),1720.0)</f>
        <v>1720</v>
      </c>
      <c r="D38" s="90" t="str">
        <f>IFERROR(__xludf.DUMMYFUNCTION("IF(ISBLANK(D36),"""",HLOOKUP(REGEXEXTRACT(D36,"".*-(.*)""),INDIRECT(CONCATENATE(REGEXEXTRACT(D36,""(.*)-.*""),""!C3:V"")),3,FALSE))"),"")</f>
        <v/>
      </c>
      <c r="E38" s="90">
        <f>IFERROR(__xludf.DUMMYFUNCTION("IF(ISBLANK(E36),"""",HLOOKUP(REGEXEXTRACT(E36,"".*-(.*)""),INDIRECT(CONCATENATE(REGEXEXTRACT(E36,""(.*)-.*""),""!C3:V"")),3,FALSE))"),1710.0)</f>
        <v>1710</v>
      </c>
      <c r="F38" s="93" t="str">
        <f>IFERROR(__xludf.DUMMYFUNCTION("IF(ISBLANK(F36),"""",HLOOKUP(REGEXEXTRACT(F36,"".*-(.*)""),INDIRECT(CONCATENATE(REGEXEXTRACT(F36,""(.*)-.*""),""!C3:V"")),3,FALSE))"),"")</f>
        <v/>
      </c>
    </row>
  </sheetData>
  <mergeCells count="15">
    <mergeCell ref="A16:A18"/>
    <mergeCell ref="A20:A22"/>
    <mergeCell ref="A28:A30"/>
    <mergeCell ref="A32:A34"/>
    <mergeCell ref="A36:A38"/>
    <mergeCell ref="H20:H22"/>
    <mergeCell ref="H24:H26"/>
    <mergeCell ref="H28:H30"/>
    <mergeCell ref="A4:A6"/>
    <mergeCell ref="H4:H6"/>
    <mergeCell ref="A8:A10"/>
    <mergeCell ref="H8:H10"/>
    <mergeCell ref="A12:A14"/>
    <mergeCell ref="H12:H14"/>
    <mergeCell ref="H16:H18"/>
  </mergeCells>
  <conditionalFormatting sqref="A4:A6 H4:H6 A8:A10 H8:H10 A12:A14 H12:H14 Q13:Q15 A16:A18 H16:H18 A20:A22 H20:H22 A24:A26 H24:H26 A28:A30 H28:H30 A32:A34 H32:H34 A36:A38">
    <cfRule type="cellIs" dxfId="0" priority="1" operator="equal">
      <formula>"DONE"</formula>
    </cfRule>
  </conditionalFormatting>
  <conditionalFormatting sqref="A4:A6 H4:H6 A8:A10 H8:H10 A12:A14 H12:H14 Q13:Q15 A16:A18 H16:H18 A20:A22 H20:H22 A24:A26 H24:H26 A28:A30 H28:H30 A32:A34 H32:H34 A36:A38">
    <cfRule type="containsBlanks" dxfId="4" priority="2">
      <formula>LEN(TRIM(A4))=0</formula>
    </cfRule>
  </conditionalFormatting>
  <conditionalFormatting sqref="C6:F6 J6:M6 C10:F10 J10:M10 C14:F14 J14:M14 S15:V15 C18:F18 J18:M18 C22:F22 J22:M22 C26:F26 J26:M26 C30:F30 J30:M30 C34:F34 J34:M34 C38:F38">
    <cfRule type="cellIs" dxfId="5" priority="3" operator="greaterThanOrEqual">
      <formula>1750</formula>
    </cfRule>
  </conditionalFormatting>
  <conditionalFormatting sqref="C6:F6 J6:M6 C10:F10 J10:M10 C14:F14 J14:M14 S15:V15 C18:F18 J18:M18 C22:F22 J22:M22 C26:F26 J26:M26 C30:F30 J30:M30 C34:F34 J34:M34 C38:F38">
    <cfRule type="cellIs" dxfId="6" priority="4" operator="greaterThanOrEqual">
      <formula>1720</formula>
    </cfRule>
  </conditionalFormatting>
  <dataValidations>
    <dataValidation type="list" allowBlank="1" showErrorMessage="1" sqref="C4:F4 J4:M4 C8:F8 J8:M8 C12:F12 J12:M12 C16:F16 J16:M16 C20:F20 J20:M20 C24:F24 J24:M24 C28:F28 J28:M28 C32:F32 J32:M32 C36:F36">
      <formula1>chars!$B$2:$Z976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38"/>
    <col customWidth="1" min="3" max="6" width="18.13"/>
    <col customWidth="1" min="7" max="7" width="14.38"/>
    <col customWidth="1" min="8" max="11" width="18.13"/>
    <col customWidth="1" min="12" max="12" width="1.38"/>
    <col customWidth="1" min="13" max="13" width="14.38"/>
    <col customWidth="1" min="14" max="17" width="18.13"/>
    <col customWidth="1" min="18" max="18" width="1.38"/>
    <col customWidth="1" min="19" max="19" width="14.38"/>
    <col customWidth="1" min="20" max="23" width="18.13"/>
  </cols>
  <sheetData>
    <row r="1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</row>
    <row r="2">
      <c r="A2" s="154"/>
      <c r="B2" s="208" t="s">
        <v>197</v>
      </c>
      <c r="C2" s="209" t="s">
        <v>112</v>
      </c>
      <c r="D2" s="210" t="s">
        <v>4</v>
      </c>
      <c r="E2" s="210" t="s">
        <v>75</v>
      </c>
      <c r="F2" s="211" t="s">
        <v>149</v>
      </c>
      <c r="G2" s="212" t="s">
        <v>219</v>
      </c>
      <c r="H2" s="209" t="s">
        <v>112</v>
      </c>
      <c r="I2" s="210" t="s">
        <v>4</v>
      </c>
      <c r="J2" s="210" t="s">
        <v>75</v>
      </c>
      <c r="K2" s="213" t="s">
        <v>149</v>
      </c>
      <c r="L2" s="154"/>
      <c r="M2" s="214" t="s">
        <v>201</v>
      </c>
      <c r="N2" s="72" t="s">
        <v>216</v>
      </c>
      <c r="O2" s="73" t="s">
        <v>159</v>
      </c>
      <c r="P2" s="73" t="s">
        <v>217</v>
      </c>
      <c r="Q2" s="74" t="s">
        <v>143</v>
      </c>
      <c r="R2" s="154"/>
      <c r="S2" s="215" t="s">
        <v>219</v>
      </c>
      <c r="T2" s="209" t="s">
        <v>107</v>
      </c>
      <c r="U2" s="210" t="s">
        <v>43</v>
      </c>
      <c r="V2" s="210" t="s">
        <v>165</v>
      </c>
      <c r="W2" s="213" t="s">
        <v>162</v>
      </c>
      <c r="X2" s="154"/>
    </row>
    <row r="3">
      <c r="A3" s="154"/>
      <c r="B3" s="216" t="s">
        <v>224</v>
      </c>
      <c r="C3" s="80" t="str">
        <f>IFERROR(__xludf.DUMMYFUNCTION("IF(ISBLANK(C2),"""",HLOOKUP(REGEXEXTRACT(C2,"".*-(.*)""),INDIRECT(CONCATENATE(REGEXEXTRACT(C2,""(.*)-.*""),""!C3:V"")),2,FALSE))"),"Wildsoul")</f>
        <v>Wildsoul</v>
      </c>
      <c r="D3" s="80" t="str">
        <f>IFERROR(__xludf.DUMMYFUNCTION("IF(ISBLANK(D2),"""",HLOOKUP(REGEXEXTRACT(D2,"".*-(.*)""),INDIRECT(CONCATENATE(REGEXEXTRACT(D2,""(.*)-.*""),""!C3:V"")),2,FALSE))"),"Gunslinger")</f>
        <v>Gunslinger</v>
      </c>
      <c r="E3" s="80" t="str">
        <f>IFERROR(__xludf.DUMMYFUNCTION("IF(ISBLANK(E2),"""",HLOOKUP(REGEXEXTRACT(E2,"".*-(.*)""),INDIRECT(CONCATENATE(REGEXEXTRACT(E2,""(.*)-.*""),""!C3:V"")),2,FALSE))"),"BREAKER")</f>
        <v>BREAKER</v>
      </c>
      <c r="F3" s="83" t="str">
        <f>IFERROR(__xludf.DUMMYFUNCTION("IF(ISBLANK(F2),"""",HLOOKUP(REGEXEXTRACT(F2,"".*-(.*)""),INDIRECT(CONCATENATE(REGEXEXTRACT(F2,""(.*)-.*""),""!C3:V"")),2,FALSE))"),"Artist")</f>
        <v>Artist</v>
      </c>
      <c r="G3" s="216" t="s">
        <v>224</v>
      </c>
      <c r="H3" s="80" t="str">
        <f>IFERROR(__xludf.DUMMYFUNCTION("IF(ISBLANK(H2),"""",HLOOKUP(REGEXEXTRACT(H2,"".*-(.*)""),INDIRECT(CONCATENATE(REGEXEXTRACT(H2,""(.*)-.*""),""!C3:V"")),2,FALSE))"),"Wildsoul")</f>
        <v>Wildsoul</v>
      </c>
      <c r="I3" s="80" t="str">
        <f>IFERROR(__xludf.DUMMYFUNCTION("IF(ISBLANK(I2),"""",HLOOKUP(REGEXEXTRACT(I2,"".*-(.*)""),INDIRECT(CONCATENATE(REGEXEXTRACT(I2,""(.*)-.*""),""!C3:V"")),2,FALSE))"),"Gunslinger")</f>
        <v>Gunslinger</v>
      </c>
      <c r="J3" s="80" t="str">
        <f>IFERROR(__xludf.DUMMYFUNCTION("IF(ISBLANK(J2),"""",HLOOKUP(REGEXEXTRACT(J2,"".*-(.*)""),INDIRECT(CONCATENATE(REGEXEXTRACT(J2,""(.*)-.*""),""!C3:V"")),2,FALSE))"),"BREAKER")</f>
        <v>BREAKER</v>
      </c>
      <c r="K3" s="217" t="str">
        <f>IFERROR(__xludf.DUMMYFUNCTION("IF(ISBLANK(K2),"""",HLOOKUP(REGEXEXTRACT(K2,"".*-(.*)""),INDIRECT(CONCATENATE(REGEXEXTRACT(K2,""(.*)-.*""),""!C3:V"")),2,FALSE))"),"Artist")</f>
        <v>Artist</v>
      </c>
      <c r="L3" s="154"/>
      <c r="M3" s="218" t="s">
        <v>200</v>
      </c>
      <c r="N3" s="80" t="str">
        <f>IFERROR(__xludf.DUMMYFUNCTION("IF(ISBLANK(N2),"""",HLOOKUP(REGEXEXTRACT(N2,"".*-(.*)""),INDIRECT(CONCATENATE(REGEXEXTRACT(N2,""(.*)-.*""),""!C3:V"")),2,FALSE))"),"Aeromancer")</f>
        <v>Aeromancer</v>
      </c>
      <c r="O3" s="80" t="str">
        <f>IFERROR(__xludf.DUMMYFUNCTION("IF(ISBLANK(O2),"""",HLOOKUP(REGEXEXTRACT(O2,"".*-(.*)""),INDIRECT(CONCATENATE(REGEXEXTRACT(O2,""(.*)-.*""),""!C3:V"")),2,FALSE))"),"Glaivier")</f>
        <v>Glaivier</v>
      </c>
      <c r="P3" s="80" t="str">
        <f>IFERROR(__xludf.DUMMYFUNCTION("IF(ISBLANK(P2),"""",HLOOKUP(REGEXEXTRACT(P2,"".*-(.*)""),INDIRECT(CONCATENATE(REGEXEXTRACT(P2,""(.*)-.*""),""!C3:V"")),2,FALSE))"),"Souleater")</f>
        <v>Souleater</v>
      </c>
      <c r="Q3" s="83" t="str">
        <f>IFERROR(__xludf.DUMMYFUNCTION("IF(ISBLANK(Q2),"""",HLOOKUP(REGEXEXTRACT(Q2,"".*-(.*)""),INDIRECT(CONCATENATE(REGEXEXTRACT(Q2,""(.*)-.*""),""!C3:V"")),2,FALSE))"),"Valk")</f>
        <v>Valk</v>
      </c>
      <c r="R3" s="154"/>
      <c r="S3" s="219" t="s">
        <v>200</v>
      </c>
      <c r="T3" s="100" t="s">
        <v>209</v>
      </c>
      <c r="U3" s="80" t="str">
        <f>IFERROR(__xludf.DUMMYFUNCTION("IF(ISBLANK(U2),"""",HLOOKUP(REGEXEXTRACT(U2,"".*-(.*)""),INDIRECT(CONCATENATE(REGEXEXTRACT(U2,""(.*)-.*""),""!C3:V"")),2,FALSE))"),"Soulfist")</f>
        <v>Soulfist</v>
      </c>
      <c r="V3" s="80" t="str">
        <f>IFERROR(__xludf.DUMMYFUNCTION("IF(ISBLANK(V2),"""",HLOOKUP(REGEXEXTRACT(V2,"".*-(.*)""),INDIRECT(CONCATENATE(REGEXEXTRACT(V2,""(.*)-.*""),""!C3:V"")),2,FALSE))"),"Souleater")</f>
        <v>Souleater</v>
      </c>
      <c r="W3" s="217" t="str">
        <f>IFERROR(__xludf.DUMMYFUNCTION("IF(ISBLANK(W2),"""",HLOOKUP(REGEXEXTRACT(W2,"".*-(.*)""),INDIRECT(CONCATENATE(REGEXEXTRACT(W2,""(.*)-.*""),""!C3:V"")),2,FALSE))"),"Paladin")</f>
        <v>Paladin</v>
      </c>
      <c r="X3" s="154"/>
    </row>
    <row r="4">
      <c r="A4" s="154"/>
      <c r="B4" s="220"/>
      <c r="C4" s="90">
        <f>IFERROR(__xludf.DUMMYFUNCTION("IF(ISBLANK(C2),"""",HLOOKUP(REGEXEXTRACT(C2,"".*-(.*)""),INDIRECT(CONCATENATE(REGEXEXTRACT(C2,""(.*)-.*""),""!C3:V"")),3,FALSE))"),1750.0)</f>
        <v>1750</v>
      </c>
      <c r="D4" s="90">
        <f>IFERROR(__xludf.DUMMYFUNCTION("IF(ISBLANK(D2),"""",HLOOKUP(REGEXEXTRACT(D2,"".*-(.*)""),INDIRECT(CONCATENATE(REGEXEXTRACT(D2,""(.*)-.*""),""!C3:V"")),3,FALSE))"),1750.0)</f>
        <v>1750</v>
      </c>
      <c r="E4" s="90">
        <f>IFERROR(__xludf.DUMMYFUNCTION("IF(ISBLANK(E2),"""",HLOOKUP(REGEXEXTRACT(E2,"".*-(.*)""),INDIRECT(CONCATENATE(REGEXEXTRACT(E2,""(.*)-.*""),""!C3:V"")),3,FALSE))"),1750.0)</f>
        <v>1750</v>
      </c>
      <c r="F4" s="93">
        <f>IFERROR(__xludf.DUMMYFUNCTION("IF(ISBLANK(F2),"""",HLOOKUP(REGEXEXTRACT(F2,"".*-(.*)""),INDIRECT(CONCATENATE(REGEXEXTRACT(F2,""(.*)-.*""),""!C3:V"")),3,FALSE))"),1750.0)</f>
        <v>1750</v>
      </c>
      <c r="G4" s="148"/>
      <c r="H4" s="90">
        <f>IFERROR(__xludf.DUMMYFUNCTION("IF(ISBLANK(H2),"""",HLOOKUP(REGEXEXTRACT(H2,"".*-(.*)""),INDIRECT(CONCATENATE(REGEXEXTRACT(H2,""(.*)-.*""),""!C3:V"")),3,FALSE))"),1750.0)</f>
        <v>1750</v>
      </c>
      <c r="I4" s="90">
        <f>IFERROR(__xludf.DUMMYFUNCTION("IF(ISBLANK(I2),"""",HLOOKUP(REGEXEXTRACT(I2,"".*-(.*)""),INDIRECT(CONCATENATE(REGEXEXTRACT(I2,""(.*)-.*""),""!C3:V"")),3,FALSE))"),1750.0)</f>
        <v>1750</v>
      </c>
      <c r="J4" s="90">
        <f>IFERROR(__xludf.DUMMYFUNCTION("IF(ISBLANK(J2),"""",HLOOKUP(REGEXEXTRACT(J2,"".*-(.*)""),INDIRECT(CONCATENATE(REGEXEXTRACT(J2,""(.*)-.*""),""!C3:V"")),3,FALSE))"),1750.0)</f>
        <v>1750</v>
      </c>
      <c r="K4" s="221">
        <f>IFERROR(__xludf.DUMMYFUNCTION("IF(ISBLANK(K2),"""",HLOOKUP(REGEXEXTRACT(K2,"".*-(.*)""),INDIRECT(CONCATENATE(REGEXEXTRACT(K2,""(.*)-.*""),""!C3:V"")),3,FALSE))"),1750.0)</f>
        <v>1750</v>
      </c>
      <c r="L4" s="154"/>
      <c r="M4" s="222"/>
      <c r="N4" s="90">
        <f>IFERROR(__xludf.DUMMYFUNCTION("IF(ISBLANK(N2),"""",HLOOKUP(REGEXEXTRACT(N2,"".*-(.*)""),INDIRECT(CONCATENATE(REGEXEXTRACT(N2,""(.*)-.*""),""!C3:V"")),3,FALSE))"),1730.0)</f>
        <v>1730</v>
      </c>
      <c r="O4" s="90">
        <f>IFERROR(__xludf.DUMMYFUNCTION("IF(ISBLANK(O2),"""",HLOOKUP(REGEXEXTRACT(O2,"".*-(.*)""),INDIRECT(CONCATENATE(REGEXEXTRACT(O2,""(.*)-.*""),""!C3:V"")),3,FALSE))"),1750.0)</f>
        <v>1750</v>
      </c>
      <c r="P4" s="90">
        <f>IFERROR(__xludf.DUMMYFUNCTION("IF(ISBLANK(P2),"""",HLOOKUP(REGEXEXTRACT(P2,"".*-(.*)""),INDIRECT(CONCATENATE(REGEXEXTRACT(P2,""(.*)-.*""),""!C3:V"")),3,FALSE))"),1730.0)</f>
        <v>1730</v>
      </c>
      <c r="Q4" s="93">
        <f>IFERROR(__xludf.DUMMYFUNCTION("IF(ISBLANK(Q2),"""",HLOOKUP(REGEXEXTRACT(Q2,"".*-(.*)""),INDIRECT(CONCATENATE(REGEXEXTRACT(Q2,""(.*)-.*""),""!C3:V"")),3,FALSE))"),1750.0)</f>
        <v>1750</v>
      </c>
      <c r="R4" s="154"/>
      <c r="S4" s="223"/>
      <c r="T4" s="92">
        <v>1750.0</v>
      </c>
      <c r="U4" s="90">
        <f>IFERROR(__xludf.DUMMYFUNCTION("IF(ISBLANK(U2),"""",HLOOKUP(REGEXEXTRACT(U2,"".*-(.*)""),INDIRECT(CONCATENATE(REGEXEXTRACT(U2,""(.*)-.*""),""!C3:V"")),3,FALSE))"),1750.0)</f>
        <v>1750</v>
      </c>
      <c r="V4" s="90">
        <f>IFERROR(__xludf.DUMMYFUNCTION("IF(ISBLANK(V2),"""",HLOOKUP(REGEXEXTRACT(V2,"".*-(.*)""),INDIRECT(CONCATENATE(REGEXEXTRACT(V2,""(.*)-.*""),""!C3:V"")),3,FALSE))"),1750.0)</f>
        <v>1750</v>
      </c>
      <c r="W4" s="221">
        <f>IFERROR(__xludf.DUMMYFUNCTION("IF(ISBLANK(W2),"""",HLOOKUP(REGEXEXTRACT(W2,"".*-(.*)""),INDIRECT(CONCATENATE(REGEXEXTRACT(W2,""(.*)-.*""),""!C3:V"")),3,FALSE))"),1750.0)</f>
        <v>1750</v>
      </c>
      <c r="X4" s="154"/>
    </row>
    <row r="5">
      <c r="A5" s="154"/>
      <c r="B5" s="224"/>
      <c r="K5" s="225"/>
      <c r="L5" s="154"/>
      <c r="M5" s="154"/>
      <c r="N5" s="154"/>
      <c r="O5" s="154"/>
      <c r="P5" s="154"/>
      <c r="Q5" s="154"/>
      <c r="R5" s="154"/>
      <c r="W5" s="225"/>
      <c r="X5" s="154"/>
    </row>
    <row r="6">
      <c r="A6" s="154"/>
      <c r="B6" s="226" t="s">
        <v>201</v>
      </c>
      <c r="C6" s="72" t="s">
        <v>73</v>
      </c>
      <c r="D6" s="73" t="s">
        <v>14</v>
      </c>
      <c r="E6" s="73" t="s">
        <v>82</v>
      </c>
      <c r="F6" s="74" t="s">
        <v>158</v>
      </c>
      <c r="G6" s="144" t="s">
        <v>219</v>
      </c>
      <c r="H6" s="72" t="s">
        <v>53</v>
      </c>
      <c r="I6" s="73" t="s">
        <v>32</v>
      </c>
      <c r="J6" s="73" t="s">
        <v>82</v>
      </c>
      <c r="K6" s="227" t="s">
        <v>158</v>
      </c>
      <c r="L6" s="154"/>
      <c r="M6" s="228" t="s">
        <v>201</v>
      </c>
      <c r="N6" s="72" t="s">
        <v>107</v>
      </c>
      <c r="O6" s="73" t="s">
        <v>49</v>
      </c>
      <c r="P6" s="73" t="s">
        <v>165</v>
      </c>
      <c r="Q6" s="74" t="s">
        <v>166</v>
      </c>
      <c r="R6" s="154"/>
      <c r="S6" s="229" t="s">
        <v>219</v>
      </c>
      <c r="T6" s="73" t="s">
        <v>116</v>
      </c>
      <c r="U6" s="73" t="s">
        <v>73</v>
      </c>
      <c r="V6" s="73" t="s">
        <v>146</v>
      </c>
      <c r="W6" s="227" t="s">
        <v>166</v>
      </c>
      <c r="X6" s="154"/>
    </row>
    <row r="7">
      <c r="A7" s="154"/>
      <c r="B7" s="216" t="s">
        <v>224</v>
      </c>
      <c r="C7" s="80" t="str">
        <f>IFERROR(__xludf.DUMMYFUNCTION("IF(ISBLANK(C6),"""",HLOOKUP(REGEXEXTRACT(C6,"".*-(.*)""),INDIRECT(CONCATENATE(REGEXEXTRACT(C6,""(.*)-.*""),""!C3:V"")),2,FALSE))"),"Souleater")</f>
        <v>Souleater</v>
      </c>
      <c r="D7" s="80" t="str">
        <f>IFERROR(__xludf.DUMMYFUNCTION("IF(ISBLANK(D6),"""",HLOOKUP(REGEXEXTRACT(D6,"".*-(.*)""),INDIRECT(CONCATENATE(REGEXEXTRACT(D6,""(.*)-.*""),""!C3:V"")),2,FALSE))"),"Sorceress")</f>
        <v>Sorceress</v>
      </c>
      <c r="E7" s="80" t="str">
        <f>IFERROR(__xludf.DUMMYFUNCTION("IF(ISBLANK(E6),"""",HLOOKUP(REGEXEXTRACT(E6,"".*-(.*)""),INDIRECT(CONCATENATE(REGEXEXTRACT(E6,""(.*)-.*""),""!C3:V"")),2,FALSE))"),"Bonk")</f>
        <v>Bonk</v>
      </c>
      <c r="F7" s="83" t="str">
        <f>IFERROR(__xludf.DUMMYFUNCTION("IF(ISBLANK(F6),"""",HLOOKUP(REGEXEXTRACT(F6,"".*-(.*)""),INDIRECT(CONCATENATE(REGEXEXTRACT(F6,""(.*)-.*""),""!C3:V"")),2,FALSE))"),"Artist")</f>
        <v>Artist</v>
      </c>
      <c r="G7" s="216" t="s">
        <v>224</v>
      </c>
      <c r="H7" s="80" t="str">
        <f>IFERROR(__xludf.DUMMYFUNCTION("IF(ISBLANK(H6),"""",HLOOKUP(REGEXEXTRACT(H6,"".*-(.*)""),INDIRECT(CONCATENATE(REGEXEXTRACT(H6,""(.*)-.*""),""!C3:V"")),2,FALSE))"),"Summoner")</f>
        <v>Summoner</v>
      </c>
      <c r="I7" s="80" t="str">
        <f>IFERROR(__xludf.DUMMYFUNCTION("IF(ISBLANK(I6),"""",HLOOKUP(REGEXEXTRACT(I6,"".*-(.*)""),INDIRECT(CONCATENATE(REGEXEXTRACT(I6,""(.*)-.*""),""!C3:V"")),2,FALSE))"),"Glaivier")</f>
        <v>Glaivier</v>
      </c>
      <c r="J7" s="80" t="str">
        <f>IFERROR(__xludf.DUMMYFUNCTION("IF(ISBLANK(J6),"""",HLOOKUP(REGEXEXTRACT(J6,"".*-(.*)""),INDIRECT(CONCATENATE(REGEXEXTRACT(J6,""(.*)-.*""),""!C3:V"")),2,FALSE))"),"Bonk")</f>
        <v>Bonk</v>
      </c>
      <c r="K7" s="217" t="str">
        <f>IFERROR(__xludf.DUMMYFUNCTION("IF(ISBLANK(K6),"""",HLOOKUP(REGEXEXTRACT(K6,"".*-(.*)""),INDIRECT(CONCATENATE(REGEXEXTRACT(K6,""(.*)-.*""),""!C3:V"")),2,FALSE))"),"Artist")</f>
        <v>Artist</v>
      </c>
      <c r="L7" s="154"/>
      <c r="M7" s="230" t="s">
        <v>200</v>
      </c>
      <c r="N7" s="100" t="s">
        <v>203</v>
      </c>
      <c r="O7" s="80" t="str">
        <f>IFERROR(__xludf.DUMMYFUNCTION("IF(ISBLANK(O6),"""",HLOOKUP(REGEXEXTRACT(O6,"".*-(.*)""),INDIRECT(CONCATENATE(REGEXEXTRACT(O6,""(.*)-.*""),""!C3:V"")),2,FALSE))"),"Bard")</f>
        <v>Bard</v>
      </c>
      <c r="P7" s="80" t="str">
        <f>IFERROR(__xludf.DUMMYFUNCTION("IF(ISBLANK(P6),"""",HLOOKUP(REGEXEXTRACT(P6,"".*-(.*)""),INDIRECT(CONCATENATE(REGEXEXTRACT(P6,""(.*)-.*""),""!C3:V"")),2,FALSE))"),"Souleater")</f>
        <v>Souleater</v>
      </c>
      <c r="Q7" s="83" t="str">
        <f>IFERROR(__xludf.DUMMYFUNCTION("IF(ISBLANK(Q6),"""",HLOOKUP(REGEXEXTRACT(Q6,"".*-(.*)""),INDIRECT(CONCATENATE(REGEXEXTRACT(Q6,""(.*)-.*""),""!C3:V"")),2,FALSE))"),"Valk")</f>
        <v>Valk</v>
      </c>
      <c r="R7" s="154"/>
      <c r="S7" s="219" t="s">
        <v>200</v>
      </c>
      <c r="T7" s="100" t="s">
        <v>210</v>
      </c>
      <c r="U7" s="80" t="str">
        <f>IFERROR(__xludf.DUMMYFUNCTION("IF(ISBLANK(U6),"""",HLOOKUP(REGEXEXTRACT(U6,"".*-(.*)""),INDIRECT(CONCATENATE(REGEXEXTRACT(U6,""(.*)-.*""),""!C3:V"")),2,FALSE))"),"Souleater")</f>
        <v>Souleater</v>
      </c>
      <c r="V7" s="80" t="str">
        <f>IFERROR(__xludf.DUMMYFUNCTION("IF(ISBLANK(V6),"""",HLOOKUP(REGEXEXTRACT(V6,"".*-(.*)""),INDIRECT(CONCATENATE(REGEXEXTRACT(V6,""(.*)-.*""),""!C3:V"")),2,FALSE))"),"Guardianknight")</f>
        <v>Guardianknight</v>
      </c>
      <c r="W7" s="217" t="str">
        <f>IFERROR(__xludf.DUMMYFUNCTION("IF(ISBLANK(W6),"""",HLOOKUP(REGEXEXTRACT(W6,"".*-(.*)""),INDIRECT(CONCATENATE(REGEXEXTRACT(W6,""(.*)-.*""),""!C3:V"")),2,FALSE))"),"Valk")</f>
        <v>Valk</v>
      </c>
      <c r="X7" s="154"/>
    </row>
    <row r="8">
      <c r="A8" s="154"/>
      <c r="B8" s="231"/>
      <c r="C8" s="232">
        <f>IFERROR(__xludf.DUMMYFUNCTION("IF(ISBLANK(C6),"""",HLOOKUP(REGEXEXTRACT(C6,"".*-(.*)""),INDIRECT(CONCATENATE(REGEXEXTRACT(C6,""(.*)-.*""),""!C3:V"")),3,FALSE))"),1750.0)</f>
        <v>1750</v>
      </c>
      <c r="D8" s="232">
        <f>IFERROR(__xludf.DUMMYFUNCTION("IF(ISBLANK(D6),"""",HLOOKUP(REGEXEXTRACT(D6,"".*-(.*)""),INDIRECT(CONCATENATE(REGEXEXTRACT(D6,""(.*)-.*""),""!C3:V"")),3,FALSE))"),1750.0)</f>
        <v>1750</v>
      </c>
      <c r="E8" s="232">
        <f>IFERROR(__xludf.DUMMYFUNCTION("IF(ISBLANK(E6),"""",HLOOKUP(REGEXEXTRACT(E6,"".*-(.*)""),INDIRECT(CONCATENATE(REGEXEXTRACT(E6,""(.*)-.*""),""!C3:V"")),3,FALSE))"),1750.0)</f>
        <v>1750</v>
      </c>
      <c r="F8" s="233">
        <f>IFERROR(__xludf.DUMMYFUNCTION("IF(ISBLANK(F6),"""",HLOOKUP(REGEXEXTRACT(F6,"".*-(.*)""),INDIRECT(CONCATENATE(REGEXEXTRACT(F6,""(.*)-.*""),""!C3:V"")),3,FALSE))"),1750.0)</f>
        <v>1750</v>
      </c>
      <c r="G8" s="234"/>
      <c r="H8" s="232">
        <f>IFERROR(__xludf.DUMMYFUNCTION("IF(ISBLANK(H6),"""",HLOOKUP(REGEXEXTRACT(H6,"".*-(.*)""),INDIRECT(CONCATENATE(REGEXEXTRACT(H6,""(.*)-.*""),""!C3:V"")),3,FALSE))"),1750.0)</f>
        <v>1750</v>
      </c>
      <c r="I8" s="232">
        <f>IFERROR(__xludf.DUMMYFUNCTION("IF(ISBLANK(I6),"""",HLOOKUP(REGEXEXTRACT(I6,"".*-(.*)""),INDIRECT(CONCATENATE(REGEXEXTRACT(I6,""(.*)-.*""),""!C3:V"")),3,FALSE))"),1750.0)</f>
        <v>1750</v>
      </c>
      <c r="J8" s="232">
        <f>IFERROR(__xludf.DUMMYFUNCTION("IF(ISBLANK(J6),"""",HLOOKUP(REGEXEXTRACT(J6,"".*-(.*)""),INDIRECT(CONCATENATE(REGEXEXTRACT(J6,""(.*)-.*""),""!C3:V"")),3,FALSE))"),1750.0)</f>
        <v>1750</v>
      </c>
      <c r="K8" s="235">
        <f>IFERROR(__xludf.DUMMYFUNCTION("IF(ISBLANK(K6),"""",HLOOKUP(REGEXEXTRACT(K6,"".*-(.*)""),INDIRECT(CONCATENATE(REGEXEXTRACT(K6,""(.*)-.*""),""!C3:V"")),3,FALSE))"),1750.0)</f>
        <v>1750</v>
      </c>
      <c r="L8" s="154"/>
      <c r="M8" s="236"/>
      <c r="N8" s="90"/>
      <c r="O8" s="90">
        <f>IFERROR(__xludf.DUMMYFUNCTION("IF(ISBLANK(O6),"""",HLOOKUP(REGEXEXTRACT(O6,"".*-(.*)""),INDIRECT(CONCATENATE(REGEXEXTRACT(O6,""(.*)-.*""),""!C3:V"")),3,FALSE))"),1730.0)</f>
        <v>1730</v>
      </c>
      <c r="P8" s="90">
        <f>IFERROR(__xludf.DUMMYFUNCTION("IF(ISBLANK(P6),"""",HLOOKUP(REGEXEXTRACT(P6,"".*-(.*)""),INDIRECT(CONCATENATE(REGEXEXTRACT(P6,""(.*)-.*""),""!C3:V"")),3,FALSE))"),1750.0)</f>
        <v>1750</v>
      </c>
      <c r="Q8" s="93">
        <f>IFERROR(__xludf.DUMMYFUNCTION("IF(ISBLANK(Q6),"""",HLOOKUP(REGEXEXTRACT(Q6,"".*-(.*)""),INDIRECT(CONCATENATE(REGEXEXTRACT(Q6,""(.*)-.*""),""!C3:V"")),3,FALSE))"),1750.0)</f>
        <v>1750</v>
      </c>
      <c r="R8" s="154"/>
      <c r="S8" s="237"/>
      <c r="T8" s="238">
        <v>1750.0</v>
      </c>
      <c r="U8" s="232">
        <f>IFERROR(__xludf.DUMMYFUNCTION("IF(ISBLANK(U6),"""",HLOOKUP(REGEXEXTRACT(U6,"".*-(.*)""),INDIRECT(CONCATENATE(REGEXEXTRACT(U6,""(.*)-.*""),""!C3:V"")),3,FALSE))"),1750.0)</f>
        <v>1750</v>
      </c>
      <c r="V8" s="232">
        <f>IFERROR(__xludf.DUMMYFUNCTION("IF(ISBLANK(V6),"""",HLOOKUP(REGEXEXTRACT(V6,"".*-(.*)""),INDIRECT(CONCATENATE(REGEXEXTRACT(V6,""(.*)-.*""),""!C3:V"")),3,FALSE))"),1750.0)</f>
        <v>1750</v>
      </c>
      <c r="W8" s="235">
        <f>IFERROR(__xludf.DUMMYFUNCTION("IF(ISBLANK(W6),"""",HLOOKUP(REGEXEXTRACT(W6,"".*-(.*)""),INDIRECT(CONCATENATE(REGEXEXTRACT(W6,""(.*)-.*""),""!C3:V"")),3,FALSE))"),1750.0)</f>
        <v>1750</v>
      </c>
      <c r="X8" s="154"/>
    </row>
    <row r="9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</row>
    <row r="10">
      <c r="A10" s="154"/>
      <c r="B10" s="239" t="s">
        <v>197</v>
      </c>
      <c r="C10" s="209" t="s">
        <v>169</v>
      </c>
      <c r="D10" s="210" t="s">
        <v>160</v>
      </c>
      <c r="E10" s="210" t="s">
        <v>107</v>
      </c>
      <c r="F10" s="211" t="s">
        <v>172</v>
      </c>
      <c r="G10" s="240" t="s">
        <v>219</v>
      </c>
      <c r="H10" s="209" t="s">
        <v>169</v>
      </c>
      <c r="I10" s="210" t="s">
        <v>147</v>
      </c>
      <c r="J10" s="210" t="s">
        <v>107</v>
      </c>
      <c r="K10" s="213" t="s">
        <v>172</v>
      </c>
      <c r="L10" s="154"/>
      <c r="M10" s="241" t="s">
        <v>205</v>
      </c>
      <c r="N10" s="72" t="s">
        <v>216</v>
      </c>
      <c r="O10" s="73" t="s">
        <v>62</v>
      </c>
      <c r="P10" s="73" t="s">
        <v>218</v>
      </c>
      <c r="Q10" s="73"/>
      <c r="R10" s="154"/>
      <c r="S10" s="242" t="s">
        <v>219</v>
      </c>
      <c r="T10" s="72" t="s">
        <v>144</v>
      </c>
      <c r="U10" s="73" t="s">
        <v>115</v>
      </c>
      <c r="V10" s="73" t="s">
        <v>116</v>
      </c>
      <c r="W10" s="74" t="s">
        <v>143</v>
      </c>
      <c r="X10" s="154"/>
    </row>
    <row r="11">
      <c r="A11" s="154"/>
      <c r="B11" s="243" t="s">
        <v>225</v>
      </c>
      <c r="C11" s="80" t="str">
        <f>IFERROR(__xludf.DUMMYFUNCTION("IF(ISBLANK(C10),"""",HLOOKUP(REGEXEXTRACT(C10,"".*-(.*)""),INDIRECT(CONCATENATE(REGEXEXTRACT(C10,""(.*)-.*""),""!C3:V"")),2,FALSE))"),"Shadowhunter")</f>
        <v>Shadowhunter</v>
      </c>
      <c r="D11" s="80" t="str">
        <f>IFERROR(__xludf.DUMMYFUNCTION("IF(ISBLANK(D10),"""",HLOOKUP(REGEXEXTRACT(D10,"".*-(.*)""),INDIRECT(CONCATENATE(REGEXEXTRACT(D10,""(.*)-.*""),""!C3:V"")),2,FALSE))"),"Deathblade")</f>
        <v>Deathblade</v>
      </c>
      <c r="E11" s="100" t="s">
        <v>212</v>
      </c>
      <c r="F11" s="83" t="str">
        <f>IFERROR(__xludf.DUMMYFUNCTION("IF(ISBLANK(F10),"""",HLOOKUP(REGEXEXTRACT(F10,"".*-(.*)""),INDIRECT(CONCATENATE(REGEXEXTRACT(F10,""(.*)-.*""),""!C3:V"")),2,FALSE))"),"Bard")</f>
        <v>Bard</v>
      </c>
      <c r="G11" s="243" t="s">
        <v>225</v>
      </c>
      <c r="H11" s="80" t="str">
        <f>IFERROR(__xludf.DUMMYFUNCTION("IF(ISBLANK(H10),"""",HLOOKUP(REGEXEXTRACT(H10,"".*-(.*)""),INDIRECT(CONCATENATE(REGEXEXTRACT(H10,""(.*)-.*""),""!C3:V"")),2,FALSE))"),"Shadowhunter")</f>
        <v>Shadowhunter</v>
      </c>
      <c r="I11" s="80" t="str">
        <f>IFERROR(__xludf.DUMMYFUNCTION("IF(ISBLANK(I10),"""",HLOOKUP(REGEXEXTRACT(I10,"".*-(.*)""),INDIRECT(CONCATENATE(REGEXEXTRACT(I10,""(.*)-.*""),""!C3:V"")),2,FALSE))"),"Slayer")</f>
        <v>Slayer</v>
      </c>
      <c r="J11" s="100" t="s">
        <v>212</v>
      </c>
      <c r="K11" s="217" t="str">
        <f>IFERROR(__xludf.DUMMYFUNCTION("IF(ISBLANK(K10),"""",HLOOKUP(REGEXEXTRACT(K10,"".*-(.*)""),INDIRECT(CONCATENATE(REGEXEXTRACT(K10,""(.*)-.*""),""!C3:V"")),2,FALSE))"),"Bard")</f>
        <v>Bard</v>
      </c>
      <c r="L11" s="154"/>
      <c r="M11" s="244"/>
      <c r="N11" s="80" t="str">
        <f>IFERROR(__xludf.DUMMYFUNCTION("IF(ISBLANK(N10),"""",HLOOKUP(REGEXEXTRACT(N10,"".*-(.*)""),INDIRECT(CONCATENATE(REGEXEXTRACT(N10,""(.*)-.*""),""!C3:V"")),2,FALSE))"),"Aeromancer")</f>
        <v>Aeromancer</v>
      </c>
      <c r="O11" s="80" t="str">
        <f>IFERROR(__xludf.DUMMYFUNCTION("IF(ISBLANK(O10),"""",HLOOKUP(REGEXEXTRACT(O10,"".*-(.*)""),INDIRECT(CONCATENATE(REGEXEXTRACT(O10,""(.*)-.*""),""!C3:V"")),2,FALSE))"),"Breaker")</f>
        <v>Breaker</v>
      </c>
      <c r="P11" s="80" t="str">
        <f>IFERROR(__xludf.DUMMYFUNCTION("IF(ISBLANK(P10),"""",HLOOKUP(REGEXEXTRACT(P10,"".*-(.*)""),INDIRECT(CONCATENATE(REGEXEXTRACT(P10,""(.*)-.*""),""!C3:V"")),2,FALSE))"),"Shadowhunter")</f>
        <v>Shadowhunter</v>
      </c>
      <c r="Q11" s="81" t="str">
        <f>IFERROR(__xludf.DUMMYFUNCTION("IF(ISBLANK(Q10),"""",HLOOKUP(REGEXEXTRACT(Q10,"".*-(.*)""),INDIRECT(CONCATENATE(REGEXEXTRACT(Q10,""(.*)-.*""),""!C3:V"")),2,FALSE))"),"")</f>
        <v/>
      </c>
      <c r="R11" s="154"/>
      <c r="S11" s="245" t="s">
        <v>200</v>
      </c>
      <c r="T11" s="80" t="str">
        <f>IFERROR(__xludf.DUMMYFUNCTION("IF(ISBLANK(T10),"""",HLOOKUP(REGEXEXTRACT(T10,"".*-(.*)""),INDIRECT(CONCATENATE(REGEXEXTRACT(T10,""(.*)-.*""),""!C3:V"")),2,FALSE))"),"Souleater")</f>
        <v>Souleater</v>
      </c>
      <c r="U11" s="80" t="str">
        <f>IFERROR(__xludf.DUMMYFUNCTION("IF(ISBLANK(U10),"""",HLOOKUP(REGEXEXTRACT(U10,"".*-(.*)""),INDIRECT(CONCATENATE(REGEXEXTRACT(U10,""(.*)-.*""),""!C3:V"")),2,FALSE))"),"Wildsoul")</f>
        <v>Wildsoul</v>
      </c>
      <c r="V11" s="100" t="s">
        <v>220</v>
      </c>
      <c r="W11" s="83" t="str">
        <f>IFERROR(__xludf.DUMMYFUNCTION("IF(ISBLANK(W10),"""",HLOOKUP(REGEXEXTRACT(W10,"".*-(.*)""),INDIRECT(CONCATENATE(REGEXEXTRACT(W10,""(.*)-.*""),""!C3:V"")),2,FALSE))"),"Valk")</f>
        <v>Valk</v>
      </c>
      <c r="X11" s="154"/>
    </row>
    <row r="12">
      <c r="A12" s="154"/>
      <c r="B12" s="246"/>
      <c r="C12" s="90">
        <f>IFERROR(__xludf.DUMMYFUNCTION("IF(ISBLANK(C10),"""",HLOOKUP(REGEXEXTRACT(C10,"".*-(.*)""),INDIRECT(CONCATENATE(REGEXEXTRACT(C10,""(.*)-.*""),""!C3:V"")),3,FALSE))"),1750.0)</f>
        <v>1750</v>
      </c>
      <c r="D12" s="90">
        <f>IFERROR(__xludf.DUMMYFUNCTION("IF(ISBLANK(D10),"""",HLOOKUP(REGEXEXTRACT(D10,"".*-(.*)""),INDIRECT(CONCATENATE(REGEXEXTRACT(D10,""(.*)-.*""),""!C3:V"")),3,FALSE))"),1750.0)</f>
        <v>1750</v>
      </c>
      <c r="E12" s="90"/>
      <c r="F12" s="93">
        <f>IFERROR(__xludf.DUMMYFUNCTION("IF(ISBLANK(F10),"""",HLOOKUP(REGEXEXTRACT(F10,"".*-(.*)""),INDIRECT(CONCATENATE(REGEXEXTRACT(F10,""(.*)-.*""),""!C3:V"")),3,FALSE))"),1750.0)</f>
        <v>1750</v>
      </c>
      <c r="G12" s="247"/>
      <c r="H12" s="90">
        <f>IFERROR(__xludf.DUMMYFUNCTION("IF(ISBLANK(H10),"""",HLOOKUP(REGEXEXTRACT(H10,"".*-(.*)""),INDIRECT(CONCATENATE(REGEXEXTRACT(H10,""(.*)-.*""),""!C3:V"")),3,FALSE))"),1750.0)</f>
        <v>1750</v>
      </c>
      <c r="I12" s="90">
        <f>IFERROR(__xludf.DUMMYFUNCTION("IF(ISBLANK(I10),"""",HLOOKUP(REGEXEXTRACT(I10,"".*-(.*)""),INDIRECT(CONCATENATE(REGEXEXTRACT(I10,""(.*)-.*""),""!C3:V"")),3,FALSE))"),1750.0)</f>
        <v>1750</v>
      </c>
      <c r="J12" s="92">
        <v>1750.0</v>
      </c>
      <c r="K12" s="221">
        <f>IFERROR(__xludf.DUMMYFUNCTION("IF(ISBLANK(K10),"""",HLOOKUP(REGEXEXTRACT(K10,"".*-(.*)""),INDIRECT(CONCATENATE(REGEXEXTRACT(K10,""(.*)-.*""),""!C3:V"")),3,FALSE))"),1750.0)</f>
        <v>1750</v>
      </c>
      <c r="L12" s="154"/>
      <c r="M12" s="248"/>
      <c r="N12" s="90">
        <f>IFERROR(__xludf.DUMMYFUNCTION("IF(ISBLANK(N10),"""",HLOOKUP(REGEXEXTRACT(N10,"".*-(.*)""),INDIRECT(CONCATENATE(REGEXEXTRACT(N10,""(.*)-.*""),""!C3:V"")),3,FALSE))"),1730.0)</f>
        <v>1730</v>
      </c>
      <c r="O12" s="90">
        <f>IFERROR(__xludf.DUMMYFUNCTION("IF(ISBLANK(O10),"""",HLOOKUP(REGEXEXTRACT(O10,"".*-(.*)""),INDIRECT(CONCATENATE(REGEXEXTRACT(O10,""(.*)-.*""),""!C3:V"")),3,FALSE))"),1730.0)</f>
        <v>1730</v>
      </c>
      <c r="P12" s="90">
        <f>IFERROR(__xludf.DUMMYFUNCTION("IF(ISBLANK(P10),"""",HLOOKUP(REGEXEXTRACT(P10,"".*-(.*)""),INDIRECT(CONCATENATE(REGEXEXTRACT(P10,""(.*)-.*""),""!C3:V"")),3,FALSE))"),1710.0)</f>
        <v>1710</v>
      </c>
      <c r="Q12" s="91" t="str">
        <f>IFERROR(__xludf.DUMMYFUNCTION("IF(ISBLANK(Q10),"""",HLOOKUP(REGEXEXTRACT(Q10,"".*-(.*)""),INDIRECT(CONCATENATE(REGEXEXTRACT(Q10,""(.*)-.*""),""!C3:V"")),3,FALSE))"),"")</f>
        <v/>
      </c>
      <c r="R12" s="154"/>
      <c r="S12" s="249"/>
      <c r="T12" s="90">
        <f>IFERROR(__xludf.DUMMYFUNCTION("IF(ISBLANK(T10),"""",HLOOKUP(REGEXEXTRACT(T10,"".*-(.*)""),INDIRECT(CONCATENATE(REGEXEXTRACT(T10,""(.*)-.*""),""!C3:V"")),3,FALSE))"),1750.0)</f>
        <v>1750</v>
      </c>
      <c r="U12" s="90">
        <f>IFERROR(__xludf.DUMMYFUNCTION("IF(ISBLANK(U10),"""",HLOOKUP(REGEXEXTRACT(U10,"".*-(.*)""),INDIRECT(CONCATENATE(REGEXEXTRACT(U10,""(.*)-.*""),""!C3:V"")),3,FALSE))"),1750.0)</f>
        <v>1750</v>
      </c>
      <c r="V12" s="92">
        <v>1750.0</v>
      </c>
      <c r="W12" s="93">
        <f>IFERROR(__xludf.DUMMYFUNCTION("IF(ISBLANK(W10),"""",HLOOKUP(REGEXEXTRACT(W10,"".*-(.*)""),INDIRECT(CONCATENATE(REGEXEXTRACT(W10,""(.*)-.*""),""!C3:V"")),3,FALSE))"),1750.0)</f>
        <v>1750</v>
      </c>
      <c r="X12" s="154"/>
    </row>
    <row r="13">
      <c r="A13" s="154"/>
      <c r="B13" s="224"/>
      <c r="K13" s="225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</row>
    <row r="14">
      <c r="A14" s="154"/>
      <c r="B14" s="250" t="s">
        <v>201</v>
      </c>
      <c r="C14" s="72" t="s">
        <v>131</v>
      </c>
      <c r="D14" s="73" t="s">
        <v>207</v>
      </c>
      <c r="E14" s="73" t="s">
        <v>118</v>
      </c>
      <c r="F14" s="74" t="s">
        <v>107</v>
      </c>
      <c r="G14" s="251" t="s">
        <v>219</v>
      </c>
      <c r="H14" s="72" t="s">
        <v>165</v>
      </c>
      <c r="I14" s="73" t="s">
        <v>160</v>
      </c>
      <c r="J14" s="73" t="s">
        <v>118</v>
      </c>
      <c r="K14" s="227" t="s">
        <v>107</v>
      </c>
      <c r="L14" s="154"/>
      <c r="M14" s="154"/>
      <c r="N14" s="154"/>
      <c r="O14" s="154"/>
      <c r="P14" s="154"/>
      <c r="Q14" s="154"/>
      <c r="R14" s="154"/>
      <c r="S14" s="252" t="s">
        <v>219</v>
      </c>
      <c r="T14" s="72" t="s">
        <v>24</v>
      </c>
      <c r="U14" s="73" t="s">
        <v>70</v>
      </c>
      <c r="V14" s="73" t="s">
        <v>131</v>
      </c>
      <c r="W14" s="74" t="s">
        <v>116</v>
      </c>
      <c r="X14" s="154"/>
    </row>
    <row r="15">
      <c r="A15" s="154"/>
      <c r="B15" s="243" t="s">
        <v>225</v>
      </c>
      <c r="C15" s="80" t="str">
        <f>IFERROR(__xludf.DUMMYFUNCTION("IF(ISBLANK(C14),"""",HLOOKUP(REGEXEXTRACT(C14,"".*-(.*)""),INDIRECT(CONCATENATE(REGEXEXTRACT(C14,""(.*)-.*""),""!C3:V"")),2,FALSE))"),"Glaivier")</f>
        <v>Glaivier</v>
      </c>
      <c r="D15" s="80" t="str">
        <f>IFERROR(__xludf.DUMMYFUNCTION("IF(ISBLANK(D14),"""",HLOOKUP(REGEXEXTRACT(D14,"".*-(.*)""),INDIRECT(CONCATENATE(REGEXEXTRACT(D14,""(.*)-.*""),""!C3:V"")),2,FALSE))"),"Gunlancer")</f>
        <v>Gunlancer</v>
      </c>
      <c r="E15" s="80" t="str">
        <f>IFERROR(__xludf.DUMMYFUNCTION("IF(ISBLANK(E14),"""",HLOOKUP(REGEXEXTRACT(E14,"".*-(.*)""),INDIRECT(CONCATENATE(REGEXEXTRACT(E14,""(.*)-.*""),""!C3:V"")),2,FALSE))"),"Arcana")</f>
        <v>Arcana</v>
      </c>
      <c r="F15" s="102" t="s">
        <v>213</v>
      </c>
      <c r="G15" s="243" t="s">
        <v>225</v>
      </c>
      <c r="H15" s="80" t="str">
        <f>IFERROR(__xludf.DUMMYFUNCTION("IF(ISBLANK(H14),"""",HLOOKUP(REGEXEXTRACT(H14,"".*-(.*)""),INDIRECT(CONCATENATE(REGEXEXTRACT(H14,""(.*)-.*""),""!C3:V"")),2,FALSE))"),"Souleater")</f>
        <v>Souleater</v>
      </c>
      <c r="I15" s="80" t="str">
        <f>IFERROR(__xludf.DUMMYFUNCTION("IF(ISBLANK(I14),"""",HLOOKUP(REGEXEXTRACT(I14,"".*-(.*)""),INDIRECT(CONCATENATE(REGEXEXTRACT(I14,""(.*)-.*""),""!C3:V"")),2,FALSE))"),"Deathblade")</f>
        <v>Deathblade</v>
      </c>
      <c r="J15" s="80" t="str">
        <f>IFERROR(__xludf.DUMMYFUNCTION("IF(ISBLANK(J14),"""",HLOOKUP(REGEXEXTRACT(J14,"".*-(.*)""),INDIRECT(CONCATENATE(REGEXEXTRACT(J14,""(.*)-.*""),""!C3:V"")),2,FALSE))"),"Arcana")</f>
        <v>Arcana</v>
      </c>
      <c r="K15" s="253" t="s">
        <v>213</v>
      </c>
      <c r="L15" s="154"/>
      <c r="M15" s="154"/>
      <c r="N15" s="154"/>
      <c r="O15" s="154"/>
      <c r="P15" s="154"/>
      <c r="Q15" s="154"/>
      <c r="R15" s="154"/>
      <c r="S15" s="254" t="s">
        <v>200</v>
      </c>
      <c r="T15" s="80" t="str">
        <f>IFERROR(__xludf.DUMMYFUNCTION("IF(ISBLANK(T14),"""",HLOOKUP(REGEXEXTRACT(T14,"".*-(.*)""),INDIRECT(CONCATENATE(REGEXEXTRACT(T14,""(.*)-.*""),""!C3:V"")),2,FALSE))"),"Slayer")</f>
        <v>Slayer</v>
      </c>
      <c r="U15" s="80" t="str">
        <f>IFERROR(__xludf.DUMMYFUNCTION("IF(ISBLANK(U14),"""",HLOOKUP(REGEXEXTRACT(U14,"".*-(.*)""),INDIRECT(CONCATENATE(REGEXEXTRACT(U14,""(.*)-.*""),""!C3:V"")),2,FALSE))"),"GL")</f>
        <v>GL</v>
      </c>
      <c r="V15" s="80" t="str">
        <f>IFERROR(__xludf.DUMMYFUNCTION("IF(ISBLANK(V14),"""",HLOOKUP(REGEXEXTRACT(V14,"".*-(.*)""),INDIRECT(CONCATENATE(REGEXEXTRACT(V14,""(.*)-.*""),""!C3:V"")),2,FALSE))"),"Glaivier")</f>
        <v>Glaivier</v>
      </c>
      <c r="W15" s="102" t="s">
        <v>221</v>
      </c>
      <c r="X15" s="154"/>
    </row>
    <row r="16">
      <c r="A16" s="154"/>
      <c r="B16" s="255"/>
      <c r="C16" s="232">
        <f>IFERROR(__xludf.DUMMYFUNCTION("IF(ISBLANK(C14),"""",HLOOKUP(REGEXEXTRACT(C14,"".*-(.*)""),INDIRECT(CONCATENATE(REGEXEXTRACT(C14,""(.*)-.*""),""!C3:V"")),3,FALSE))"),1750.0)</f>
        <v>1750</v>
      </c>
      <c r="D16" s="232">
        <f>IFERROR(__xludf.DUMMYFUNCTION("IF(ISBLANK(D14),"""",HLOOKUP(REGEXEXTRACT(D14,"".*-(.*)""),INDIRECT(CONCATENATE(REGEXEXTRACT(D14,""(.*)-.*""),""!C3:V"")),3,FALSE))"),1730.0)</f>
        <v>1730</v>
      </c>
      <c r="E16" s="232">
        <f>IFERROR(__xludf.DUMMYFUNCTION("IF(ISBLANK(E14),"""",HLOOKUP(REGEXEXTRACT(E14,"".*-(.*)""),INDIRECT(CONCATENATE(REGEXEXTRACT(E14,""(.*)-.*""),""!C3:V"")),3,FALSE))"),1750.0)</f>
        <v>1750</v>
      </c>
      <c r="F16" s="233"/>
      <c r="G16" s="256"/>
      <c r="H16" s="232">
        <f>IFERROR(__xludf.DUMMYFUNCTION("IF(ISBLANK(H14),"""",HLOOKUP(REGEXEXTRACT(H14,"".*-(.*)""),INDIRECT(CONCATENATE(REGEXEXTRACT(H14,""(.*)-.*""),""!C3:V"")),3,FALSE))"),1750.0)</f>
        <v>1750</v>
      </c>
      <c r="I16" s="232">
        <f>IFERROR(__xludf.DUMMYFUNCTION("IF(ISBLANK(I14),"""",HLOOKUP(REGEXEXTRACT(I14,"".*-(.*)""),INDIRECT(CONCATENATE(REGEXEXTRACT(I14,""(.*)-.*""),""!C3:V"")),3,FALSE))"),1750.0)</f>
        <v>1750</v>
      </c>
      <c r="J16" s="232">
        <f>IFERROR(__xludf.DUMMYFUNCTION("IF(ISBLANK(J14),"""",HLOOKUP(REGEXEXTRACT(J14,"".*-(.*)""),INDIRECT(CONCATENATE(REGEXEXTRACT(J14,""(.*)-.*""),""!C3:V"")),3,FALSE))"),1750.0)</f>
        <v>1750</v>
      </c>
      <c r="K16" s="257">
        <v>1750.0</v>
      </c>
      <c r="L16" s="154"/>
      <c r="M16" s="154"/>
      <c r="N16" s="154"/>
      <c r="O16" s="154"/>
      <c r="P16" s="154"/>
      <c r="Q16" s="154"/>
      <c r="R16" s="154"/>
      <c r="S16" s="258"/>
      <c r="T16" s="90">
        <f>IFERROR(__xludf.DUMMYFUNCTION("IF(ISBLANK(T14),"""",HLOOKUP(REGEXEXTRACT(T14,"".*-(.*)""),INDIRECT(CONCATENATE(REGEXEXTRACT(T14,""(.*)-.*""),""!C3:V"")),3,FALSE))"),1750.0)</f>
        <v>1750</v>
      </c>
      <c r="U16" s="90">
        <f>IFERROR(__xludf.DUMMYFUNCTION("IF(ISBLANK(U14),"""",HLOOKUP(REGEXEXTRACT(U14,"".*-(.*)""),INDIRECT(CONCATENATE(REGEXEXTRACT(U14,""(.*)-.*""),""!C3:V"")),3,FALSE))"),1750.0)</f>
        <v>1750</v>
      </c>
      <c r="V16" s="90">
        <f>IFERROR(__xludf.DUMMYFUNCTION("IF(ISBLANK(V14),"""",HLOOKUP(REGEXEXTRACT(V14,"".*-(.*)""),INDIRECT(CONCATENATE(REGEXEXTRACT(V14,""(.*)-.*""),""!C3:V"")),3,FALSE))"),1750.0)</f>
        <v>1750</v>
      </c>
      <c r="W16" s="201">
        <v>1750.0</v>
      </c>
      <c r="X16" s="154"/>
    </row>
    <row r="17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</row>
    <row r="18">
      <c r="A18" s="154"/>
      <c r="B18" s="259" t="s">
        <v>201</v>
      </c>
      <c r="C18" s="209" t="s">
        <v>106</v>
      </c>
      <c r="D18" s="210" t="s">
        <v>144</v>
      </c>
      <c r="E18" s="210" t="s">
        <v>130</v>
      </c>
      <c r="F18" s="213" t="s">
        <v>80</v>
      </c>
      <c r="G18" s="259" t="s">
        <v>219</v>
      </c>
      <c r="H18" s="209" t="s">
        <v>106</v>
      </c>
      <c r="I18" s="210" t="s">
        <v>14</v>
      </c>
      <c r="J18" s="210" t="s">
        <v>130</v>
      </c>
      <c r="K18" s="213" t="s">
        <v>80</v>
      </c>
      <c r="L18" s="154"/>
      <c r="M18" s="154"/>
      <c r="N18" s="154"/>
      <c r="O18" s="154"/>
      <c r="P18" s="154"/>
      <c r="Q18" s="154"/>
      <c r="R18" s="154"/>
      <c r="S18" s="260" t="s">
        <v>222</v>
      </c>
      <c r="T18" s="209"/>
      <c r="U18" s="210" t="s">
        <v>107</v>
      </c>
      <c r="V18" s="210" t="s">
        <v>207</v>
      </c>
      <c r="W18" s="213" t="s">
        <v>117</v>
      </c>
      <c r="X18" s="154"/>
    </row>
    <row r="19">
      <c r="A19" s="154"/>
      <c r="B19" s="261" t="s">
        <v>200</v>
      </c>
      <c r="C19" s="100" t="s">
        <v>173</v>
      </c>
      <c r="D19" s="80" t="str">
        <f>IFERROR(__xludf.DUMMYFUNCTION("IF(ISBLANK(D18),"""",HLOOKUP(REGEXEXTRACT(D18,"".*-(.*)""),INDIRECT(CONCATENATE(REGEXEXTRACT(D18,""(.*)-.*""),""!C3:V"")),2,FALSE))"),"Souleater")</f>
        <v>Souleater</v>
      </c>
      <c r="E19" s="80" t="str">
        <f>IFERROR(__xludf.DUMMYFUNCTION("IF(ISBLANK(E18),"""",HLOOKUP(REGEXEXTRACT(E18,"".*-(.*)""),INDIRECT(CONCATENATE(REGEXEXTRACT(E18,""(.*)-.*""),""!C3:V"")),2,FALSE))"),"Aeromancer")</f>
        <v>Aeromancer</v>
      </c>
      <c r="F19" s="217" t="str">
        <f>IFERROR(__xludf.DUMMYFUNCTION("IF(ISBLANK(F18),"""",HLOOKUP(REGEXEXTRACT(F18,"".*-(.*)""),INDIRECT(CONCATENATE(REGEXEXTRACT(F18,""(.*)-.*""),""!C3:V"")),2,FALSE))"),"Paladin")</f>
        <v>Paladin</v>
      </c>
      <c r="G19" s="261" t="s">
        <v>200</v>
      </c>
      <c r="H19" s="100" t="s">
        <v>173</v>
      </c>
      <c r="I19" s="80" t="str">
        <f>IFERROR(__xludf.DUMMYFUNCTION("IF(ISBLANK(I18),"""",HLOOKUP(REGEXEXTRACT(I18,"".*-(.*)""),INDIRECT(CONCATENATE(REGEXEXTRACT(I18,""(.*)-.*""),""!C3:V"")),2,FALSE))"),"Sorceress")</f>
        <v>Sorceress</v>
      </c>
      <c r="J19" s="80" t="str">
        <f>IFERROR(__xludf.DUMMYFUNCTION("IF(ISBLANK(J18),"""",HLOOKUP(REGEXEXTRACT(J18,"".*-(.*)""),INDIRECT(CONCATENATE(REGEXEXTRACT(J18,""(.*)-.*""),""!C3:V"")),2,FALSE))"),"Aeromancer")</f>
        <v>Aeromancer</v>
      </c>
      <c r="K19" s="217" t="str">
        <f>IFERROR(__xludf.DUMMYFUNCTION("IF(ISBLANK(K18),"""",HLOOKUP(REGEXEXTRACT(K18,"".*-(.*)""),INDIRECT(CONCATENATE(REGEXEXTRACT(K18,""(.*)-.*""),""!C3:V"")),2,FALSE))"),"Paladin")</f>
        <v>Paladin</v>
      </c>
      <c r="L19" s="154"/>
      <c r="M19" s="154"/>
      <c r="N19" s="154"/>
      <c r="O19" s="154"/>
      <c r="P19" s="154"/>
      <c r="Q19" s="154"/>
      <c r="R19" s="154"/>
      <c r="S19" s="262" t="s">
        <v>200</v>
      </c>
      <c r="T19" s="100"/>
      <c r="U19" s="100" t="s">
        <v>204</v>
      </c>
      <c r="V19" s="80" t="str">
        <f>IFERROR(__xludf.DUMMYFUNCTION("IF(ISBLANK(V18),"""",HLOOKUP(REGEXEXTRACT(V18,"".*-(.*)""),INDIRECT(CONCATENATE(REGEXEXTRACT(V18,""(.*)-.*""),""!C3:V"")),2,FALSE))"),"Gunlancer")</f>
        <v>Gunlancer</v>
      </c>
      <c r="W19" s="217" t="str">
        <f>IFERROR(__xludf.DUMMYFUNCTION("IF(ISBLANK(W18),"""",HLOOKUP(REGEXEXTRACT(W18,"".*-(.*)""),INDIRECT(CONCATENATE(REGEXEXTRACT(W18,""(.*)-.*""),""!C3:V"")),2,FALSE))"),"Artist")</f>
        <v>Artist</v>
      </c>
      <c r="X19" s="154"/>
    </row>
    <row r="20">
      <c r="A20" s="154"/>
      <c r="B20" s="263"/>
      <c r="C20" s="90"/>
      <c r="D20" s="90">
        <f>IFERROR(__xludf.DUMMYFUNCTION("IF(ISBLANK(D18),"""",HLOOKUP(REGEXEXTRACT(D18,"".*-(.*)""),INDIRECT(CONCATENATE(REGEXEXTRACT(D18,""(.*)-.*""),""!C3:V"")),3,FALSE))"),1750.0)</f>
        <v>1750</v>
      </c>
      <c r="E20" s="90">
        <f>IFERROR(__xludf.DUMMYFUNCTION("IF(ISBLANK(E18),"""",HLOOKUP(REGEXEXTRACT(E18,"".*-(.*)""),INDIRECT(CONCATENATE(REGEXEXTRACT(E18,""(.*)-.*""),""!C3:V"")),3,FALSE))"),1750.0)</f>
        <v>1750</v>
      </c>
      <c r="F20" s="221">
        <f>IFERROR(__xludf.DUMMYFUNCTION("IF(ISBLANK(F18),"""",HLOOKUP(REGEXEXTRACT(F18,"".*-(.*)""),INDIRECT(CONCATENATE(REGEXEXTRACT(F18,""(.*)-.*""),""!C3:V"")),3,FALSE))"),1750.0)</f>
        <v>1750</v>
      </c>
      <c r="G20" s="263"/>
      <c r="H20" s="92">
        <v>1750.0</v>
      </c>
      <c r="I20" s="90">
        <f>IFERROR(__xludf.DUMMYFUNCTION("IF(ISBLANK(I18),"""",HLOOKUP(REGEXEXTRACT(I18,"".*-(.*)""),INDIRECT(CONCATENATE(REGEXEXTRACT(I18,""(.*)-.*""),""!C3:V"")),3,FALSE))"),1750.0)</f>
        <v>1750</v>
      </c>
      <c r="J20" s="90">
        <f>IFERROR(__xludf.DUMMYFUNCTION("IF(ISBLANK(J18),"""",HLOOKUP(REGEXEXTRACT(J18,"".*-(.*)""),INDIRECT(CONCATENATE(REGEXEXTRACT(J18,""(.*)-.*""),""!C3:V"")),3,FALSE))"),1750.0)</f>
        <v>1750</v>
      </c>
      <c r="K20" s="221">
        <f>IFERROR(__xludf.DUMMYFUNCTION("IF(ISBLANK(K18),"""",HLOOKUP(REGEXEXTRACT(K18,"".*-(.*)""),INDIRECT(CONCATENATE(REGEXEXTRACT(K18,""(.*)-.*""),""!C3:V"")),3,FALSE))"),1750.0)</f>
        <v>1750</v>
      </c>
      <c r="L20" s="154"/>
      <c r="M20" s="154"/>
      <c r="N20" s="154"/>
      <c r="O20" s="154"/>
      <c r="P20" s="154"/>
      <c r="Q20" s="154"/>
      <c r="R20" s="154"/>
      <c r="S20" s="264"/>
      <c r="T20" s="92"/>
      <c r="U20" s="92">
        <v>1730.0</v>
      </c>
      <c r="V20" s="90">
        <f>IFERROR(__xludf.DUMMYFUNCTION("IF(ISBLANK(V18),"""",HLOOKUP(REGEXEXTRACT(V18,"".*-(.*)""),INDIRECT(CONCATENATE(REGEXEXTRACT(V18,""(.*)-.*""),""!C3:V"")),3,FALSE))"),1730.0)</f>
        <v>1730</v>
      </c>
      <c r="W20" s="221">
        <f>IFERROR(__xludf.DUMMYFUNCTION("IF(ISBLANK(W18),"""",HLOOKUP(REGEXEXTRACT(W18,"".*-(.*)""),INDIRECT(CONCATENATE(REGEXEXTRACT(W18,""(.*)-.*""),""!C3:V"")),3,FALSE))"),1730.0)</f>
        <v>1730</v>
      </c>
      <c r="X20" s="154"/>
    </row>
    <row r="21">
      <c r="A21" s="154"/>
      <c r="B21" s="224"/>
      <c r="F21" s="225"/>
      <c r="G21" s="224"/>
      <c r="I21" s="7"/>
      <c r="K21" s="225"/>
      <c r="L21" s="154"/>
      <c r="M21" s="154"/>
      <c r="N21" s="154"/>
      <c r="O21" s="154"/>
      <c r="P21" s="154"/>
      <c r="Q21" s="154"/>
      <c r="R21" s="154"/>
      <c r="S21" s="224"/>
      <c r="W21" s="225"/>
      <c r="X21" s="154"/>
    </row>
    <row r="22">
      <c r="A22" s="154"/>
      <c r="B22" s="265" t="s">
        <v>201</v>
      </c>
      <c r="C22" s="72" t="s">
        <v>106</v>
      </c>
      <c r="D22" s="73" t="s">
        <v>85</v>
      </c>
      <c r="E22" s="73" t="s">
        <v>161</v>
      </c>
      <c r="F22" s="227" t="s">
        <v>54</v>
      </c>
      <c r="G22" s="265" t="s">
        <v>219</v>
      </c>
      <c r="H22" s="72" t="s">
        <v>106</v>
      </c>
      <c r="I22" s="73" t="s">
        <v>85</v>
      </c>
      <c r="J22" s="73" t="s">
        <v>161</v>
      </c>
      <c r="K22" s="227" t="s">
        <v>54</v>
      </c>
      <c r="L22" s="154"/>
      <c r="M22" s="154"/>
      <c r="N22" s="154"/>
      <c r="O22" s="154"/>
      <c r="P22" s="154"/>
      <c r="Q22" s="154"/>
      <c r="R22" s="154"/>
      <c r="S22" s="266" t="s">
        <v>222</v>
      </c>
      <c r="T22" s="72"/>
      <c r="U22" s="73" t="s">
        <v>107</v>
      </c>
      <c r="V22" s="73" t="s">
        <v>216</v>
      </c>
      <c r="W22" s="227" t="s">
        <v>214</v>
      </c>
      <c r="X22" s="154"/>
    </row>
    <row r="23">
      <c r="A23" s="154"/>
      <c r="B23" s="261" t="s">
        <v>200</v>
      </c>
      <c r="C23" s="100" t="s">
        <v>215</v>
      </c>
      <c r="D23" s="80" t="str">
        <f>IFERROR(__xludf.DUMMYFUNCTION("IF(ISBLANK(D22),"""",HLOOKUP(REGEXEXTRACT(D22,"".*-(.*)""),INDIRECT(CONCATENATE(REGEXEXTRACT(D22,""(.*)-.*""),""!C3:V"")),2,FALSE))"),"Artill")</f>
        <v>Artill</v>
      </c>
      <c r="E23" s="80" t="str">
        <f>IFERROR(__xludf.DUMMYFUNCTION("IF(ISBLANK(E22),"""",HLOOKUP(REGEXEXTRACT(E22,"".*-(.*)""),INDIRECT(CONCATENATE(REGEXEXTRACT(E22,""(.*)-.*""),""!C3:V"")),2,FALSE))"),"Sorc")</f>
        <v>Sorc</v>
      </c>
      <c r="F23" s="217" t="str">
        <f>IFERROR(__xludf.DUMMYFUNCTION("IF(ISBLANK(F22),"""",HLOOKUP(REGEXEXTRACT(F22,"".*-(.*)""),INDIRECT(CONCATENATE(REGEXEXTRACT(F22,""(.*)-.*""),""!C3:V"")),2,FALSE))"),"Paladin")</f>
        <v>Paladin</v>
      </c>
      <c r="G23" s="261" t="s">
        <v>200</v>
      </c>
      <c r="H23" s="100" t="s">
        <v>215</v>
      </c>
      <c r="I23" s="80" t="str">
        <f>IFERROR(__xludf.DUMMYFUNCTION("IF(ISBLANK(I22),"""",HLOOKUP(REGEXEXTRACT(I22,"".*-(.*)""),INDIRECT(CONCATENATE(REGEXEXTRACT(I22,""(.*)-.*""),""!C3:V"")),2,FALSE))"),"Artill")</f>
        <v>Artill</v>
      </c>
      <c r="J23" s="80" t="str">
        <f>IFERROR(__xludf.DUMMYFUNCTION("IF(ISBLANK(J22),"""",HLOOKUP(REGEXEXTRACT(J22,"".*-(.*)""),INDIRECT(CONCATENATE(REGEXEXTRACT(J22,""(.*)-.*""),""!C3:V"")),2,FALSE))"),"Sorc")</f>
        <v>Sorc</v>
      </c>
      <c r="K23" s="217" t="str">
        <f>IFERROR(__xludf.DUMMYFUNCTION("IF(ISBLANK(K22),"""",HLOOKUP(REGEXEXTRACT(K22,"".*-(.*)""),INDIRECT(CONCATENATE(REGEXEXTRACT(K22,""(.*)-.*""),""!C3:V"")),2,FALSE))"),"Paladin")</f>
        <v>Paladin</v>
      </c>
      <c r="L23" s="154"/>
      <c r="M23" s="154"/>
      <c r="N23" s="154"/>
      <c r="O23" s="267"/>
      <c r="P23" s="267"/>
      <c r="Q23" s="267"/>
      <c r="R23" s="154"/>
      <c r="S23" s="262" t="s">
        <v>200</v>
      </c>
      <c r="T23" s="100"/>
      <c r="U23" s="100" t="s">
        <v>203</v>
      </c>
      <c r="V23" s="80" t="str">
        <f>IFERROR(__xludf.DUMMYFUNCTION("IF(ISBLANK(V22),"""",HLOOKUP(REGEXEXTRACT(V22,"".*-(.*)""),INDIRECT(CONCATENATE(REGEXEXTRACT(V22,""(.*)-.*""),""!C3:V"")),2,FALSE))"),"Aeromancer")</f>
        <v>Aeromancer</v>
      </c>
      <c r="W23" s="217" t="str">
        <f>IFERROR(__xludf.DUMMYFUNCTION("IF(ISBLANK(W22),"""",HLOOKUP(REGEXEXTRACT(W22,"".*-(.*)""),INDIRECT(CONCATENATE(REGEXEXTRACT(W22,""(.*)-.*""),""!C3:V"")),2,FALSE))"),"Valkyrie")</f>
        <v>Valkyrie</v>
      </c>
      <c r="X23" s="154"/>
    </row>
    <row r="24">
      <c r="A24" s="154"/>
      <c r="B24" s="268"/>
      <c r="C24" s="232"/>
      <c r="D24" s="232">
        <f>IFERROR(__xludf.DUMMYFUNCTION("IF(ISBLANK(D22),"""",HLOOKUP(REGEXEXTRACT(D22,"".*-(.*)""),INDIRECT(CONCATENATE(REGEXEXTRACT(D22,""(.*)-.*""),""!C3:V"")),3,FALSE))"),1750.0)</f>
        <v>1750</v>
      </c>
      <c r="E24" s="232">
        <f>IFERROR(__xludf.DUMMYFUNCTION("IF(ISBLANK(E22),"""",HLOOKUP(REGEXEXTRACT(E22,"".*-(.*)""),INDIRECT(CONCATENATE(REGEXEXTRACT(E22,""(.*)-.*""),""!C3:V"")),3,FALSE))"),1750.0)</f>
        <v>1750</v>
      </c>
      <c r="F24" s="235">
        <f>IFERROR(__xludf.DUMMYFUNCTION("IF(ISBLANK(F22),"""",HLOOKUP(REGEXEXTRACT(F22,"".*-(.*)""),INDIRECT(CONCATENATE(REGEXEXTRACT(F22,""(.*)-.*""),""!C3:V"")),3,FALSE))"),1750.0)</f>
        <v>1750</v>
      </c>
      <c r="G24" s="268"/>
      <c r="H24" s="238">
        <v>1750.0</v>
      </c>
      <c r="I24" s="232">
        <f>IFERROR(__xludf.DUMMYFUNCTION("IF(ISBLANK(I22),"""",HLOOKUP(REGEXEXTRACT(I22,"".*-(.*)""),INDIRECT(CONCATENATE(REGEXEXTRACT(I22,""(.*)-.*""),""!C3:V"")),3,FALSE))"),1750.0)</f>
        <v>1750</v>
      </c>
      <c r="J24" s="232">
        <f>IFERROR(__xludf.DUMMYFUNCTION("IF(ISBLANK(J22),"""",HLOOKUP(REGEXEXTRACT(J22,"".*-(.*)""),INDIRECT(CONCATENATE(REGEXEXTRACT(J22,""(.*)-.*""),""!C3:V"")),3,FALSE))"),1750.0)</f>
        <v>1750</v>
      </c>
      <c r="K24" s="235">
        <f>IFERROR(__xludf.DUMMYFUNCTION("IF(ISBLANK(K22),"""",HLOOKUP(REGEXEXTRACT(K22,"".*-(.*)""),INDIRECT(CONCATENATE(REGEXEXTRACT(K22,""(.*)-.*""),""!C3:V"")),3,FALSE))"),1750.0)</f>
        <v>1750</v>
      </c>
      <c r="L24" s="154"/>
      <c r="M24" s="154"/>
      <c r="N24" s="154"/>
      <c r="O24" s="267"/>
      <c r="P24" s="267"/>
      <c r="Q24" s="267"/>
      <c r="R24" s="154"/>
      <c r="S24" s="269"/>
      <c r="T24" s="238"/>
      <c r="U24" s="238">
        <v>1730.0</v>
      </c>
      <c r="V24" s="232">
        <f>IFERROR(__xludf.DUMMYFUNCTION("IF(ISBLANK(V22),"""",HLOOKUP(REGEXEXTRACT(V22,"".*-(.*)""),INDIRECT(CONCATENATE(REGEXEXTRACT(V22,""(.*)-.*""),""!C3:V"")),3,FALSE))"),1730.0)</f>
        <v>1730</v>
      </c>
      <c r="W24" s="235">
        <f>IFERROR(__xludf.DUMMYFUNCTION("IF(ISBLANK(W22),"""",HLOOKUP(REGEXEXTRACT(W22,"".*-(.*)""),INDIRECT(CONCATENATE(REGEXEXTRACT(W22,""(.*)-.*""),""!C3:V"")),3,FALSE))"),1730.0)</f>
        <v>1730</v>
      </c>
      <c r="X24" s="154"/>
    </row>
    <row r="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267"/>
      <c r="P25" s="267"/>
      <c r="Q25" s="267"/>
      <c r="R25" s="154"/>
      <c r="S25" s="154"/>
      <c r="T25" s="154"/>
      <c r="U25" s="154"/>
      <c r="V25" s="154"/>
      <c r="W25" s="154"/>
      <c r="X25" s="154"/>
    </row>
    <row r="26">
      <c r="A26" s="154"/>
      <c r="B26" s="270" t="s">
        <v>197</v>
      </c>
      <c r="C26" s="209" t="s">
        <v>107</v>
      </c>
      <c r="D26" s="210" t="s">
        <v>147</v>
      </c>
      <c r="E26" s="210" t="s">
        <v>70</v>
      </c>
      <c r="F26" s="213" t="s">
        <v>162</v>
      </c>
      <c r="G26" s="270" t="s">
        <v>219</v>
      </c>
      <c r="H26" s="209" t="s">
        <v>107</v>
      </c>
      <c r="I26" s="210" t="s">
        <v>206</v>
      </c>
      <c r="J26" s="210" t="s">
        <v>113</v>
      </c>
      <c r="K26" s="213" t="s">
        <v>170</v>
      </c>
      <c r="L26" s="154"/>
      <c r="M26" s="154"/>
      <c r="N26" s="154"/>
      <c r="O26" s="267"/>
      <c r="P26" s="267"/>
      <c r="Q26" s="267"/>
      <c r="R26" s="154"/>
      <c r="S26" s="271" t="s">
        <v>222</v>
      </c>
      <c r="T26" s="72"/>
      <c r="U26" s="73" t="s">
        <v>62</v>
      </c>
      <c r="V26" s="73" t="s">
        <v>217</v>
      </c>
      <c r="W26" s="74" t="s">
        <v>208</v>
      </c>
      <c r="X26" s="154"/>
    </row>
    <row r="27">
      <c r="A27" s="154"/>
      <c r="B27" s="272" t="s">
        <v>200</v>
      </c>
      <c r="C27" s="100" t="s">
        <v>209</v>
      </c>
      <c r="D27" s="80" t="str">
        <f>IFERROR(__xludf.DUMMYFUNCTION("IF(ISBLANK(D26),"""",HLOOKUP(REGEXEXTRACT(D26,"".*-(.*)""),INDIRECT(CONCATENATE(REGEXEXTRACT(D26,""(.*)-.*""),""!C3:V"")),2,FALSE))"),"Slayer")</f>
        <v>Slayer</v>
      </c>
      <c r="E27" s="80" t="str">
        <f>IFERROR(__xludf.DUMMYFUNCTION("IF(ISBLANK(E26),"""",HLOOKUP(REGEXEXTRACT(E26,"".*-(.*)""),INDIRECT(CONCATENATE(REGEXEXTRACT(E26,""(.*)-.*""),""!C3:V"")),2,FALSE))"),"GL")</f>
        <v>GL</v>
      </c>
      <c r="F27" s="217" t="str">
        <f>IFERROR(__xludf.DUMMYFUNCTION("IF(ISBLANK(F26),"""",HLOOKUP(REGEXEXTRACT(F26,"".*-(.*)""),INDIRECT(CONCATENATE(REGEXEXTRACT(F26,""(.*)-.*""),""!C3:V"")),2,FALSE))"),"Paladin")</f>
        <v>Paladin</v>
      </c>
      <c r="G27" s="272" t="s">
        <v>200</v>
      </c>
      <c r="H27" s="100" t="s">
        <v>212</v>
      </c>
      <c r="I27" s="80" t="str">
        <f>IFERROR(__xludf.DUMMYFUNCTION("IF(ISBLANK(I26),"""",HLOOKUP(REGEXEXTRACT(I26,"".*-(.*)""),INDIRECT(CONCATENATE(REGEXEXTRACT(I26,""(.*)-.*""),""!C3:V"")),2,FALSE))"),"Gunslinger")</f>
        <v>Gunslinger</v>
      </c>
      <c r="J27" s="80" t="str">
        <f>IFERROR(__xludf.DUMMYFUNCTION("IF(ISBLANK(J26),"""",HLOOKUP(REGEXEXTRACT(J26,"".*-(.*)""),INDIRECT(CONCATENATE(REGEXEXTRACT(J26,""(.*)-.*""),""!C3:V"")),2,FALSE))"),"G")</f>
        <v>G</v>
      </c>
      <c r="K27" s="217" t="str">
        <f>IFERROR(__xludf.DUMMYFUNCTION("IF(ISBLANK(K26),"""",HLOOKUP(REGEXEXTRACT(K26,"".*-(.*)""),INDIRECT(CONCATENATE(REGEXEXTRACT(K26,""(.*)-.*""),""!C3:V"")),2,FALSE))"),"Bard")</f>
        <v>Bard</v>
      </c>
      <c r="L27" s="154"/>
      <c r="M27" s="154"/>
      <c r="N27" s="154"/>
      <c r="O27" s="267"/>
      <c r="P27" s="267"/>
      <c r="Q27" s="267"/>
      <c r="R27" s="154"/>
      <c r="S27" s="273" t="s">
        <v>200</v>
      </c>
      <c r="T27" s="80" t="str">
        <f>IFERROR(__xludf.DUMMYFUNCTION("IF(ISBLANK(T26),"""",HLOOKUP(REGEXEXTRACT(T26,"".*-(.*)""),INDIRECT(CONCATENATE(REGEXEXTRACT(T26,""(.*)-.*""),""!C3:V"")),2,FALSE))"),"")</f>
        <v/>
      </c>
      <c r="U27" s="80" t="str">
        <f>IFERROR(__xludf.DUMMYFUNCTION("IF(ISBLANK(U26),"""",HLOOKUP(REGEXEXTRACT(U26,"".*-(.*)""),INDIRECT(CONCATENATE(REGEXEXTRACT(U26,""(.*)-.*""),""!C3:V"")),2,FALSE))"),"Breaker")</f>
        <v>Breaker</v>
      </c>
      <c r="V27" s="80" t="str">
        <f>IFERROR(__xludf.DUMMYFUNCTION("IF(ISBLANK(V26),"""",HLOOKUP(REGEXEXTRACT(V26,"".*-(.*)""),INDIRECT(CONCATENATE(REGEXEXTRACT(V26,""(.*)-.*""),""!C3:V"")),2,FALSE))"),"Souleater")</f>
        <v>Souleater</v>
      </c>
      <c r="W27" s="83" t="str">
        <f>IFERROR(__xludf.DUMMYFUNCTION("IF(ISBLANK(W26),"""",HLOOKUP(REGEXEXTRACT(W26,"".*-(.*)""),INDIRECT(CONCATENATE(REGEXEXTRACT(W26,""(.*)-.*""),""!C3:V"")),2,FALSE))"),"Valk")</f>
        <v>Valk</v>
      </c>
      <c r="X27" s="154"/>
    </row>
    <row r="28">
      <c r="A28" s="154"/>
      <c r="B28" s="274"/>
      <c r="C28" s="90"/>
      <c r="D28" s="90">
        <f>IFERROR(__xludf.DUMMYFUNCTION("IF(ISBLANK(D26),"""",HLOOKUP(REGEXEXTRACT(D26,"".*-(.*)""),INDIRECT(CONCATENATE(REGEXEXTRACT(D26,""(.*)-.*""),""!C3:V"")),3,FALSE))"),1750.0)</f>
        <v>1750</v>
      </c>
      <c r="E28" s="90">
        <f>IFERROR(__xludf.DUMMYFUNCTION("IF(ISBLANK(E26),"""",HLOOKUP(REGEXEXTRACT(E26,"".*-(.*)""),INDIRECT(CONCATENATE(REGEXEXTRACT(E26,""(.*)-.*""),""!C3:V"")),3,FALSE))"),1750.0)</f>
        <v>1750</v>
      </c>
      <c r="F28" s="221">
        <f>IFERROR(__xludf.DUMMYFUNCTION("IF(ISBLANK(F26),"""",HLOOKUP(REGEXEXTRACT(F26,"".*-(.*)""),INDIRECT(CONCATENATE(REGEXEXTRACT(F26,""(.*)-.*""),""!C3:V"")),3,FALSE))"),1750.0)</f>
        <v>1750</v>
      </c>
      <c r="G28" s="275"/>
      <c r="H28" s="238">
        <v>1750.0</v>
      </c>
      <c r="I28" s="232">
        <f>IFERROR(__xludf.DUMMYFUNCTION("IF(ISBLANK(I26),"""",HLOOKUP(REGEXEXTRACT(I26,"".*-(.*)""),INDIRECT(CONCATENATE(REGEXEXTRACT(I26,""(.*)-.*""),""!C3:V"")),3,FALSE))"),1750.0)</f>
        <v>1750</v>
      </c>
      <c r="J28" s="232">
        <f>IFERROR(__xludf.DUMMYFUNCTION("IF(ISBLANK(J26),"""",HLOOKUP(REGEXEXTRACT(J26,"".*-(.*)""),INDIRECT(CONCATENATE(REGEXEXTRACT(J26,""(.*)-.*""),""!C3:V"")),3,FALSE))"),1750.0)</f>
        <v>1750</v>
      </c>
      <c r="K28" s="235">
        <f>IFERROR(__xludf.DUMMYFUNCTION("IF(ISBLANK(K26),"""",HLOOKUP(REGEXEXTRACT(K26,"".*-(.*)""),INDIRECT(CONCATENATE(REGEXEXTRACT(K26,""(.*)-.*""),""!C3:V"")),3,FALSE))"),1750.0)</f>
        <v>1750</v>
      </c>
      <c r="L28" s="154"/>
      <c r="M28" s="154"/>
      <c r="N28" s="154"/>
      <c r="O28" s="267"/>
      <c r="P28" s="267"/>
      <c r="Q28" s="267"/>
      <c r="R28" s="154"/>
      <c r="S28" s="276"/>
      <c r="T28" s="90" t="str">
        <f>IFERROR(__xludf.DUMMYFUNCTION("IF(ISBLANK(T26),"""",HLOOKUP(REGEXEXTRACT(T26,"".*-(.*)""),INDIRECT(CONCATENATE(REGEXEXTRACT(T26,""(.*)-.*""),""!C3:V"")),3,FALSE))"),"")</f>
        <v/>
      </c>
      <c r="U28" s="90">
        <f>IFERROR(__xludf.DUMMYFUNCTION("IF(ISBLANK(U26),"""",HLOOKUP(REGEXEXTRACT(U26,"".*-(.*)""),INDIRECT(CONCATENATE(REGEXEXTRACT(U26,""(.*)-.*""),""!C3:V"")),3,FALSE))"),1730.0)</f>
        <v>1730</v>
      </c>
      <c r="V28" s="90">
        <f>IFERROR(__xludf.DUMMYFUNCTION("IF(ISBLANK(V26),"""",HLOOKUP(REGEXEXTRACT(V26,"".*-(.*)""),INDIRECT(CONCATENATE(REGEXEXTRACT(V26,""(.*)-.*""),""!C3:V"")),3,FALSE))"),1730.0)</f>
        <v>1730</v>
      </c>
      <c r="W28" s="93">
        <f>IFERROR(__xludf.DUMMYFUNCTION("IF(ISBLANK(W26),"""",HLOOKUP(REGEXEXTRACT(W26,"".*-(.*)""),INDIRECT(CONCATENATE(REGEXEXTRACT(W26,""(.*)-.*""),""!C3:V"")),3,FALSE))"),1730.0)</f>
        <v>1730</v>
      </c>
      <c r="X28" s="154"/>
    </row>
    <row r="29">
      <c r="A29" s="154"/>
      <c r="B29" s="224"/>
      <c r="F29" s="225"/>
      <c r="G29" s="154"/>
      <c r="H29" s="154"/>
      <c r="I29" s="154"/>
      <c r="J29" s="154"/>
      <c r="K29" s="154"/>
      <c r="L29" s="154"/>
      <c r="M29" s="154"/>
      <c r="N29" s="154"/>
      <c r="O29" s="267"/>
      <c r="P29" s="267"/>
      <c r="Q29" s="267"/>
      <c r="R29" s="154"/>
      <c r="S29" s="154"/>
      <c r="T29" s="154"/>
      <c r="U29" s="154"/>
      <c r="V29" s="154"/>
      <c r="W29" s="154"/>
      <c r="X29" s="154"/>
    </row>
    <row r="30">
      <c r="A30" s="154"/>
      <c r="B30" s="277" t="s">
        <v>201</v>
      </c>
      <c r="C30" s="72" t="s">
        <v>107</v>
      </c>
      <c r="D30" s="73" t="s">
        <v>206</v>
      </c>
      <c r="E30" s="73" t="s">
        <v>113</v>
      </c>
      <c r="F30" s="227" t="s">
        <v>170</v>
      </c>
      <c r="G30" s="154"/>
      <c r="H30" s="154"/>
      <c r="I30" s="154"/>
      <c r="J30" s="154"/>
      <c r="K30" s="154"/>
      <c r="L30" s="154"/>
      <c r="M30" s="154"/>
      <c r="N30" s="154"/>
      <c r="O30" s="267"/>
      <c r="P30" s="267"/>
      <c r="Q30" s="267"/>
      <c r="R30" s="154"/>
      <c r="S30" s="154"/>
      <c r="T30" s="154"/>
      <c r="U30" s="154"/>
      <c r="V30" s="154"/>
      <c r="W30" s="154"/>
      <c r="X30" s="154"/>
    </row>
    <row r="31">
      <c r="A31" s="154"/>
      <c r="B31" s="272" t="s">
        <v>200</v>
      </c>
      <c r="C31" s="100" t="s">
        <v>204</v>
      </c>
      <c r="D31" s="80" t="str">
        <f>IFERROR(__xludf.DUMMYFUNCTION("IF(ISBLANK(D30),"""",HLOOKUP(REGEXEXTRACT(D30,"".*-(.*)""),INDIRECT(CONCATENATE(REGEXEXTRACT(D30,""(.*)-.*""),""!C3:V"")),2,FALSE))"),"Gunslinger")</f>
        <v>Gunslinger</v>
      </c>
      <c r="E31" s="80" t="str">
        <f>IFERROR(__xludf.DUMMYFUNCTION("IF(ISBLANK(E30),"""",HLOOKUP(REGEXEXTRACT(E30,"".*-(.*)""),INDIRECT(CONCATENATE(REGEXEXTRACT(E30,""(.*)-.*""),""!C3:V"")),2,FALSE))"),"G")</f>
        <v>G</v>
      </c>
      <c r="F31" s="217" t="str">
        <f>IFERROR(__xludf.DUMMYFUNCTION("IF(ISBLANK(F30),"""",HLOOKUP(REGEXEXTRACT(F30,"".*-(.*)""),INDIRECT(CONCATENATE(REGEXEXTRACT(F30,""(.*)-.*""),""!C3:V"")),2,FALSE))"),"Bard")</f>
        <v>Bard</v>
      </c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</row>
    <row r="32">
      <c r="A32" s="154"/>
      <c r="B32" s="275"/>
      <c r="C32" s="232"/>
      <c r="D32" s="232">
        <f>IFERROR(__xludf.DUMMYFUNCTION("IF(ISBLANK(D30),"""",HLOOKUP(REGEXEXTRACT(D30,"".*-(.*)""),INDIRECT(CONCATENATE(REGEXEXTRACT(D30,""(.*)-.*""),""!C3:V"")),3,FALSE))"),1750.0)</f>
        <v>1750</v>
      </c>
      <c r="E32" s="232">
        <f>IFERROR(__xludf.DUMMYFUNCTION("IF(ISBLANK(E30),"""",HLOOKUP(REGEXEXTRACT(E30,"".*-(.*)""),INDIRECT(CONCATENATE(REGEXEXTRACT(E30,""(.*)-.*""),""!C3:V"")),3,FALSE))"),1750.0)</f>
        <v>1750</v>
      </c>
      <c r="F32" s="235">
        <f>IFERROR(__xludf.DUMMYFUNCTION("IF(ISBLANK(F30),"""",HLOOKUP(REGEXEXTRACT(F30,"".*-(.*)""),INDIRECT(CONCATENATE(REGEXEXTRACT(F30,""(.*)-.*""),""!C3:V"")),3,FALSE))"),1750.0)</f>
        <v>1750</v>
      </c>
      <c r="G32" s="154"/>
      <c r="H32" s="154"/>
      <c r="I32" s="154"/>
      <c r="J32" s="154"/>
      <c r="K32" s="154"/>
      <c r="L32" s="154"/>
      <c r="M32" s="154"/>
      <c r="N32" s="154"/>
      <c r="O32" s="267"/>
      <c r="P32" s="267"/>
      <c r="Q32" s="267"/>
      <c r="R32" s="267"/>
      <c r="S32" s="154"/>
      <c r="T32" s="154"/>
      <c r="U32" s="267"/>
      <c r="V32" s="267"/>
      <c r="W32" s="267"/>
      <c r="X32" s="154"/>
    </row>
    <row r="33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267"/>
      <c r="P33" s="267"/>
      <c r="Q33" s="267"/>
      <c r="R33" s="267"/>
      <c r="S33" s="154"/>
      <c r="T33" s="154"/>
      <c r="U33" s="267"/>
      <c r="V33" s="267"/>
      <c r="W33" s="267"/>
      <c r="X33" s="154"/>
    </row>
    <row r="34">
      <c r="A34" s="154"/>
      <c r="B34" s="278" t="s">
        <v>197</v>
      </c>
      <c r="C34" s="209" t="s">
        <v>37</v>
      </c>
      <c r="D34" s="210" t="s">
        <v>202</v>
      </c>
      <c r="E34" s="210" t="s">
        <v>164</v>
      </c>
      <c r="F34" s="211" t="s">
        <v>157</v>
      </c>
      <c r="G34" s="279" t="s">
        <v>219</v>
      </c>
      <c r="H34" s="209" t="s">
        <v>37</v>
      </c>
      <c r="I34" s="210" t="s">
        <v>159</v>
      </c>
      <c r="J34" s="210" t="s">
        <v>164</v>
      </c>
      <c r="K34" s="213" t="s">
        <v>157</v>
      </c>
      <c r="L34" s="154"/>
      <c r="M34" s="154"/>
      <c r="N34" s="154"/>
      <c r="O34" s="267"/>
      <c r="P34" s="267"/>
      <c r="Q34" s="267"/>
      <c r="R34" s="267"/>
      <c r="S34" s="154"/>
      <c r="T34" s="154"/>
      <c r="U34" s="267"/>
      <c r="V34" s="267"/>
      <c r="W34" s="267"/>
      <c r="X34" s="154"/>
    </row>
    <row r="35">
      <c r="A35" s="154"/>
      <c r="B35" s="280" t="s">
        <v>200</v>
      </c>
      <c r="C35" s="80" t="str">
        <f>IFERROR(__xludf.DUMMYFUNCTION("IF(ISBLANK(C34),"""",HLOOKUP(REGEXEXTRACT(C34,"".*-(.*)""),INDIRECT(CONCATENATE(REGEXEXTRACT(C34,""(.*)-.*""),""!C3:V"")),2,FALSE))"),"Guardianknight")</f>
        <v>Guardianknight</v>
      </c>
      <c r="D35" s="80" t="str">
        <f>IFERROR(__xludf.DUMMYFUNCTION("IF(ISBLANK(D34),"""",HLOOKUP(REGEXEXTRACT(D34,"".*-(.*)""),INDIRECT(CONCATENATE(REGEXEXTRACT(D34,""(.*)-.*""),""!C3:V"")),2,FALSE))"),"Souleater")</f>
        <v>Souleater</v>
      </c>
      <c r="E35" s="80" t="str">
        <f>IFERROR(__xludf.DUMMYFUNCTION("IF(ISBLANK(E34),"""",HLOOKUP(REGEXEXTRACT(E34,"".*-(.*)""),INDIRECT(CONCATENATE(REGEXEXTRACT(E34,""(.*)-.*""),""!C3:V"")),2,FALSE))"),"Valk")</f>
        <v>Valk</v>
      </c>
      <c r="F35" s="83" t="str">
        <f>IFERROR(__xludf.DUMMYFUNCTION("IF(ISBLANK(F34),"""",HLOOKUP(REGEXEXTRACT(F34,"".*-(.*)""),INDIRECT(CONCATENATE(REGEXEXTRACT(F34,""(.*)-.*""),""!C3:V"")),2,FALSE))"),"Valk")</f>
        <v>Valk</v>
      </c>
      <c r="G35" s="152" t="s">
        <v>200</v>
      </c>
      <c r="H35" s="80" t="str">
        <f>IFERROR(__xludf.DUMMYFUNCTION("IF(ISBLANK(H34),"""",HLOOKUP(REGEXEXTRACT(H34,"".*-(.*)""),INDIRECT(CONCATENATE(REGEXEXTRACT(H34,""(.*)-.*""),""!C3:V"")),2,FALSE))"),"Guardianknight")</f>
        <v>Guardianknight</v>
      </c>
      <c r="I35" s="80" t="str">
        <f>IFERROR(__xludf.DUMMYFUNCTION("IF(ISBLANK(I34),"""",HLOOKUP(REGEXEXTRACT(I34,"".*-(.*)""),INDIRECT(CONCATENATE(REGEXEXTRACT(I34,""(.*)-.*""),""!C3:V"")),2,FALSE))"),"Glaivier")</f>
        <v>Glaivier</v>
      </c>
      <c r="J35" s="80" t="str">
        <f>IFERROR(__xludf.DUMMYFUNCTION("IF(ISBLANK(J34),"""",HLOOKUP(REGEXEXTRACT(J34,"".*-(.*)""),INDIRECT(CONCATENATE(REGEXEXTRACT(J34,""(.*)-.*""),""!C3:V"")),2,FALSE))"),"Valk")</f>
        <v>Valk</v>
      </c>
      <c r="K35" s="217" t="str">
        <f>IFERROR(__xludf.DUMMYFUNCTION("IF(ISBLANK(K34),"""",HLOOKUP(REGEXEXTRACT(K34,"".*-(.*)""),INDIRECT(CONCATENATE(REGEXEXTRACT(K34,""(.*)-.*""),""!C3:V"")),2,FALSE))"),"Valk")</f>
        <v>Valk</v>
      </c>
      <c r="L35" s="154"/>
      <c r="M35" s="154"/>
      <c r="N35" s="154"/>
      <c r="O35" s="267"/>
      <c r="P35" s="267"/>
      <c r="Q35" s="267"/>
      <c r="R35" s="267"/>
      <c r="S35" s="154"/>
      <c r="T35" s="154"/>
      <c r="U35" s="267"/>
      <c r="V35" s="267"/>
      <c r="W35" s="267"/>
      <c r="X35" s="154"/>
    </row>
    <row r="36">
      <c r="A36" s="154"/>
      <c r="B36" s="281"/>
      <c r="C36" s="232">
        <f>IFERROR(__xludf.DUMMYFUNCTION("IF(ISBLANK(C34),"""",HLOOKUP(REGEXEXTRACT(C34,"".*-(.*)""),INDIRECT(CONCATENATE(REGEXEXTRACT(C34,""(.*)-.*""),""!C3:V"")),3,FALSE))"),1750.0)</f>
        <v>1750</v>
      </c>
      <c r="D36" s="232">
        <f>IFERROR(__xludf.DUMMYFUNCTION("IF(ISBLANK(D34),"""",HLOOKUP(REGEXEXTRACT(D34,"".*-(.*)""),INDIRECT(CONCATENATE(REGEXEXTRACT(D34,""(.*)-.*""),""!C3:V"")),3,FALSE))"),1750.0)</f>
        <v>1750</v>
      </c>
      <c r="E36" s="232">
        <f>IFERROR(__xludf.DUMMYFUNCTION("IF(ISBLANK(E34),"""",HLOOKUP(REGEXEXTRACT(E34,"".*-(.*)""),INDIRECT(CONCATENATE(REGEXEXTRACT(E34,""(.*)-.*""),""!C3:V"")),3,FALSE))"),1750.0)</f>
        <v>1750</v>
      </c>
      <c r="F36" s="233">
        <f>IFERROR(__xludf.DUMMYFUNCTION("IF(ISBLANK(F34),"""",HLOOKUP(REGEXEXTRACT(F34,"".*-(.*)""),INDIRECT(CONCATENATE(REGEXEXTRACT(F34,""(.*)-.*""),""!C3:V"")),3,FALSE))"),1750.0)</f>
        <v>1750</v>
      </c>
      <c r="G36" s="282"/>
      <c r="H36" s="232">
        <f>IFERROR(__xludf.DUMMYFUNCTION("IF(ISBLANK(H34),"""",HLOOKUP(REGEXEXTRACT(H34,"".*-(.*)""),INDIRECT(CONCATENATE(REGEXEXTRACT(H34,""(.*)-.*""),""!C3:V"")),3,FALSE))"),1750.0)</f>
        <v>1750</v>
      </c>
      <c r="I36" s="232">
        <f>IFERROR(__xludf.DUMMYFUNCTION("IF(ISBLANK(I34),"""",HLOOKUP(REGEXEXTRACT(I34,"".*-(.*)""),INDIRECT(CONCATENATE(REGEXEXTRACT(I34,""(.*)-.*""),""!C3:V"")),3,FALSE))"),1750.0)</f>
        <v>1750</v>
      </c>
      <c r="J36" s="232">
        <f>IFERROR(__xludf.DUMMYFUNCTION("IF(ISBLANK(J34),"""",HLOOKUP(REGEXEXTRACT(J34,"".*-(.*)""),INDIRECT(CONCATENATE(REGEXEXTRACT(J34,""(.*)-.*""),""!C3:V"")),3,FALSE))"),1750.0)</f>
        <v>1750</v>
      </c>
      <c r="K36" s="235">
        <f>IFERROR(__xludf.DUMMYFUNCTION("IF(ISBLANK(K34),"""",HLOOKUP(REGEXEXTRACT(K34,"".*-(.*)""),INDIRECT(CONCATENATE(REGEXEXTRACT(K34,""(.*)-.*""),""!C3:V"")),3,FALSE))"),1750.0)</f>
        <v>1750</v>
      </c>
      <c r="L36" s="154"/>
      <c r="M36" s="154"/>
      <c r="N36" s="154"/>
      <c r="O36" s="267"/>
      <c r="P36" s="267"/>
      <c r="Q36" s="267"/>
      <c r="R36" s="267"/>
      <c r="S36" s="154"/>
      <c r="T36" s="154"/>
      <c r="U36" s="267"/>
      <c r="V36" s="267"/>
      <c r="W36" s="267"/>
      <c r="X36" s="154"/>
    </row>
    <row r="37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267"/>
      <c r="P37" s="267"/>
      <c r="Q37" s="267"/>
      <c r="R37" s="267"/>
      <c r="S37" s="154"/>
      <c r="T37" s="154"/>
      <c r="U37" s="267"/>
      <c r="V37" s="267"/>
      <c r="W37" s="267"/>
      <c r="X37" s="154"/>
    </row>
    <row r="38">
      <c r="A38" s="154"/>
      <c r="B38" s="283" t="s">
        <v>197</v>
      </c>
      <c r="C38" s="209" t="s">
        <v>53</v>
      </c>
      <c r="D38" s="210" t="s">
        <v>32</v>
      </c>
      <c r="E38" s="210" t="s">
        <v>115</v>
      </c>
      <c r="F38" s="211" t="s">
        <v>117</v>
      </c>
      <c r="G38" s="154"/>
      <c r="H38" s="154"/>
      <c r="I38" s="154"/>
      <c r="J38" s="154"/>
      <c r="K38" s="154"/>
      <c r="L38" s="154"/>
      <c r="M38" s="154"/>
      <c r="N38" s="154"/>
      <c r="O38" s="267"/>
      <c r="P38" s="267"/>
      <c r="Q38" s="267"/>
      <c r="R38" s="267"/>
      <c r="S38" s="154"/>
      <c r="T38" s="154"/>
      <c r="U38" s="154"/>
      <c r="V38" s="154"/>
      <c r="W38" s="154"/>
      <c r="X38" s="154"/>
    </row>
    <row r="39">
      <c r="A39" s="154"/>
      <c r="B39" s="284" t="s">
        <v>200</v>
      </c>
      <c r="C39" s="80" t="str">
        <f>IFERROR(__xludf.DUMMYFUNCTION("IF(ISBLANK(C38),"""",HLOOKUP(REGEXEXTRACT(C38,"".*-(.*)""),INDIRECT(CONCATENATE(REGEXEXTRACT(C38,""(.*)-.*""),""!C3:V"")),2,FALSE))"),"Summoner")</f>
        <v>Summoner</v>
      </c>
      <c r="D39" s="80" t="str">
        <f>IFERROR(__xludf.DUMMYFUNCTION("IF(ISBLANK(D38),"""",HLOOKUP(REGEXEXTRACT(D38,"".*-(.*)""),INDIRECT(CONCATENATE(REGEXEXTRACT(D38,""(.*)-.*""),""!C3:V"")),2,FALSE))"),"Glaivier")</f>
        <v>Glaivier</v>
      </c>
      <c r="E39" s="80" t="str">
        <f>IFERROR(__xludf.DUMMYFUNCTION("IF(ISBLANK(E38),"""",HLOOKUP(REGEXEXTRACT(E38,"".*-(.*)""),INDIRECT(CONCATENATE(REGEXEXTRACT(E38,""(.*)-.*""),""!C3:V"")),2,FALSE))"),"Wildsoul")</f>
        <v>Wildsoul</v>
      </c>
      <c r="F39" s="83" t="str">
        <f>IFERROR(__xludf.DUMMYFUNCTION("IF(ISBLANK(F38),"""",HLOOKUP(REGEXEXTRACT(F38,"".*-(.*)""),INDIRECT(CONCATENATE(REGEXEXTRACT(F38,""(.*)-.*""),""!C3:V"")),2,FALSE))"),"Artist")</f>
        <v>Artist</v>
      </c>
      <c r="G39" s="154"/>
      <c r="H39" s="154"/>
      <c r="I39" s="154"/>
      <c r="J39" s="154"/>
      <c r="K39" s="154"/>
      <c r="L39" s="154"/>
      <c r="M39" s="154"/>
      <c r="N39" s="154"/>
      <c r="O39" s="267"/>
      <c r="P39" s="267"/>
      <c r="Q39" s="267"/>
      <c r="R39" s="267"/>
      <c r="S39" s="154"/>
      <c r="T39" s="154"/>
      <c r="U39" s="154"/>
      <c r="V39" s="154"/>
      <c r="W39" s="154"/>
      <c r="X39" s="154"/>
    </row>
    <row r="40">
      <c r="A40" s="154"/>
      <c r="B40" s="285"/>
      <c r="C40" s="90">
        <f>IFERROR(__xludf.DUMMYFUNCTION("IF(ISBLANK(C38),"""",HLOOKUP(REGEXEXTRACT(C38,"".*-(.*)""),INDIRECT(CONCATENATE(REGEXEXTRACT(C38,""(.*)-.*""),""!C3:V"")),3,FALSE))"),1750.0)</f>
        <v>1750</v>
      </c>
      <c r="D40" s="90">
        <f>IFERROR(__xludf.DUMMYFUNCTION("IF(ISBLANK(D38),"""",HLOOKUP(REGEXEXTRACT(D38,"".*-(.*)""),INDIRECT(CONCATENATE(REGEXEXTRACT(D38,""(.*)-.*""),""!C3:V"")),3,FALSE))"),1750.0)</f>
        <v>1750</v>
      </c>
      <c r="E40" s="90">
        <f>IFERROR(__xludf.DUMMYFUNCTION("IF(ISBLANK(E38),"""",HLOOKUP(REGEXEXTRACT(E38,"".*-(.*)""),INDIRECT(CONCATENATE(REGEXEXTRACT(E38,""(.*)-.*""),""!C3:V"")),3,FALSE))"),1750.0)</f>
        <v>1750</v>
      </c>
      <c r="F40" s="93">
        <f>IFERROR(__xludf.DUMMYFUNCTION("IF(ISBLANK(F38),"""",HLOOKUP(REGEXEXTRACT(F38,"".*-(.*)""),INDIRECT(CONCATENATE(REGEXEXTRACT(F38,""(.*)-.*""),""!C3:V"")),3,FALSE))"),1730.0)</f>
        <v>1730</v>
      </c>
      <c r="G40" s="154"/>
      <c r="H40" s="154"/>
      <c r="I40" s="154"/>
      <c r="J40" s="154"/>
      <c r="K40" s="154"/>
      <c r="L40" s="154"/>
      <c r="M40" s="154"/>
      <c r="N40" s="154"/>
      <c r="O40" s="267"/>
      <c r="P40" s="267"/>
      <c r="Q40" s="267"/>
      <c r="R40" s="267"/>
      <c r="S40" s="154"/>
      <c r="T40" s="154"/>
      <c r="U40" s="154"/>
      <c r="V40" s="154"/>
      <c r="W40" s="154"/>
      <c r="X40" s="154"/>
    </row>
    <row r="41">
      <c r="A41" s="154"/>
      <c r="B41" s="224"/>
      <c r="G41" s="154"/>
      <c r="H41" s="154"/>
      <c r="I41" s="154"/>
      <c r="J41" s="154"/>
      <c r="K41" s="154"/>
      <c r="L41" s="154"/>
      <c r="M41" s="154"/>
      <c r="N41" s="154"/>
      <c r="O41" s="267"/>
      <c r="P41" s="267"/>
      <c r="Q41" s="267"/>
      <c r="R41" s="267"/>
      <c r="S41" s="154"/>
      <c r="T41" s="154"/>
      <c r="U41" s="154"/>
      <c r="V41" s="154"/>
      <c r="W41" s="154"/>
      <c r="X41" s="154"/>
    </row>
    <row r="42">
      <c r="A42" s="154"/>
      <c r="B42" s="286" t="s">
        <v>201</v>
      </c>
      <c r="C42" s="73" t="s">
        <v>43</v>
      </c>
      <c r="D42" s="73" t="s">
        <v>24</v>
      </c>
      <c r="E42" s="73" t="s">
        <v>146</v>
      </c>
      <c r="F42" s="74" t="s">
        <v>208</v>
      </c>
      <c r="G42" s="154"/>
      <c r="H42" s="154"/>
      <c r="I42" s="154"/>
      <c r="J42" s="154"/>
      <c r="K42" s="154"/>
      <c r="L42" s="154"/>
      <c r="M42" s="154"/>
      <c r="N42" s="154"/>
      <c r="O42" s="267"/>
      <c r="P42" s="267"/>
      <c r="Q42" s="267"/>
      <c r="R42" s="267"/>
      <c r="S42" s="154"/>
      <c r="T42" s="154"/>
      <c r="U42" s="154"/>
      <c r="V42" s="154"/>
      <c r="W42" s="154"/>
      <c r="X42" s="154"/>
    </row>
    <row r="43">
      <c r="A43" s="154"/>
      <c r="B43" s="287" t="s">
        <v>200</v>
      </c>
      <c r="C43" s="80" t="str">
        <f>IFERROR(__xludf.DUMMYFUNCTION("IF(ISBLANK(C42),"""",HLOOKUP(REGEXEXTRACT(C42,"".*-(.*)""),INDIRECT(CONCATENATE(REGEXEXTRACT(C42,""(.*)-.*""),""!C3:V"")),2,FALSE))"),"Soulfist")</f>
        <v>Soulfist</v>
      </c>
      <c r="D43" s="80" t="str">
        <f>IFERROR(__xludf.DUMMYFUNCTION("IF(ISBLANK(D42),"""",HLOOKUP(REGEXEXTRACT(D42,"".*-(.*)""),INDIRECT(CONCATENATE(REGEXEXTRACT(D42,""(.*)-.*""),""!C3:V"")),2,FALSE))"),"Slayer")</f>
        <v>Slayer</v>
      </c>
      <c r="E43" s="80" t="str">
        <f>IFERROR(__xludf.DUMMYFUNCTION("IF(ISBLANK(E42),"""",HLOOKUP(REGEXEXTRACT(E42,"".*-(.*)""),INDIRECT(CONCATENATE(REGEXEXTRACT(E42,""(.*)-.*""),""!C3:V"")),2,FALSE))"),"Guardianknight")</f>
        <v>Guardianknight</v>
      </c>
      <c r="F43" s="83" t="str">
        <f>IFERROR(__xludf.DUMMYFUNCTION("IF(ISBLANK(F42),"""",HLOOKUP(REGEXEXTRACT(F42,"".*-(.*)""),INDIRECT(CONCATENATE(REGEXEXTRACT(F42,""(.*)-.*""),""!C3:V"")),2,FALSE))"),"Valk")</f>
        <v>Valk</v>
      </c>
      <c r="G43" s="154"/>
      <c r="H43" s="154"/>
      <c r="I43" s="154"/>
      <c r="J43" s="154"/>
      <c r="K43" s="154"/>
      <c r="L43" s="154"/>
      <c r="M43" s="154"/>
      <c r="N43" s="154"/>
      <c r="O43" s="267"/>
      <c r="P43" s="267"/>
      <c r="Q43" s="267"/>
      <c r="R43" s="267"/>
      <c r="S43" s="154"/>
      <c r="T43" s="154"/>
      <c r="U43" s="154"/>
      <c r="V43" s="154"/>
      <c r="W43" s="154"/>
      <c r="X43" s="154"/>
    </row>
    <row r="44">
      <c r="A44" s="154"/>
      <c r="B44" s="288"/>
      <c r="C44" s="232">
        <f>IFERROR(__xludf.DUMMYFUNCTION("IF(ISBLANK(C42),"""",HLOOKUP(REGEXEXTRACT(C42,"".*-(.*)""),INDIRECT(CONCATENATE(REGEXEXTRACT(C42,""(.*)-.*""),""!C3:V"")),3,FALSE))"),1750.0)</f>
        <v>1750</v>
      </c>
      <c r="D44" s="232">
        <f>IFERROR(__xludf.DUMMYFUNCTION("IF(ISBLANK(D42),"""",HLOOKUP(REGEXEXTRACT(D42,"".*-(.*)""),INDIRECT(CONCATENATE(REGEXEXTRACT(D42,""(.*)-.*""),""!C3:V"")),3,FALSE))"),1750.0)</f>
        <v>1750</v>
      </c>
      <c r="E44" s="232">
        <f>IFERROR(__xludf.DUMMYFUNCTION("IF(ISBLANK(E42),"""",HLOOKUP(REGEXEXTRACT(E42,"".*-(.*)""),INDIRECT(CONCATENATE(REGEXEXTRACT(E42,""(.*)-.*""),""!C3:V"")),3,FALSE))"),1750.0)</f>
        <v>1750</v>
      </c>
      <c r="F44" s="233">
        <f>IFERROR(__xludf.DUMMYFUNCTION("IF(ISBLANK(F42),"""",HLOOKUP(REGEXEXTRACT(F42,"".*-(.*)""),INDIRECT(CONCATENATE(REGEXEXTRACT(F42,""(.*)-.*""),""!C3:V"")),3,FALSE))"),1730.0)</f>
        <v>1730</v>
      </c>
      <c r="G44" s="154"/>
      <c r="H44" s="154"/>
      <c r="I44" s="154"/>
      <c r="J44" s="154"/>
      <c r="K44" s="154"/>
      <c r="L44" s="154"/>
      <c r="M44" s="154"/>
      <c r="N44" s="154"/>
      <c r="O44" s="267"/>
      <c r="P44" s="267"/>
      <c r="Q44" s="267"/>
      <c r="R44" s="267"/>
      <c r="S44" s="154"/>
      <c r="T44" s="154"/>
      <c r="U44" s="154"/>
      <c r="V44" s="154"/>
      <c r="W44" s="154"/>
      <c r="X44" s="154"/>
    </row>
    <row r="45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</row>
    <row r="46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</row>
    <row r="47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</row>
    <row r="48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</row>
    <row r="49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</row>
    <row r="50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</row>
    <row r="5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</row>
    <row r="52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</row>
    <row r="53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</row>
  </sheetData>
  <dataValidations>
    <dataValidation type="list" allowBlank="1" showErrorMessage="1" sqref="C2:F2 H2:K2 N2:Q2 T2:W2 C6:F6 H6:K6 N6:Q6 T6:W6 C10:F10 H10:K10 N10:Q10 T10:W10 C14:F14 H14:K14 T14:W14 C18:F18 H18:K18 T18:W18 C22:F22 H22:K22 T22:W22 C26:F26 H26:K26 T26:W26 C30:F30 C34:F34 H34:K34 C38:F38 C42:F42">
      <formula1>chars!$B$2:$Z932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7" t="s">
        <v>226</v>
      </c>
      <c r="D2" s="7" t="s">
        <v>227</v>
      </c>
      <c r="E2" s="7" t="s">
        <v>228</v>
      </c>
    </row>
    <row r="3">
      <c r="B3" s="7" t="s">
        <v>210</v>
      </c>
      <c r="C3" s="128" t="s">
        <v>98</v>
      </c>
      <c r="D3" s="7"/>
      <c r="E3" s="7"/>
    </row>
    <row r="4">
      <c r="B4" s="7" t="s">
        <v>210</v>
      </c>
      <c r="C4" s="128" t="s">
        <v>107</v>
      </c>
      <c r="D4" s="7"/>
      <c r="E4" s="7"/>
    </row>
    <row r="5">
      <c r="B5" s="7" t="s">
        <v>210</v>
      </c>
      <c r="C5" s="128" t="s">
        <v>103</v>
      </c>
      <c r="D5" s="7"/>
      <c r="E5" s="7"/>
    </row>
    <row r="6">
      <c r="B6" s="7" t="s">
        <v>210</v>
      </c>
      <c r="C6" s="128" t="s">
        <v>229</v>
      </c>
      <c r="D6" s="7"/>
      <c r="E6" s="7"/>
    </row>
    <row r="7">
      <c r="B7" s="7" t="s">
        <v>210</v>
      </c>
      <c r="C7" s="128" t="s">
        <v>101</v>
      </c>
      <c r="D7" s="7"/>
      <c r="E7" s="7"/>
    </row>
    <row r="8">
      <c r="B8" s="7" t="s">
        <v>210</v>
      </c>
      <c r="C8" s="128" t="s">
        <v>230</v>
      </c>
      <c r="D8" s="7"/>
      <c r="E8" s="7"/>
    </row>
    <row r="9">
      <c r="B9" s="7" t="s">
        <v>231</v>
      </c>
      <c r="C9" s="128" t="s">
        <v>99</v>
      </c>
      <c r="D9" s="7"/>
      <c r="E9" s="7"/>
    </row>
    <row r="10">
      <c r="B10" s="7" t="s">
        <v>231</v>
      </c>
      <c r="C10" s="128" t="s">
        <v>230</v>
      </c>
      <c r="D10" s="7"/>
      <c r="E10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3.0"/>
    <col customWidth="1" min="3" max="3" width="13.38"/>
    <col customWidth="1" min="4" max="4" width="14.25"/>
  </cols>
  <sheetData>
    <row r="1" ht="22.5" customHeight="1">
      <c r="A1" s="289" t="s">
        <v>232</v>
      </c>
      <c r="B1" s="289" t="s">
        <v>233</v>
      </c>
      <c r="C1" s="289" t="s">
        <v>234</v>
      </c>
      <c r="D1" s="289" t="s">
        <v>235</v>
      </c>
    </row>
    <row r="2" ht="22.5" customHeight="1">
      <c r="A2" s="290" t="s">
        <v>98</v>
      </c>
      <c r="B2" s="291">
        <v>0.0</v>
      </c>
      <c r="C2" s="291">
        <v>24.0</v>
      </c>
      <c r="D2" s="292">
        <f t="shared" ref="D2:D13" si="1">B2/C2</f>
        <v>0</v>
      </c>
    </row>
    <row r="3" ht="22.5" customHeight="1">
      <c r="A3" s="290" t="s">
        <v>99</v>
      </c>
      <c r="B3" s="291">
        <v>0.0</v>
      </c>
      <c r="C3" s="291">
        <v>23.0</v>
      </c>
      <c r="D3" s="292">
        <f t="shared" si="1"/>
        <v>0</v>
      </c>
    </row>
    <row r="4" ht="22.5" customHeight="1">
      <c r="A4" s="290" t="s">
        <v>103</v>
      </c>
      <c r="B4" s="291">
        <v>0.0</v>
      </c>
      <c r="C4" s="291">
        <v>17.0</v>
      </c>
      <c r="D4" s="292">
        <f t="shared" si="1"/>
        <v>0</v>
      </c>
    </row>
    <row r="5" ht="22.5" customHeight="1">
      <c r="A5" s="290" t="s">
        <v>101</v>
      </c>
      <c r="B5" s="291">
        <v>3.0</v>
      </c>
      <c r="C5" s="291">
        <v>17.0</v>
      </c>
      <c r="D5" s="292">
        <f t="shared" si="1"/>
        <v>0.1764705882</v>
      </c>
    </row>
    <row r="6" ht="22.5" customHeight="1">
      <c r="A6" s="290" t="s">
        <v>102</v>
      </c>
      <c r="B6" s="291">
        <v>1.0</v>
      </c>
      <c r="C6" s="291">
        <v>20.0</v>
      </c>
      <c r="D6" s="292">
        <f t="shared" si="1"/>
        <v>0.05</v>
      </c>
    </row>
    <row r="7" ht="22.5" customHeight="1">
      <c r="A7" s="290" t="s">
        <v>100</v>
      </c>
      <c r="B7" s="291">
        <v>0.0</v>
      </c>
      <c r="C7" s="291">
        <v>12.0</v>
      </c>
      <c r="D7" s="292">
        <f t="shared" si="1"/>
        <v>0</v>
      </c>
    </row>
    <row r="8" ht="22.5" customHeight="1">
      <c r="A8" s="290" t="s">
        <v>105</v>
      </c>
      <c r="B8" s="291">
        <v>3.0</v>
      </c>
      <c r="C8" s="291">
        <v>12.0</v>
      </c>
      <c r="D8" s="292">
        <f t="shared" si="1"/>
        <v>0.25</v>
      </c>
    </row>
    <row r="9" ht="22.5" customHeight="1">
      <c r="A9" s="290" t="s">
        <v>190</v>
      </c>
      <c r="B9" s="291">
        <v>0.0</v>
      </c>
      <c r="C9" s="291">
        <v>11.0</v>
      </c>
      <c r="D9" s="292">
        <f t="shared" si="1"/>
        <v>0</v>
      </c>
    </row>
    <row r="10" ht="22.5" customHeight="1">
      <c r="A10" s="290" t="s">
        <v>106</v>
      </c>
      <c r="B10" s="291">
        <v>0.0</v>
      </c>
      <c r="C10" s="291">
        <v>5.0</v>
      </c>
      <c r="D10" s="292">
        <f t="shared" si="1"/>
        <v>0</v>
      </c>
    </row>
    <row r="11" ht="22.5" customHeight="1">
      <c r="A11" s="290" t="s">
        <v>107</v>
      </c>
      <c r="B11" s="291">
        <v>0.0</v>
      </c>
      <c r="C11" s="291">
        <v>7.0</v>
      </c>
      <c r="D11" s="292">
        <f t="shared" si="1"/>
        <v>0</v>
      </c>
    </row>
    <row r="12" ht="22.5" customHeight="1">
      <c r="A12" s="290" t="s">
        <v>132</v>
      </c>
      <c r="B12" s="291">
        <v>1.0</v>
      </c>
      <c r="C12" s="291">
        <v>4.0</v>
      </c>
      <c r="D12" s="292">
        <f t="shared" si="1"/>
        <v>0.25</v>
      </c>
    </row>
    <row r="13" ht="22.5" customHeight="1">
      <c r="A13" s="293" t="s">
        <v>104</v>
      </c>
      <c r="B13" s="294">
        <v>2.0</v>
      </c>
      <c r="C13" s="294">
        <v>8.0</v>
      </c>
      <c r="D13" s="295">
        <f t="shared" si="1"/>
        <v>0.25</v>
      </c>
    </row>
  </sheetData>
  <dataValidations>
    <dataValidation type="custom" allowBlank="1" showDropDown="1" sqref="B2:D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  <col customWidth="1" min="7" max="7" width="14.0"/>
    <col customWidth="1" min="12" max="12" width="15.25"/>
  </cols>
  <sheetData>
    <row r="9">
      <c r="D9" s="7" t="s">
        <v>236</v>
      </c>
      <c r="I9" s="7" t="s">
        <v>237</v>
      </c>
      <c r="N9" s="7" t="s">
        <v>238</v>
      </c>
    </row>
    <row r="10">
      <c r="D10" s="296" t="s">
        <v>239</v>
      </c>
      <c r="E10" s="297"/>
      <c r="F10" s="298" t="s">
        <v>240</v>
      </c>
      <c r="G10" s="299"/>
      <c r="I10" s="296" t="s">
        <v>239</v>
      </c>
      <c r="J10" s="297"/>
      <c r="K10" s="298" t="s">
        <v>240</v>
      </c>
      <c r="L10" s="299"/>
      <c r="N10" s="296" t="s">
        <v>239</v>
      </c>
      <c r="O10" s="297"/>
      <c r="P10" s="298" t="s">
        <v>240</v>
      </c>
      <c r="Q10" s="299"/>
    </row>
    <row r="11">
      <c r="D11" s="300">
        <v>1.0</v>
      </c>
      <c r="E11" s="301" t="s">
        <v>241</v>
      </c>
      <c r="F11" s="302">
        <v>1.0</v>
      </c>
      <c r="G11" s="301" t="s">
        <v>242</v>
      </c>
      <c r="I11" s="300">
        <v>1.0</v>
      </c>
      <c r="J11" s="301" t="s">
        <v>243</v>
      </c>
      <c r="K11" s="302">
        <v>1.0</v>
      </c>
      <c r="L11" s="301" t="s">
        <v>244</v>
      </c>
      <c r="N11" s="300">
        <v>1.0</v>
      </c>
      <c r="O11" s="301" t="s">
        <v>245</v>
      </c>
      <c r="P11" s="302">
        <v>1.0</v>
      </c>
      <c r="Q11" s="301" t="s">
        <v>246</v>
      </c>
    </row>
    <row r="12">
      <c r="D12" s="300">
        <v>2.0</v>
      </c>
      <c r="E12" s="301" t="s">
        <v>247</v>
      </c>
      <c r="F12" s="302">
        <v>2.0</v>
      </c>
      <c r="G12" s="301" t="s">
        <v>248</v>
      </c>
      <c r="I12" s="300">
        <v>2.0</v>
      </c>
      <c r="J12" s="301" t="s">
        <v>249</v>
      </c>
      <c r="K12" s="302">
        <v>2.0</v>
      </c>
      <c r="L12" s="301" t="s">
        <v>250</v>
      </c>
      <c r="N12" s="300">
        <v>2.0</v>
      </c>
      <c r="O12" s="301" t="s">
        <v>251</v>
      </c>
      <c r="P12" s="302">
        <v>2.0</v>
      </c>
      <c r="Q12" s="301" t="s">
        <v>252</v>
      </c>
    </row>
    <row r="13">
      <c r="D13" s="300">
        <v>3.0</v>
      </c>
      <c r="E13" s="301" t="s">
        <v>253</v>
      </c>
      <c r="F13" s="302">
        <v>3.0</v>
      </c>
      <c r="G13" s="301" t="s">
        <v>254</v>
      </c>
      <c r="I13" s="300">
        <v>3.0</v>
      </c>
      <c r="J13" s="301" t="s">
        <v>255</v>
      </c>
      <c r="K13" s="302">
        <v>3.0</v>
      </c>
      <c r="L13" s="301" t="s">
        <v>256</v>
      </c>
      <c r="N13" s="300">
        <v>3.0</v>
      </c>
      <c r="O13" s="301" t="s">
        <v>257</v>
      </c>
      <c r="P13" s="302">
        <v>3.0</v>
      </c>
      <c r="Q13" s="301" t="s">
        <v>258</v>
      </c>
    </row>
    <row r="14">
      <c r="D14" s="300">
        <v>4.0</v>
      </c>
      <c r="E14" s="301" t="s">
        <v>259</v>
      </c>
      <c r="F14" s="302">
        <v>4.0</v>
      </c>
      <c r="G14" s="301" t="s">
        <v>260</v>
      </c>
      <c r="I14" s="300">
        <v>4.0</v>
      </c>
      <c r="J14" s="301" t="s">
        <v>261</v>
      </c>
      <c r="K14" s="302">
        <v>4.0</v>
      </c>
      <c r="L14" s="301" t="s">
        <v>262</v>
      </c>
      <c r="N14" s="300">
        <v>4.0</v>
      </c>
      <c r="O14" s="301" t="s">
        <v>263</v>
      </c>
      <c r="P14" s="302">
        <v>4.0</v>
      </c>
      <c r="Q14" s="301" t="s">
        <v>264</v>
      </c>
    </row>
    <row r="15">
      <c r="D15" s="303" t="s">
        <v>265</v>
      </c>
      <c r="E15" s="304"/>
      <c r="F15" s="305" t="s">
        <v>266</v>
      </c>
      <c r="G15" s="306"/>
      <c r="I15" s="303" t="s">
        <v>265</v>
      </c>
      <c r="J15" s="304"/>
      <c r="K15" s="305" t="s">
        <v>266</v>
      </c>
      <c r="L15" s="306"/>
      <c r="N15" s="303" t="s">
        <v>265</v>
      </c>
      <c r="O15" s="304"/>
      <c r="P15" s="305" t="s">
        <v>266</v>
      </c>
      <c r="Q15" s="306"/>
    </row>
    <row r="16">
      <c r="D16" s="300">
        <v>1.0</v>
      </c>
      <c r="E16" s="301" t="s">
        <v>267</v>
      </c>
      <c r="F16" s="300">
        <v>1.0</v>
      </c>
      <c r="G16" s="301" t="s">
        <v>268</v>
      </c>
      <c r="I16" s="300">
        <v>1.0</v>
      </c>
      <c r="J16" s="301" t="s">
        <v>269</v>
      </c>
      <c r="K16" s="300">
        <v>1.0</v>
      </c>
      <c r="L16" s="301" t="s">
        <v>270</v>
      </c>
      <c r="N16" s="300">
        <v>1.0</v>
      </c>
      <c r="O16" s="301" t="s">
        <v>269</v>
      </c>
      <c r="P16" s="300">
        <v>1.0</v>
      </c>
      <c r="Q16" s="301" t="s">
        <v>271</v>
      </c>
    </row>
    <row r="17">
      <c r="D17" s="300">
        <v>2.0</v>
      </c>
      <c r="E17" s="307" t="s">
        <v>272</v>
      </c>
      <c r="F17" s="300">
        <v>2.0</v>
      </c>
      <c r="G17" s="301" t="s">
        <v>273</v>
      </c>
      <c r="I17" s="300">
        <v>2.0</v>
      </c>
      <c r="J17" s="307" t="s">
        <v>274</v>
      </c>
      <c r="K17" s="300">
        <v>2.0</v>
      </c>
      <c r="L17" s="301" t="s">
        <v>275</v>
      </c>
      <c r="N17" s="300">
        <v>2.0</v>
      </c>
      <c r="O17" s="307" t="s">
        <v>276</v>
      </c>
      <c r="P17" s="300">
        <v>2.0</v>
      </c>
      <c r="Q17" s="301" t="s">
        <v>277</v>
      </c>
    </row>
    <row r="18">
      <c r="D18" s="300">
        <v>3.0</v>
      </c>
      <c r="E18" s="301" t="s">
        <v>278</v>
      </c>
      <c r="F18" s="300">
        <v>3.0</v>
      </c>
      <c r="G18" s="301" t="s">
        <v>279</v>
      </c>
      <c r="I18" s="300">
        <v>3.0</v>
      </c>
      <c r="J18" s="301" t="s">
        <v>280</v>
      </c>
      <c r="K18" s="300">
        <v>3.0</v>
      </c>
      <c r="L18" s="301"/>
      <c r="N18" s="300">
        <v>3.0</v>
      </c>
      <c r="O18" s="301" t="s">
        <v>281</v>
      </c>
      <c r="P18" s="300">
        <v>3.0</v>
      </c>
      <c r="Q18" s="301" t="s">
        <v>282</v>
      </c>
    </row>
    <row r="19">
      <c r="D19" s="300">
        <v>4.0</v>
      </c>
      <c r="E19" s="301" t="s">
        <v>283</v>
      </c>
      <c r="F19" s="300">
        <v>4.0</v>
      </c>
      <c r="G19" s="301" t="s">
        <v>284</v>
      </c>
      <c r="I19" s="300">
        <v>4.0</v>
      </c>
      <c r="J19" s="301" t="s">
        <v>285</v>
      </c>
      <c r="K19" s="300">
        <v>4.0</v>
      </c>
      <c r="L19" s="301" t="s">
        <v>286</v>
      </c>
      <c r="N19" s="300">
        <v>4.0</v>
      </c>
      <c r="O19" s="301" t="s">
        <v>287</v>
      </c>
      <c r="P19" s="300">
        <v>4.0</v>
      </c>
      <c r="Q19" s="301" t="s">
        <v>288</v>
      </c>
    </row>
    <row r="21">
      <c r="D21" s="134" t="s">
        <v>55</v>
      </c>
      <c r="I21" s="134" t="s">
        <v>55</v>
      </c>
      <c r="N21" s="134" t="s">
        <v>289</v>
      </c>
    </row>
    <row r="22">
      <c r="D22" s="134" t="s">
        <v>56</v>
      </c>
      <c r="I22" s="134" t="s">
        <v>56</v>
      </c>
      <c r="N22" s="134" t="s">
        <v>290</v>
      </c>
    </row>
    <row r="23">
      <c r="D23" s="134" t="s">
        <v>58</v>
      </c>
      <c r="I23" s="134" t="s">
        <v>291</v>
      </c>
      <c r="N23" s="134" t="s">
        <v>57</v>
      </c>
    </row>
    <row r="24">
      <c r="D24" s="134" t="s">
        <v>292</v>
      </c>
      <c r="I24" s="134" t="s">
        <v>292</v>
      </c>
      <c r="N24" s="134" t="s">
        <v>293</v>
      </c>
    </row>
    <row r="25">
      <c r="D25" s="134" t="s">
        <v>294</v>
      </c>
      <c r="I25" s="134" t="s">
        <v>289</v>
      </c>
      <c r="N25" s="134" t="s">
        <v>295</v>
      </c>
    </row>
    <row r="26">
      <c r="D26" s="134" t="s">
        <v>289</v>
      </c>
      <c r="I26" s="134" t="s">
        <v>290</v>
      </c>
      <c r="N26" s="134" t="s">
        <v>296</v>
      </c>
    </row>
    <row r="27">
      <c r="D27" s="134" t="s">
        <v>290</v>
      </c>
      <c r="I27" s="134" t="s">
        <v>59</v>
      </c>
      <c r="N27" s="134" t="s">
        <v>297</v>
      </c>
    </row>
    <row r="28">
      <c r="D28" s="134" t="s">
        <v>59</v>
      </c>
      <c r="I28" s="134" t="s">
        <v>298</v>
      </c>
      <c r="N28" s="134" t="s">
        <v>299</v>
      </c>
    </row>
    <row r="29">
      <c r="D29" s="134" t="s">
        <v>298</v>
      </c>
      <c r="I29" s="134" t="s">
        <v>57</v>
      </c>
      <c r="N29" s="134" t="s">
        <v>300</v>
      </c>
    </row>
    <row r="30">
      <c r="D30" s="134" t="s">
        <v>57</v>
      </c>
      <c r="I30" s="134" t="s">
        <v>293</v>
      </c>
      <c r="N30" s="134" t="s">
        <v>301</v>
      </c>
    </row>
    <row r="31">
      <c r="D31" s="134" t="s">
        <v>293</v>
      </c>
      <c r="I31" s="134" t="s">
        <v>295</v>
      </c>
      <c r="N31" s="134" t="s">
        <v>302</v>
      </c>
    </row>
    <row r="32">
      <c r="D32" s="134" t="s">
        <v>295</v>
      </c>
      <c r="I32" s="134" t="s">
        <v>296</v>
      </c>
      <c r="N32" s="134" t="s">
        <v>56</v>
      </c>
    </row>
    <row r="33">
      <c r="D33" s="134" t="s">
        <v>296</v>
      </c>
      <c r="I33" s="134" t="s">
        <v>300</v>
      </c>
      <c r="N33" s="134" t="s">
        <v>58</v>
      </c>
    </row>
    <row r="34">
      <c r="D34" s="134" t="s">
        <v>297</v>
      </c>
      <c r="I34" s="134" t="s">
        <v>302</v>
      </c>
      <c r="N34" s="134" t="s">
        <v>292</v>
      </c>
    </row>
    <row r="35">
      <c r="D35" s="134" t="s">
        <v>302</v>
      </c>
      <c r="N35" s="134" t="s">
        <v>291</v>
      </c>
    </row>
    <row r="42">
      <c r="I42" s="7" t="s">
        <v>303</v>
      </c>
    </row>
    <row r="43">
      <c r="I43" s="7" t="s">
        <v>304</v>
      </c>
    </row>
    <row r="44">
      <c r="I44" s="7" t="s">
        <v>305</v>
      </c>
    </row>
    <row r="45">
      <c r="I45" s="7" t="s">
        <v>306</v>
      </c>
    </row>
    <row r="46">
      <c r="I46" s="7" t="s">
        <v>307</v>
      </c>
    </row>
    <row r="71">
      <c r="J71" s="296" t="s">
        <v>239</v>
      </c>
      <c r="K71" s="297"/>
      <c r="L71" s="298" t="s">
        <v>240</v>
      </c>
      <c r="M71" s="299"/>
    </row>
    <row r="72">
      <c r="J72" s="300">
        <v>1.0</v>
      </c>
      <c r="K72" s="301" t="s">
        <v>308</v>
      </c>
      <c r="L72" s="302">
        <v>1.0</v>
      </c>
      <c r="M72" s="301"/>
    </row>
    <row r="73">
      <c r="J73" s="300">
        <v>2.0</v>
      </c>
      <c r="K73" s="301" t="s">
        <v>309</v>
      </c>
      <c r="L73" s="302">
        <v>2.0</v>
      </c>
      <c r="M73" s="301"/>
    </row>
    <row r="74">
      <c r="J74" s="300">
        <v>3.0</v>
      </c>
      <c r="K74" s="301" t="s">
        <v>310</v>
      </c>
      <c r="L74" s="302">
        <v>3.0</v>
      </c>
      <c r="M74" s="301"/>
    </row>
    <row r="75">
      <c r="J75" s="300">
        <v>4.0</v>
      </c>
      <c r="K75" s="301" t="s">
        <v>311</v>
      </c>
      <c r="L75" s="302">
        <v>4.0</v>
      </c>
      <c r="M75" s="301" t="s">
        <v>285</v>
      </c>
    </row>
    <row r="76">
      <c r="J76" s="303" t="s">
        <v>265</v>
      </c>
      <c r="K76" s="304"/>
      <c r="L76" s="305" t="s">
        <v>266</v>
      </c>
      <c r="M76" s="306"/>
    </row>
    <row r="77">
      <c r="J77" s="300">
        <v>1.0</v>
      </c>
      <c r="K77" s="301" t="s">
        <v>312</v>
      </c>
      <c r="L77" s="300">
        <v>1.0</v>
      </c>
      <c r="M77" s="301"/>
    </row>
    <row r="78">
      <c r="J78" s="300">
        <v>2.0</v>
      </c>
      <c r="K78" s="307" t="s">
        <v>313</v>
      </c>
      <c r="L78" s="300">
        <v>2.0</v>
      </c>
      <c r="M78" s="301"/>
    </row>
    <row r="79">
      <c r="J79" s="300">
        <v>3.0</v>
      </c>
      <c r="K79" s="301"/>
      <c r="L79" s="300">
        <v>3.0</v>
      </c>
      <c r="M79" s="301"/>
    </row>
    <row r="80">
      <c r="J80" s="300">
        <v>4.0</v>
      </c>
      <c r="K80" s="301" t="s">
        <v>314</v>
      </c>
      <c r="L80" s="300">
        <v>4.0</v>
      </c>
      <c r="M80" s="301" t="s">
        <v>315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</cols>
  <sheetData>
    <row r="1">
      <c r="A1" s="7" t="s">
        <v>316</v>
      </c>
    </row>
    <row r="2">
      <c r="B2" s="7" t="s">
        <v>317</v>
      </c>
      <c r="C2" s="7" t="s">
        <v>318</v>
      </c>
      <c r="D2" s="7" t="s">
        <v>319</v>
      </c>
      <c r="F2" s="308" t="s">
        <v>320</v>
      </c>
    </row>
    <row r="3">
      <c r="A3" s="7" t="s">
        <v>321</v>
      </c>
      <c r="B3" s="7" t="s">
        <v>322</v>
      </c>
      <c r="C3" s="7" t="s">
        <v>98</v>
      </c>
      <c r="D3" s="7" t="s">
        <v>99</v>
      </c>
      <c r="E3" s="7" t="s">
        <v>102</v>
      </c>
      <c r="F3" s="7" t="s">
        <v>323</v>
      </c>
      <c r="G3" s="7" t="s">
        <v>324</v>
      </c>
      <c r="H3" s="7" t="s">
        <v>107</v>
      </c>
    </row>
    <row r="4">
      <c r="A4" s="7">
        <v>6.0</v>
      </c>
      <c r="B4" s="7">
        <v>3.0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1.0</v>
      </c>
      <c r="L4" s="7" t="s">
        <v>325</v>
      </c>
    </row>
    <row r="5">
      <c r="A5" s="7">
        <v>4.0</v>
      </c>
      <c r="B5" s="7">
        <v>3.0</v>
      </c>
      <c r="C5" s="7">
        <v>6.0</v>
      </c>
      <c r="D5" s="7">
        <v>6.0</v>
      </c>
      <c r="E5" s="7">
        <v>3.0</v>
      </c>
      <c r="F5" s="7">
        <v>2.0</v>
      </c>
      <c r="G5" s="7">
        <v>6.0</v>
      </c>
      <c r="H5" s="7">
        <v>1.0</v>
      </c>
      <c r="L5" s="7" t="s">
        <v>326</v>
      </c>
    </row>
    <row r="6">
      <c r="A6" s="7">
        <v>2.0</v>
      </c>
      <c r="B6" s="7">
        <v>0.0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L6" s="7" t="s">
        <v>327</v>
      </c>
    </row>
    <row r="12">
      <c r="A12" s="2"/>
      <c r="B12" s="71" t="s">
        <v>328</v>
      </c>
      <c r="C12" s="309" t="s">
        <v>2</v>
      </c>
      <c r="D12" s="310"/>
      <c r="E12" s="310"/>
      <c r="F12" s="310"/>
      <c r="G12" s="310" t="s">
        <v>10</v>
      </c>
      <c r="H12" s="310"/>
      <c r="I12" s="310"/>
      <c r="J12" s="311"/>
    </row>
    <row r="13">
      <c r="B13" s="79" t="s">
        <v>329</v>
      </c>
      <c r="C13" s="9" t="str">
        <f>IFERROR(__xludf.DUMMYFUNCTION("IF(ISBLANK(C12),"""",HLOOKUP(REGEXEXTRACT(C12,"".*-(.*)""),INDIRECT(CONCATENATE(REGEXEXTRACT(C12,""(.*)-.*""),""!C3:P"")),2,FALSE))"),"Slayer")</f>
        <v>Slayer</v>
      </c>
      <c r="D13" s="9" t="str">
        <f>IFERROR(__xludf.DUMMYFUNCTION("IF(ISBLANK(D12),"""",HLOOKUP(REGEXEXTRACT(D12,"".*-(.*)""),INDIRECT(CONCATENATE(REGEXEXTRACT(D12,""(.*)-.*""),""!C3:P"")),2,FALSE))"),"")</f>
        <v/>
      </c>
      <c r="E13" s="59" t="str">
        <f>IFERROR(__xludf.DUMMYFUNCTION("IF(ISBLANK(E12),"""",HLOOKUP(REGEXEXTRACT(E12,"".*-(.*)""),INDIRECT(CONCATENATE(REGEXEXTRACT(E12,""(.*)-.*""),""!C3:I"")),2,FALSE))"),"")</f>
        <v/>
      </c>
      <c r="F13" s="59" t="str">
        <f>IFERROR(__xludf.DUMMYFUNCTION("IF(ISBLANK(F12),"""",HLOOKUP(REGEXEXTRACT(F12,"".*-(.*)""),INDIRECT(CONCATENATE(REGEXEXTRACT(F12,""(.*)-.*""),""!C3:I"")),2,FALSE))"),"")</f>
        <v/>
      </c>
      <c r="G13" s="9" t="str">
        <f>IFERROR(__xludf.DUMMYFUNCTION("IF(ISBLANK(G12),"""",HLOOKUP(REGEXEXTRACT(G12,"".*-(.*)""),INDIRECT(CONCATENATE(REGEXEXTRACT(G12,""(.*)-.*""),""!C3:P"")),2,FALSE))"),"#REF!")</f>
        <v>#REF!</v>
      </c>
      <c r="H13" s="59" t="str">
        <f>IFERROR(__xludf.DUMMYFUNCTION("IF(ISBLANK(H12),"""",HLOOKUP(REGEXEXTRACT(H12,"".*-(.*)""),INDIRECT(CONCATENATE(REGEXEXTRACT(H12,""(.*)-.*""),""!C3:I"")),2,FALSE))"),"")</f>
        <v/>
      </c>
      <c r="I13" s="59" t="str">
        <f>IFERROR(__xludf.DUMMYFUNCTION("IF(ISBLANK(I12),"""",HLOOKUP(REGEXEXTRACT(I12,"".*-(.*)""),INDIRECT(CONCATENATE(REGEXEXTRACT(I12,""(.*)-.*""),""!C3:I"")),2,FALSE))"),"")</f>
        <v/>
      </c>
      <c r="J13" s="312" t="str">
        <f>IFERROR(__xludf.DUMMYFUNCTION("IF(ISBLANK(J12),"""",HLOOKUP(REGEXEXTRACT(J12,"".*-(.*)""),INDIRECT(CONCATENATE(REGEXEXTRACT(J12,""(.*)-.*""),""!C3:I"")),2,FALSE))"),"")</f>
        <v/>
      </c>
    </row>
    <row r="14">
      <c r="B14" s="89" t="s">
        <v>330</v>
      </c>
      <c r="C14" s="12">
        <f>IFERROR(__xludf.DUMMYFUNCTION("IF(ISBLANK(C12),"""",HLOOKUP(REGEXEXTRACT(C12,"".*-(.*)""),INDIRECT(CONCATENATE(REGEXEXTRACT(C12,""(.*)-.*""),""!C3:P"")),3,FALSE))"),1560.0)</f>
        <v>1560</v>
      </c>
      <c r="D14" s="12" t="str">
        <f>IFERROR(__xludf.DUMMYFUNCTION("IF(ISBLANK(D12),"""",HLOOKUP(REGEXEXTRACT(D12,"".*-(.*)""),INDIRECT(CONCATENATE(REGEXEXTRACT(D12,""(.*)-.*""),""!C3:P"")),3,FALSE))"),"")</f>
        <v/>
      </c>
      <c r="E14" s="313" t="str">
        <f>IFERROR(__xludf.DUMMYFUNCTION("IF(ISBLANK(E12),"""",HLOOKUP(REGEXEXTRACT(E12,"".*-(.*)""),INDIRECT(CONCATENATE(REGEXEXTRACT(E12,""(.*)-.*""),""!C3:I"")),3,FALSE))"),"")</f>
        <v/>
      </c>
      <c r="F14" s="313" t="str">
        <f>IFERROR(__xludf.DUMMYFUNCTION("IF(ISBLANK(F12),"""",HLOOKUP(REGEXEXTRACT(F12,"".*-(.*)""),INDIRECT(CONCATENATE(REGEXEXTRACT(F12,""(.*)-.*""),""!C3:I"")),3,FALSE))"),"")</f>
        <v/>
      </c>
      <c r="G14" s="12" t="str">
        <f>IFERROR(__xludf.DUMMYFUNCTION("IF(ISBLANK(G12),"""",HLOOKUP(REGEXEXTRACT(G12,"".*-(.*)""),INDIRECT(CONCATENATE(REGEXEXTRACT(G12,""(.*)-.*""),""!C3:P"")),3,FALSE))"),"#REF!")</f>
        <v>#REF!</v>
      </c>
      <c r="H14" s="313" t="str">
        <f>IFERROR(__xludf.DUMMYFUNCTION("IF(ISBLANK(H12),"""",HLOOKUP(REGEXEXTRACT(H12,"".*-(.*)""),INDIRECT(CONCATENATE(REGEXEXTRACT(H12,""(.*)-.*""),""!C3:I"")),3,FALSE))"),"")</f>
        <v/>
      </c>
      <c r="I14" s="313" t="str">
        <f>IFERROR(__xludf.DUMMYFUNCTION("IF(ISBLANK(I12),"""",HLOOKUP(REGEXEXTRACT(I12,"".*-(.*)""),INDIRECT(CONCATENATE(REGEXEXTRACT(I12,""(.*)-.*""),""!C3:I"")),3,FALSE))"),"")</f>
        <v/>
      </c>
      <c r="J14" s="314" t="str">
        <f>IFERROR(__xludf.DUMMYFUNCTION("IF(ISBLANK(J12),"""",HLOOKUP(REGEXEXTRACT(J12,"".*-(.*)""),INDIRECT(CONCATENATE(REGEXEXTRACT(J12,""(.*)-.*""),""!C3:I"")),3,FALSE))"),"")</f>
        <v/>
      </c>
    </row>
    <row r="16">
      <c r="A16" s="2"/>
      <c r="B16" s="71" t="s">
        <v>328</v>
      </c>
      <c r="C16" s="309"/>
      <c r="D16" s="310" t="s">
        <v>53</v>
      </c>
      <c r="E16" s="310"/>
      <c r="F16" s="310"/>
      <c r="G16" s="310"/>
      <c r="H16" s="310"/>
      <c r="I16" s="310"/>
      <c r="J16" s="311"/>
    </row>
    <row r="17">
      <c r="B17" s="79" t="s">
        <v>329</v>
      </c>
      <c r="C17" s="9" t="str">
        <f>IFERROR(__xludf.DUMMYFUNCTION("IF(ISBLANK(C16),"""",HLOOKUP(REGEXEXTRACT(C16,"".*-(.*)""),INDIRECT(CONCATENATE(REGEXEXTRACT(C16,""(.*)-.*""),""!C3:P"")),2,FALSE))"),"")</f>
        <v/>
      </c>
      <c r="D17" s="9" t="str">
        <f>IFERROR(__xludf.DUMMYFUNCTION("IF(ISBLANK(D16),"""",HLOOKUP(REGEXEXTRACT(D16,"".*-(.*)""),INDIRECT(CONCATENATE(REGEXEXTRACT(D16,""(.*)-.*""),""!C3:P"")),2,FALSE))"),"Summoner")</f>
        <v>Summoner</v>
      </c>
      <c r="E17" s="59" t="str">
        <f>IFERROR(__xludf.DUMMYFUNCTION("IF(ISBLANK(E16),"""",HLOOKUP(REGEXEXTRACT(E16,"".*-(.*)""),INDIRECT(CONCATENATE(REGEXEXTRACT(E16,""(.*)-.*""),""!C3:I"")),2,FALSE))"),"")</f>
        <v/>
      </c>
      <c r="F17" s="59" t="str">
        <f>IFERROR(__xludf.DUMMYFUNCTION("IF(ISBLANK(F16),"""",HLOOKUP(REGEXEXTRACT(F16,"".*-(.*)""),INDIRECT(CONCATENATE(REGEXEXTRACT(F16,""(.*)-.*""),""!C3:I"")),2,FALSE))"),"")</f>
        <v/>
      </c>
      <c r="G17" s="9" t="str">
        <f>IFERROR(__xludf.DUMMYFUNCTION("IF(ISBLANK(G16),"""",HLOOKUP(REGEXEXTRACT(G16,"".*-(.*)""),INDIRECT(CONCATENATE(REGEXEXTRACT(G16,""(.*)-.*""),""!C3:P"")),2,FALSE))"),"")</f>
        <v/>
      </c>
      <c r="H17" s="59" t="str">
        <f>IFERROR(__xludf.DUMMYFUNCTION("IF(ISBLANK(H16),"""",HLOOKUP(REGEXEXTRACT(H16,"".*-(.*)""),INDIRECT(CONCATENATE(REGEXEXTRACT(H16,""(.*)-.*""),""!C3:I"")),2,FALSE))"),"")</f>
        <v/>
      </c>
      <c r="I17" s="59" t="str">
        <f>IFERROR(__xludf.DUMMYFUNCTION("IF(ISBLANK(I16),"""",HLOOKUP(REGEXEXTRACT(I16,"".*-(.*)""),INDIRECT(CONCATENATE(REGEXEXTRACT(I16,""(.*)-.*""),""!C3:I"")),2,FALSE))"),"")</f>
        <v/>
      </c>
      <c r="J17" s="312" t="str">
        <f>IFERROR(__xludf.DUMMYFUNCTION("IF(ISBLANK(J16),"""",HLOOKUP(REGEXEXTRACT(J16,"".*-(.*)""),INDIRECT(CONCATENATE(REGEXEXTRACT(J16,""(.*)-.*""),""!C3:I"")),2,FALSE))"),"")</f>
        <v/>
      </c>
    </row>
    <row r="18">
      <c r="B18" s="89" t="s">
        <v>330</v>
      </c>
      <c r="C18" s="12" t="str">
        <f>IFERROR(__xludf.DUMMYFUNCTION("IF(ISBLANK(C16),"""",HLOOKUP(REGEXEXTRACT(C16,"".*-(.*)""),INDIRECT(CONCATENATE(REGEXEXTRACT(C16,""(.*)-.*""),""!C3:P"")),3,FALSE))"),"")</f>
        <v/>
      </c>
      <c r="D18" s="12">
        <f>IFERROR(__xludf.DUMMYFUNCTION("IF(ISBLANK(D16),"""",HLOOKUP(REGEXEXTRACT(D16,"".*-(.*)""),INDIRECT(CONCATENATE(REGEXEXTRACT(D16,""(.*)-.*""),""!C3:P"")),3,FALSE))"),1750.0)</f>
        <v>1750</v>
      </c>
      <c r="E18" s="313" t="str">
        <f>IFERROR(__xludf.DUMMYFUNCTION("IF(ISBLANK(E16),"""",HLOOKUP(REGEXEXTRACT(E16,"".*-(.*)""),INDIRECT(CONCATENATE(REGEXEXTRACT(E16,""(.*)-.*""),""!C3:I"")),3,FALSE))"),"")</f>
        <v/>
      </c>
      <c r="F18" s="313" t="str">
        <f>IFERROR(__xludf.DUMMYFUNCTION("IF(ISBLANK(F16),"""",HLOOKUP(REGEXEXTRACT(F16,"".*-(.*)""),INDIRECT(CONCATENATE(REGEXEXTRACT(F16,""(.*)-.*""),""!C3:I"")),3,FALSE))"),"")</f>
        <v/>
      </c>
      <c r="G18" s="12" t="str">
        <f>IFERROR(__xludf.DUMMYFUNCTION("IF(ISBLANK(G16),"""",HLOOKUP(REGEXEXTRACT(G16,"".*-(.*)""),INDIRECT(CONCATENATE(REGEXEXTRACT(G16,""(.*)-.*""),""!C3:P"")),3,FALSE))"),"")</f>
        <v/>
      </c>
      <c r="H18" s="313" t="str">
        <f>IFERROR(__xludf.DUMMYFUNCTION("IF(ISBLANK(H16),"""",HLOOKUP(REGEXEXTRACT(H16,"".*-(.*)""),INDIRECT(CONCATENATE(REGEXEXTRACT(H16,""(.*)-.*""),""!C3:I"")),3,FALSE))"),"")</f>
        <v/>
      </c>
      <c r="I18" s="313" t="str">
        <f>IFERROR(__xludf.DUMMYFUNCTION("IF(ISBLANK(I16),"""",HLOOKUP(REGEXEXTRACT(I16,"".*-(.*)""),INDIRECT(CONCATENATE(REGEXEXTRACT(I16,""(.*)-.*""),""!C3:I"")),3,FALSE))"),"")</f>
        <v/>
      </c>
      <c r="J18" s="314" t="str">
        <f>IFERROR(__xludf.DUMMYFUNCTION("IF(ISBLANK(J16),"""",HLOOKUP(REGEXEXTRACT(J16,"".*-(.*)""),INDIRECT(CONCATENATE(REGEXEXTRACT(J16,""(.*)-.*""),""!C3:I"")),3,FALSE))"),"")</f>
        <v/>
      </c>
    </row>
    <row r="20">
      <c r="A20" s="2"/>
      <c r="B20" s="71" t="s">
        <v>328</v>
      </c>
      <c r="C20" s="309" t="s">
        <v>52</v>
      </c>
      <c r="D20" s="310"/>
      <c r="E20" s="310"/>
      <c r="F20" s="310"/>
      <c r="G20" s="310" t="s">
        <v>45</v>
      </c>
      <c r="H20" s="310"/>
      <c r="I20" s="310"/>
      <c r="J20" s="311"/>
    </row>
    <row r="21">
      <c r="B21" s="79" t="s">
        <v>329</v>
      </c>
      <c r="C21" s="9" t="str">
        <f>IFERROR(__xludf.DUMMYFUNCTION("IF(ISBLANK(C20),"""",HLOOKUP(REGEXEXTRACT(C20,"".*-(.*)""),INDIRECT(CONCATENATE(REGEXEXTRACT(C20,""(.*)-.*""),""!C3:P"")),2,FALSE))"),"Gunslinger")</f>
        <v>Gunslinger</v>
      </c>
      <c r="D21" s="9" t="str">
        <f>IFERROR(__xludf.DUMMYFUNCTION("IF(ISBLANK(D20),"""",HLOOKUP(REGEXEXTRACT(D20,"".*-(.*)""),INDIRECT(CONCATENATE(REGEXEXTRACT(D20,""(.*)-.*""),""!C3:P"")),2,FALSE))"),"")</f>
        <v/>
      </c>
      <c r="E21" s="59" t="str">
        <f>IFERROR(__xludf.DUMMYFUNCTION("IF(ISBLANK(E20),"""",HLOOKUP(REGEXEXTRACT(E20,"".*-(.*)""),INDIRECT(CONCATENATE(REGEXEXTRACT(E20,""(.*)-.*""),""!C3:I"")),2,FALSE))"),"")</f>
        <v/>
      </c>
      <c r="F21" s="59" t="str">
        <f>IFERROR(__xludf.DUMMYFUNCTION("IF(ISBLANK(F20),"""",HLOOKUP(REGEXEXTRACT(F20,"".*-(.*)""),INDIRECT(CONCATENATE(REGEXEXTRACT(F20,""(.*)-.*""),""!C3:I"")),2,FALSE))"),"")</f>
        <v/>
      </c>
      <c r="G21" s="9" t="str">
        <f>IFERROR(__xludf.DUMMYFUNCTION("IF(ISBLANK(G20),"""",HLOOKUP(REGEXEXTRACT(G20,"".*-(.*)""),INDIRECT(CONCATENATE(REGEXEXTRACT(G20,""(.*)-.*""),""!C3:P"")),2,FALSE))"),"#REF!")</f>
        <v>#REF!</v>
      </c>
      <c r="H21" s="59" t="str">
        <f>IFERROR(__xludf.DUMMYFUNCTION("IF(ISBLANK(H20),"""",HLOOKUP(REGEXEXTRACT(H20,"".*-(.*)""),INDIRECT(CONCATENATE(REGEXEXTRACT(H20,""(.*)-.*""),""!C3:I"")),2,FALSE))"),"")</f>
        <v/>
      </c>
      <c r="I21" s="59" t="str">
        <f>IFERROR(__xludf.DUMMYFUNCTION("IF(ISBLANK(I20),"""",HLOOKUP(REGEXEXTRACT(I20,"".*-(.*)""),INDIRECT(CONCATENATE(REGEXEXTRACT(I20,""(.*)-.*""),""!C3:I"")),2,FALSE))"),"")</f>
        <v/>
      </c>
      <c r="J21" s="312" t="str">
        <f>IFERROR(__xludf.DUMMYFUNCTION("IF(ISBLANK(J20),"""",HLOOKUP(REGEXEXTRACT(J20,"".*-(.*)""),INDIRECT(CONCATENATE(REGEXEXTRACT(J20,""(.*)-.*""),""!C3:I"")),2,FALSE))"),"")</f>
        <v/>
      </c>
    </row>
    <row r="22">
      <c r="B22" s="89" t="s">
        <v>331</v>
      </c>
      <c r="C22" s="12">
        <f>IFERROR(__xludf.DUMMYFUNCTION("IF(ISBLANK(C20),"""",HLOOKUP(REGEXEXTRACT(C20,"".*-(.*)""),INDIRECT(CONCATENATE(REGEXEXTRACT(C20,""(.*)-.*""),""!C3:P"")),3,FALSE))"),1600.0)</f>
        <v>1600</v>
      </c>
      <c r="D22" s="12" t="str">
        <f>IFERROR(__xludf.DUMMYFUNCTION("IF(ISBLANK(D20),"""",HLOOKUP(REGEXEXTRACT(D20,"".*-(.*)""),INDIRECT(CONCATENATE(REGEXEXTRACT(D20,""(.*)-.*""),""!C3:P"")),3,FALSE))"),"")</f>
        <v/>
      </c>
      <c r="E22" s="313" t="str">
        <f>IFERROR(__xludf.DUMMYFUNCTION("IF(ISBLANK(E20),"""",HLOOKUP(REGEXEXTRACT(E20,"".*-(.*)""),INDIRECT(CONCATENATE(REGEXEXTRACT(E20,""(.*)-.*""),""!C3:I"")),3,FALSE))"),"")</f>
        <v/>
      </c>
      <c r="F22" s="313" t="str">
        <f>IFERROR(__xludf.DUMMYFUNCTION("IF(ISBLANK(F20),"""",HLOOKUP(REGEXEXTRACT(F20,"".*-(.*)""),INDIRECT(CONCATENATE(REGEXEXTRACT(F20,""(.*)-.*""),""!C3:I"")),3,FALSE))"),"")</f>
        <v/>
      </c>
      <c r="G22" s="12" t="str">
        <f>IFERROR(__xludf.DUMMYFUNCTION("IF(ISBLANK(G20),"""",HLOOKUP(REGEXEXTRACT(G20,"".*-(.*)""),INDIRECT(CONCATENATE(REGEXEXTRACT(G20,""(.*)-.*""),""!C3:P"")),3,FALSE))"),"#REF!")</f>
        <v>#REF!</v>
      </c>
      <c r="H22" s="313" t="str">
        <f>IFERROR(__xludf.DUMMYFUNCTION("IF(ISBLANK(H20),"""",HLOOKUP(REGEXEXTRACT(H20,"".*-(.*)""),INDIRECT(CONCATENATE(REGEXEXTRACT(H20,""(.*)-.*""),""!C3:I"")),3,FALSE))"),"")</f>
        <v/>
      </c>
      <c r="I22" s="313" t="str">
        <f>IFERROR(__xludf.DUMMYFUNCTION("IF(ISBLANK(I20),"""",HLOOKUP(REGEXEXTRACT(I20,"".*-(.*)""),INDIRECT(CONCATENATE(REGEXEXTRACT(I20,""(.*)-.*""),""!C3:I"")),3,FALSE))"),"")</f>
        <v/>
      </c>
      <c r="J22" s="314" t="str">
        <f>IFERROR(__xludf.DUMMYFUNCTION("IF(ISBLANK(J20),"""",HLOOKUP(REGEXEXTRACT(J20,"".*-(.*)""),INDIRECT(CONCATENATE(REGEXEXTRACT(J20,""(.*)-.*""),""!C3:I"")),3,FALSE))"),"")</f>
        <v/>
      </c>
    </row>
    <row r="24">
      <c r="A24" s="2"/>
      <c r="B24" s="71" t="s">
        <v>328</v>
      </c>
      <c r="C24" s="309" t="s">
        <v>7</v>
      </c>
      <c r="D24" s="310" t="s">
        <v>49</v>
      </c>
      <c r="E24" s="310" t="s">
        <v>4</v>
      </c>
      <c r="F24" s="310" t="s">
        <v>36</v>
      </c>
      <c r="G24" s="310" t="s">
        <v>26</v>
      </c>
      <c r="H24" s="310" t="s">
        <v>38</v>
      </c>
      <c r="I24" s="310"/>
      <c r="J24" s="311"/>
    </row>
    <row r="25">
      <c r="B25" s="79" t="s">
        <v>329</v>
      </c>
      <c r="C25" s="9" t="str">
        <f>IFERROR(__xludf.DUMMYFUNCTION("IF(ISBLANK(C24),"""",HLOOKUP(REGEXEXTRACT(C24,"".*-(.*)""),INDIRECT(CONCATENATE(REGEXEXTRACT(C24,""(.*)-.*""),""!C3:P"")),2,FALSE))"),"Wardancer")</f>
        <v>Wardancer</v>
      </c>
      <c r="D25" s="9" t="str">
        <f>IFERROR(__xludf.DUMMYFUNCTION("IF(ISBLANK(D24),"""",HLOOKUP(REGEXEXTRACT(D24,"".*-(.*)""),INDIRECT(CONCATENATE(REGEXEXTRACT(D24,""(.*)-.*""),""!C3:P"")),2,FALSE))"),"Bard")</f>
        <v>Bard</v>
      </c>
      <c r="E25" s="59" t="str">
        <f>IFERROR(__xludf.DUMMYFUNCTION("IF(ISBLANK(E24),"""",HLOOKUP(REGEXEXTRACT(E24,"".*-(.*)""),INDIRECT(CONCATENATE(REGEXEXTRACT(E24,""(.*)-.*""),""!C3:I"")),2,FALSE))"),"Gunslinger")</f>
        <v>Gunslinger</v>
      </c>
      <c r="F25" s="59" t="str">
        <f>IFERROR(__xludf.DUMMYFUNCTION("IF(ISBLANK(F24),"""",HLOOKUP(REGEXEXTRACT(F24,"".*-(.*)""),INDIRECT(CONCATENATE(REGEXEXTRACT(F24,""(.*)-.*""),""!C3:I"")),2,FALSE))"),"#N/A")</f>
        <v>#N/A</v>
      </c>
      <c r="G25" s="9" t="str">
        <f>IFERROR(__xludf.DUMMYFUNCTION("IF(ISBLANK(G24),"""",HLOOKUP(REGEXEXTRACT(G24,"".*-(.*)""),INDIRECT(CONCATENATE(REGEXEXTRACT(G24,""(.*)-.*""),""!C3:P"")),2,FALSE))"),"#REF!")</f>
        <v>#REF!</v>
      </c>
      <c r="H25" s="59" t="str">
        <f>IFERROR(__xludf.DUMMYFUNCTION("IF(ISBLANK(H24),"""",HLOOKUP(REGEXEXTRACT(H24,"".*-(.*)""),INDIRECT(CONCATENATE(REGEXEXTRACT(H24,""(.*)-.*""),""!C3:I"")),2,FALSE))"),"#REF!")</f>
        <v>#REF!</v>
      </c>
      <c r="I25" s="59" t="str">
        <f>IFERROR(__xludf.DUMMYFUNCTION("IF(ISBLANK(I24),"""",HLOOKUP(REGEXEXTRACT(I24,"".*-(.*)""),INDIRECT(CONCATENATE(REGEXEXTRACT(I24,""(.*)-.*""),""!C3:I"")),2,FALSE))"),"")</f>
        <v/>
      </c>
      <c r="J25" s="312" t="str">
        <f>IFERROR(__xludf.DUMMYFUNCTION("IF(ISBLANK(J24),"""",HLOOKUP(REGEXEXTRACT(J24,"".*-(.*)""),INDIRECT(CONCATENATE(REGEXEXTRACT(J24,""(.*)-.*""),""!C3:I"")),2,FALSE))"),"")</f>
        <v/>
      </c>
    </row>
    <row r="26">
      <c r="B26" s="89" t="s">
        <v>332</v>
      </c>
      <c r="C26" s="12">
        <f>IFERROR(__xludf.DUMMYFUNCTION("IF(ISBLANK(C24),"""",HLOOKUP(REGEXEXTRACT(C24,"".*-(.*)""),INDIRECT(CONCATENATE(REGEXEXTRACT(C24,""(.*)-.*""),""!C3:P"")),3,FALSE))"),1620.0)</f>
        <v>1620</v>
      </c>
      <c r="D26" s="12">
        <f>IFERROR(__xludf.DUMMYFUNCTION("IF(ISBLANK(D24),"""",HLOOKUP(REGEXEXTRACT(D24,"".*-(.*)""),INDIRECT(CONCATENATE(REGEXEXTRACT(D24,""(.*)-.*""),""!C3:P"")),3,FALSE))"),1730.0)</f>
        <v>1730</v>
      </c>
      <c r="E26" s="313">
        <f>IFERROR(__xludf.DUMMYFUNCTION("IF(ISBLANK(E24),"""",HLOOKUP(REGEXEXTRACT(E24,"".*-(.*)""),INDIRECT(CONCATENATE(REGEXEXTRACT(E24,""(.*)-.*""),""!C3:I"")),3,FALSE))"),1750.0)</f>
        <v>1750</v>
      </c>
      <c r="F26" s="313" t="str">
        <f>IFERROR(__xludf.DUMMYFUNCTION("IF(ISBLANK(F24),"""",HLOOKUP(REGEXEXTRACT(F24,"".*-(.*)""),INDIRECT(CONCATENATE(REGEXEXTRACT(F24,""(.*)-.*""),""!C3:I"")),3,FALSE))"),"#N/A")</f>
        <v>#N/A</v>
      </c>
      <c r="G26" s="12" t="str">
        <f>IFERROR(__xludf.DUMMYFUNCTION("IF(ISBLANK(G24),"""",HLOOKUP(REGEXEXTRACT(G24,"".*-(.*)""),INDIRECT(CONCATENATE(REGEXEXTRACT(G24,""(.*)-.*""),""!C3:P"")),3,FALSE))"),"#REF!")</f>
        <v>#REF!</v>
      </c>
      <c r="H26" s="313" t="str">
        <f>IFERROR(__xludf.DUMMYFUNCTION("IF(ISBLANK(H24),"""",HLOOKUP(REGEXEXTRACT(H24,"".*-(.*)""),INDIRECT(CONCATENATE(REGEXEXTRACT(H24,""(.*)-.*""),""!C3:I"")),3,FALSE))"),"#REF!")</f>
        <v>#REF!</v>
      </c>
      <c r="I26" s="313" t="str">
        <f>IFERROR(__xludf.DUMMYFUNCTION("IF(ISBLANK(I24),"""",HLOOKUP(REGEXEXTRACT(I24,"".*-(.*)""),INDIRECT(CONCATENATE(REGEXEXTRACT(I24,""(.*)-.*""),""!C3:I"")),3,FALSE))"),"")</f>
        <v/>
      </c>
      <c r="J26" s="314" t="str">
        <f>IFERROR(__xludf.DUMMYFUNCTION("IF(ISBLANK(J24),"""",HLOOKUP(REGEXEXTRACT(J24,"".*-(.*)""),INDIRECT(CONCATENATE(REGEXEXTRACT(J24,""(.*)-.*""),""!C3:I"")),3,FALSE))"),"")</f>
        <v/>
      </c>
    </row>
    <row r="28">
      <c r="A28" s="2"/>
      <c r="B28" s="315" t="s">
        <v>328</v>
      </c>
      <c r="C28" s="309" t="s">
        <v>48</v>
      </c>
      <c r="D28" s="310" t="s">
        <v>37</v>
      </c>
      <c r="E28" s="310" t="s">
        <v>32</v>
      </c>
      <c r="F28" s="310" t="s">
        <v>50</v>
      </c>
      <c r="G28" s="310" t="s">
        <v>5</v>
      </c>
      <c r="H28" s="310"/>
      <c r="I28" s="310"/>
      <c r="J28" s="311"/>
    </row>
    <row r="29">
      <c r="B29" s="316" t="s">
        <v>333</v>
      </c>
      <c r="C29" s="9" t="str">
        <f>IFERROR(__xludf.DUMMYFUNCTION("IF(ISBLANK(C28),"""",HLOOKUP(REGEXEXTRACT(C28,"".*-(.*)""),INDIRECT(CONCATENATE(REGEXEXTRACT(C28,""(.*)-.*""),""!C3:P"")),2,FALSE))"),"Arcana")</f>
        <v>Arcana</v>
      </c>
      <c r="D29" s="9" t="str">
        <f>IFERROR(__xludf.DUMMYFUNCTION("IF(ISBLANK(D28),"""",HLOOKUP(REGEXEXTRACT(D28,"".*-(.*)""),INDIRECT(CONCATENATE(REGEXEXTRACT(D28,""(.*)-.*""),""!C3:P"")),2,FALSE))"),"Guardianknight")</f>
        <v>Guardianknight</v>
      </c>
      <c r="E29" s="59" t="str">
        <f>IFERROR(__xludf.DUMMYFUNCTION("IF(ISBLANK(E28),"""",HLOOKUP(REGEXEXTRACT(E28,"".*-(.*)""),INDIRECT(CONCATENATE(REGEXEXTRACT(E28,""(.*)-.*""),""!C3:I"")),2,FALSE))"),"Glaivier")</f>
        <v>Glaivier</v>
      </c>
      <c r="F29" s="59" t="str">
        <f>IFERROR(__xludf.DUMMYFUNCTION("IF(ISBLANK(F28),"""",HLOOKUP(REGEXEXTRACT(F28,"".*-(.*)""),INDIRECT(CONCATENATE(REGEXEXTRACT(F28,""(.*)-.*""),""!C3:I"")),2,FALSE))"),"#N/A")</f>
        <v>#N/A</v>
      </c>
      <c r="G29" s="9" t="str">
        <f>IFERROR(__xludf.DUMMYFUNCTION("IF(ISBLANK(G28),"""",HLOOKUP(REGEXEXTRACT(G28,"".*-(.*)""),INDIRECT(CONCATENATE(REGEXEXTRACT(G28,""(.*)-.*""),""!C3:P"")),2,FALSE))"),"#REF!")</f>
        <v>#REF!</v>
      </c>
      <c r="H29" s="59" t="str">
        <f>IFERROR(__xludf.DUMMYFUNCTION("IF(ISBLANK(H28),"""",HLOOKUP(REGEXEXTRACT(H28,"".*-(.*)""),INDIRECT(CONCATENATE(REGEXEXTRACT(H28,""(.*)-.*""),""!C3:I"")),2,FALSE))"),"")</f>
        <v/>
      </c>
      <c r="I29" s="59" t="str">
        <f>IFERROR(__xludf.DUMMYFUNCTION("IF(ISBLANK(I28),"""",HLOOKUP(REGEXEXTRACT(I28,"".*-(.*)""),INDIRECT(CONCATENATE(REGEXEXTRACT(I28,""(.*)-.*""),""!C3:I"")),2,FALSE))"),"")</f>
        <v/>
      </c>
      <c r="J29" s="312" t="str">
        <f>IFERROR(__xludf.DUMMYFUNCTION("IF(ISBLANK(J28),"""",HLOOKUP(REGEXEXTRACT(J28,"".*-(.*)""),INDIRECT(CONCATENATE(REGEXEXTRACT(J28,""(.*)-.*""),""!C3:I"")),2,FALSE))"),"")</f>
        <v/>
      </c>
    </row>
    <row r="30">
      <c r="B30" s="317" t="s">
        <v>334</v>
      </c>
      <c r="C30" s="12">
        <f>IFERROR(__xludf.DUMMYFUNCTION("IF(ISBLANK(C28),"""",HLOOKUP(REGEXEXTRACT(C28,"".*-(.*)""),INDIRECT(CONCATENATE(REGEXEXTRACT(C28,""(.*)-.*""),""!C3:P"")),3,FALSE))"),1570.0)</f>
        <v>1570</v>
      </c>
      <c r="D30" s="12">
        <f>IFERROR(__xludf.DUMMYFUNCTION("IF(ISBLANK(D28),"""",HLOOKUP(REGEXEXTRACT(D28,"".*-(.*)""),INDIRECT(CONCATENATE(REGEXEXTRACT(D28,""(.*)-.*""),""!C3:P"")),3,FALSE))"),1750.0)</f>
        <v>1750</v>
      </c>
      <c r="E30" s="313">
        <f>IFERROR(__xludf.DUMMYFUNCTION("IF(ISBLANK(E28),"""",HLOOKUP(REGEXEXTRACT(E28,"".*-(.*)""),INDIRECT(CONCATENATE(REGEXEXTRACT(E28,""(.*)-.*""),""!C3:I"")),3,FALSE))"),1750.0)</f>
        <v>1750</v>
      </c>
      <c r="F30" s="313" t="str">
        <f>IFERROR(__xludf.DUMMYFUNCTION("IF(ISBLANK(F28),"""",HLOOKUP(REGEXEXTRACT(F28,"".*-(.*)""),INDIRECT(CONCATENATE(REGEXEXTRACT(F28,""(.*)-.*""),""!C3:I"")),3,FALSE))"),"#N/A")</f>
        <v>#N/A</v>
      </c>
      <c r="G30" s="12" t="str">
        <f>IFERROR(__xludf.DUMMYFUNCTION("IF(ISBLANK(G28),"""",HLOOKUP(REGEXEXTRACT(G28,"".*-(.*)""),INDIRECT(CONCATENATE(REGEXEXTRACT(G28,""(.*)-.*""),""!C3:P"")),3,FALSE))"),"#REF!")</f>
        <v>#REF!</v>
      </c>
      <c r="H30" s="313" t="str">
        <f>IFERROR(__xludf.DUMMYFUNCTION("IF(ISBLANK(H28),"""",HLOOKUP(REGEXEXTRACT(H28,"".*-(.*)""),INDIRECT(CONCATENATE(REGEXEXTRACT(H28,""(.*)-.*""),""!C3:I"")),3,FALSE))"),"")</f>
        <v/>
      </c>
      <c r="I30" s="313" t="str">
        <f>IFERROR(__xludf.DUMMYFUNCTION("IF(ISBLANK(I28),"""",HLOOKUP(REGEXEXTRACT(I28,"".*-(.*)""),INDIRECT(CONCATENATE(REGEXEXTRACT(I28,""(.*)-.*""),""!C3:I"")),3,FALSE))"),"")</f>
        <v/>
      </c>
      <c r="J30" s="314" t="str">
        <f>IFERROR(__xludf.DUMMYFUNCTION("IF(ISBLANK(J28),"""",HLOOKUP(REGEXEXTRACT(J28,"".*-(.*)""),INDIRECT(CONCATENATE(REGEXEXTRACT(J28,""(.*)-.*""),""!C3:I"")),3,FALSE))"),"")</f>
        <v/>
      </c>
    </row>
    <row r="32">
      <c r="A32" s="2"/>
      <c r="B32" s="315" t="s">
        <v>328</v>
      </c>
      <c r="C32" s="309" t="s">
        <v>12</v>
      </c>
      <c r="D32" s="310" t="s">
        <v>43</v>
      </c>
      <c r="E32" s="310" t="s">
        <v>14</v>
      </c>
      <c r="F32" s="310"/>
      <c r="G32" s="310" t="s">
        <v>19</v>
      </c>
      <c r="H32" s="310"/>
      <c r="I32" s="310"/>
      <c r="J32" s="311"/>
    </row>
    <row r="33">
      <c r="B33" s="316" t="s">
        <v>333</v>
      </c>
      <c r="C33" s="9" t="str">
        <f>IFERROR(__xludf.DUMMYFUNCTION("IF(ISBLANK(C32),"""",HLOOKUP(REGEXEXTRACT(C32,"".*-(.*)""),INDIRECT(CONCATENATE(REGEXEXTRACT(C32,""(.*)-.*""),""!C3:P"")),2,FALSE))"),"Bard")</f>
        <v>Bard</v>
      </c>
      <c r="D33" s="9" t="str">
        <f>IFERROR(__xludf.DUMMYFUNCTION("IF(ISBLANK(D32),"""",HLOOKUP(REGEXEXTRACT(D32,"".*-(.*)""),INDIRECT(CONCATENATE(REGEXEXTRACT(D32,""(.*)-.*""),""!C3:P"")),2,FALSE))"),"Soulfist")</f>
        <v>Soulfist</v>
      </c>
      <c r="E33" s="59" t="str">
        <f>IFERROR(__xludf.DUMMYFUNCTION("IF(ISBLANK(E32),"""",HLOOKUP(REGEXEXTRACT(E32,"".*-(.*)""),INDIRECT(CONCATENATE(REGEXEXTRACT(E32,""(.*)-.*""),""!C3:I"")),2,FALSE))"),"Sorceress")</f>
        <v>Sorceress</v>
      </c>
      <c r="F33" s="59" t="str">
        <f>IFERROR(__xludf.DUMMYFUNCTION("IF(ISBLANK(F32),"""",HLOOKUP(REGEXEXTRACT(F32,"".*-(.*)""),INDIRECT(CONCATENATE(REGEXEXTRACT(F32,""(.*)-.*""),""!C3:I"")),2,FALSE))"),"")</f>
        <v/>
      </c>
      <c r="G33" s="9" t="str">
        <f>IFERROR(__xludf.DUMMYFUNCTION("IF(ISBLANK(G32),"""",HLOOKUP(REGEXEXTRACT(G32,"".*-(.*)""),INDIRECT(CONCATENATE(REGEXEXTRACT(G32,""(.*)-.*""),""!C3:P"")),2,FALSE))"),"#REF!")</f>
        <v>#REF!</v>
      </c>
      <c r="H33" s="59" t="str">
        <f>IFERROR(__xludf.DUMMYFUNCTION("IF(ISBLANK(H32),"""",HLOOKUP(REGEXEXTRACT(H32,"".*-(.*)""),INDIRECT(CONCATENATE(REGEXEXTRACT(H32,""(.*)-.*""),""!C3:I"")),2,FALSE))"),"")</f>
        <v/>
      </c>
      <c r="I33" s="59" t="str">
        <f>IFERROR(__xludf.DUMMYFUNCTION("IF(ISBLANK(I32),"""",HLOOKUP(REGEXEXTRACT(I32,"".*-(.*)""),INDIRECT(CONCATENATE(REGEXEXTRACT(I32,""(.*)-.*""),""!C3:I"")),2,FALSE))"),"")</f>
        <v/>
      </c>
      <c r="J33" s="312" t="str">
        <f>IFERROR(__xludf.DUMMYFUNCTION("IF(ISBLANK(J32),"""",HLOOKUP(REGEXEXTRACT(J32,"".*-(.*)""),INDIRECT(CONCATENATE(REGEXEXTRACT(J32,""(.*)-.*""),""!C3:I"")),2,FALSE))"),"")</f>
        <v/>
      </c>
    </row>
    <row r="34">
      <c r="B34" s="317" t="s">
        <v>335</v>
      </c>
      <c r="C34" s="12">
        <f>IFERROR(__xludf.DUMMYFUNCTION("IF(ISBLANK(C32),"""",HLOOKUP(REGEXEXTRACT(C32,"".*-(.*)""),INDIRECT(CONCATENATE(REGEXEXTRACT(C32,""(.*)-.*""),""!C3:P"")),3,FALSE))"),1560.0)</f>
        <v>1560</v>
      </c>
      <c r="D34" s="12">
        <f>IFERROR(__xludf.DUMMYFUNCTION("IF(ISBLANK(D32),"""",HLOOKUP(REGEXEXTRACT(D32,"".*-(.*)""),INDIRECT(CONCATENATE(REGEXEXTRACT(D32,""(.*)-.*""),""!C3:P"")),3,FALSE))"),1750.0)</f>
        <v>1750</v>
      </c>
      <c r="E34" s="313">
        <f>IFERROR(__xludf.DUMMYFUNCTION("IF(ISBLANK(E32),"""",HLOOKUP(REGEXEXTRACT(E32,"".*-(.*)""),INDIRECT(CONCATENATE(REGEXEXTRACT(E32,""(.*)-.*""),""!C3:I"")),3,FALSE))"),1750.0)</f>
        <v>1750</v>
      </c>
      <c r="F34" s="313" t="str">
        <f>IFERROR(__xludf.DUMMYFUNCTION("IF(ISBLANK(F32),"""",HLOOKUP(REGEXEXTRACT(F32,"".*-(.*)""),INDIRECT(CONCATENATE(REGEXEXTRACT(F32,""(.*)-.*""),""!C3:I"")),3,FALSE))"),"")</f>
        <v/>
      </c>
      <c r="G34" s="12" t="str">
        <f>IFERROR(__xludf.DUMMYFUNCTION("IF(ISBLANK(G32),"""",HLOOKUP(REGEXEXTRACT(G32,"".*-(.*)""),INDIRECT(CONCATENATE(REGEXEXTRACT(G32,""(.*)-.*""),""!C3:P"")),3,FALSE))"),"#REF!")</f>
        <v>#REF!</v>
      </c>
      <c r="H34" s="313" t="str">
        <f>IFERROR(__xludf.DUMMYFUNCTION("IF(ISBLANK(H32),"""",HLOOKUP(REGEXEXTRACT(H32,"".*-(.*)""),INDIRECT(CONCATENATE(REGEXEXTRACT(H32,""(.*)-.*""),""!C3:I"")),3,FALSE))"),"")</f>
        <v/>
      </c>
      <c r="I34" s="313" t="str">
        <f>IFERROR(__xludf.DUMMYFUNCTION("IF(ISBLANK(I32),"""",HLOOKUP(REGEXEXTRACT(I32,"".*-(.*)""),INDIRECT(CONCATENATE(REGEXEXTRACT(I32,""(.*)-.*""),""!C3:I"")),3,FALSE))"),"")</f>
        <v/>
      </c>
      <c r="J34" s="314" t="str">
        <f>IFERROR(__xludf.DUMMYFUNCTION("IF(ISBLANK(J32),"""",HLOOKUP(REGEXEXTRACT(J32,"".*-(.*)""),INDIRECT(CONCATENATE(REGEXEXTRACT(J32,""(.*)-.*""),""!C3:I"")),3,FALSE))"),"")</f>
        <v/>
      </c>
    </row>
    <row r="36">
      <c r="A36" s="2"/>
      <c r="B36" s="318" t="s">
        <v>328</v>
      </c>
      <c r="C36" s="309" t="s">
        <v>39</v>
      </c>
      <c r="D36" s="310" t="s">
        <v>3</v>
      </c>
      <c r="E36" s="310" t="s">
        <v>9</v>
      </c>
      <c r="F36" s="310" t="s">
        <v>25</v>
      </c>
      <c r="G36" s="310" t="s">
        <v>15</v>
      </c>
      <c r="H36" s="310"/>
      <c r="I36" s="310"/>
      <c r="J36" s="311"/>
    </row>
    <row r="37">
      <c r="B37" s="319" t="s">
        <v>120</v>
      </c>
      <c r="C37" s="9" t="str">
        <f>IFERROR(__xludf.DUMMYFUNCTION("IF(ISBLANK(C36),"""",HLOOKUP(REGEXEXTRACT(C36,"".*-(.*)""),INDIRECT(CONCATENATE(REGEXEXTRACT(C36,""(.*)-.*""),""!C3:P"")),2,FALSE))"),"Bard")</f>
        <v>Bard</v>
      </c>
      <c r="D37" s="9" t="str">
        <f>IFERROR(__xludf.DUMMYFUNCTION("IF(ISBLANK(D36),"""",HLOOKUP(REGEXEXTRACT(D36,"".*-(.*)""),INDIRECT(CONCATENATE(REGEXEXTRACT(D36,""(.*)-.*""),""!C3:P"")),2,FALSE))"),"Sorceress")</f>
        <v>Sorceress</v>
      </c>
      <c r="E37" s="59" t="str">
        <f>IFERROR(__xludf.DUMMYFUNCTION("IF(ISBLANK(E36),"""",HLOOKUP(REGEXEXTRACT(E36,"".*-(.*)""),INDIRECT(CONCATENATE(REGEXEXTRACT(E36,""(.*)-.*""),""!C3:I"")),2,FALSE))"),"Deathblade")</f>
        <v>Deathblade</v>
      </c>
      <c r="F37" s="59" t="str">
        <f>IFERROR(__xludf.DUMMYFUNCTION("IF(ISBLANK(F36),"""",HLOOKUP(REGEXEXTRACT(F36,"".*-(.*)""),INDIRECT(CONCATENATE(REGEXEXTRACT(F36,""(.*)-.*""),""!C3:I"")),2,FALSE))"),"#N/A")</f>
        <v>#N/A</v>
      </c>
      <c r="G37" s="9" t="str">
        <f>IFERROR(__xludf.DUMMYFUNCTION("IF(ISBLANK(G36),"""",HLOOKUP(REGEXEXTRACT(G36,"".*-(.*)""),INDIRECT(CONCATENATE(REGEXEXTRACT(G36,""(.*)-.*""),""!C3:P"")),2,FALSE))"),"#REF!")</f>
        <v>#REF!</v>
      </c>
      <c r="H37" s="59" t="str">
        <f>IFERROR(__xludf.DUMMYFUNCTION("IF(ISBLANK(H36),"""",HLOOKUP(REGEXEXTRACT(H36,"".*-(.*)""),INDIRECT(CONCATENATE(REGEXEXTRACT(H36,""(.*)-.*""),""!C3:I"")),2,FALSE))"),"")</f>
        <v/>
      </c>
      <c r="I37" s="59" t="str">
        <f>IFERROR(__xludf.DUMMYFUNCTION("IF(ISBLANK(I36),"""",HLOOKUP(REGEXEXTRACT(I36,"".*-(.*)""),INDIRECT(CONCATENATE(REGEXEXTRACT(I36,""(.*)-.*""),""!C3:I"")),2,FALSE))"),"")</f>
        <v/>
      </c>
      <c r="J37" s="312" t="str">
        <f>IFERROR(__xludf.DUMMYFUNCTION("IF(ISBLANK(J36),"""",HLOOKUP(REGEXEXTRACT(J36,"".*-(.*)""),INDIRECT(CONCATENATE(REGEXEXTRACT(J36,""(.*)-.*""),""!C3:I"")),2,FALSE))"),"")</f>
        <v/>
      </c>
    </row>
    <row r="38">
      <c r="B38" s="320" t="s">
        <v>336</v>
      </c>
      <c r="C38" s="12">
        <f>IFERROR(__xludf.DUMMYFUNCTION("IF(ISBLANK(C36),"""",HLOOKUP(REGEXEXTRACT(C36,"".*-(.*)""),INDIRECT(CONCATENATE(REGEXEXTRACT(C36,""(.*)-.*""),""!C3:P"")),3,FALSE))"),1540.0)</f>
        <v>1540</v>
      </c>
      <c r="D38" s="12">
        <f>IFERROR(__xludf.DUMMYFUNCTION("IF(ISBLANK(D36),"""",HLOOKUP(REGEXEXTRACT(D36,"".*-(.*)""),INDIRECT(CONCATENATE(REGEXEXTRACT(D36,""(.*)-.*""),""!C3:P"")),3,FALSE))"),1600.0)</f>
        <v>1600</v>
      </c>
      <c r="E38" s="313">
        <f>IFERROR(__xludf.DUMMYFUNCTION("IF(ISBLANK(E36),"""",HLOOKUP(REGEXEXTRACT(E36,"".*-(.*)""),INDIRECT(CONCATENATE(REGEXEXTRACT(E36,""(.*)-.*""),""!C3:I"")),3,FALSE))"),1600.0)</f>
        <v>1600</v>
      </c>
      <c r="F38" s="313" t="str">
        <f>IFERROR(__xludf.DUMMYFUNCTION("IF(ISBLANK(F36),"""",HLOOKUP(REGEXEXTRACT(F36,"".*-(.*)""),INDIRECT(CONCATENATE(REGEXEXTRACT(F36,""(.*)-.*""),""!C3:I"")),3,FALSE))"),"#N/A")</f>
        <v>#N/A</v>
      </c>
      <c r="G38" s="12" t="str">
        <f>IFERROR(__xludf.DUMMYFUNCTION("IF(ISBLANK(G36),"""",HLOOKUP(REGEXEXTRACT(G36,"".*-(.*)""),INDIRECT(CONCATENATE(REGEXEXTRACT(G36,""(.*)-.*""),""!C3:P"")),3,FALSE))"),"#REF!")</f>
        <v>#REF!</v>
      </c>
      <c r="H38" s="313" t="str">
        <f>IFERROR(__xludf.DUMMYFUNCTION("IF(ISBLANK(H36),"""",HLOOKUP(REGEXEXTRACT(H36,"".*-(.*)""),INDIRECT(CONCATENATE(REGEXEXTRACT(H36,""(.*)-.*""),""!C3:I"")),3,FALSE))"),"")</f>
        <v/>
      </c>
      <c r="I38" s="313" t="str">
        <f>IFERROR(__xludf.DUMMYFUNCTION("IF(ISBLANK(I36),"""",HLOOKUP(REGEXEXTRACT(I36,"".*-(.*)""),INDIRECT(CONCATENATE(REGEXEXTRACT(I36,""(.*)-.*""),""!C3:I"")),3,FALSE))"),"")</f>
        <v/>
      </c>
      <c r="J38" s="314" t="str">
        <f>IFERROR(__xludf.DUMMYFUNCTION("IF(ISBLANK(J36),"""",HLOOKUP(REGEXEXTRACT(J36,"".*-(.*)""),INDIRECT(CONCATENATE(REGEXEXTRACT(J36,""(.*)-.*""),""!C3:I"")),3,FALSE))"),"")</f>
        <v/>
      </c>
    </row>
    <row r="40">
      <c r="A40" s="2"/>
      <c r="B40" s="318" t="s">
        <v>328</v>
      </c>
      <c r="C40" s="309" t="s">
        <v>16</v>
      </c>
      <c r="D40" s="310" t="s">
        <v>8</v>
      </c>
      <c r="E40" s="310" t="s">
        <v>54</v>
      </c>
      <c r="F40" s="310" t="s">
        <v>17</v>
      </c>
      <c r="G40" s="310" t="s">
        <v>33</v>
      </c>
      <c r="H40" s="310"/>
      <c r="I40" s="310"/>
      <c r="J40" s="311"/>
    </row>
    <row r="41">
      <c r="B41" s="319" t="s">
        <v>120</v>
      </c>
      <c r="C41" s="9" t="str">
        <f>IFERROR(__xludf.DUMMYFUNCTION("IF(ISBLANK(C40),"""",HLOOKUP(REGEXEXTRACT(C40,"".*-(.*)""),INDIRECT(CONCATENATE(REGEXEXTRACT(C40,""(.*)-.*""),""!C3:P"")),2,FALSE))"),"Deathblade")</f>
        <v>Deathblade</v>
      </c>
      <c r="D41" s="9" t="str">
        <f>IFERROR(__xludf.DUMMYFUNCTION("IF(ISBLANK(D40),"""",HLOOKUP(REGEXEXTRACT(D40,"".*-(.*)""),INDIRECT(CONCATENATE(REGEXEXTRACT(D40,""(.*)-.*""),""!C3:P"")),2,FALSE))"),"#N/A")</f>
        <v>#N/A</v>
      </c>
      <c r="E41" s="59" t="str">
        <f>IFERROR(__xludf.DUMMYFUNCTION("IF(ISBLANK(E40),"""",HLOOKUP(REGEXEXTRACT(E40,"".*-(.*)""),INDIRECT(CONCATENATE(REGEXEXTRACT(E40,""(.*)-.*""),""!C3:I"")),2,FALSE))"),"Paladin")</f>
        <v>Paladin</v>
      </c>
      <c r="F41" s="59" t="str">
        <f>IFERROR(__xludf.DUMMYFUNCTION("IF(ISBLANK(F40),"""",HLOOKUP(REGEXEXTRACT(F40,"".*-(.*)""),INDIRECT(CONCATENATE(REGEXEXTRACT(F40,""(.*)-.*""),""!C3:I"")),2,FALSE))"),"#N/A")</f>
        <v>#N/A</v>
      </c>
      <c r="G41" s="9" t="str">
        <f>IFERROR(__xludf.DUMMYFUNCTION("IF(ISBLANK(G40),"""",HLOOKUP(REGEXEXTRACT(G40,"".*-(.*)""),INDIRECT(CONCATENATE(REGEXEXTRACT(G40,""(.*)-.*""),""!C3:P"")),2,FALSE))"),"#REF!")</f>
        <v>#REF!</v>
      </c>
      <c r="H41" s="59" t="str">
        <f>IFERROR(__xludf.DUMMYFUNCTION("IF(ISBLANK(H40),"""",HLOOKUP(REGEXEXTRACT(H40,"".*-(.*)""),INDIRECT(CONCATENATE(REGEXEXTRACT(H40,""(.*)-.*""),""!C3:I"")),2,FALSE))"),"")</f>
        <v/>
      </c>
      <c r="I41" s="59" t="str">
        <f>IFERROR(__xludf.DUMMYFUNCTION("IF(ISBLANK(I40),"""",HLOOKUP(REGEXEXTRACT(I40,"".*-(.*)""),INDIRECT(CONCATENATE(REGEXEXTRACT(I40,""(.*)-.*""),""!C3:I"")),2,FALSE))"),"")</f>
        <v/>
      </c>
      <c r="J41" s="312" t="str">
        <f>IFERROR(__xludf.DUMMYFUNCTION("IF(ISBLANK(J40),"""",HLOOKUP(REGEXEXTRACT(J40,"".*-(.*)""),INDIRECT(CONCATENATE(REGEXEXTRACT(J40,""(.*)-.*""),""!C3:I"")),2,FALSE))"),"")</f>
        <v/>
      </c>
    </row>
    <row r="42">
      <c r="B42" s="320" t="s">
        <v>336</v>
      </c>
      <c r="C42" s="12">
        <f>IFERROR(__xludf.DUMMYFUNCTION("IF(ISBLANK(C40),"""",HLOOKUP(REGEXEXTRACT(C40,"".*-(.*)""),INDIRECT(CONCATENATE(REGEXEXTRACT(C40,""(.*)-.*""),""!C3:P"")),3,FALSE))"),1540.0)</f>
        <v>1540</v>
      </c>
      <c r="D42" s="12" t="str">
        <f>IFERROR(__xludf.DUMMYFUNCTION("IF(ISBLANK(D40),"""",HLOOKUP(REGEXEXTRACT(D40,"".*-(.*)""),INDIRECT(CONCATENATE(REGEXEXTRACT(D40,""(.*)-.*""),""!C3:P"")),3,FALSE))"),"#N/A")</f>
        <v>#N/A</v>
      </c>
      <c r="E42" s="313">
        <f>IFERROR(__xludf.DUMMYFUNCTION("IF(ISBLANK(E40),"""",HLOOKUP(REGEXEXTRACT(E40,"".*-(.*)""),INDIRECT(CONCATENATE(REGEXEXTRACT(E40,""(.*)-.*""),""!C3:I"")),3,FALSE))"),1750.0)</f>
        <v>1750</v>
      </c>
      <c r="F42" s="313" t="str">
        <f>IFERROR(__xludf.DUMMYFUNCTION("IF(ISBLANK(F40),"""",HLOOKUP(REGEXEXTRACT(F40,"".*-(.*)""),INDIRECT(CONCATENATE(REGEXEXTRACT(F40,""(.*)-.*""),""!C3:I"")),3,FALSE))"),"#N/A")</f>
        <v>#N/A</v>
      </c>
      <c r="G42" s="12" t="str">
        <f>IFERROR(__xludf.DUMMYFUNCTION("IF(ISBLANK(G40),"""",HLOOKUP(REGEXEXTRACT(G40,"".*-(.*)""),INDIRECT(CONCATENATE(REGEXEXTRACT(G40,""(.*)-.*""),""!C3:P"")),3,FALSE))"),"#REF!")</f>
        <v>#REF!</v>
      </c>
      <c r="H42" s="313" t="str">
        <f>IFERROR(__xludf.DUMMYFUNCTION("IF(ISBLANK(H40),"""",HLOOKUP(REGEXEXTRACT(H40,"".*-(.*)""),INDIRECT(CONCATENATE(REGEXEXTRACT(H40,""(.*)-.*""),""!C3:I"")),3,FALSE))"),"")</f>
        <v/>
      </c>
      <c r="I42" s="313" t="str">
        <f>IFERROR(__xludf.DUMMYFUNCTION("IF(ISBLANK(I40),"""",HLOOKUP(REGEXEXTRACT(I40,"".*-(.*)""),INDIRECT(CONCATENATE(REGEXEXTRACT(I40,""(.*)-.*""),""!C3:I"")),3,FALSE))"),"")</f>
        <v/>
      </c>
      <c r="J42" s="314" t="str">
        <f>IFERROR(__xludf.DUMMYFUNCTION("IF(ISBLANK(J40),"""",HLOOKUP(REGEXEXTRACT(J40,"".*-(.*)""),INDIRECT(CONCATENATE(REGEXEXTRACT(J40,""(.*)-.*""),""!C3:I"")),3,FALSE))"),"")</f>
        <v/>
      </c>
    </row>
    <row r="44">
      <c r="A44" s="2"/>
      <c r="B44" s="321" t="s">
        <v>337</v>
      </c>
      <c r="C44" s="309"/>
      <c r="D44" s="310"/>
      <c r="E44" s="310" t="s">
        <v>24</v>
      </c>
      <c r="F44" s="310" t="s">
        <v>44</v>
      </c>
      <c r="G44" s="310"/>
      <c r="H44" s="310" t="s">
        <v>338</v>
      </c>
      <c r="I44" s="310"/>
      <c r="J44" s="311"/>
    </row>
    <row r="45">
      <c r="B45" s="322" t="s">
        <v>333</v>
      </c>
      <c r="C45" s="9" t="str">
        <f>IFERROR(__xludf.DUMMYFUNCTION("IF(ISBLANK(C44),"""",HLOOKUP(REGEXEXTRACT(C44,"".*-(.*)""),INDIRECT(CONCATENATE(REGEXEXTRACT(C44,""(.*)-.*""),""!C3:P"")),2,FALSE))"),"")</f>
        <v/>
      </c>
      <c r="D45" s="9" t="str">
        <f>IFERROR(__xludf.DUMMYFUNCTION("IF(ISBLANK(D44),"""",HLOOKUP(REGEXEXTRACT(D44,"".*-(.*)""),INDIRECT(CONCATENATE(REGEXEXTRACT(D44,""(.*)-.*""),""!C3:P"")),2,FALSE))"),"")</f>
        <v/>
      </c>
      <c r="E45" s="59" t="str">
        <f>IFERROR(__xludf.DUMMYFUNCTION("IF(ISBLANK(E44),"""",HLOOKUP(REGEXEXTRACT(E44,"".*-(.*)""),INDIRECT(CONCATENATE(REGEXEXTRACT(E44,""(.*)-.*""),""!C3:Q"")),2,FALSE))"),"Slayer")</f>
        <v>Slayer</v>
      </c>
      <c r="F45" s="59" t="str">
        <f>IFERROR(__xludf.DUMMYFUNCTION("IF(ISBLANK(F44),"""",HLOOKUP(REGEXEXTRACT(F44,"".*-(.*)""),INDIRECT(CONCATENATE(REGEXEXTRACT(F44,""(.*)-.*""),""!C3:I"")),2,FALSE))"),"#N/A")</f>
        <v>#N/A</v>
      </c>
      <c r="G45" s="9" t="str">
        <f>IFERROR(__xludf.DUMMYFUNCTION("IF(ISBLANK(G44),"""",HLOOKUP(REGEXEXTRACT(G44,"".*-(.*)""),INDIRECT(CONCATENATE(REGEXEXTRACT(G44,""(.*)-.*""),""!C3:P"")),2,FALSE))"),"")</f>
        <v/>
      </c>
      <c r="H45" s="59" t="str">
        <f>IFERROR(__xludf.DUMMYFUNCTION("IF(ISBLANK(H44),"""",HLOOKUP(REGEXEXTRACT(H44,"".*-(.*)""),INDIRECT(CONCATENATE(REGEXEXTRACT(H44,""(.*)-.*""),""!C3:I"")),2,FALSE))"),"#REF!")</f>
        <v>#REF!</v>
      </c>
      <c r="I45" s="59" t="str">
        <f>IFERROR(__xludf.DUMMYFUNCTION("IF(ISBLANK(I44),"""",HLOOKUP(REGEXEXTRACT(I44,"".*-(.*)""),INDIRECT(CONCATENATE(REGEXEXTRACT(I44,""(.*)-.*""),""!C3:I"")),2,FALSE))"),"")</f>
        <v/>
      </c>
      <c r="J45" s="312" t="str">
        <f>IFERROR(__xludf.DUMMYFUNCTION("IF(ISBLANK(J44),"""",HLOOKUP(REGEXEXTRACT(J44,"".*-(.*)""),INDIRECT(CONCATENATE(REGEXEXTRACT(J44,""(.*)-.*""),""!C3:I"")),2,FALSE))"),"")</f>
        <v/>
      </c>
    </row>
    <row r="46">
      <c r="B46" s="323" t="s">
        <v>339</v>
      </c>
      <c r="C46" s="12" t="str">
        <f>IFERROR(__xludf.DUMMYFUNCTION("IF(ISBLANK(C44),"""",HLOOKUP(REGEXEXTRACT(C44,"".*-(.*)""),INDIRECT(CONCATENATE(REGEXEXTRACT(C44,""(.*)-.*""),""!C3:P"")),3,FALSE))"),"")</f>
        <v/>
      </c>
      <c r="D46" s="12" t="str">
        <f>IFERROR(__xludf.DUMMYFUNCTION("IF(ISBLANK(D44),"""",HLOOKUP(REGEXEXTRACT(D44,"".*-(.*)""),INDIRECT(CONCATENATE(REGEXEXTRACT(D44,""(.*)-.*""),""!C3:P"")),3,FALSE))"),"")</f>
        <v/>
      </c>
      <c r="E46" s="313">
        <f>IFERROR(__xludf.DUMMYFUNCTION("IF(ISBLANK(E44),"""",HLOOKUP(REGEXEXTRACT(E44,"".*-(.*)""),INDIRECT(CONCATENATE(REGEXEXTRACT(E44,""(.*)-.*""),""!C3:Q"")),3,FALSE))"),1750.0)</f>
        <v>1750</v>
      </c>
      <c r="F46" s="313" t="str">
        <f>IFERROR(__xludf.DUMMYFUNCTION("IF(ISBLANK(F44),"""",HLOOKUP(REGEXEXTRACT(F44,"".*-(.*)""),INDIRECT(CONCATENATE(REGEXEXTRACT(F44,""(.*)-.*""),""!C3:I"")),3,FALSE))"),"#N/A")</f>
        <v>#N/A</v>
      </c>
      <c r="G46" s="12" t="str">
        <f>IFERROR(__xludf.DUMMYFUNCTION("IF(ISBLANK(G44),"""",HLOOKUP(REGEXEXTRACT(G44,"".*-(.*)""),INDIRECT(CONCATENATE(REGEXEXTRACT(G44,""(.*)-.*""),""!C3:P"")),3,FALSE))"),"")</f>
        <v/>
      </c>
      <c r="H46" s="313" t="str">
        <f>IFERROR(__xludf.DUMMYFUNCTION("IF(ISBLANK(H44),"""",HLOOKUP(REGEXEXTRACT(H44,"".*-(.*)""),INDIRECT(CONCATENATE(REGEXEXTRACT(H44,""(.*)-.*""),""!C3:I"")),3,FALSE))"),"#REF!")</f>
        <v>#REF!</v>
      </c>
      <c r="I46" s="313" t="str">
        <f>IFERROR(__xludf.DUMMYFUNCTION("IF(ISBLANK(I44),"""",HLOOKUP(REGEXEXTRACT(I44,"".*-(.*)""),INDIRECT(CONCATENATE(REGEXEXTRACT(I44,""(.*)-.*""),""!C3:I"")),3,FALSE))"),"")</f>
        <v/>
      </c>
      <c r="J46" s="314" t="str">
        <f>IFERROR(__xludf.DUMMYFUNCTION("IF(ISBLANK(J44),"""",HLOOKUP(REGEXEXTRACT(J44,"".*-(.*)""),INDIRECT(CONCATENATE(REGEXEXTRACT(J44,""(.*)-.*""),""!C3:I"")),3,FALSE))"),"")</f>
        <v/>
      </c>
    </row>
    <row r="47">
      <c r="A47" s="2"/>
      <c r="D47" s="7" t="s">
        <v>316</v>
      </c>
    </row>
    <row r="48">
      <c r="A48" s="2"/>
      <c r="B48" s="321" t="s">
        <v>337</v>
      </c>
      <c r="C48" s="309"/>
      <c r="D48" s="310"/>
      <c r="E48" s="310"/>
      <c r="F48" s="310"/>
      <c r="G48" s="310"/>
      <c r="H48" s="310"/>
      <c r="I48" s="310"/>
      <c r="J48" s="311"/>
    </row>
    <row r="49">
      <c r="B49" s="322" t="s">
        <v>120</v>
      </c>
      <c r="C49" s="9" t="str">
        <f>IFERROR(__xludf.DUMMYFUNCTION("IF(ISBLANK(C48),"""",HLOOKUP(REGEXEXTRACT(C48,"".*-(.*)""),INDIRECT(CONCATENATE(REGEXEXTRACT(C48,""(.*)-.*""),""!C3:P"")),2,FALSE))"),"")</f>
        <v/>
      </c>
      <c r="D49" s="9" t="str">
        <f>IFERROR(__xludf.DUMMYFUNCTION("IF(ISBLANK(D48),"""",HLOOKUP(REGEXEXTRACT(D48,"".*-(.*)""),INDIRECT(CONCATENATE(REGEXEXTRACT(D48,""(.*)-.*""),""!C3:P"")),2,FALSE))"),"")</f>
        <v/>
      </c>
      <c r="E49" s="59" t="str">
        <f>IFERROR(__xludf.DUMMYFUNCTION("IF(ISBLANK(E48),"""",HLOOKUP(REGEXEXTRACT(E48,"".*-(.*)""),INDIRECT(CONCATENATE(REGEXEXTRACT(E48,""(.*)-.*""),""!C3:I"")),2,FALSE))"),"")</f>
        <v/>
      </c>
      <c r="F49" s="59" t="str">
        <f>IFERROR(__xludf.DUMMYFUNCTION("IF(ISBLANK(F48),"""",HLOOKUP(REGEXEXTRACT(F48,"".*-(.*)""),INDIRECT(CONCATENATE(REGEXEXTRACT(F48,""(.*)-.*""),""!C3:I"")),2,FALSE))"),"")</f>
        <v/>
      </c>
      <c r="G49" s="9" t="str">
        <f>IFERROR(__xludf.DUMMYFUNCTION("IF(ISBLANK(G48),"""",HLOOKUP(REGEXEXTRACT(G48,"".*-(.*)""),INDIRECT(CONCATENATE(REGEXEXTRACT(G48,""(.*)-.*""),""!C3:P"")),2,FALSE))"),"")</f>
        <v/>
      </c>
      <c r="H49" s="59" t="str">
        <f>IFERROR(__xludf.DUMMYFUNCTION("IF(ISBLANK(H48),"""",HLOOKUP(REGEXEXTRACT(H48,"".*-(.*)""),INDIRECT(CONCATENATE(REGEXEXTRACT(H48,""(.*)-.*""),""!C3:I"")),2,FALSE))"),"")</f>
        <v/>
      </c>
      <c r="I49" s="59" t="str">
        <f>IFERROR(__xludf.DUMMYFUNCTION("IF(ISBLANK(I48),"""",HLOOKUP(REGEXEXTRACT(I48,"".*-(.*)""),INDIRECT(CONCATENATE(REGEXEXTRACT(I48,""(.*)-.*""),""!C3:I"")),2,FALSE))"),"")</f>
        <v/>
      </c>
      <c r="J49" s="312" t="str">
        <f>IFERROR(__xludf.DUMMYFUNCTION("IF(ISBLANK(J48),"""",HLOOKUP(REGEXEXTRACT(J48,"".*-(.*)""),INDIRECT(CONCATENATE(REGEXEXTRACT(J48,""(.*)-.*""),""!C3:I"")),2,FALSE))"),"")</f>
        <v/>
      </c>
    </row>
    <row r="50">
      <c r="B50" s="323" t="s">
        <v>340</v>
      </c>
      <c r="C50" s="12" t="str">
        <f>IFERROR(__xludf.DUMMYFUNCTION("IF(ISBLANK(C48),"""",HLOOKUP(REGEXEXTRACT(C48,"".*-(.*)""),INDIRECT(CONCATENATE(REGEXEXTRACT(C48,""(.*)-.*""),""!C3:P"")),3,FALSE))"),"")</f>
        <v/>
      </c>
      <c r="D50" s="12" t="str">
        <f>IFERROR(__xludf.DUMMYFUNCTION("IF(ISBLANK(D48),"""",HLOOKUP(REGEXEXTRACT(D48,"".*-(.*)""),INDIRECT(CONCATENATE(REGEXEXTRACT(D48,""(.*)-.*""),""!C3:P"")),3,FALSE))"),"")</f>
        <v/>
      </c>
      <c r="E50" s="313" t="str">
        <f>IFERROR(__xludf.DUMMYFUNCTION("IF(ISBLANK(E48),"""",HLOOKUP(REGEXEXTRACT(E48,"".*-(.*)""),INDIRECT(CONCATENATE(REGEXEXTRACT(E48,""(.*)-.*""),""!C3:I"")),3,FALSE))"),"")</f>
        <v/>
      </c>
      <c r="F50" s="313" t="str">
        <f>IFERROR(__xludf.DUMMYFUNCTION("IF(ISBLANK(F48),"""",HLOOKUP(REGEXEXTRACT(F48,"".*-(.*)""),INDIRECT(CONCATENATE(REGEXEXTRACT(F48,""(.*)-.*""),""!C3:I"")),3,FALSE))"),"")</f>
        <v/>
      </c>
      <c r="G50" s="12" t="str">
        <f>IFERROR(__xludf.DUMMYFUNCTION("IF(ISBLANK(G48),"""",HLOOKUP(REGEXEXTRACT(G48,"".*-(.*)""),INDIRECT(CONCATENATE(REGEXEXTRACT(G48,""(.*)-.*""),""!C3:P"")),3,FALSE))"),"")</f>
        <v/>
      </c>
      <c r="H50" s="313" t="str">
        <f>IFERROR(__xludf.DUMMYFUNCTION("IF(ISBLANK(H48),"""",HLOOKUP(REGEXEXTRACT(H48,"".*-(.*)""),INDIRECT(CONCATENATE(REGEXEXTRACT(H48,""(.*)-.*""),""!C3:I"")),3,FALSE))"),"")</f>
        <v/>
      </c>
      <c r="I50" s="313" t="str">
        <f>IFERROR(__xludf.DUMMYFUNCTION("IF(ISBLANK(I48),"""",HLOOKUP(REGEXEXTRACT(I48,"".*-(.*)""),INDIRECT(CONCATENATE(REGEXEXTRACT(I48,""(.*)-.*""),""!C3:I"")),3,FALSE))"),"")</f>
        <v/>
      </c>
      <c r="J50" s="314" t="str">
        <f>IFERROR(__xludf.DUMMYFUNCTION("IF(ISBLANK(J48),"""",HLOOKUP(REGEXEXTRACT(J48,"".*-(.*)""),INDIRECT(CONCATENATE(REGEXEXTRACT(J48,""(.*)-.*""),""!C3:I"")),3,FALSE))"),"")</f>
        <v/>
      </c>
    </row>
    <row r="52">
      <c r="A52" s="2"/>
      <c r="B52" s="324" t="s">
        <v>341</v>
      </c>
      <c r="C52" s="309" t="s">
        <v>74</v>
      </c>
      <c r="D52" s="310" t="s">
        <v>33</v>
      </c>
      <c r="E52" s="310"/>
      <c r="F52" s="310"/>
      <c r="G52" s="310"/>
      <c r="H52" s="310"/>
      <c r="I52" s="310"/>
      <c r="J52" s="311"/>
    </row>
    <row r="53">
      <c r="B53" s="199"/>
      <c r="C53" s="9" t="str">
        <f>IFERROR(__xludf.DUMMYFUNCTION("IF(ISBLANK(C52),"""",HLOOKUP(REGEXEXTRACT(C52,"".*-(.*)""),INDIRECT(CONCATENATE(REGEXEXTRACT(C52,""(.*)-.*""),""!C3:P"")),2,FALSE))"),"#REF!")</f>
        <v>#REF!</v>
      </c>
      <c r="D53" s="9" t="str">
        <f>IFERROR(__xludf.DUMMYFUNCTION("IF(ISBLANK(D52),"""",HLOOKUP(REGEXEXTRACT(D52,"".*-(.*)""),INDIRECT(CONCATENATE(REGEXEXTRACT(D52,""(.*)-.*""),""!C3:P"")),2,FALSE))"),"#REF!")</f>
        <v>#REF!</v>
      </c>
      <c r="E53" s="59" t="str">
        <f>IFERROR(__xludf.DUMMYFUNCTION("IF(ISBLANK(E52),"""",HLOOKUP(REGEXEXTRACT(E52,"".*-(.*)""),INDIRECT(CONCATENATE(REGEXEXTRACT(E52,""(.*)-.*""),""!C3:I"")),2,FALSE))"),"")</f>
        <v/>
      </c>
      <c r="F53" s="59" t="str">
        <f>IFERROR(__xludf.DUMMYFUNCTION("IF(ISBLANK(F52),"""",HLOOKUP(REGEXEXTRACT(F52,"".*-(.*)""),INDIRECT(CONCATENATE(REGEXEXTRACT(F52,""(.*)-.*""),""!C3:I"")),2,FALSE))"),"")</f>
        <v/>
      </c>
      <c r="G53" s="9" t="str">
        <f>IFERROR(__xludf.DUMMYFUNCTION("IF(ISBLANK(G52),"""",HLOOKUP(REGEXEXTRACT(G52,"".*-(.*)""),INDIRECT(CONCATENATE(REGEXEXTRACT(G52,""(.*)-.*""),""!C3:P"")),2,FALSE))"),"")</f>
        <v/>
      </c>
      <c r="H53" s="59" t="str">
        <f>IFERROR(__xludf.DUMMYFUNCTION("IF(ISBLANK(H52),"""",HLOOKUP(REGEXEXTRACT(H52,"".*-(.*)""),INDIRECT(CONCATENATE(REGEXEXTRACT(H52,""(.*)-.*""),""!C3:I"")),2,FALSE))"),"")</f>
        <v/>
      </c>
      <c r="I53" s="59" t="str">
        <f>IFERROR(__xludf.DUMMYFUNCTION("IF(ISBLANK(I52),"""",HLOOKUP(REGEXEXTRACT(I52,"".*-(.*)""),INDIRECT(CONCATENATE(REGEXEXTRACT(I52,""(.*)-.*""),""!C3:I"")),2,FALSE))"),"")</f>
        <v/>
      </c>
      <c r="J53" s="312" t="str">
        <f>IFERROR(__xludf.DUMMYFUNCTION("IF(ISBLANK(J52),"""",HLOOKUP(REGEXEXTRACT(J52,"".*-(.*)""),INDIRECT(CONCATENATE(REGEXEXTRACT(J52,""(.*)-.*""),""!C3:I"")),2,FALSE))"),"")</f>
        <v/>
      </c>
    </row>
    <row r="54">
      <c r="B54" s="200"/>
      <c r="C54" s="12" t="str">
        <f>IFERROR(__xludf.DUMMYFUNCTION("IF(ISBLANK(C52),"""",HLOOKUP(REGEXEXTRACT(C52,"".*-(.*)""),INDIRECT(CONCATENATE(REGEXEXTRACT(C52,""(.*)-.*""),""!C3:P"")),3,FALSE))"),"#REF!")</f>
        <v>#REF!</v>
      </c>
      <c r="D54" s="12" t="str">
        <f>IFERROR(__xludf.DUMMYFUNCTION("IF(ISBLANK(D52),"""",HLOOKUP(REGEXEXTRACT(D52,"".*-(.*)""),INDIRECT(CONCATENATE(REGEXEXTRACT(D52,""(.*)-.*""),""!C3:P"")),3,FALSE))"),"#REF!")</f>
        <v>#REF!</v>
      </c>
      <c r="E54" s="313" t="str">
        <f>IFERROR(__xludf.DUMMYFUNCTION("IF(ISBLANK(E52),"""",HLOOKUP(REGEXEXTRACT(E52,"".*-(.*)""),INDIRECT(CONCATENATE(REGEXEXTRACT(E52,""(.*)-.*""),""!C3:I"")),3,FALSE))"),"")</f>
        <v/>
      </c>
      <c r="F54" s="313" t="str">
        <f>IFERROR(__xludf.DUMMYFUNCTION("IF(ISBLANK(F52),"""",HLOOKUP(REGEXEXTRACT(F52,"".*-(.*)""),INDIRECT(CONCATENATE(REGEXEXTRACT(F52,""(.*)-.*""),""!C3:I"")),3,FALSE))"),"")</f>
        <v/>
      </c>
      <c r="G54" s="12" t="str">
        <f>IFERROR(__xludf.DUMMYFUNCTION("IF(ISBLANK(G52),"""",HLOOKUP(REGEXEXTRACT(G52,"".*-(.*)""),INDIRECT(CONCATENATE(REGEXEXTRACT(G52,""(.*)-.*""),""!C3:P"")),3,FALSE))"),"")</f>
        <v/>
      </c>
      <c r="H54" s="313" t="str">
        <f>IFERROR(__xludf.DUMMYFUNCTION("IF(ISBLANK(H52),"""",HLOOKUP(REGEXEXTRACT(H52,"".*-(.*)""),INDIRECT(CONCATENATE(REGEXEXTRACT(H52,""(.*)-.*""),""!C3:I"")),3,FALSE))"),"")</f>
        <v/>
      </c>
      <c r="I54" s="313" t="str">
        <f>IFERROR(__xludf.DUMMYFUNCTION("IF(ISBLANK(I52),"""",HLOOKUP(REGEXEXTRACT(I52,"".*-(.*)""),INDIRECT(CONCATENATE(REGEXEXTRACT(I52,""(.*)-.*""),""!C3:I"")),3,FALSE))"),"")</f>
        <v/>
      </c>
      <c r="J54" s="314" t="str">
        <f>IFERROR(__xludf.DUMMYFUNCTION("IF(ISBLANK(J52),"""",HLOOKUP(REGEXEXTRACT(J52,"".*-(.*)""),INDIRECT(CONCATENATE(REGEXEXTRACT(J52,""(.*)-.*""),""!C3:I"")),3,FALSE))"),"")</f>
        <v/>
      </c>
    </row>
    <row r="60">
      <c r="A60" s="7" t="s">
        <v>321</v>
      </c>
      <c r="B60" s="7" t="s">
        <v>322</v>
      </c>
      <c r="C60" s="7" t="s">
        <v>98</v>
      </c>
      <c r="D60" s="7" t="s">
        <v>99</v>
      </c>
      <c r="E60" s="7" t="s">
        <v>102</v>
      </c>
      <c r="F60" s="7" t="s">
        <v>323</v>
      </c>
      <c r="G60" s="7" t="s">
        <v>324</v>
      </c>
    </row>
    <row r="61">
      <c r="A61" s="7" t="s">
        <v>97</v>
      </c>
      <c r="B61" s="325" t="s">
        <v>342</v>
      </c>
      <c r="C61" s="325" t="s">
        <v>342</v>
      </c>
      <c r="D61" s="326" t="s">
        <v>342</v>
      </c>
      <c r="E61" s="325" t="s">
        <v>343</v>
      </c>
      <c r="F61" s="326" t="s">
        <v>343</v>
      </c>
      <c r="G61" s="326" t="s">
        <v>344</v>
      </c>
    </row>
    <row r="62">
      <c r="A62" s="7" t="s">
        <v>119</v>
      </c>
      <c r="B62" s="325" t="s">
        <v>342</v>
      </c>
      <c r="C62" s="325" t="s">
        <v>342</v>
      </c>
      <c r="D62" s="326" t="s">
        <v>342</v>
      </c>
      <c r="E62" s="325" t="s">
        <v>343</v>
      </c>
      <c r="F62" s="326" t="s">
        <v>343</v>
      </c>
      <c r="G62" s="326" t="s">
        <v>344</v>
      </c>
    </row>
    <row r="63">
      <c r="A63" s="7" t="s">
        <v>140</v>
      </c>
      <c r="B63" s="325" t="s">
        <v>342</v>
      </c>
      <c r="C63" s="325" t="s">
        <v>342</v>
      </c>
      <c r="D63" s="326" t="s">
        <v>342</v>
      </c>
      <c r="E63" s="325" t="s">
        <v>343</v>
      </c>
      <c r="F63" s="326" t="s">
        <v>343</v>
      </c>
      <c r="G63" s="327" t="s">
        <v>345</v>
      </c>
    </row>
    <row r="64">
      <c r="A64" s="7" t="s">
        <v>193</v>
      </c>
      <c r="B64" s="325" t="s">
        <v>342</v>
      </c>
      <c r="C64" s="325" t="s">
        <v>342</v>
      </c>
      <c r="D64" s="326" t="s">
        <v>342</v>
      </c>
      <c r="E64" s="326" t="s">
        <v>343</v>
      </c>
      <c r="F64" s="325" t="s">
        <v>343</v>
      </c>
      <c r="G64" s="325" t="s">
        <v>342</v>
      </c>
    </row>
    <row r="65">
      <c r="A65" s="7" t="s">
        <v>226</v>
      </c>
      <c r="B65" s="325" t="s">
        <v>342</v>
      </c>
      <c r="C65" s="325" t="s">
        <v>342</v>
      </c>
      <c r="D65" s="325" t="s">
        <v>342</v>
      </c>
      <c r="E65" s="326" t="s">
        <v>343</v>
      </c>
      <c r="F65" s="325" t="s">
        <v>343</v>
      </c>
      <c r="G65" s="325" t="s">
        <v>342</v>
      </c>
    </row>
    <row r="66">
      <c r="A66" s="7" t="s">
        <v>227</v>
      </c>
      <c r="B66" s="325" t="s">
        <v>342</v>
      </c>
      <c r="C66" s="325" t="s">
        <v>342</v>
      </c>
      <c r="D66" s="325" t="s">
        <v>342</v>
      </c>
      <c r="E66" s="325" t="s">
        <v>343</v>
      </c>
      <c r="F66" s="326" t="s">
        <v>343</v>
      </c>
      <c r="G66" s="327" t="s">
        <v>345</v>
      </c>
    </row>
    <row r="67" ht="15.0" customHeight="1">
      <c r="A67" s="7" t="s">
        <v>228</v>
      </c>
      <c r="B67" s="325" t="s">
        <v>342</v>
      </c>
      <c r="C67" s="325" t="s">
        <v>342</v>
      </c>
      <c r="D67" s="327" t="s">
        <v>346</v>
      </c>
      <c r="E67" s="325" t="s">
        <v>343</v>
      </c>
      <c r="F67" s="326" t="s">
        <v>343</v>
      </c>
      <c r="G67" s="327" t="s">
        <v>345</v>
      </c>
    </row>
  </sheetData>
  <mergeCells count="11">
    <mergeCell ref="A40:A42"/>
    <mergeCell ref="A44:A46"/>
    <mergeCell ref="A48:A50"/>
    <mergeCell ref="A52:A54"/>
    <mergeCell ref="A12:A14"/>
    <mergeCell ref="A16:A18"/>
    <mergeCell ref="A20:A22"/>
    <mergeCell ref="A24:A26"/>
    <mergeCell ref="A28:A30"/>
    <mergeCell ref="A32:A34"/>
    <mergeCell ref="A36:A38"/>
  </mergeCells>
  <conditionalFormatting sqref="A12:A14 A16:A18 A20:A22 A24:A26 A28:A30 A32:A34 A36:A38 A40:A50 A52:A54">
    <cfRule type="cellIs" dxfId="0" priority="1" operator="equal">
      <formula>"DONE"</formula>
    </cfRule>
  </conditionalFormatting>
  <dataValidations>
    <dataValidation type="list" allowBlank="1" showErrorMessage="1" sqref="C12:J12 C16:J16 C20:J20 C24:J24 C28:J28 C32:J32 C36:J36 C40:J40 C44:J44 C48:J48 C52:J52">
      <formula1>chars!$B$2:$Z965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5" max="5" width="6.38"/>
    <col hidden="1" min="7" max="8" width="12.63"/>
    <col customWidth="1" hidden="1" min="9" max="9" width="21.88"/>
    <col hidden="1" min="10" max="11" width="12.63"/>
  </cols>
  <sheetData>
    <row r="1">
      <c r="A1" s="328" t="s">
        <v>347</v>
      </c>
    </row>
    <row r="2">
      <c r="A2" s="134" t="s">
        <v>348</v>
      </c>
    </row>
    <row r="3">
      <c r="G3" s="7" t="s">
        <v>349</v>
      </c>
      <c r="H3" s="182">
        <f>COUNTIF(H20:J20,"&gt;0")</f>
        <v>2</v>
      </c>
    </row>
    <row r="4">
      <c r="A4" s="328" t="s">
        <v>350</v>
      </c>
      <c r="G4" s="7"/>
    </row>
    <row r="5">
      <c r="A5" s="7" t="s">
        <v>351</v>
      </c>
      <c r="G5" s="7" t="s">
        <v>352</v>
      </c>
    </row>
    <row r="6">
      <c r="A6" s="7" t="s">
        <v>353</v>
      </c>
    </row>
    <row r="7">
      <c r="A7" s="7" t="s">
        <v>354</v>
      </c>
      <c r="G7" s="7" t="s">
        <v>355</v>
      </c>
    </row>
    <row r="8">
      <c r="A8" s="7" t="s">
        <v>356</v>
      </c>
      <c r="G8" s="182" t="str">
        <f>IFS(H20&gt;0,H19,I20&gt;0,I19,J20&gt;0,J19)</f>
        <v>Driver 2 Delay</v>
      </c>
      <c r="H8" s="7" t="s">
        <v>357</v>
      </c>
      <c r="I8" s="182" t="str">
        <f>IF(G8=H19,I19,H19)</f>
        <v>Driver 1 Alx</v>
      </c>
      <c r="J8" s="7" t="s">
        <v>358</v>
      </c>
      <c r="K8" s="329">
        <f>IF(G8=H19,I20,H20)</f>
        <v>-1378.883333</v>
      </c>
    </row>
    <row r="9">
      <c r="A9" s="7" t="s">
        <v>359</v>
      </c>
      <c r="G9" s="182" t="str">
        <f>IFS(H20&gt;0,H19,I20&gt;0,I19,J20&gt;0,J19)</f>
        <v>Driver 2 Delay</v>
      </c>
      <c r="H9" s="7" t="s">
        <v>357</v>
      </c>
      <c r="I9" s="182" t="str">
        <f>IFS(G9=H19,J19,G9=I19,J19,G9=J19,I19)</f>
        <v>Driver 3 Marcel</v>
      </c>
      <c r="J9" s="7" t="s">
        <v>358</v>
      </c>
      <c r="K9" s="182">
        <f>IFS(G9=H19,J20,G9=I19,J20,G9=J19,I20)</f>
        <v>1119.266667</v>
      </c>
    </row>
    <row r="11">
      <c r="B11" s="330" t="s">
        <v>322</v>
      </c>
      <c r="C11" s="330" t="s">
        <v>98</v>
      </c>
      <c r="D11" s="330" t="s">
        <v>99</v>
      </c>
      <c r="G11" s="7" t="s">
        <v>360</v>
      </c>
    </row>
    <row r="12">
      <c r="B12" s="7" t="s">
        <v>361</v>
      </c>
      <c r="C12" s="7" t="s">
        <v>362</v>
      </c>
      <c r="D12" s="7" t="s">
        <v>363</v>
      </c>
      <c r="G12" s="182" t="str">
        <f>IF(I12=H19,I19,H19)</f>
        <v>Driver 2 Delay</v>
      </c>
      <c r="H12" s="7" t="s">
        <v>357</v>
      </c>
      <c r="I12" s="182" t="str">
        <f>IFS(H20&lt;0,H19,I20&lt;0,I19,J20&lt;0,J19)</f>
        <v>Driver 1 Alx</v>
      </c>
      <c r="J12" s="7" t="s">
        <v>358</v>
      </c>
      <c r="K12" s="182">
        <f t="shared" ref="K12:K13" si="1">IFS(G12=$H$19,$H$20,G12=$I$19,$I$20,G12=$J$19,$J$20)</f>
        <v>259.6166667</v>
      </c>
    </row>
    <row r="13">
      <c r="B13" s="331">
        <v>110348.0</v>
      </c>
      <c r="C13" s="331">
        <v>103400.0</v>
      </c>
      <c r="D13" s="332">
        <v>113710.0</v>
      </c>
      <c r="G13" s="182" t="str">
        <f>IFS(I12=H19,J19,I12=I19,J19,I12=J19,I19)</f>
        <v>Driver 3 Marcel</v>
      </c>
      <c r="H13" s="7" t="s">
        <v>357</v>
      </c>
      <c r="I13" s="182" t="str">
        <f>IFS(H20&lt;0,H19,I20&lt;0,I19,J20&lt;0,J19)</f>
        <v>Driver 1 Alx</v>
      </c>
      <c r="J13" s="7" t="s">
        <v>358</v>
      </c>
      <c r="K13" s="182">
        <f t="shared" si="1"/>
        <v>1119.266667</v>
      </c>
    </row>
    <row r="14">
      <c r="B14" s="331"/>
      <c r="C14" s="331"/>
      <c r="D14" s="331"/>
    </row>
    <row r="15">
      <c r="B15" s="331"/>
      <c r="C15" s="331"/>
      <c r="D15" s="331"/>
    </row>
    <row r="16">
      <c r="B16" s="331"/>
      <c r="C16" s="331"/>
      <c r="D16" s="331"/>
      <c r="F16" s="333"/>
      <c r="G16" s="7" t="s">
        <v>364</v>
      </c>
      <c r="H16" s="329">
        <f>SUM(B40:D40)</f>
        <v>448355.75</v>
      </c>
    </row>
    <row r="17">
      <c r="B17" s="331"/>
      <c r="C17" s="331"/>
      <c r="D17" s="331"/>
      <c r="G17" s="7" t="s">
        <v>365</v>
      </c>
      <c r="H17" s="329">
        <f>H16/3</f>
        <v>149451.9167</v>
      </c>
    </row>
    <row r="18">
      <c r="B18" s="331"/>
      <c r="C18" s="331"/>
      <c r="D18" s="331"/>
    </row>
    <row r="19">
      <c r="B19" s="331"/>
      <c r="C19" s="331"/>
      <c r="D19" s="331"/>
      <c r="H19" s="330" t="str">
        <f t="shared" ref="H19:J19" si="2">CONCAT(B12,B11)</f>
        <v>Driver 1 Alx</v>
      </c>
      <c r="I19" s="330" t="str">
        <f t="shared" si="2"/>
        <v>Driver 2 Delay</v>
      </c>
      <c r="J19" s="330" t="str">
        <f t="shared" si="2"/>
        <v>Driver 3 Marcel</v>
      </c>
    </row>
    <row r="20">
      <c r="B20" s="331"/>
      <c r="C20" s="331"/>
      <c r="D20" s="331"/>
      <c r="G20" s="7" t="s">
        <v>366</v>
      </c>
      <c r="H20" s="329">
        <f t="shared" ref="H20:J20" si="3">$H$17-B40</f>
        <v>-1378.883333</v>
      </c>
      <c r="I20" s="329">
        <f t="shared" si="3"/>
        <v>259.6166667</v>
      </c>
      <c r="J20" s="329">
        <f t="shared" si="3"/>
        <v>1119.266667</v>
      </c>
    </row>
    <row r="21">
      <c r="B21" s="331"/>
      <c r="C21" s="331"/>
      <c r="D21" s="331"/>
    </row>
    <row r="22">
      <c r="B22" s="331"/>
      <c r="C22" s="331"/>
      <c r="D22" s="331"/>
    </row>
    <row r="23">
      <c r="B23" s="331"/>
      <c r="C23" s="331"/>
      <c r="D23" s="331"/>
    </row>
    <row r="24">
      <c r="B24" s="331"/>
      <c r="C24" s="331"/>
      <c r="D24" s="331"/>
      <c r="J24" s="7"/>
    </row>
    <row r="25">
      <c r="B25" s="331"/>
      <c r="C25" s="331"/>
      <c r="D25" s="331"/>
      <c r="J25" s="7"/>
    </row>
    <row r="26">
      <c r="B26" s="331"/>
      <c r="C26" s="331"/>
      <c r="D26" s="331"/>
      <c r="J26" s="7"/>
    </row>
    <row r="27">
      <c r="B27" s="331"/>
      <c r="C27" s="331"/>
      <c r="D27" s="331"/>
      <c r="J27" s="7"/>
    </row>
    <row r="28">
      <c r="B28" s="334"/>
      <c r="C28" s="334"/>
      <c r="D28" s="334"/>
      <c r="F28" s="7"/>
      <c r="J28" s="7"/>
    </row>
    <row r="29">
      <c r="B29" s="334"/>
      <c r="C29" s="334"/>
      <c r="D29" s="334"/>
      <c r="J29" s="7"/>
    </row>
    <row r="30">
      <c r="B30" s="334"/>
      <c r="C30" s="334"/>
      <c r="D30" s="334"/>
      <c r="J30" s="7"/>
    </row>
    <row r="31">
      <c r="B31" s="334"/>
      <c r="C31" s="334"/>
      <c r="D31" s="334"/>
      <c r="J31" s="7"/>
    </row>
    <row r="32">
      <c r="B32" s="335">
        <v>41977.0</v>
      </c>
      <c r="C32" s="335">
        <v>48914.0</v>
      </c>
      <c r="D32" s="335">
        <v>40127.0</v>
      </c>
      <c r="J32" s="7"/>
    </row>
    <row r="33">
      <c r="B33" s="336">
        <v>510.0</v>
      </c>
      <c r="C33" s="336">
        <v>450.0</v>
      </c>
      <c r="D33" s="336">
        <v>400.0</v>
      </c>
      <c r="J33" s="7"/>
    </row>
    <row r="34">
      <c r="B34" s="128">
        <v>140.0</v>
      </c>
      <c r="C34" s="128">
        <v>2475.0</v>
      </c>
      <c r="D34" s="128">
        <v>570.0</v>
      </c>
      <c r="J34" s="7"/>
    </row>
    <row r="35">
      <c r="B35" s="336">
        <v>50.0</v>
      </c>
      <c r="C35" s="336">
        <v>200.0</v>
      </c>
      <c r="D35" s="336">
        <v>749.0</v>
      </c>
      <c r="J35" s="7"/>
    </row>
    <row r="36">
      <c r="B36" s="128">
        <v>6999.0</v>
      </c>
      <c r="C36" s="128">
        <v>3045.0</v>
      </c>
      <c r="D36" s="128">
        <v>3100.0</v>
      </c>
    </row>
    <row r="37">
      <c r="B37" s="337">
        <v>100.0</v>
      </c>
      <c r="C37" s="337">
        <v>100.0</v>
      </c>
      <c r="D37" s="337">
        <v>150.0</v>
      </c>
    </row>
    <row r="38">
      <c r="A38" s="7" t="s">
        <v>367</v>
      </c>
      <c r="B38" s="182">
        <f t="shared" ref="B38:D38" si="4">SUM(B13:B31)</f>
        <v>110348</v>
      </c>
      <c r="C38" s="182">
        <f t="shared" si="4"/>
        <v>103400</v>
      </c>
      <c r="D38" s="182">
        <f t="shared" si="4"/>
        <v>113710</v>
      </c>
    </row>
    <row r="39">
      <c r="A39" s="7" t="s">
        <v>368</v>
      </c>
      <c r="B39" s="338">
        <f t="shared" ref="B39:D39" si="5">SUM(IF(ISNUMBER(B32),B32,0),IF(ISNUMBER(B34),B34,0),IF(ISNUMBER(B36),B36,0)) *0.95 - SUM(IF(ISNUMBER(B33),B33,0),IF(ISNUMBER(B35),B35,0),IF(ISNUMBER(B37),B37,0))</f>
        <v>46000.2</v>
      </c>
      <c r="C39" s="338">
        <f t="shared" si="5"/>
        <v>50962.3</v>
      </c>
      <c r="D39" s="338">
        <f t="shared" si="5"/>
        <v>40308.15</v>
      </c>
    </row>
    <row r="40">
      <c r="A40" s="7" t="s">
        <v>369</v>
      </c>
      <c r="B40" s="329">
        <f t="shared" ref="B40:D40" si="6">B38*0.95+B39</f>
        <v>150830.8</v>
      </c>
      <c r="C40" s="329">
        <f t="shared" si="6"/>
        <v>149192.3</v>
      </c>
      <c r="D40" s="329">
        <f t="shared" si="6"/>
        <v>148332.65</v>
      </c>
    </row>
    <row r="42">
      <c r="A42" s="134" t="str">
        <f t="shared" ref="A42:D42" si="7">IF($H$3=1,G8,G12)</f>
        <v>Driver 2 Delay</v>
      </c>
      <c r="B42" s="328" t="str">
        <f t="shared" si="7"/>
        <v>lists gem for</v>
      </c>
      <c r="C42" s="134" t="str">
        <f t="shared" si="7"/>
        <v>Driver 1 Alx</v>
      </c>
      <c r="D42" s="328" t="str">
        <f t="shared" si="7"/>
        <v>at price</v>
      </c>
      <c r="E42" s="339">
        <f t="shared" ref="E42:E43" si="9">ABS(IF($H$3=1,K8,K12))</f>
        <v>259.6166667</v>
      </c>
    </row>
    <row r="43">
      <c r="A43" s="134" t="str">
        <f t="shared" ref="A43:D43" si="8">IF($H$3=1,G9,G13)</f>
        <v>Driver 3 Marcel</v>
      </c>
      <c r="B43" s="328" t="str">
        <f t="shared" si="8"/>
        <v>lists gem for</v>
      </c>
      <c r="C43" s="134" t="str">
        <f t="shared" si="8"/>
        <v>Driver 1 Alx</v>
      </c>
      <c r="D43" s="328" t="str">
        <f t="shared" si="8"/>
        <v>at price</v>
      </c>
      <c r="E43" s="339">
        <f t="shared" si="9"/>
        <v>1119.266667</v>
      </c>
    </row>
  </sheetData>
  <conditionalFormatting sqref="J1:K1 B11:D11 H19:J19">
    <cfRule type="containsText" dxfId="11" priority="1" operator="containsText" text="Name">
      <formula>NOT(ISERROR(SEARCH(("Name"),(J1))))</formula>
    </cfRule>
  </conditionalFormatting>
  <conditionalFormatting sqref="H20:J20">
    <cfRule type="cellIs" dxfId="12" priority="2" operator="lessThan">
      <formula>0</formula>
    </cfRule>
  </conditionalFormatting>
  <conditionalFormatting sqref="H20:J20">
    <cfRule type="cellIs" dxfId="13" priority="3" operator="greaterThan">
      <formula>0</formula>
    </cfRule>
  </conditionalFormatting>
  <conditionalFormatting sqref="B32:D32 B34:D34 B36:D36">
    <cfRule type="containsText" dxfId="14" priority="4" operator="containsText" text="Book">
      <formula>NOT(ISERROR(SEARCH(("Book"),(B32))))</formula>
    </cfRule>
  </conditionalFormatting>
  <conditionalFormatting sqref="B33:D33 B35:D35 B37:D37">
    <cfRule type="containsText" dxfId="15" priority="5" operator="containsText" text="Book">
      <formula>NOT(ISERROR(SEARCH(("Book"),(B33))))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14.13"/>
    <col customWidth="1" min="4" max="4" width="20.0"/>
    <col customWidth="1" min="5" max="5" width="20.13"/>
    <col customWidth="1" min="6" max="6" width="16.75"/>
  </cols>
  <sheetData>
    <row r="2">
      <c r="A2" s="2"/>
      <c r="B2" s="324" t="s">
        <v>370</v>
      </c>
      <c r="C2" s="340" t="s">
        <v>12</v>
      </c>
      <c r="D2" s="340" t="s">
        <v>37</v>
      </c>
      <c r="E2" s="340" t="s">
        <v>4</v>
      </c>
      <c r="F2" s="340"/>
      <c r="H2" s="2" t="s">
        <v>0</v>
      </c>
      <c r="I2" s="324" t="s">
        <v>371</v>
      </c>
      <c r="J2" s="340"/>
      <c r="K2" s="340"/>
      <c r="L2" s="340"/>
      <c r="M2" s="340"/>
    </row>
    <row r="3">
      <c r="B3" s="199"/>
      <c r="C3" s="182" t="str">
        <f>IFERROR(__xludf.DUMMYFUNCTION("IF(ISBLANK(C2),"""",HLOOKUP(REGEXEXTRACT(C2,"".*-(.*)""),INDIRECT(CONCATENATE(REGEXEXTRACT(C2,""(.*)-.*""),""!C3:I"")),2,FALSE))"),"Bard")</f>
        <v>Bard</v>
      </c>
      <c r="D3" s="182" t="str">
        <f>IFERROR(__xludf.DUMMYFUNCTION("IF(ISBLANK(D2),"""",HLOOKUP(REGEXEXTRACT(D2,"".*-(.*)""),INDIRECT(CONCATENATE(REGEXEXTRACT(D2,""(.*)-.*""),""!C3:I"")),2,FALSE))"),"Guardianknight")</f>
        <v>Guardianknight</v>
      </c>
      <c r="E3" s="182" t="str">
        <f>IFERROR(__xludf.DUMMYFUNCTION("IF(ISBLANK(E2),"""",HLOOKUP(REGEXEXTRACT(E2,"".*-(.*)""),INDIRECT(CONCATENATE(REGEXEXTRACT(E2,""(.*)-.*""),""!C3:I"")),2,FALSE))"),"Gunslinger")</f>
        <v>Gunslinger</v>
      </c>
      <c r="I3" s="199"/>
      <c r="J3" s="182" t="str">
        <f>IFERROR(__xludf.DUMMYFUNCTION("IF(ISBLANK(J2),"""",HLOOKUP(REGEXEXTRACT(J2,"".*-(.*)""),INDIRECT(CONCATENATE(REGEXEXTRACT(J2,""(.*)-.*""),""!C3:I"")),2,FALSE))"),"")</f>
        <v/>
      </c>
      <c r="K3" s="182" t="str">
        <f>IFERROR(__xludf.DUMMYFUNCTION("IF(ISBLANK(K2),"""",HLOOKUP(REGEXEXTRACT(K2,"".*-(.*)""),INDIRECT(CONCATENATE(REGEXEXTRACT(K2,""(.*)-.*""),""!C3:I"")),2,FALSE))"),"")</f>
        <v/>
      </c>
      <c r="L3" s="182" t="str">
        <f>IFERROR(__xludf.DUMMYFUNCTION("IF(ISBLANK(L2),"""",HLOOKUP(REGEXEXTRACT(L2,"".*-(.*)""),INDIRECT(CONCATENATE(REGEXEXTRACT(L2,""(.*)-.*""),""!C3:I"")),2,FALSE))"),"")</f>
        <v/>
      </c>
      <c r="M3" s="182" t="str">
        <f>IFERROR(__xludf.DUMMYFUNCTION("IF(ISBLANK(M2),"""",HLOOKUP(REGEXEXTRACT(M2,"".*-(.*)""),INDIRECT(CONCATENATE(REGEXEXTRACT(M2,""(.*)-.*""),""!C3:I"")),2,FALSE))"),"")</f>
        <v/>
      </c>
    </row>
    <row r="4">
      <c r="B4" s="341"/>
      <c r="C4" s="182">
        <f>IFERROR(__xludf.DUMMYFUNCTION("IF(ISBLANK(C2),"""",HLOOKUP(REGEXEXTRACT(C2,"".*-(.*)""),INDIRECT(CONCATENATE(REGEXEXTRACT(C2,""(.*)-.*""),""!C3:I"")),3,FALSE))"),1560.0)</f>
        <v>1560</v>
      </c>
      <c r="D4" s="182">
        <f>IFERROR(__xludf.DUMMYFUNCTION("IF(ISBLANK(D2),"""",HLOOKUP(REGEXEXTRACT(D2,"".*-(.*)""),INDIRECT(CONCATENATE(REGEXEXTRACT(D2,""(.*)-.*""),""!C3:I"")),3,FALSE))"),1750.0)</f>
        <v>1750</v>
      </c>
      <c r="E4" s="182">
        <f>IFERROR(__xludf.DUMMYFUNCTION("IF(ISBLANK(E2),"""",HLOOKUP(REGEXEXTRACT(E2,"".*-(.*)""),INDIRECT(CONCATENATE(REGEXEXTRACT(E2,""(.*)-.*""),""!C3:I"")),3,FALSE))"),1750.0)</f>
        <v>1750</v>
      </c>
      <c r="I4" s="341"/>
      <c r="J4" s="182" t="str">
        <f>IFERROR(__xludf.DUMMYFUNCTION("IF(ISBLANK(J2),"""",HLOOKUP(REGEXEXTRACT(J2,"".*-(.*)""),INDIRECT(CONCATENATE(REGEXEXTRACT(J2,""(.*)-.*""),""!C3:I"")),3,FALSE))"),"")</f>
        <v/>
      </c>
      <c r="K4" s="182" t="str">
        <f>IFERROR(__xludf.DUMMYFUNCTION("IF(ISBLANK(K2),"""",HLOOKUP(REGEXEXTRACT(K2,"".*-(.*)""),INDIRECT(CONCATENATE(REGEXEXTRACT(K2,""(.*)-.*""),""!C3:I"")),3,FALSE))"),"")</f>
        <v/>
      </c>
      <c r="L4" s="182" t="str">
        <f>IFERROR(__xludf.DUMMYFUNCTION("IF(ISBLANK(L2),"""",HLOOKUP(REGEXEXTRACT(L2,"".*-(.*)""),INDIRECT(CONCATENATE(REGEXEXTRACT(L2,""(.*)-.*""),""!C3:I"")),3,FALSE))"),"")</f>
        <v/>
      </c>
      <c r="M4" s="182" t="str">
        <f>IFERROR(__xludf.DUMMYFUNCTION("IF(ISBLANK(M2),"""",HLOOKUP(REGEXEXTRACT(M2,"".*-(.*)""),INDIRECT(CONCATENATE(REGEXEXTRACT(M2,""(.*)-.*""),""!C3:I"")),3,FALSE))"),"")</f>
        <v/>
      </c>
    </row>
    <row r="5">
      <c r="L5" s="342"/>
    </row>
    <row r="6">
      <c r="A6" s="2"/>
      <c r="B6" s="324" t="s">
        <v>370</v>
      </c>
      <c r="C6" s="340" t="s">
        <v>7</v>
      </c>
      <c r="D6" s="340" t="s">
        <v>3</v>
      </c>
      <c r="E6" s="340" t="s">
        <v>32</v>
      </c>
      <c r="F6" s="340"/>
      <c r="I6" s="7" t="s">
        <v>55</v>
      </c>
      <c r="J6" s="7" t="s">
        <v>98</v>
      </c>
      <c r="K6" s="7" t="s">
        <v>99</v>
      </c>
    </row>
    <row r="7">
      <c r="B7" s="199"/>
      <c r="C7" s="182" t="str">
        <f>IFERROR(__xludf.DUMMYFUNCTION("IF(ISBLANK(C6),"""",HLOOKUP(REGEXEXTRACT(C6,"".*-(.*)""),INDIRECT(CONCATENATE(REGEXEXTRACT(C6,""(.*)-.*""),""!C3:I"")),2,FALSE))"),"Wardancer")</f>
        <v>Wardancer</v>
      </c>
      <c r="D7" s="182" t="str">
        <f>IFERROR(__xludf.DUMMYFUNCTION("IF(ISBLANK(D6),"""",HLOOKUP(REGEXEXTRACT(D6,"".*-(.*)""),INDIRECT(CONCATENATE(REGEXEXTRACT(D6,""(.*)-.*""),""!C3:I"")),2,FALSE))"),"Sorceress")</f>
        <v>Sorceress</v>
      </c>
      <c r="E7" s="182" t="str">
        <f>IFERROR(__xludf.DUMMYFUNCTION("IF(ISBLANK(E6),"""",HLOOKUP(REGEXEXTRACT(E6,"".*-(.*)""),INDIRECT(CONCATENATE(REGEXEXTRACT(E6,""(.*)-.*""),""!C3:I"")),2,FALSE))"),"Glaivier")</f>
        <v>Glaivier</v>
      </c>
      <c r="H7" s="7" t="s">
        <v>372</v>
      </c>
      <c r="I7" s="343">
        <f t="shared" ref="I7:K7" si="1">SUM(I8:I41)</f>
        <v>19362</v>
      </c>
      <c r="J7" s="343">
        <f t="shared" si="1"/>
        <v>19362</v>
      </c>
      <c r="K7" s="343">
        <f t="shared" si="1"/>
        <v>19362</v>
      </c>
    </row>
    <row r="8">
      <c r="B8" s="341"/>
      <c r="C8" s="182">
        <f>IFERROR(__xludf.DUMMYFUNCTION("IF(ISBLANK(C6),"""",HLOOKUP(REGEXEXTRACT(C6,"".*-(.*)""),INDIRECT(CONCATENATE(REGEXEXTRACT(C6,""(.*)-.*""),""!C3:I"")),3,FALSE))"),1620.0)</f>
        <v>1620</v>
      </c>
      <c r="D8" s="182">
        <f>IFERROR(__xludf.DUMMYFUNCTION("IF(ISBLANK(D6),"""",HLOOKUP(REGEXEXTRACT(D6,"".*-(.*)""),INDIRECT(CONCATENATE(REGEXEXTRACT(D6,""(.*)-.*""),""!C3:I"")),3,FALSE))"),1600.0)</f>
        <v>1600</v>
      </c>
      <c r="E8" s="182">
        <f>IFERROR(__xludf.DUMMYFUNCTION("IF(ISBLANK(E6),"""",HLOOKUP(REGEXEXTRACT(E6,"".*-(.*)""),INDIRECT(CONCATENATE(REGEXEXTRACT(E6,""(.*)-.*""),""!C3:I"")),3,FALSE))"),1750.0)</f>
        <v>1750</v>
      </c>
      <c r="H8" s="7" t="s">
        <v>373</v>
      </c>
      <c r="I8" s="7">
        <v>2000.0</v>
      </c>
      <c r="J8" s="7">
        <v>4000.0</v>
      </c>
      <c r="K8" s="7">
        <v>4000.0</v>
      </c>
    </row>
    <row r="9">
      <c r="H9" s="7" t="s">
        <v>374</v>
      </c>
      <c r="I9" s="7">
        <v>2700.0</v>
      </c>
      <c r="J9" s="7">
        <v>900.0</v>
      </c>
      <c r="K9" s="7">
        <v>900.0</v>
      </c>
    </row>
    <row r="10">
      <c r="A10" s="2"/>
      <c r="B10" s="324" t="s">
        <v>370</v>
      </c>
      <c r="C10" s="340" t="s">
        <v>52</v>
      </c>
      <c r="D10" s="340" t="s">
        <v>78</v>
      </c>
      <c r="E10" s="340" t="s">
        <v>54</v>
      </c>
      <c r="F10" s="340"/>
      <c r="H10" s="7" t="s">
        <v>374</v>
      </c>
      <c r="I10" s="7">
        <v>2000.0</v>
      </c>
      <c r="J10" s="7">
        <v>1000.0</v>
      </c>
      <c r="K10" s="7">
        <v>2000.0</v>
      </c>
    </row>
    <row r="11">
      <c r="B11" s="199"/>
      <c r="C11" s="182" t="str">
        <f>IFERROR(__xludf.DUMMYFUNCTION("IF(ISBLANK(C10),"""",HLOOKUP(REGEXEXTRACT(C10,"".*-(.*)""),INDIRECT(CONCATENATE(REGEXEXTRACT(C10,""(.*)-.*""),""!C3:I"")),2,FALSE))"),"Gunslinger")</f>
        <v>Gunslinger</v>
      </c>
      <c r="D11" s="182" t="str">
        <f>IFERROR(__xludf.DUMMYFUNCTION("IF(ISBLANK(D10),"""",HLOOKUP(REGEXEXTRACT(D10,"".*-(.*)""),INDIRECT(CONCATENATE(REGEXEXTRACT(D10,""(.*)-.*""),""!C3:I"")),2,FALSE))"),"#N/A")</f>
        <v>#N/A</v>
      </c>
      <c r="E11" s="59" t="str">
        <f>IFERROR(__xludf.DUMMYFUNCTION("IF(ISBLANK(E10),"""",HLOOKUP(REGEXEXTRACT(E10,"".*-(.*)""),INDIRECT(CONCATENATE(REGEXEXTRACT(E10,""(.*)-.*""),""!C3:I"")),2,FALSE))"),"Paladin")</f>
        <v>Paladin</v>
      </c>
      <c r="F11" s="59" t="str">
        <f>IFERROR(__xludf.DUMMYFUNCTION("IF(ISBLANK(F10),"""",HLOOKUP(REGEXEXTRACT(F10,"".*-(.*)""),INDIRECT(CONCATENATE(REGEXEXTRACT(F10,""(.*)-.*""),""!C3:I"")),2,FALSE))"),"")</f>
        <v/>
      </c>
      <c r="H11" s="7" t="s">
        <v>375</v>
      </c>
      <c r="I11" s="7">
        <f>1440-440</f>
        <v>1000</v>
      </c>
      <c r="J11" s="7">
        <v>62.0</v>
      </c>
      <c r="K11" s="7">
        <v>62.0</v>
      </c>
    </row>
    <row r="12">
      <c r="B12" s="341"/>
      <c r="C12" s="182">
        <f>IFERROR(__xludf.DUMMYFUNCTION("IF(ISBLANK(C10),"""",HLOOKUP(REGEXEXTRACT(C10,"".*-(.*)""),INDIRECT(CONCATENATE(REGEXEXTRACT(C10,""(.*)-.*""),""!C3:I"")),3,FALSE))"),1600.0)</f>
        <v>1600</v>
      </c>
      <c r="D12" s="182" t="str">
        <f>IFERROR(__xludf.DUMMYFUNCTION("IF(ISBLANK(D10),"""",HLOOKUP(REGEXEXTRACT(D10,"".*-(.*)""),INDIRECT(CONCATENATE(REGEXEXTRACT(D10,""(.*)-.*""),""!C3:I"")),3,FALSE))"),"#N/A")</f>
        <v>#N/A</v>
      </c>
      <c r="E12" s="59">
        <f>IFERROR(__xludf.DUMMYFUNCTION("IF(ISBLANK(E10),"""",HLOOKUP(REGEXEXTRACT(E10,"".*-(.*)""),INDIRECT(CONCATENATE(REGEXEXTRACT(E10,""(.*)-.*""),""!C3:I"")),3,FALSE))"),1750.0)</f>
        <v>1750</v>
      </c>
      <c r="F12" s="59" t="str">
        <f>IFERROR(__xludf.DUMMYFUNCTION("IF(ISBLANK(F10),"""",HLOOKUP(REGEXEXTRACT(F10,"".*-(.*)""),INDIRECT(CONCATENATE(REGEXEXTRACT(F10,""(.*)-.*""),""!C3:I"")),3,FALSE))"),"")</f>
        <v/>
      </c>
      <c r="H12" s="7" t="s">
        <v>376</v>
      </c>
      <c r="I12" s="7">
        <v>1000.0</v>
      </c>
      <c r="J12" s="7">
        <v>2000.0</v>
      </c>
      <c r="K12" s="7">
        <v>2000.0</v>
      </c>
    </row>
    <row r="13">
      <c r="H13" s="7" t="s">
        <v>374</v>
      </c>
      <c r="I13" s="7">
        <v>1800.0</v>
      </c>
      <c r="J13" s="7">
        <v>1800.0</v>
      </c>
      <c r="K13" s="7">
        <v>900.0</v>
      </c>
    </row>
    <row r="14">
      <c r="A14" s="2"/>
      <c r="B14" s="324" t="s">
        <v>370</v>
      </c>
      <c r="C14" s="340"/>
      <c r="D14" s="340"/>
      <c r="E14" s="340"/>
      <c r="F14" s="340"/>
      <c r="H14" s="7" t="s">
        <v>374</v>
      </c>
      <c r="I14" s="7">
        <v>850.0</v>
      </c>
      <c r="J14" s="7">
        <v>1700.0</v>
      </c>
      <c r="K14" s="7">
        <v>1700.0</v>
      </c>
    </row>
    <row r="15">
      <c r="B15" s="199"/>
      <c r="C15" s="182" t="str">
        <f>IFERROR(__xludf.DUMMYFUNCTION("IF(ISBLANK(C14),"""",HLOOKUP(REGEXEXTRACT(C14,"".*-(.*)""),INDIRECT(CONCATENATE(REGEXEXTRACT(C14,""(.*)-.*""),""!C3:I"")),2,FALSE))"),"")</f>
        <v/>
      </c>
      <c r="D15" s="182" t="str">
        <f>IFERROR(__xludf.DUMMYFUNCTION("IF(ISBLANK(D14),"""",HLOOKUP(REGEXEXTRACT(D14,"".*-(.*)""),INDIRECT(CONCATENATE(REGEXEXTRACT(D14,""(.*)-.*""),""!C3:I"")),2,FALSE))"),"")</f>
        <v/>
      </c>
      <c r="E15" s="182" t="str">
        <f>IFERROR(__xludf.DUMMYFUNCTION("IF(ISBLANK(E14),"""",HLOOKUP(REGEXEXTRACT(E14,"".*-(.*)""),INDIRECT(CONCATENATE(REGEXEXTRACT(E14,""(.*)-.*""),""!C3:I"")),2,FALSE))"),"")</f>
        <v/>
      </c>
      <c r="H15" s="7" t="s">
        <v>374</v>
      </c>
      <c r="I15" s="7">
        <v>2600.0</v>
      </c>
      <c r="J15" s="7">
        <v>2600.0</v>
      </c>
      <c r="K15" s="7">
        <v>1300.0</v>
      </c>
    </row>
    <row r="16">
      <c r="B16" s="341"/>
      <c r="C16" s="182" t="str">
        <f>IFERROR(__xludf.DUMMYFUNCTION("IF(ISBLANK(C14),"""",HLOOKUP(REGEXEXTRACT(C14,"".*-(.*)""),INDIRECT(CONCATENATE(REGEXEXTRACT(C14,""(.*)-.*""),""!C3:I"")),3,FALSE))"),"")</f>
        <v/>
      </c>
      <c r="D16" s="182" t="str">
        <f>IFERROR(__xludf.DUMMYFUNCTION("IF(ISBLANK(D14),"""",HLOOKUP(REGEXEXTRACT(D14,"".*-(.*)""),INDIRECT(CONCATENATE(REGEXEXTRACT(D14,""(.*)-.*""),""!C3:I"")),3,FALSE))"),"")</f>
        <v/>
      </c>
      <c r="E16" s="182" t="str">
        <f>IFERROR(__xludf.DUMMYFUNCTION("IF(ISBLANK(E14),"""",HLOOKUP(REGEXEXTRACT(E14,"".*-(.*)""),INDIRECT(CONCATENATE(REGEXEXTRACT(E14,""(.*)-.*""),""!C3:I"")),3,FALSE))"),"")</f>
        <v/>
      </c>
      <c r="H16" s="7" t="s">
        <v>377</v>
      </c>
      <c r="I16" s="7">
        <v>310.0</v>
      </c>
      <c r="J16" s="7">
        <v>0.0</v>
      </c>
      <c r="K16" s="7">
        <v>310.0</v>
      </c>
    </row>
    <row r="17">
      <c r="H17" s="7" t="s">
        <v>377</v>
      </c>
      <c r="I17" s="7">
        <v>1675.0</v>
      </c>
      <c r="J17" s="7">
        <v>0.0</v>
      </c>
      <c r="K17" s="7">
        <v>1675.0</v>
      </c>
    </row>
    <row r="18">
      <c r="H18" s="7" t="s">
        <v>374</v>
      </c>
      <c r="I18" s="7">
        <v>950.0</v>
      </c>
      <c r="J18" s="7">
        <v>1900.0</v>
      </c>
      <c r="K18" s="7">
        <v>1900.0</v>
      </c>
    </row>
    <row r="19">
      <c r="H19" s="7" t="s">
        <v>377</v>
      </c>
      <c r="I19" s="7">
        <v>225.0</v>
      </c>
      <c r="J19" s="7">
        <v>0.0</v>
      </c>
      <c r="K19" s="7">
        <v>225.0</v>
      </c>
    </row>
    <row r="20">
      <c r="H20" s="7" t="s">
        <v>374</v>
      </c>
      <c r="I20" s="7">
        <v>800.0</v>
      </c>
      <c r="J20" s="7">
        <v>2400.0</v>
      </c>
      <c r="K20" s="7">
        <v>800.0</v>
      </c>
    </row>
    <row r="21">
      <c r="A21" s="2"/>
      <c r="B21" s="324" t="s">
        <v>373</v>
      </c>
      <c r="C21" s="340"/>
      <c r="D21" s="340"/>
      <c r="E21" s="340"/>
      <c r="F21" s="340"/>
      <c r="H21" s="7" t="s">
        <v>374</v>
      </c>
      <c r="I21" s="7">
        <v>2000.0</v>
      </c>
      <c r="J21" s="7">
        <v>1000.0</v>
      </c>
      <c r="K21" s="7">
        <v>2000.0</v>
      </c>
    </row>
    <row r="22">
      <c r="B22" s="199"/>
      <c r="C22" s="182" t="str">
        <f>IFERROR(__xludf.DUMMYFUNCTION("IF(ISBLANK(C21),"""",HLOOKUP(REGEXEXTRACT(C21,"".*-(.*)""),INDIRECT(CONCATENATE(REGEXEXTRACT(C21,""(.*)-.*""),""!C3:I"")),2,FALSE))"),"")</f>
        <v/>
      </c>
      <c r="D22" s="182" t="str">
        <f>IFERROR(__xludf.DUMMYFUNCTION("IF(ISBLANK(D21),"""",HLOOKUP(REGEXEXTRACT(D21,"".*-(.*)""),INDIRECT(CONCATENATE(REGEXEXTRACT(D21,""(.*)-.*""),""!C3:I"")),2,FALSE))"),"")</f>
        <v/>
      </c>
      <c r="E22" s="182" t="str">
        <f>IFERROR(__xludf.DUMMYFUNCTION("IF(ISBLANK(E21),"""",HLOOKUP(REGEXEXTRACT(E21,"".*-(.*)""),INDIRECT(CONCATENATE(REGEXEXTRACT(E21,""(.*)-.*""),""!C3:I"")),2,FALSE))"),"")</f>
        <v/>
      </c>
      <c r="F22" s="182" t="str">
        <f>IFERROR(__xludf.DUMMYFUNCTION("IF(ISBLANK(F21),"""",HLOOKUP(REGEXEXTRACT(F21,"".*-(.*)""),INDIRECT(CONCATENATE(REGEXEXTRACT(F21,""(.*)-.*""),""!C3:I"")),2,FALSE))"),"")</f>
        <v/>
      </c>
      <c r="H22" s="7" t="s">
        <v>378</v>
      </c>
      <c r="I22" s="7">
        <v>-548.0</v>
      </c>
      <c r="J22" s="7">
        <v>0.0</v>
      </c>
      <c r="K22" s="7">
        <v>-410.0</v>
      </c>
    </row>
    <row r="23">
      <c r="B23" s="341"/>
      <c r="C23" s="182" t="str">
        <f>IFERROR(__xludf.DUMMYFUNCTION("IF(ISBLANK(C21),"""",HLOOKUP(REGEXEXTRACT(C21,"".*-(.*)""),INDIRECT(CONCATENATE(REGEXEXTRACT(C21,""(.*)-.*""),""!C3:I"")),3,FALSE))"),"")</f>
        <v/>
      </c>
      <c r="D23" s="182" t="str">
        <f>IFERROR(__xludf.DUMMYFUNCTION("IF(ISBLANK(D21),"""",HLOOKUP(REGEXEXTRACT(D21,"".*-(.*)""),INDIRECT(CONCATENATE(REGEXEXTRACT(D21,""(.*)-.*""),""!C3:I"")),3,FALSE))"),"")</f>
        <v/>
      </c>
      <c r="E23" s="182" t="str">
        <f>IFERROR(__xludf.DUMMYFUNCTION("IF(ISBLANK(E21),"""",HLOOKUP(REGEXEXTRACT(E21,"".*-(.*)""),INDIRECT(CONCATENATE(REGEXEXTRACT(E21,""(.*)-.*""),""!C3:I"")),3,FALSE))"),"")</f>
        <v/>
      </c>
      <c r="F23" s="182" t="str">
        <f>IFERROR(__xludf.DUMMYFUNCTION("IF(ISBLANK(F21),"""",HLOOKUP(REGEXEXTRACT(F21,"".*-(.*)""),INDIRECT(CONCATENATE(REGEXEXTRACT(F21,""(.*)-.*""),""!C3:I"")),3,FALSE))"),"")</f>
        <v/>
      </c>
    </row>
    <row r="25">
      <c r="A25" s="342"/>
      <c r="B25" s="324" t="s">
        <v>373</v>
      </c>
      <c r="C25" s="340"/>
      <c r="D25" s="340"/>
      <c r="E25" s="340"/>
      <c r="F25" s="340"/>
    </row>
    <row r="26">
      <c r="B26" s="199"/>
      <c r="C26" s="182" t="str">
        <f>IFERROR(__xludf.DUMMYFUNCTION("IF(ISBLANK(C25),"""",HLOOKUP(REGEXEXTRACT(C25,"".*-(.*)""),INDIRECT(CONCATENATE(REGEXEXTRACT(C25,""(.*)-.*""),""!C3:I"")),2,FALSE))"),"")</f>
        <v/>
      </c>
      <c r="D26" s="182" t="str">
        <f>IFERROR(__xludf.DUMMYFUNCTION("IF(ISBLANK(D25),"""",HLOOKUP(REGEXEXTRACT(D25,"".*-(.*)""),INDIRECT(CONCATENATE(REGEXEXTRACT(D25,""(.*)-.*""),""!C3:I"")),2,FALSE))"),"")</f>
        <v/>
      </c>
      <c r="E26" s="182" t="str">
        <f>IFERROR(__xludf.DUMMYFUNCTION("IF(ISBLANK(E25),"""",HLOOKUP(REGEXEXTRACT(E25,"".*-(.*)""),INDIRECT(CONCATENATE(REGEXEXTRACT(E25,""(.*)-.*""),""!C3:I"")),2,FALSE))"),"")</f>
        <v/>
      </c>
      <c r="F26" s="182" t="str">
        <f>IFERROR(__xludf.DUMMYFUNCTION("IF(ISBLANK(F25),"""",HLOOKUP(REGEXEXTRACT(F25,"".*-(.*)""),INDIRECT(CONCATENATE(REGEXEXTRACT(F25,""(.*)-.*""),""!C3:I"")),2,FALSE))"),"")</f>
        <v/>
      </c>
    </row>
    <row r="27">
      <c r="B27" s="341"/>
      <c r="C27" s="182" t="str">
        <f>IFERROR(__xludf.DUMMYFUNCTION("IF(ISBLANK(C25),"""",HLOOKUP(REGEXEXTRACT(C25,"".*-(.*)""),INDIRECT(CONCATENATE(REGEXEXTRACT(C25,""(.*)-.*""),""!C3:I"")),3,FALSE))"),"")</f>
        <v/>
      </c>
      <c r="D27" s="182" t="str">
        <f>IFERROR(__xludf.DUMMYFUNCTION("IF(ISBLANK(D25),"""",HLOOKUP(REGEXEXTRACT(D25,"".*-(.*)""),INDIRECT(CONCATENATE(REGEXEXTRACT(D25,""(.*)-.*""),""!C3:I"")),3,FALSE))"),"")</f>
        <v/>
      </c>
      <c r="E27" s="182" t="str">
        <f>IFERROR(__xludf.DUMMYFUNCTION("IF(ISBLANK(E25),"""",HLOOKUP(REGEXEXTRACT(E25,"".*-(.*)""),INDIRECT(CONCATENATE(REGEXEXTRACT(E25,""(.*)-.*""),""!C3:I"")),3,FALSE))"),"")</f>
        <v/>
      </c>
      <c r="F27" s="182" t="str">
        <f>IFERROR(__xludf.DUMMYFUNCTION("IF(ISBLANK(F25),"""",HLOOKUP(REGEXEXTRACT(F25,"".*-(.*)""),INDIRECT(CONCATENATE(REGEXEXTRACT(F25,""(.*)-.*""),""!C3:I"")),3,FALSE))"),"")</f>
        <v/>
      </c>
    </row>
    <row r="29">
      <c r="A29" s="342"/>
      <c r="B29" s="324" t="s">
        <v>373</v>
      </c>
      <c r="C29" s="340"/>
      <c r="D29" s="340"/>
      <c r="E29" s="340"/>
      <c r="F29" s="340"/>
    </row>
    <row r="30">
      <c r="B30" s="199"/>
      <c r="C30" s="182" t="str">
        <f>IFERROR(__xludf.DUMMYFUNCTION("IF(ISBLANK(C29),"""",HLOOKUP(REGEXEXTRACT(C29,"".*-(.*)""),INDIRECT(CONCATENATE(REGEXEXTRACT(C29,""(.*)-.*""),""!C3:I"")),2,FALSE))"),"")</f>
        <v/>
      </c>
      <c r="D30" s="182" t="str">
        <f>IFERROR(__xludf.DUMMYFUNCTION("IF(ISBLANK(D29),"""",HLOOKUP(REGEXEXTRACT(D29,"".*-(.*)""),INDIRECT(CONCATENATE(REGEXEXTRACT(D29,""(.*)-.*""),""!C3:I"")),2,FALSE))"),"")</f>
        <v/>
      </c>
      <c r="E30" s="182" t="str">
        <f>IFERROR(__xludf.DUMMYFUNCTION("IF(ISBLANK(E29),"""",HLOOKUP(REGEXEXTRACT(E29,"".*-(.*)""),INDIRECT(CONCATENATE(REGEXEXTRACT(E29,""(.*)-.*""),""!C3:I"")),2,FALSE))"),"")</f>
        <v/>
      </c>
      <c r="F30" s="182" t="str">
        <f>IFERROR(__xludf.DUMMYFUNCTION("IF(ISBLANK(F29),"""",HLOOKUP(REGEXEXTRACT(F29,"".*-(.*)""),INDIRECT(CONCATENATE(REGEXEXTRACT(F29,""(.*)-.*""),""!C3:I"")),2,FALSE))"),"")</f>
        <v/>
      </c>
    </row>
    <row r="31">
      <c r="B31" s="341"/>
      <c r="C31" s="182" t="str">
        <f>IFERROR(__xludf.DUMMYFUNCTION("IF(ISBLANK(C29),"""",HLOOKUP(REGEXEXTRACT(C29,"".*-(.*)""),INDIRECT(CONCATENATE(REGEXEXTRACT(C29,""(.*)-.*""),""!C3:I"")),3,FALSE))"),"")</f>
        <v/>
      </c>
      <c r="D31" s="182" t="str">
        <f>IFERROR(__xludf.DUMMYFUNCTION("IF(ISBLANK(D29),"""",HLOOKUP(REGEXEXTRACT(D29,"".*-(.*)""),INDIRECT(CONCATENATE(REGEXEXTRACT(D29,""(.*)-.*""),""!C3:I"")),3,FALSE))"),"")</f>
        <v/>
      </c>
      <c r="E31" s="182" t="str">
        <f>IFERROR(__xludf.DUMMYFUNCTION("IF(ISBLANK(E29),"""",HLOOKUP(REGEXEXTRACT(E29,"".*-(.*)""),INDIRECT(CONCATENATE(REGEXEXTRACT(E29,""(.*)-.*""),""!C3:I"")),3,FALSE))"),"")</f>
        <v/>
      </c>
      <c r="F31" s="182" t="str">
        <f>IFERROR(__xludf.DUMMYFUNCTION("IF(ISBLANK(F29),"""",HLOOKUP(REGEXEXTRACT(F29,"".*-(.*)""),INDIRECT(CONCATENATE(REGEXEXTRACT(F29,""(.*)-.*""),""!C3:I"")),3,FALSE))"),"")</f>
        <v/>
      </c>
    </row>
    <row r="36">
      <c r="A36" s="2"/>
      <c r="B36" s="324" t="s">
        <v>379</v>
      </c>
      <c r="C36" s="340" t="s">
        <v>52</v>
      </c>
      <c r="D36" s="340" t="s">
        <v>380</v>
      </c>
      <c r="E36" s="340"/>
      <c r="F36" s="340"/>
    </row>
    <row r="37">
      <c r="B37" s="199"/>
      <c r="C37" s="182" t="str">
        <f>IFERROR(__xludf.DUMMYFUNCTION("IF(ISBLANK(C36),"""",HLOOKUP(REGEXEXTRACT(C36,"".*-(.*)""),INDIRECT(CONCATENATE(REGEXEXTRACT(C36,""(.*)-.*""),""!C3:I"")),2,FALSE))"),"Gunslinger")</f>
        <v>Gunslinger</v>
      </c>
      <c r="D37" s="182" t="str">
        <f>IFERROR(__xludf.DUMMYFUNCTION("IF(ISBLANK(D36),"""",HLOOKUP(REGEXEXTRACT(D36,"".*-(.*)""),INDIRECT(CONCATENATE(REGEXEXTRACT(D36,""(.*)-.*""),""!C3:I"")),2,FALSE))"),"#N/A")</f>
        <v>#N/A</v>
      </c>
      <c r="E37" s="182" t="str">
        <f>IFERROR(__xludf.DUMMYFUNCTION("IF(ISBLANK(E36),"""",HLOOKUP(REGEXEXTRACT(E36,"".*-(.*)""),INDIRECT(CONCATENATE(REGEXEXTRACT(E36,""(.*)-.*""),""!C3:I"")),2,FALSE))"),"")</f>
        <v/>
      </c>
      <c r="F37" s="182" t="str">
        <f>IFERROR(__xludf.DUMMYFUNCTION("IF(ISBLANK(F36),"""",HLOOKUP(REGEXEXTRACT(F36,"".*-(.*)""),INDIRECT(CONCATENATE(REGEXEXTRACT(F36,""(.*)-.*""),""!C3:I"")),2,FALSE))"),"")</f>
        <v/>
      </c>
    </row>
    <row r="38">
      <c r="B38" s="341"/>
      <c r="C38" s="182">
        <f>IFERROR(__xludf.DUMMYFUNCTION("IF(ISBLANK(C36),"""",HLOOKUP(REGEXEXTRACT(C36,"".*-(.*)""),INDIRECT(CONCATENATE(REGEXEXTRACT(C36,""(.*)-.*""),""!C3:I"")),3,FALSE))"),1600.0)</f>
        <v>1600</v>
      </c>
      <c r="D38" s="182" t="str">
        <f>IFERROR(__xludf.DUMMYFUNCTION("IF(ISBLANK(D36),"""",HLOOKUP(REGEXEXTRACT(D36,"".*-(.*)""),INDIRECT(CONCATENATE(REGEXEXTRACT(D36,""(.*)-.*""),""!C3:I"")),3,FALSE))"),"#N/A")</f>
        <v>#N/A</v>
      </c>
      <c r="E38" s="182" t="str">
        <f>IFERROR(__xludf.DUMMYFUNCTION("IF(ISBLANK(E36),"""",HLOOKUP(REGEXEXTRACT(E36,"".*-(.*)""),INDIRECT(CONCATENATE(REGEXEXTRACT(E36,""(.*)-.*""),""!C3:I"")),3,FALSE))"),"")</f>
        <v/>
      </c>
      <c r="F38" s="182" t="str">
        <f>IFERROR(__xludf.DUMMYFUNCTION("IF(ISBLANK(F36),"""",HLOOKUP(REGEXEXTRACT(F36,"".*-(.*)""),INDIRECT(CONCATENATE(REGEXEXTRACT(F36,""(.*)-.*""),""!C3:I"")),3,FALSE))"),"")</f>
        <v/>
      </c>
    </row>
    <row r="40">
      <c r="A40" s="2"/>
      <c r="B40" s="324" t="s">
        <v>379</v>
      </c>
      <c r="C40" s="340" t="s">
        <v>37</v>
      </c>
      <c r="D40" s="340" t="s">
        <v>381</v>
      </c>
      <c r="E40" s="340"/>
      <c r="F40" s="340"/>
    </row>
    <row r="41">
      <c r="B41" s="199"/>
      <c r="C41" s="182" t="str">
        <f>IFERROR(__xludf.DUMMYFUNCTION("IF(ISBLANK(C40),"""",HLOOKUP(REGEXEXTRACT(C40,"".*-(.*)""),INDIRECT(CONCATENATE(REGEXEXTRACT(C40,""(.*)-.*""),""!C3:I"")),2,FALSE))"),"Guardianknight")</f>
        <v>Guardianknight</v>
      </c>
      <c r="D41" s="182" t="str">
        <f>IFERROR(__xludf.DUMMYFUNCTION("IF(ISBLANK(D40),"""",HLOOKUP(REGEXEXTRACT(D40,"".*-(.*)""),INDIRECT(CONCATENATE(REGEXEXTRACT(D40,""(.*)-.*""),""!C3:I"")),2,FALSE))"),"#N/A")</f>
        <v>#N/A</v>
      </c>
      <c r="E41" s="182" t="str">
        <f>IFERROR(__xludf.DUMMYFUNCTION("IF(ISBLANK(E40),"""",HLOOKUP(REGEXEXTRACT(E40,"".*-(.*)""),INDIRECT(CONCATENATE(REGEXEXTRACT(E40,""(.*)-.*""),""!C3:I"")),2,FALSE))"),"")</f>
        <v/>
      </c>
      <c r="F41" s="182" t="str">
        <f>IFERROR(__xludf.DUMMYFUNCTION("IF(ISBLANK(F40),"""",HLOOKUP(REGEXEXTRACT(F40,"".*-(.*)""),INDIRECT(CONCATENATE(REGEXEXTRACT(F40,""(.*)-.*""),""!C3:I"")),2,FALSE))"),"")</f>
        <v/>
      </c>
    </row>
    <row r="42">
      <c r="B42" s="341"/>
      <c r="C42" s="182">
        <f>IFERROR(__xludf.DUMMYFUNCTION("IF(ISBLANK(C40),"""",HLOOKUP(REGEXEXTRACT(C40,"".*-(.*)""),INDIRECT(CONCATENATE(REGEXEXTRACT(C40,""(.*)-.*""),""!C3:I"")),3,FALSE))"),1750.0)</f>
        <v>1750</v>
      </c>
      <c r="D42" s="182" t="str">
        <f>IFERROR(__xludf.DUMMYFUNCTION("IF(ISBLANK(D40),"""",HLOOKUP(REGEXEXTRACT(D40,"".*-(.*)""),INDIRECT(CONCATENATE(REGEXEXTRACT(D40,""(.*)-.*""),""!C3:I"")),3,FALSE))"),"#N/A")</f>
        <v>#N/A</v>
      </c>
      <c r="E42" s="182" t="str">
        <f>IFERROR(__xludf.DUMMYFUNCTION("IF(ISBLANK(E40),"""",HLOOKUP(REGEXEXTRACT(E40,"".*-(.*)""),INDIRECT(CONCATENATE(REGEXEXTRACT(E40,""(.*)-.*""),""!C3:I"")),3,FALSE))"),"")</f>
        <v/>
      </c>
      <c r="F42" s="182" t="str">
        <f>IFERROR(__xludf.DUMMYFUNCTION("IF(ISBLANK(F40),"""",HLOOKUP(REGEXEXTRACT(F40,"".*-(.*)""),INDIRECT(CONCATENATE(REGEXEXTRACT(F40,""(.*)-.*""),""!C3:I"")),3,FALSE))"),"")</f>
        <v/>
      </c>
    </row>
    <row r="44">
      <c r="A44" s="2"/>
      <c r="B44" s="324" t="s">
        <v>379</v>
      </c>
      <c r="C44" s="340" t="s">
        <v>3</v>
      </c>
      <c r="D44" s="340" t="s">
        <v>338</v>
      </c>
      <c r="E44" s="340"/>
      <c r="F44" s="340"/>
    </row>
    <row r="45">
      <c r="B45" s="199"/>
      <c r="C45" s="182" t="str">
        <f>IFERROR(__xludf.DUMMYFUNCTION("IF(ISBLANK(C44),"""",HLOOKUP(REGEXEXTRACT(C44,"".*-(.*)""),INDIRECT(CONCATENATE(REGEXEXTRACT(C44,""(.*)-.*""),""!C3:I"")),2,FALSE))"),"Sorceress")</f>
        <v>Sorceress</v>
      </c>
      <c r="D45" s="182" t="str">
        <f>IFERROR(__xludf.DUMMYFUNCTION("IF(ISBLANK(D44),"""",HLOOKUP(REGEXEXTRACT(D44,"".*-(.*)""),INDIRECT(CONCATENATE(REGEXEXTRACT(D44,""(.*)-.*""),""!C3:I"")),2,FALSE))"),"#REF!")</f>
        <v>#REF!</v>
      </c>
      <c r="E45" s="182" t="str">
        <f>IFERROR(__xludf.DUMMYFUNCTION("IF(ISBLANK(E44),"""",HLOOKUP(REGEXEXTRACT(E44,"".*-(.*)""),INDIRECT(CONCATENATE(REGEXEXTRACT(E44,""(.*)-.*""),""!C3:I"")),2,FALSE))"),"")</f>
        <v/>
      </c>
      <c r="F45" s="182" t="str">
        <f>IFERROR(__xludf.DUMMYFUNCTION("IF(ISBLANK(F44),"""",HLOOKUP(REGEXEXTRACT(F44,"".*-(.*)""),INDIRECT(CONCATENATE(REGEXEXTRACT(F44,""(.*)-.*""),""!C3:I"")),2,FALSE))"),"")</f>
        <v/>
      </c>
    </row>
    <row r="46">
      <c r="B46" s="341"/>
      <c r="C46" s="182">
        <f>IFERROR(__xludf.DUMMYFUNCTION("IF(ISBLANK(C44),"""",HLOOKUP(REGEXEXTRACT(C44,"".*-(.*)""),INDIRECT(CONCATENATE(REGEXEXTRACT(C44,""(.*)-.*""),""!C3:I"")),3,FALSE))"),1600.0)</f>
        <v>1600</v>
      </c>
      <c r="D46" s="182" t="str">
        <f>IFERROR(__xludf.DUMMYFUNCTION("IF(ISBLANK(D44),"""",HLOOKUP(REGEXEXTRACT(D44,"".*-(.*)""),INDIRECT(CONCATENATE(REGEXEXTRACT(D44,""(.*)-.*""),""!C3:I"")),3,FALSE))"),"#REF!")</f>
        <v>#REF!</v>
      </c>
      <c r="E46" s="182" t="str">
        <f>IFERROR(__xludf.DUMMYFUNCTION("IF(ISBLANK(E44),"""",HLOOKUP(REGEXEXTRACT(E44,"".*-(.*)""),INDIRECT(CONCATENATE(REGEXEXTRACT(E44,""(.*)-.*""),""!C3:I"")),3,FALSE))"),"")</f>
        <v/>
      </c>
      <c r="F46" s="182" t="str">
        <f>IFERROR(__xludf.DUMMYFUNCTION("IF(ISBLANK(F44),"""",HLOOKUP(REGEXEXTRACT(F44,"".*-(.*)""),INDIRECT(CONCATENATE(REGEXEXTRACT(F44,""(.*)-.*""),""!C3:I"")),3,FALSE))"),"")</f>
        <v/>
      </c>
    </row>
    <row r="48">
      <c r="A48" s="2" t="s">
        <v>0</v>
      </c>
      <c r="B48" s="324" t="s">
        <v>379</v>
      </c>
      <c r="C48" s="340" t="s">
        <v>43</v>
      </c>
      <c r="D48" s="340" t="s">
        <v>12</v>
      </c>
      <c r="E48" s="340" t="s">
        <v>9</v>
      </c>
      <c r="F48" s="340"/>
    </row>
    <row r="49">
      <c r="B49" s="199"/>
      <c r="C49" s="182" t="str">
        <f>IFERROR(__xludf.DUMMYFUNCTION("IF(ISBLANK(C48),"""",HLOOKUP(REGEXEXTRACT(C48,"".*-(.*)""),INDIRECT(CONCATENATE(REGEXEXTRACT(C48,""(.*)-.*""),""!C3:I"")),2,FALSE))"),"Soulfist")</f>
        <v>Soulfist</v>
      </c>
      <c r="D49" s="182" t="str">
        <f>IFERROR(__xludf.DUMMYFUNCTION("IF(ISBLANK(D48),"""",HLOOKUP(REGEXEXTRACT(D48,"".*-(.*)""),INDIRECT(CONCATENATE(REGEXEXTRACT(D48,""(.*)-.*""),""!C3:I"")),2,FALSE))"),"Bard")</f>
        <v>Bard</v>
      </c>
      <c r="E49" s="182" t="str">
        <f>IFERROR(__xludf.DUMMYFUNCTION("IF(ISBLANK(E48),"""",HLOOKUP(REGEXEXTRACT(E48,"".*-(.*)""),INDIRECT(CONCATENATE(REGEXEXTRACT(E48,""(.*)-.*""),""!C3:I"")),2,FALSE))"),"Deathblade")</f>
        <v>Deathblade</v>
      </c>
      <c r="F49" s="182" t="str">
        <f>IFERROR(__xludf.DUMMYFUNCTION("IF(ISBLANK(F48),"""",HLOOKUP(REGEXEXTRACT(F48,"".*-(.*)""),INDIRECT(CONCATENATE(REGEXEXTRACT(F48,""(.*)-.*""),""!C3:I"")),2,FALSE))"),"")</f>
        <v/>
      </c>
    </row>
    <row r="50">
      <c r="B50" s="341"/>
      <c r="C50" s="182">
        <f>IFERROR(__xludf.DUMMYFUNCTION("IF(ISBLANK(C48),"""",HLOOKUP(REGEXEXTRACT(C48,"".*-(.*)""),INDIRECT(CONCATENATE(REGEXEXTRACT(C48,""(.*)-.*""),""!C3:I"")),3,FALSE))"),1750.0)</f>
        <v>1750</v>
      </c>
      <c r="D50" s="182">
        <f>IFERROR(__xludf.DUMMYFUNCTION("IF(ISBLANK(D48),"""",HLOOKUP(REGEXEXTRACT(D48,"".*-(.*)""),INDIRECT(CONCATENATE(REGEXEXTRACT(D48,""(.*)-.*""),""!C3:I"")),3,FALSE))"),1560.0)</f>
        <v>1560</v>
      </c>
      <c r="E50" s="182">
        <f>IFERROR(__xludf.DUMMYFUNCTION("IF(ISBLANK(E48),"""",HLOOKUP(REGEXEXTRACT(E48,"".*-(.*)""),INDIRECT(CONCATENATE(REGEXEXTRACT(E48,""(.*)-.*""),""!C3:I"")),3,FALSE))"),1600.0)</f>
        <v>1600</v>
      </c>
      <c r="F50" s="182" t="str">
        <f>IFERROR(__xludf.DUMMYFUNCTION("IF(ISBLANK(F48),"""",HLOOKUP(REGEXEXTRACT(F48,"".*-(.*)""),INDIRECT(CONCATENATE(REGEXEXTRACT(F48,""(.*)-.*""),""!C3:I"")),3,FALSE))"),"")</f>
        <v/>
      </c>
    </row>
    <row r="51">
      <c r="A51" s="344"/>
    </row>
    <row r="52">
      <c r="A52" s="2" t="s">
        <v>0</v>
      </c>
      <c r="B52" s="345" t="s">
        <v>379</v>
      </c>
      <c r="C52" s="340" t="s">
        <v>16</v>
      </c>
      <c r="D52" s="340" t="s">
        <v>49</v>
      </c>
      <c r="E52" s="340" t="s">
        <v>4</v>
      </c>
      <c r="F52" s="340"/>
    </row>
    <row r="53">
      <c r="B53" s="346"/>
      <c r="C53" s="59" t="str">
        <f>IFERROR(__xludf.DUMMYFUNCTION("IF(ISBLANK(C52),"""",HLOOKUP(REGEXEXTRACT(C52,"".*-(.*)""),INDIRECT(CONCATENATE(REGEXEXTRACT(C52,""(.*)-.*""),""!C3:I"")),2,FALSE))"),"Deathblade")</f>
        <v>Deathblade</v>
      </c>
      <c r="D53" s="59" t="str">
        <f>IFERROR(__xludf.DUMMYFUNCTION("IF(ISBLANK(D52),"""",HLOOKUP(REGEXEXTRACT(D52,"".*-(.*)""),INDIRECT(CONCATENATE(REGEXEXTRACT(D52,""(.*)-.*""),""!C3:I"")),2,FALSE))"),"Bard")</f>
        <v>Bard</v>
      </c>
      <c r="E53" s="182" t="str">
        <f>IFERROR(__xludf.DUMMYFUNCTION("IF(ISBLANK(E52),"""",HLOOKUP(REGEXEXTRACT(E52,"".*-(.*)""),INDIRECT(CONCATENATE(REGEXEXTRACT(E52,""(.*)-.*""),""!C3:I"")),2,FALSE))"),"Gunslinger")</f>
        <v>Gunslinger</v>
      </c>
      <c r="F53" s="59"/>
    </row>
    <row r="54">
      <c r="B54" s="347"/>
      <c r="C54" s="59">
        <f>IFERROR(__xludf.DUMMYFUNCTION("IF(ISBLANK(C52),"""",HLOOKUP(REGEXEXTRACT(C52,"".*-(.*)""),INDIRECT(CONCATENATE(REGEXEXTRACT(C52,""(.*)-.*""),""!C3:I"")),3,FALSE))"),1540.0)</f>
        <v>1540</v>
      </c>
      <c r="D54" s="59">
        <f>IFERROR(__xludf.DUMMYFUNCTION("IF(ISBLANK(D52),"""",HLOOKUP(REGEXEXTRACT(D52,"".*-(.*)""),INDIRECT(CONCATENATE(REGEXEXTRACT(D52,""(.*)-.*""),""!C3:I"")),3,FALSE))"),1730.0)</f>
        <v>1730</v>
      </c>
      <c r="E54" s="182">
        <f>IFERROR(__xludf.DUMMYFUNCTION("IF(ISBLANK(E52),"""",HLOOKUP(REGEXEXTRACT(E52,"".*-(.*)""),INDIRECT(CONCATENATE(REGEXEXTRACT(E52,""(.*)-.*""),""!C3:I"")),3,FALSE))"),1750.0)</f>
        <v>1750</v>
      </c>
      <c r="F54" s="59"/>
    </row>
    <row r="56">
      <c r="A56" s="2"/>
      <c r="B56" s="345" t="s">
        <v>379</v>
      </c>
      <c r="C56" s="340" t="s">
        <v>7</v>
      </c>
      <c r="D56" s="340" t="s">
        <v>14</v>
      </c>
      <c r="E56" s="340"/>
      <c r="F56" s="340"/>
    </row>
    <row r="57">
      <c r="B57" s="346"/>
      <c r="C57" s="59" t="str">
        <f>IFERROR(__xludf.DUMMYFUNCTION("IF(ISBLANK(C56),"""",HLOOKUP(REGEXEXTRACT(C56,"".*-(.*)""),INDIRECT(CONCATENATE(REGEXEXTRACT(C56,""(.*)-.*""),""!C3:I"")),2,FALSE))"),"Wardancer")</f>
        <v>Wardancer</v>
      </c>
      <c r="D57" s="182" t="str">
        <f>IFERROR(__xludf.DUMMYFUNCTION("IF(ISBLANK(D56),"""",HLOOKUP(REGEXEXTRACT(D56,"".*-(.*)""),INDIRECT(CONCATENATE(REGEXEXTRACT(D56,""(.*)-.*""),""!C3:N"")),2,FALSE))"),"Sorceress")</f>
        <v>Sorceress</v>
      </c>
      <c r="E57" s="59" t="str">
        <f>IFERROR(__xludf.DUMMYFUNCTION("IF(ISBLANK(E56),"""",HLOOKUP(REGEXEXTRACT(E56,"".*-(.*)""),INDIRECT(CONCATENATE(REGEXEXTRACT(E56,""(.*)-.*""),""!C3:I"")),2,FALSE))"),"")</f>
        <v/>
      </c>
      <c r="F57" s="59"/>
    </row>
    <row r="58">
      <c r="B58" s="348"/>
      <c r="C58" s="59">
        <f>IFERROR(__xludf.DUMMYFUNCTION("IF(ISBLANK(C56),"""",HLOOKUP(REGEXEXTRACT(C56,"".*-(.*)""),INDIRECT(CONCATENATE(REGEXEXTRACT(C56,""(.*)-.*""),""!C3:I"")),3,FALSE))"),1620.0)</f>
        <v>1620</v>
      </c>
      <c r="D58" s="182">
        <f>IFERROR(__xludf.DUMMYFUNCTION("IF(ISBLANK(D56),"""",HLOOKUP(REGEXEXTRACT(D56,"".*-(.*)""),INDIRECT(CONCATENATE(REGEXEXTRACT(D56,""(.*)-.*""),""!C3:N"")),3,FALSE))"),1750.0)</f>
        <v>1750</v>
      </c>
      <c r="E58" s="59" t="str">
        <f>IFERROR(__xludf.DUMMYFUNCTION("IF(ISBLANK(E56),"""",HLOOKUP(REGEXEXTRACT(E56,"".*-(.*)""),INDIRECT(CONCATENATE(REGEXEXTRACT(E56,""(.*)-.*""),""!C3:I"")),3,FALSE))"),"")</f>
        <v/>
      </c>
      <c r="F58" s="59"/>
    </row>
    <row r="63">
      <c r="A63" s="2" t="s">
        <v>0</v>
      </c>
      <c r="B63" s="324" t="s">
        <v>382</v>
      </c>
      <c r="C63" s="340" t="s">
        <v>16</v>
      </c>
      <c r="D63" s="340" t="s">
        <v>78</v>
      </c>
      <c r="E63" s="340" t="s">
        <v>32</v>
      </c>
      <c r="F63" s="340"/>
    </row>
    <row r="64">
      <c r="B64" s="199"/>
      <c r="C64" s="182" t="str">
        <f>IFERROR(__xludf.DUMMYFUNCTION("IF(ISBLANK(C63),"""",HLOOKUP(REGEXEXTRACT(C63,"".*-(.*)""),INDIRECT(CONCATENATE(REGEXEXTRACT(C63,""(.*)-.*""),""!C3:I"")),2,FALSE))"),"Deathblade")</f>
        <v>Deathblade</v>
      </c>
      <c r="D64" s="182" t="str">
        <f>IFERROR(__xludf.DUMMYFUNCTION("IF(ISBLANK(D63),"""",HLOOKUP(REGEXEXTRACT(D63,"".*-(.*)""),INDIRECT(CONCATENATE(REGEXEXTRACT(D63,""(.*)-.*""),""!C3:I"")),2,FALSE))"),"#N/A")</f>
        <v>#N/A</v>
      </c>
      <c r="E64" s="182" t="str">
        <f>IFERROR(__xludf.DUMMYFUNCTION("IF(ISBLANK(E63),"""",HLOOKUP(REGEXEXTRACT(E63,"".*-(.*)""),INDIRECT(CONCATENATE(REGEXEXTRACT(E63,""(.*)-.*""),""!C3:I"")),2,FALSE))"),"Glaivier")</f>
        <v>Glaivier</v>
      </c>
    </row>
    <row r="65">
      <c r="B65" s="341"/>
      <c r="C65" s="182">
        <f>IFERROR(__xludf.DUMMYFUNCTION("IF(ISBLANK(C63),"""",HLOOKUP(REGEXEXTRACT(C63,"".*-(.*)""),INDIRECT(CONCATENATE(REGEXEXTRACT(C63,""(.*)-.*""),""!C3:I"")),3,FALSE))"),1540.0)</f>
        <v>1540</v>
      </c>
      <c r="D65" s="182" t="str">
        <f>IFERROR(__xludf.DUMMYFUNCTION("IF(ISBLANK(D63),"""",HLOOKUP(REGEXEXTRACT(D63,"".*-(.*)""),INDIRECT(CONCATENATE(REGEXEXTRACT(D63,""(.*)-.*""),""!C3:I"")),3,FALSE))"),"#N/A")</f>
        <v>#N/A</v>
      </c>
      <c r="E65" s="182">
        <f>IFERROR(__xludf.DUMMYFUNCTION("IF(ISBLANK(E63),"""",HLOOKUP(REGEXEXTRACT(E63,"".*-(.*)""),INDIRECT(CONCATENATE(REGEXEXTRACT(E63,""(.*)-.*""),""!C3:I"")),3,FALSE))"),1750.0)</f>
        <v>1750</v>
      </c>
      <c r="F65" s="182" t="str">
        <f>IFERROR(__xludf.DUMMYFUNCTION("IF(ISBLANK(F63),"""",HLOOKUP(REGEXEXTRACT(F63,"".*-(.*)""),INDIRECT(CONCATENATE(REGEXEXTRACT(F63,""(.*)-.*""),""!C3:I"")),3,FALSE))"),"")</f>
        <v/>
      </c>
    </row>
    <row r="67">
      <c r="A67" s="2"/>
      <c r="B67" s="324" t="s">
        <v>382</v>
      </c>
      <c r="C67" s="340" t="s">
        <v>7</v>
      </c>
      <c r="D67" s="340" t="s">
        <v>37</v>
      </c>
      <c r="E67" s="340" t="s">
        <v>54</v>
      </c>
      <c r="F67" s="340"/>
    </row>
    <row r="68">
      <c r="B68" s="199"/>
      <c r="C68" s="182" t="str">
        <f>IFERROR(__xludf.DUMMYFUNCTION("IF(ISBLANK(C67),"""",HLOOKUP(REGEXEXTRACT(C67,"".*-(.*)""),INDIRECT(CONCATENATE(REGEXEXTRACT(C67,""(.*)-.*""),""!C3:I"")),2,FALSE))"),"Wardancer")</f>
        <v>Wardancer</v>
      </c>
      <c r="D68" s="182" t="str">
        <f>IFERROR(__xludf.DUMMYFUNCTION("IF(ISBLANK(D67),"""",HLOOKUP(REGEXEXTRACT(D67,"".*-(.*)""),INDIRECT(CONCATENATE(REGEXEXTRACT(D67,""(.*)-.*""),""!C3:I"")),2,FALSE))"),"Guardianknight")</f>
        <v>Guardianknight</v>
      </c>
      <c r="E68" s="182" t="str">
        <f>IFERROR(__xludf.DUMMYFUNCTION("IF(ISBLANK(E67),"""",HLOOKUP(REGEXEXTRACT(E67,"".*-(.*)""),INDIRECT(CONCATENATE(REGEXEXTRACT(E67,""(.*)-.*""),""!C3:I"")),2,FALSE))"),"Paladin")</f>
        <v>Paladin</v>
      </c>
    </row>
    <row r="69">
      <c r="B69" s="341"/>
      <c r="C69" s="182">
        <f>IFERROR(__xludf.DUMMYFUNCTION("IF(ISBLANK(C67),"""",HLOOKUP(REGEXEXTRACT(C67,"".*-(.*)""),INDIRECT(CONCATENATE(REGEXEXTRACT(C67,""(.*)-.*""),""!C3:I"")),3,FALSE))"),1620.0)</f>
        <v>1620</v>
      </c>
      <c r="D69" s="182">
        <f>IFERROR(__xludf.DUMMYFUNCTION("IF(ISBLANK(D67),"""",HLOOKUP(REGEXEXTRACT(D67,"".*-(.*)""),INDIRECT(CONCATENATE(REGEXEXTRACT(D67,""(.*)-.*""),""!C3:I"")),3,FALSE))"),1750.0)</f>
        <v>1750</v>
      </c>
      <c r="E69" s="182">
        <f>IFERROR(__xludf.DUMMYFUNCTION("IF(ISBLANK(E67),"""",HLOOKUP(REGEXEXTRACT(E67,"".*-(.*)""),INDIRECT(CONCATENATE(REGEXEXTRACT(E67,""(.*)-.*""),""!C3:I"")),3,FALSE))"),1750.0)</f>
        <v>1750</v>
      </c>
      <c r="F69" s="182" t="str">
        <f>IFERROR(__xludf.DUMMYFUNCTION("IF(ISBLANK(F67),"""",HLOOKUP(REGEXEXTRACT(F67,"".*-(.*)""),INDIRECT(CONCATENATE(REGEXEXTRACT(F67,""(.*)-.*""),""!C3:I"")),3,FALSE))"),"")</f>
        <v/>
      </c>
    </row>
    <row r="71">
      <c r="A71" s="2"/>
      <c r="B71" s="324" t="s">
        <v>382</v>
      </c>
      <c r="C71" s="340" t="s">
        <v>12</v>
      </c>
      <c r="D71" s="340" t="s">
        <v>3</v>
      </c>
      <c r="E71" s="340" t="s">
        <v>14</v>
      </c>
      <c r="F71" s="340"/>
    </row>
    <row r="72">
      <c r="B72" s="199"/>
      <c r="C72" s="182" t="str">
        <f>IFERROR(__xludf.DUMMYFUNCTION("IF(ISBLANK(C71),"""",HLOOKUP(REGEXEXTRACT(C71,"".*-(.*)""),INDIRECT(CONCATENATE(REGEXEXTRACT(C71,""(.*)-.*""),""!C3:I"")),2,FALSE))"),"Bard")</f>
        <v>Bard</v>
      </c>
      <c r="D72" s="182" t="str">
        <f>IFERROR(__xludf.DUMMYFUNCTION("IF(ISBLANK(D71),"""",HLOOKUP(REGEXEXTRACT(D71,"".*-(.*)""),INDIRECT(CONCATENATE(REGEXEXTRACT(D71,""(.*)-.*""),""!C3:I"")),2,FALSE))"),"Sorceress")</f>
        <v>Sorceress</v>
      </c>
      <c r="E72" s="182" t="str">
        <f>IFERROR(__xludf.DUMMYFUNCTION("IF(ISBLANK(E71),"""",HLOOKUP(REGEXEXTRACT(E71,"".*-(.*)""),INDIRECT(CONCATENATE(REGEXEXTRACT(E71,""(.*)-.*""),""!C3:I"")),2,FALSE))"),"Sorceress")</f>
        <v>Sorceress</v>
      </c>
    </row>
    <row r="73">
      <c r="B73" s="341"/>
      <c r="C73" s="182">
        <f>IFERROR(__xludf.DUMMYFUNCTION("IF(ISBLANK(C71),"""",HLOOKUP(REGEXEXTRACT(C71,"".*-(.*)""),INDIRECT(CONCATENATE(REGEXEXTRACT(C71,""(.*)-.*""),""!C3:I"")),3,FALSE))"),1560.0)</f>
        <v>1560</v>
      </c>
      <c r="D73" s="182">
        <f>IFERROR(__xludf.DUMMYFUNCTION("IF(ISBLANK(D71),"""",HLOOKUP(REGEXEXTRACT(D71,"".*-(.*)""),INDIRECT(CONCATENATE(REGEXEXTRACT(D71,""(.*)-.*""),""!C3:I"")),3,FALSE))"),1600.0)</f>
        <v>1600</v>
      </c>
      <c r="E73" s="182">
        <f>IFERROR(__xludf.DUMMYFUNCTION("IF(ISBLANK(E71),"""",HLOOKUP(REGEXEXTRACT(E71,"".*-(.*)""),INDIRECT(CONCATENATE(REGEXEXTRACT(E71,""(.*)-.*""),""!C3:I"")),3,FALSE))"),1750.0)</f>
        <v>1750</v>
      </c>
      <c r="F73" s="182" t="str">
        <f>IFERROR(__xludf.DUMMYFUNCTION("IF(ISBLANK(F71),"""",HLOOKUP(REGEXEXTRACT(F71,"".*-(.*)""),INDIRECT(CONCATENATE(REGEXEXTRACT(F71,""(.*)-.*""),""!C3:I"")),3,FALSE))"),"")</f>
        <v/>
      </c>
    </row>
  </sheetData>
  <mergeCells count="18">
    <mergeCell ref="A2:A4"/>
    <mergeCell ref="H2:H4"/>
    <mergeCell ref="L5:L7"/>
    <mergeCell ref="A6:A8"/>
    <mergeCell ref="A10:A12"/>
    <mergeCell ref="A14:A16"/>
    <mergeCell ref="A21:A23"/>
    <mergeCell ref="A56:A58"/>
    <mergeCell ref="A63:A65"/>
    <mergeCell ref="A67:A69"/>
    <mergeCell ref="A71:A73"/>
    <mergeCell ref="A25:A27"/>
    <mergeCell ref="A29:A31"/>
    <mergeCell ref="A36:A38"/>
    <mergeCell ref="A40:A42"/>
    <mergeCell ref="A44:A46"/>
    <mergeCell ref="A48:A50"/>
    <mergeCell ref="A52:A54"/>
  </mergeCells>
  <conditionalFormatting sqref="A2:A58 H2:H4 L5:L7 A63:A65 A67:A69 A71:A73">
    <cfRule type="cellIs" dxfId="0" priority="1" operator="equal">
      <formula>"DONE"</formula>
    </cfRule>
  </conditionalFormatting>
  <dataValidations>
    <dataValidation type="list" allowBlank="1" showErrorMessage="1" sqref="C2:F2 J2:M2 C6:F6 C10:F10 C14:F14 C21:F21 C25:F25 C29:F29 C36:F36 C40:F40 C44:F44 C48:F48 C52:F52 C56:F56 C63:F63 C67:F67 C71:F71">
      <formula1>chars!$B$2:$Z996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/>
      <c r="D1" s="1"/>
      <c r="E1" s="1"/>
      <c r="F1" s="1"/>
    </row>
    <row r="2">
      <c r="A2" s="2"/>
      <c r="B2" s="349" t="s">
        <v>1</v>
      </c>
      <c r="C2" s="350" t="s">
        <v>7</v>
      </c>
      <c r="D2" s="350" t="s">
        <v>9</v>
      </c>
      <c r="E2" s="350" t="s">
        <v>383</v>
      </c>
      <c r="F2" s="351" t="s">
        <v>384</v>
      </c>
    </row>
    <row r="3">
      <c r="B3" s="352"/>
      <c r="C3" s="59" t="str">
        <f>IFERROR(__xludf.DUMMYFUNCTION("IF(ISBLANK(C2),"""",HLOOKUP(REGEXEXTRACT(C2,"".*-(.*)""),INDIRECT(CONCATENATE(REGEXEXTRACT(C2,""(.*)-.*""),""!C3:I"")),2,FALSE))"),"Wardancer")</f>
        <v>Wardancer</v>
      </c>
      <c r="D3" s="59" t="str">
        <f>IFERROR(__xludf.DUMMYFUNCTION("IF(ISBLANK(D2),"""",HLOOKUP(REGEXEXTRACT(D2,"".*-(.*)""),INDIRECT(CONCATENATE(REGEXEXTRACT(D2,""(.*)-.*""),""!C3:P"")),2,FALSE))"),"Deathblade")</f>
        <v>Deathblade</v>
      </c>
      <c r="E3" s="59" t="s">
        <v>385</v>
      </c>
      <c r="F3" s="312" t="s">
        <v>386</v>
      </c>
    </row>
    <row r="4">
      <c r="B4" s="353"/>
      <c r="C4" s="354">
        <f>IFERROR(__xludf.DUMMYFUNCTION("IF(ISBLANK(C2),"""",HLOOKUP(REGEXEXTRACT(C2,"".*-(.*)""),INDIRECT(CONCATENATE(REGEXEXTRACT(C2,""(.*)-.*""),""!C3:P"")),3,FALSE))"),1620.0)</f>
        <v>1620</v>
      </c>
      <c r="D4" s="354">
        <f>IFERROR(__xludf.DUMMYFUNCTION("IF(ISBLANK(D2),"""",HLOOKUP(REGEXEXTRACT(D2,"".*-(.*)""),INDIRECT(CONCATENATE(REGEXEXTRACT(D2,""(.*)-.*""),""!C3:P"")),3,FALSE))"),1600.0)</f>
        <v>1600</v>
      </c>
      <c r="E4" s="313"/>
      <c r="F4" s="314"/>
    </row>
    <row r="5">
      <c r="B5" s="313"/>
      <c r="C5" s="313"/>
      <c r="D5" s="313"/>
      <c r="E5" s="313"/>
      <c r="F5" s="313"/>
    </row>
    <row r="6">
      <c r="A6" s="2"/>
      <c r="B6" s="355" t="s">
        <v>1</v>
      </c>
      <c r="C6" s="356" t="s">
        <v>387</v>
      </c>
      <c r="D6" s="356" t="s">
        <v>4</v>
      </c>
      <c r="E6" s="356" t="s">
        <v>383</v>
      </c>
      <c r="F6" s="357" t="s">
        <v>384</v>
      </c>
    </row>
    <row r="7">
      <c r="B7" s="352"/>
      <c r="C7" s="59" t="str">
        <f>IFERROR(__xludf.DUMMYFUNCTION("IF(ISBLANK(C6),"""",HLOOKUP(REGEXEXTRACT(C6,"".*-(.*)""),INDIRECT(CONCATENATE(REGEXEXTRACT(C6,""(.*)-.*""),""!C3:I"")),2,FALSE))"),"Reaper")</f>
        <v>Reaper</v>
      </c>
      <c r="D7" s="59" t="str">
        <f>IFERROR(__xludf.DUMMYFUNCTION("IF(ISBLANK(D6),"""",HLOOKUP(REGEXEXTRACT(D6,"".*-(.*)""),INDIRECT(CONCATENATE(REGEXEXTRACT(D6,""(.*)-.*""),""!C3:P"")),2,FALSE))"),"Gunslinger")</f>
        <v>Gunslinger</v>
      </c>
      <c r="E7" s="59" t="s">
        <v>388</v>
      </c>
      <c r="F7" s="312" t="s">
        <v>389</v>
      </c>
    </row>
    <row r="8">
      <c r="B8" s="353"/>
      <c r="C8" s="354">
        <f>IFERROR(__xludf.DUMMYFUNCTION("IF(ISBLANK(C6),"""",HLOOKUP(REGEXEXTRACT(C6,"".*-(.*)""),INDIRECT(CONCATENATE(REGEXEXTRACT(C6,""(.*)-.*""),""!C3:P"")),3,FALSE))"),1520.0)</f>
        <v>1520</v>
      </c>
      <c r="D8" s="354">
        <f>IFERROR(__xludf.DUMMYFUNCTION("IF(ISBLANK(D6),"""",HLOOKUP(REGEXEXTRACT(D6,"".*-(.*)""),INDIRECT(CONCATENATE(REGEXEXTRACT(D6,""(.*)-.*""),""!C3:P"")),3,FALSE))"),1750.0)</f>
        <v>1750</v>
      </c>
      <c r="E8" s="313"/>
      <c r="F8" s="314"/>
    </row>
    <row r="9">
      <c r="B9" s="313"/>
      <c r="C9" s="313"/>
      <c r="D9" s="313"/>
      <c r="E9" s="313"/>
      <c r="F9" s="313"/>
    </row>
    <row r="10">
      <c r="A10" s="2"/>
      <c r="B10" s="355" t="s">
        <v>1</v>
      </c>
      <c r="C10" s="358" t="s">
        <v>68</v>
      </c>
      <c r="D10" s="356" t="s">
        <v>50</v>
      </c>
      <c r="E10" s="356" t="s">
        <v>383</v>
      </c>
      <c r="F10" s="357" t="s">
        <v>384</v>
      </c>
    </row>
    <row r="11">
      <c r="B11" s="359"/>
      <c r="C11" s="59" t="str">
        <f>IFERROR(__xludf.DUMMYFUNCTION("IF(ISBLANK(C10),"""",HLOOKUP(REGEXEXTRACT(C10,"".*-(.*)""),INDIRECT(CONCATENATE(REGEXEXTRACT(C10,""(.*)-.*""),""!C3:I"")),2,FALSE))"),"#REF!")</f>
        <v>#REF!</v>
      </c>
      <c r="D11" s="59" t="str">
        <f>IFERROR(__xludf.DUMMYFUNCTION("IF(ISBLANK(D10),"""",HLOOKUP(REGEXEXTRACT(D10,"".*-(.*)""),INDIRECT(CONCATENATE(REGEXEXTRACT(D10,""(.*)-.*""),""!C3:P"")),2,FALSE))"),"#N/A")</f>
        <v>#N/A</v>
      </c>
      <c r="E11" s="59" t="s">
        <v>390</v>
      </c>
      <c r="F11" s="312" t="s">
        <v>391</v>
      </c>
    </row>
    <row r="12">
      <c r="B12" s="360"/>
      <c r="C12" s="354" t="str">
        <f>IFERROR(__xludf.DUMMYFUNCTION("IF(ISBLANK(C10),"""",HLOOKUP(REGEXEXTRACT(C10,"".*-(.*)""),INDIRECT(CONCATENATE(REGEXEXTRACT(C10,""(.*)-.*""),""!C3:P"")),3,FALSE))"),"#REF!")</f>
        <v>#REF!</v>
      </c>
      <c r="D12" s="354" t="str">
        <f>IFERROR(__xludf.DUMMYFUNCTION("IF(ISBLANK(D10),"""",HLOOKUP(REGEXEXTRACT(D10,"".*-(.*)""),INDIRECT(CONCATENATE(REGEXEXTRACT(D10,""(.*)-.*""),""!C3:P"")),3,FALSE))"),"#N/A")</f>
        <v>#N/A</v>
      </c>
      <c r="E12" s="313"/>
      <c r="F12" s="314"/>
    </row>
    <row r="13">
      <c r="B13" s="313"/>
      <c r="C13" s="1"/>
      <c r="D13" s="1"/>
      <c r="E13" s="1"/>
      <c r="F13" s="1"/>
    </row>
    <row r="14">
      <c r="A14" s="2"/>
      <c r="B14" s="361" t="s">
        <v>1</v>
      </c>
      <c r="C14" s="358" t="s">
        <v>45</v>
      </c>
      <c r="D14" s="356" t="s">
        <v>30</v>
      </c>
      <c r="E14" s="356" t="s">
        <v>383</v>
      </c>
      <c r="F14" s="357" t="s">
        <v>384</v>
      </c>
    </row>
    <row r="15">
      <c r="B15" s="359"/>
      <c r="C15" s="59" t="str">
        <f>IFERROR(__xludf.DUMMYFUNCTION("IF(ISBLANK(C14),"""",HLOOKUP(REGEXEXTRACT(C14,"".*-(.*)""),INDIRECT(CONCATENATE(REGEXEXTRACT(C14,""(.*)-.*""),""!C3:I"")),2,FALSE))"),"#REF!")</f>
        <v>#REF!</v>
      </c>
      <c r="D15" s="59" t="str">
        <f>IFERROR(__xludf.DUMMYFUNCTION("IF(ISBLANK(D14),"""",HLOOKUP(REGEXEXTRACT(D14,"".*-(.*)""),INDIRECT(CONCATENATE(REGEXEXTRACT(D14,""(.*)-.*""),""!C3:P"")),2,FALSE))"),"#N/A")</f>
        <v>#N/A</v>
      </c>
      <c r="E15" s="59" t="s">
        <v>392</v>
      </c>
      <c r="F15" s="312" t="s">
        <v>393</v>
      </c>
    </row>
    <row r="16">
      <c r="B16" s="360"/>
      <c r="C16" s="313" t="str">
        <f>IFERROR(__xludf.DUMMYFUNCTION("IF(ISBLANK(C14),"""",HLOOKUP(REGEXEXTRACT(C14,"".*-(.*)""),INDIRECT(CONCATENATE(REGEXEXTRACT(C14,""(.*)-.*""),""!C3:P"")),3,FALSE))"),"#REF!")</f>
        <v>#REF!</v>
      </c>
      <c r="D16" s="354" t="str">
        <f>IFERROR(__xludf.DUMMYFUNCTION("IF(ISBLANK(D14),"""",HLOOKUP(REGEXEXTRACT(D14,"".*-(.*)""),INDIRECT(CONCATENATE(REGEXEXTRACT(D14,""(.*)-.*""),""!C3:P"")),3,FALSE))"),"#N/A")</f>
        <v>#N/A</v>
      </c>
      <c r="E16" s="313"/>
      <c r="F16" s="314"/>
    </row>
    <row r="17">
      <c r="B17" s="313"/>
      <c r="C17" s="1"/>
      <c r="D17" s="1"/>
      <c r="E17" s="1"/>
      <c r="F17" s="1"/>
    </row>
    <row r="18">
      <c r="A18" s="2"/>
      <c r="B18" s="355" t="s">
        <v>1</v>
      </c>
      <c r="C18" s="358" t="s">
        <v>19</v>
      </c>
      <c r="D18" s="356" t="s">
        <v>3</v>
      </c>
      <c r="E18" s="356" t="s">
        <v>383</v>
      </c>
      <c r="F18" s="357" t="s">
        <v>384</v>
      </c>
    </row>
    <row r="19">
      <c r="B19" s="362"/>
      <c r="C19" s="59" t="str">
        <f>IFERROR(__xludf.DUMMYFUNCTION("IF(ISBLANK(C18),"""",HLOOKUP(REGEXEXTRACT(C18,"".*-(.*)""),INDIRECT(CONCATENATE(REGEXEXTRACT(C18,""(.*)-.*""),""!C3:L"")),2,FALSE))"),"#REF!")</f>
        <v>#REF!</v>
      </c>
      <c r="D19" s="59" t="str">
        <f>IFERROR(__xludf.DUMMYFUNCTION("IF(ISBLANK(D18),"""",HLOOKUP(REGEXEXTRACT(D18,"".*-(.*)""),INDIRECT(CONCATENATE(REGEXEXTRACT(D18,""(.*)-.*""),""!C3:P"")),2,FALSE))"),"Sorceress")</f>
        <v>Sorceress</v>
      </c>
      <c r="E19" s="59" t="s">
        <v>394</v>
      </c>
      <c r="F19" s="312" t="s">
        <v>390</v>
      </c>
    </row>
    <row r="20">
      <c r="B20" s="363"/>
      <c r="C20" s="313" t="str">
        <f>IFERROR(__xludf.DUMMYFUNCTION("IF(ISBLANK(C18),"""",HLOOKUP(REGEXEXTRACT(C18,"".*-(.*)""),INDIRECT(CONCATENATE(REGEXEXTRACT(C18,""(.*)-.*""),""!C3:P"")),3,FALSE))"),"#REF!")</f>
        <v>#REF!</v>
      </c>
      <c r="D20" s="354">
        <f>IFERROR(__xludf.DUMMYFUNCTION("IF(ISBLANK(D18),"""",HLOOKUP(REGEXEXTRACT(D18,"".*-(.*)""),INDIRECT(CONCATENATE(REGEXEXTRACT(D18,""(.*)-.*""),""!C3:P"")),3,FALSE))"),1600.0)</f>
        <v>1600</v>
      </c>
      <c r="E20" s="313"/>
      <c r="F20" s="314"/>
    </row>
    <row r="21">
      <c r="B21" s="313"/>
      <c r="C21" s="313"/>
      <c r="D21" s="313"/>
      <c r="E21" s="313"/>
      <c r="F21" s="313"/>
    </row>
    <row r="22">
      <c r="A22" s="2"/>
      <c r="B22" s="355" t="s">
        <v>1</v>
      </c>
      <c r="C22" s="356" t="s">
        <v>5</v>
      </c>
      <c r="D22" s="358" t="s">
        <v>43</v>
      </c>
      <c r="E22" s="356" t="s">
        <v>383</v>
      </c>
      <c r="F22" s="357" t="s">
        <v>384</v>
      </c>
    </row>
    <row r="23">
      <c r="B23" s="362"/>
      <c r="C23" s="59" t="str">
        <f>IFERROR(__xludf.DUMMYFUNCTION("IF(ISBLANK(C22),"""",HLOOKUP(REGEXEXTRACT(C22,"".*-(.*)""),INDIRECT(CONCATENATE(REGEXEXTRACT(C22,""(.*)-.*""),""!C3:I"")),2,FALSE))"),"#REF!")</f>
        <v>#REF!</v>
      </c>
      <c r="D23" s="59" t="str">
        <f>IFERROR(__xludf.DUMMYFUNCTION("IF(ISBLANK(D22),"""",HLOOKUP(REGEXEXTRACT(D22,"".*-(.*)""),INDIRECT(CONCATENATE(REGEXEXTRACT(D22,""(.*)-.*""),""!C3:P"")),2,FALSE))"),"Soulfist")</f>
        <v>Soulfist</v>
      </c>
      <c r="E23" s="59" t="s">
        <v>389</v>
      </c>
      <c r="F23" s="312" t="s">
        <v>392</v>
      </c>
    </row>
    <row r="24">
      <c r="B24" s="363"/>
      <c r="C24" s="313" t="str">
        <f>IFERROR(__xludf.DUMMYFUNCTION("IF(ISBLANK(C22),"""",HLOOKUP(REGEXEXTRACT(C22,"".*-(.*)""),INDIRECT(CONCATENATE(REGEXEXTRACT(C22,""(.*)-.*""),""!C3:P"")),3,FALSE))"),"#REF!")</f>
        <v>#REF!</v>
      </c>
      <c r="D24" s="354">
        <f>IFERROR(__xludf.DUMMYFUNCTION("IF(ISBLANK(D22),"""",HLOOKUP(REGEXEXTRACT(D22,"".*-(.*)""),INDIRECT(CONCATENATE(REGEXEXTRACT(D22,""(.*)-.*""),""!C3:P"")),3,FALSE))"),1750.0)</f>
        <v>1750</v>
      </c>
      <c r="E24" s="313"/>
      <c r="F24" s="314"/>
    </row>
    <row r="25">
      <c r="B25" s="313"/>
      <c r="C25" s="313"/>
      <c r="D25" s="313"/>
      <c r="E25" s="313"/>
      <c r="F25" s="313"/>
    </row>
    <row r="26">
      <c r="A26" s="2"/>
      <c r="B26" s="16" t="s">
        <v>1</v>
      </c>
      <c r="C26" s="4" t="s">
        <v>23</v>
      </c>
      <c r="D26" s="5" t="s">
        <v>32</v>
      </c>
      <c r="E26" s="5" t="s">
        <v>74</v>
      </c>
      <c r="F26" s="357" t="s">
        <v>44</v>
      </c>
    </row>
    <row r="27">
      <c r="B27" s="17"/>
      <c r="C27" s="9" t="str">
        <f>IFERROR(__xludf.DUMMYFUNCTION("IF(ISBLANK(C26),"""",HLOOKUP(REGEXEXTRACT(C26,"".*-(.*)""),INDIRECT(CONCATENATE(REGEXEXTRACT(C26,""(.*)-.*""),""!C3:I"")),2,FALSE))"),"#REF!")</f>
        <v>#REF!</v>
      </c>
      <c r="D27" s="9" t="str">
        <f>IFERROR(__xludf.DUMMYFUNCTION("IF(ISBLANK(D26),"""",HLOOKUP(REGEXEXTRACT(D26,"".*-(.*)""),INDIRECT(CONCATENATE(REGEXEXTRACT(D26,""(.*)-.*""),""!C3:P"")),2,FALSE))"),"Glaivier")</f>
        <v>Glaivier</v>
      </c>
      <c r="E27" s="9" t="str">
        <f>IFERROR(__xludf.DUMMYFUNCTION("IF(ISBLANK(E26),"""",HLOOKUP(REGEXEXTRACT(E26,"".*-(.*)""),INDIRECT(CONCATENATE(REGEXEXTRACT(E26,""(.*)-.*""),""!C3:P"")),2,FALSE))"),"#REF!")</f>
        <v>#REF!</v>
      </c>
      <c r="F27" s="10" t="str">
        <f>IFERROR(__xludf.DUMMYFUNCTION("IF(ISBLANK(F26),"""",HLOOKUP(REGEXEXTRACT(F26,"".*-(.*)""),INDIRECT(CONCATENATE(REGEXEXTRACT(F26,""(.*)-.*""),""!C3:P"")),2,FALSE))"),"#N/A")</f>
        <v>#N/A</v>
      </c>
    </row>
    <row r="28">
      <c r="B28" s="18"/>
      <c r="C28" s="12" t="str">
        <f>IFERROR(__xludf.DUMMYFUNCTION("IF(ISBLANK(C26),"""",HLOOKUP(REGEXEXTRACT(C26,"".*-(.*)""),INDIRECT(CONCATENATE(REGEXEXTRACT(C26,""(.*)-.*""),""!C3:P"")),3,FALSE))"),"#REF!")</f>
        <v>#REF!</v>
      </c>
      <c r="D28" s="12">
        <f>IFERROR(__xludf.DUMMYFUNCTION("IF(ISBLANK(D26),"""",HLOOKUP(REGEXEXTRACT(D26,"".*-(.*)""),INDIRECT(CONCATENATE(REGEXEXTRACT(D26,""(.*)-.*""),""!C3:P"")),3,FALSE))"),1750.0)</f>
        <v>1750</v>
      </c>
      <c r="E28" s="12" t="str">
        <f>IFERROR(__xludf.DUMMYFUNCTION("IF(ISBLANK(E26),"""",HLOOKUP(REGEXEXTRACT(E26,"".*-(.*)""),INDIRECT(CONCATENATE(REGEXEXTRACT(E26,""(.*)-.*""),""!C3:P"")),3,FALSE))"),"#REF!")</f>
        <v>#REF!</v>
      </c>
      <c r="F28" s="13" t="str">
        <f>IFERROR(__xludf.DUMMYFUNCTION("IF(ISBLANK(F26),"""",HLOOKUP(REGEXEXTRACT(F26,"".*-(.*)""),INDIRECT(CONCATENATE(REGEXEXTRACT(F26,""(.*)-.*""),""!C3:P"")),3,FALSE))"),"#N/A")</f>
        <v>#N/A</v>
      </c>
    </row>
    <row r="29">
      <c r="B29" s="313"/>
      <c r="C29" s="313"/>
      <c r="D29" s="313"/>
      <c r="E29" s="313"/>
      <c r="F29" s="313"/>
    </row>
    <row r="30">
      <c r="A30" s="2"/>
      <c r="B30" s="16" t="s">
        <v>1</v>
      </c>
      <c r="C30" s="358" t="s">
        <v>17</v>
      </c>
      <c r="D30" s="5" t="s">
        <v>26</v>
      </c>
      <c r="E30" s="5" t="s">
        <v>18</v>
      </c>
      <c r="F30" s="6" t="s">
        <v>31</v>
      </c>
    </row>
    <row r="31">
      <c r="B31" s="17"/>
      <c r="C31" s="9" t="str">
        <f>IFERROR(__xludf.DUMMYFUNCTION("IF(ISBLANK(C30),"""",HLOOKUP(REGEXEXTRACT(C30,"".*-(.*)""),INDIRECT(CONCATENATE(REGEXEXTRACT(C30,""(.*)-.*""),""!C3:I"")),2,FALSE))"),"#N/A")</f>
        <v>#N/A</v>
      </c>
      <c r="D31" s="9" t="str">
        <f>IFERROR(__xludf.DUMMYFUNCTION("IF(ISBLANK(D30),"""",HLOOKUP(REGEXEXTRACT(D30,"".*-(.*)""),INDIRECT(CONCATENATE(REGEXEXTRACT(D30,""(.*)-.*""),""!C3:P"")),2,FALSE))"),"#REF!")</f>
        <v>#REF!</v>
      </c>
      <c r="E31" s="9" t="str">
        <f>IFERROR(__xludf.DUMMYFUNCTION("IF(ISBLANK(E30),"""",HLOOKUP(REGEXEXTRACT(E30,"".*-(.*)""),INDIRECT(CONCATENATE(REGEXEXTRACT(E30,""(.*)-.*""),""!C3:P"")),2,FALSE))"),"Striker")</f>
        <v>Striker</v>
      </c>
      <c r="F31" s="10" t="str">
        <f>IFERROR(__xludf.DUMMYFUNCTION("IF(ISBLANK(F30),"""",HLOOKUP(REGEXEXTRACT(F30,"".*-(.*)""),INDIRECT(CONCATENATE(REGEXEXTRACT(F30,""(.*)-.*""),""!C3:P"")),2,FALSE))"),"#REF!")</f>
        <v>#REF!</v>
      </c>
    </row>
    <row r="32">
      <c r="B32" s="18"/>
      <c r="C32" s="12" t="str">
        <f>IFERROR(__xludf.DUMMYFUNCTION("IF(ISBLANK(C30),"""",HLOOKUP(REGEXEXTRACT(C30,"".*-(.*)""),INDIRECT(CONCATENATE(REGEXEXTRACT(C30,""(.*)-.*""),""!C3:P"")),3,FALSE))"),"#N/A")</f>
        <v>#N/A</v>
      </c>
      <c r="D32" s="12" t="str">
        <f>IFERROR(__xludf.DUMMYFUNCTION("IF(ISBLANK(D30),"""",HLOOKUP(REGEXEXTRACT(D30,"".*-(.*)""),INDIRECT(CONCATENATE(REGEXEXTRACT(D30,""(.*)-.*""),""!C3:P"")),3,FALSE))"),"#REF!")</f>
        <v>#REF!</v>
      </c>
      <c r="E32" s="12">
        <f>IFERROR(__xludf.DUMMYFUNCTION("IF(ISBLANK(E30),"""",HLOOKUP(REGEXEXTRACT(E30,"".*-(.*)""),INDIRECT(CONCATENATE(REGEXEXTRACT(E30,""(.*)-.*""),""!C3:P"")),3,FALSE))"),1540.0)</f>
        <v>1540</v>
      </c>
      <c r="F32" s="13" t="str">
        <f>IFERROR(__xludf.DUMMYFUNCTION("IF(ISBLANK(F30),"""",HLOOKUP(REGEXEXTRACT(F30,"".*-(.*)""),INDIRECT(CONCATENATE(REGEXEXTRACT(F30,""(.*)-.*""),""!C3:P"")),3,FALSE))"),"#REF!")</f>
        <v>#REF!</v>
      </c>
    </row>
    <row r="33">
      <c r="B33" s="313"/>
      <c r="C33" s="313"/>
      <c r="D33" s="313"/>
      <c r="E33" s="313"/>
      <c r="F33" s="313"/>
    </row>
    <row r="34">
      <c r="A34" s="2"/>
      <c r="B34" s="361" t="s">
        <v>1</v>
      </c>
      <c r="C34" s="358" t="s">
        <v>10</v>
      </c>
      <c r="D34" s="358" t="s">
        <v>78</v>
      </c>
      <c r="E34" s="356" t="s">
        <v>16</v>
      </c>
      <c r="F34" s="358" t="s">
        <v>13</v>
      </c>
    </row>
    <row r="35">
      <c r="B35" s="364"/>
      <c r="C35" s="59" t="str">
        <f>IFERROR(__xludf.DUMMYFUNCTION("IF(ISBLANK(C34),"""",HLOOKUP(REGEXEXTRACT(C34,"".*-(.*)""),INDIRECT(CONCATENATE(REGEXEXTRACT(C34,""(.*)-.*""),""!C3:I"")),2,FALSE))"),"#REF!")</f>
        <v>#REF!</v>
      </c>
      <c r="D35" s="59" t="str">
        <f>IFERROR(__xludf.DUMMYFUNCTION("IF(ISBLANK(D34),"""",HLOOKUP(REGEXEXTRACT(D34,"".*-(.*)""),INDIRECT(CONCATENATE(REGEXEXTRACT(D34,""(.*)-.*""),""!C3:P"")),2,FALSE))"),"Scrapper")</f>
        <v>Scrapper</v>
      </c>
      <c r="E35" s="59" t="str">
        <f>IFERROR(__xludf.DUMMYFUNCTION("IF(ISBLANK(E34),"""",HLOOKUP(REGEXEXTRACT(E34,"".*-(.*)""),INDIRECT(CONCATENATE(REGEXEXTRACT(E34,""(.*)-.*""),""!C3:P"")),2,FALSE))"),"Deathblade")</f>
        <v>Deathblade</v>
      </c>
      <c r="F35" s="312" t="str">
        <f>IFERROR(__xludf.DUMMYFUNCTION("IF(ISBLANK(F34),"""",HLOOKUP(REGEXEXTRACT(F34,"".*-(.*)""),INDIRECT(CONCATENATE(REGEXEXTRACT(F34,""(.*)-.*""),""!C3:P"")),2,FALSE))"),"Arcana")</f>
        <v>Arcana</v>
      </c>
    </row>
    <row r="36">
      <c r="B36" s="365"/>
      <c r="C36" s="313" t="str">
        <f>IFERROR(__xludf.DUMMYFUNCTION("IF(ISBLANK(C34),"""",HLOOKUP(REGEXEXTRACT(C34,"".*-(.*)""),INDIRECT(CONCATENATE(REGEXEXTRACT(C34,""(.*)-.*""),""!C3:P"")),3,FALSE))"),"#REF!")</f>
        <v>#REF!</v>
      </c>
      <c r="D36" s="354">
        <f>IFERROR(__xludf.DUMMYFUNCTION("IF(ISBLANK(D34),"""",HLOOKUP(REGEXEXTRACT(D34,"".*-(.*)""),INDIRECT(CONCATENATE(REGEXEXTRACT(D34,""(.*)-.*""),""!C3:P"")),3,FALSE))"),1730.0)</f>
        <v>1730</v>
      </c>
      <c r="E36" s="354">
        <f>IFERROR(__xludf.DUMMYFUNCTION("IF(ISBLANK(E34),"""",HLOOKUP(REGEXEXTRACT(E34,"".*-(.*)""),INDIRECT(CONCATENATE(REGEXEXTRACT(E34,""(.*)-.*""),""!C3:P"")),3,FALSE))"),1540.0)</f>
        <v>1540</v>
      </c>
      <c r="F36" s="366">
        <f>IFERROR(__xludf.DUMMYFUNCTION("IF(ISBLANK(F34),"""",HLOOKUP(REGEXEXTRACT(F34,"".*-(.*)""),INDIRECT(CONCATENATE(REGEXEXTRACT(F34,""(.*)-.*""),""!C3:P"")),3,FALSE))"),1560.0)</f>
        <v>1560</v>
      </c>
    </row>
    <row r="38">
      <c r="A38" s="2"/>
      <c r="B38" s="16" t="s">
        <v>1</v>
      </c>
      <c r="C38" s="4" t="s">
        <v>36</v>
      </c>
      <c r="D38" s="5" t="s">
        <v>37</v>
      </c>
      <c r="E38" s="5" t="s">
        <v>38</v>
      </c>
      <c r="F38" s="6" t="s">
        <v>39</v>
      </c>
    </row>
    <row r="39">
      <c r="B39" s="19"/>
      <c r="C39" s="9" t="str">
        <f>IFERROR(__xludf.DUMMYFUNCTION("IF(ISBLANK(C38),"""",HLOOKUP(REGEXEXTRACT(C38,"".*-(.*)""),INDIRECT(CONCATENATE(REGEXEXTRACT(C38,""(.*)-.*""),""!C3:I"")),2,FALSE))"),"#N/A")</f>
        <v>#N/A</v>
      </c>
      <c r="D39" s="9" t="str">
        <f>IFERROR(__xludf.DUMMYFUNCTION("IF(ISBLANK(D38),"""",HLOOKUP(REGEXEXTRACT(D38,"".*-(.*)""),INDIRECT(CONCATENATE(REGEXEXTRACT(D38,""(.*)-.*""),""!C3:P"")),2,FALSE))"),"Guardianknight")</f>
        <v>Guardianknight</v>
      </c>
      <c r="E39" s="9" t="str">
        <f>IFERROR(__xludf.DUMMYFUNCTION("IF(ISBLANK(E38),"""",HLOOKUP(REGEXEXTRACT(E38,"".*-(.*)""),INDIRECT(CONCATENATE(REGEXEXTRACT(E38,""(.*)-.*""),""!C3:P"")),2,FALSE))"),"#REF!")</f>
        <v>#REF!</v>
      </c>
      <c r="F39" s="10" t="str">
        <f>IFERROR(__xludf.DUMMYFUNCTION("IF(ISBLANK(F38),"""",HLOOKUP(REGEXEXTRACT(F38,"".*-(.*)""),INDIRECT(CONCATENATE(REGEXEXTRACT(F38,""(.*)-.*""),""!C3:P"")),2,FALSE))"),"Bard")</f>
        <v>Bard</v>
      </c>
    </row>
    <row r="40">
      <c r="B40" s="20"/>
      <c r="C40" s="12" t="str">
        <f>IFERROR(__xludf.DUMMYFUNCTION("IF(ISBLANK(C38),"""",HLOOKUP(REGEXEXTRACT(C38,"".*-(.*)""),INDIRECT(CONCATENATE(REGEXEXTRACT(C38,""(.*)-.*""),""!C3:P"")),3,FALSE))"),"#N/A")</f>
        <v>#N/A</v>
      </c>
      <c r="D40" s="12">
        <f>IFERROR(__xludf.DUMMYFUNCTION("IF(ISBLANK(D38),"""",HLOOKUP(REGEXEXTRACT(D38,"".*-(.*)""),INDIRECT(CONCATENATE(REGEXEXTRACT(D38,""(.*)-.*""),""!C3:P"")),3,FALSE))"),1750.0)</f>
        <v>1750</v>
      </c>
      <c r="E40" s="12" t="str">
        <f>IFERROR(__xludf.DUMMYFUNCTION("IF(ISBLANK(E38),"""",HLOOKUP(REGEXEXTRACT(E38,"".*-(.*)""),INDIRECT(CONCATENATE(REGEXEXTRACT(E38,""(.*)-.*""),""!C3:P"")),3,FALSE))"),"#REF!")</f>
        <v>#REF!</v>
      </c>
      <c r="F40" s="13">
        <f>IFERROR(__xludf.DUMMYFUNCTION("IF(ISBLANK(F38),"""",HLOOKUP(REGEXEXTRACT(F38,"".*-(.*)""),INDIRECT(CONCATENATE(REGEXEXTRACT(F38,""(.*)-.*""),""!C3:P"")),3,FALSE))"),1540.0)</f>
        <v>1540</v>
      </c>
    </row>
    <row r="42">
      <c r="B42" s="16" t="s">
        <v>1</v>
      </c>
      <c r="C42" s="4" t="s">
        <v>8</v>
      </c>
      <c r="D42" s="358" t="s">
        <v>25</v>
      </c>
      <c r="E42" s="5" t="s">
        <v>14</v>
      </c>
      <c r="F42" s="358" t="s">
        <v>12</v>
      </c>
    </row>
    <row r="43">
      <c r="B43" s="47"/>
      <c r="C43" s="9" t="str">
        <f>IFERROR(__xludf.DUMMYFUNCTION("IF(ISBLANK(C42),"""",HLOOKUP(REGEXEXTRACT(C42,"".*-(.*)""),INDIRECT(CONCATENATE(REGEXEXTRACT(C42,""(.*)-.*""),""!C3:K"")),2,FALSE))"),"#N/A")</f>
        <v>#N/A</v>
      </c>
      <c r="D43" s="9" t="str">
        <f>IFERROR(__xludf.DUMMYFUNCTION("IF(ISBLANK(D42),"""",HLOOKUP(REGEXEXTRACT(D42,"".*-(.*)""),INDIRECT(CONCATENATE(REGEXEXTRACT(D42,""(.*)-.*""),""!C3:P"")),2,FALSE))"),"#N/A")</f>
        <v>#N/A</v>
      </c>
      <c r="E43" s="9" t="str">
        <f>IFERROR(__xludf.DUMMYFUNCTION("IF(ISBLANK(E42),"""",HLOOKUP(REGEXEXTRACT(E42,"".*-(.*)""),INDIRECT(CONCATENATE(REGEXEXTRACT(E42,""(.*)-.*""),""!C3:P"")),2,FALSE))"),"Sorceress")</f>
        <v>Sorceress</v>
      </c>
      <c r="F43" s="10" t="str">
        <f>IFERROR(__xludf.DUMMYFUNCTION("IF(ISBLANK(F42),"""",HLOOKUP(REGEXEXTRACT(F42,"".*-(.*)""),INDIRECT(CONCATENATE(REGEXEXTRACT(F42,""(.*)-.*""),""!C3:P"")),2,FALSE))"),"Bard")</f>
        <v>Bard</v>
      </c>
    </row>
    <row r="44">
      <c r="B44" s="49"/>
      <c r="C44" s="12" t="str">
        <f>IFERROR(__xludf.DUMMYFUNCTION("IF(ISBLANK(C42),"""",HLOOKUP(REGEXEXTRACT(C42,"".*-(.*)""),INDIRECT(CONCATENATE(REGEXEXTRACT(C42,""(.*)-.*""),""!C3:P"")),3,FALSE))"),"#N/A")</f>
        <v>#N/A</v>
      </c>
      <c r="D44" s="12" t="str">
        <f>IFERROR(__xludf.DUMMYFUNCTION("IF(ISBLANK(D42),"""",HLOOKUP(REGEXEXTRACT(D42,"".*-(.*)""),INDIRECT(CONCATENATE(REGEXEXTRACT(D42,""(.*)-.*""),""!C3:P"")),3,FALSE))"),"#N/A")</f>
        <v>#N/A</v>
      </c>
      <c r="E44" s="12">
        <f>IFERROR(__xludf.DUMMYFUNCTION("IF(ISBLANK(E42),"""",HLOOKUP(REGEXEXTRACT(E42,"".*-(.*)""),INDIRECT(CONCATENATE(REGEXEXTRACT(E42,""(.*)-.*""),""!C3:P"")),3,FALSE))"),1750.0)</f>
        <v>1750</v>
      </c>
      <c r="F44" s="13">
        <f>IFERROR(__xludf.DUMMYFUNCTION("IF(ISBLANK(F42),"""",HLOOKUP(REGEXEXTRACT(F42,"".*-(.*)""),INDIRECT(CONCATENATE(REGEXEXTRACT(F42,""(.*)-.*""),""!C3:P"")),3,FALSE))"),1560.0)</f>
        <v>1560</v>
      </c>
    </row>
    <row r="46">
      <c r="B46" s="3" t="s">
        <v>47</v>
      </c>
      <c r="C46" s="4" t="s">
        <v>52</v>
      </c>
      <c r="D46" s="5" t="s">
        <v>49</v>
      </c>
      <c r="E46" s="5" t="s">
        <v>50</v>
      </c>
      <c r="F46" s="6"/>
    </row>
    <row r="47">
      <c r="B47" s="23"/>
      <c r="C47" s="9" t="str">
        <f>IFERROR(__xludf.DUMMYFUNCTION("IF(ISBLANK(C46),"""",HLOOKUP(REGEXEXTRACT(C46,"".*-(.*)""),INDIRECT(CONCATENATE(REGEXEXTRACT(C46,""(.*)-.*""),""!C3:I"")),2,FALSE))"),"Gunslinger")</f>
        <v>Gunslinger</v>
      </c>
      <c r="D47" s="9" t="str">
        <f>IFERROR(__xludf.DUMMYFUNCTION("IF(ISBLANK(D46),"""",HLOOKUP(REGEXEXTRACT(D46,"".*-(.*)""),INDIRECT(CONCATENATE(REGEXEXTRACT(D46,""(.*)-.*""),""!C3:P"")),2,FALSE))"),"Bard")</f>
        <v>Bard</v>
      </c>
      <c r="E47" s="9" t="str">
        <f>IFERROR(__xludf.DUMMYFUNCTION("IF(ISBLANK(E46),"""",HLOOKUP(REGEXEXTRACT(E46,"".*-(.*)""),INDIRECT(CONCATENATE(REGEXEXTRACT(E46,""(.*)-.*""),""!C3:P"")),2,FALSE))"),"#N/A")</f>
        <v>#N/A</v>
      </c>
      <c r="F47" s="10" t="str">
        <f>IFERROR(__xludf.DUMMYFUNCTION("IF(ISBLANK(F46),"""",HLOOKUP(REGEXEXTRACT(F46,"".*-(.*)""),INDIRECT(CONCATENATE(REGEXEXTRACT(F46,""(.*)-.*""),""!C3:P"")),2,FALSE))"),"")</f>
        <v/>
      </c>
    </row>
    <row r="48">
      <c r="B48" s="24"/>
      <c r="C48" s="12">
        <f>IFERROR(__xludf.DUMMYFUNCTION("IF(ISBLANK(C46),"""",HLOOKUP(REGEXEXTRACT(C46,"".*-(.*)""),INDIRECT(CONCATENATE(REGEXEXTRACT(C46,""(.*)-.*""),""!C3:P"")),3,FALSE))"),1600.0)</f>
        <v>1600</v>
      </c>
      <c r="D48" s="12">
        <f>IFERROR(__xludf.DUMMYFUNCTION("IF(ISBLANK(D46),"""",HLOOKUP(REGEXEXTRACT(D46,"".*-(.*)""),INDIRECT(CONCATENATE(REGEXEXTRACT(D46,""(.*)-.*""),""!C3:P"")),3,FALSE))"),1730.0)</f>
        <v>1730</v>
      </c>
      <c r="E48" s="12" t="str">
        <f>IFERROR(__xludf.DUMMYFUNCTION("IF(ISBLANK(E46),"""",HLOOKUP(REGEXEXTRACT(E46,"".*-(.*)""),INDIRECT(CONCATENATE(REGEXEXTRACT(E46,""(.*)-.*""),""!C3:P"")),3,FALSE))"),"#N/A")</f>
        <v>#N/A</v>
      </c>
      <c r="F48" s="13" t="str">
        <f>IFERROR(__xludf.DUMMYFUNCTION("IF(ISBLANK(F46),"""",HLOOKUP(REGEXEXTRACT(F46,"".*-(.*)""),INDIRECT(CONCATENATE(REGEXEXTRACT(F46,""(.*)-.*""),""!C3:P"")),3,FALSE))"),"")</f>
        <v/>
      </c>
    </row>
    <row r="50">
      <c r="B50" s="3" t="s">
        <v>51</v>
      </c>
      <c r="C50" s="4" t="s">
        <v>48</v>
      </c>
      <c r="D50" s="5" t="s">
        <v>53</v>
      </c>
      <c r="E50" s="5" t="s">
        <v>54</v>
      </c>
      <c r="F50" s="6"/>
    </row>
    <row r="51">
      <c r="B51" s="25"/>
      <c r="C51" s="9" t="str">
        <f>IFERROR(__xludf.DUMMYFUNCTION("IF(ISBLANK(C50),"""",HLOOKUP(REGEXEXTRACT(C50,"".*-(.*)""),INDIRECT(CONCATENATE(REGEXEXTRACT(C50,""(.*)-.*""),""!C3:I"")),2,FALSE))"),"Arcana")</f>
        <v>Arcana</v>
      </c>
      <c r="D51" s="9" t="str">
        <f>IFERROR(__xludf.DUMMYFUNCTION("IF(ISBLANK(D50),"""",HLOOKUP(REGEXEXTRACT(D50,"".*-(.*)""),INDIRECT(CONCATENATE(REGEXEXTRACT(D50,""(.*)-.*""),""!C3:P"")),2,FALSE))"),"Summoner")</f>
        <v>Summoner</v>
      </c>
      <c r="E51" s="9" t="str">
        <f>IFERROR(__xludf.DUMMYFUNCTION("IF(ISBLANK(E50),"""",HLOOKUP(REGEXEXTRACT(E50,"".*-(.*)""),INDIRECT(CONCATENATE(REGEXEXTRACT(E50,""(.*)-.*""),""!C3:P"")),2,FALSE))"),"Paladin")</f>
        <v>Paladin</v>
      </c>
      <c r="F51" s="10" t="str">
        <f>IFERROR(__xludf.DUMMYFUNCTION("IF(ISBLANK(F50),"""",HLOOKUP(REGEXEXTRACT(F50,"".*-(.*)""),INDIRECT(CONCATENATE(REGEXEXTRACT(F50,""(.*)-.*""),""!C3:P"")),2,FALSE))"),"")</f>
        <v/>
      </c>
    </row>
    <row r="52">
      <c r="B52" s="26"/>
      <c r="C52" s="12">
        <f>IFERROR(__xludf.DUMMYFUNCTION("IF(ISBLANK(C50),"""",HLOOKUP(REGEXEXTRACT(C50,"".*-(.*)""),INDIRECT(CONCATENATE(REGEXEXTRACT(C50,""(.*)-.*""),""!C3:P"")),3,FALSE))"),1570.0)</f>
        <v>1570</v>
      </c>
      <c r="D52" s="12">
        <f>IFERROR(__xludf.DUMMYFUNCTION("IF(ISBLANK(D50),"""",HLOOKUP(REGEXEXTRACT(D50,"".*-(.*)""),INDIRECT(CONCATENATE(REGEXEXTRACT(D50,""(.*)-.*""),""!C3:P"")),3,FALSE))"),1750.0)</f>
        <v>1750</v>
      </c>
      <c r="E52" s="12">
        <f>IFERROR(__xludf.DUMMYFUNCTION("IF(ISBLANK(E50),"""",HLOOKUP(REGEXEXTRACT(E50,"".*-(.*)""),INDIRECT(CONCATENATE(REGEXEXTRACT(E50,""(.*)-.*""),""!C3:P"")),3,FALSE))"),1750.0)</f>
        <v>1750</v>
      </c>
      <c r="F52" s="13" t="str">
        <f>IFERROR(__xludf.DUMMYFUNCTION("IF(ISBLANK(F50),"""",HLOOKUP(REGEXEXTRACT(F50,"".*-(.*)""),INDIRECT(CONCATENATE(REGEXEXTRACT(F50,""(.*)-.*""),""!C3:P"")),3,FALSE))"),"")</f>
        <v/>
      </c>
    </row>
  </sheetData>
  <mergeCells count="10">
    <mergeCell ref="A30:A32"/>
    <mergeCell ref="A34:A36"/>
    <mergeCell ref="A38:A40"/>
    <mergeCell ref="A2:A4"/>
    <mergeCell ref="A6:A8"/>
    <mergeCell ref="A10:A12"/>
    <mergeCell ref="A14:A16"/>
    <mergeCell ref="A18:A20"/>
    <mergeCell ref="A22:A24"/>
    <mergeCell ref="A26:A28"/>
  </mergeCells>
  <conditionalFormatting sqref="A2:A12 A14:A28 A30:A32 A34:A36 A38:A40">
    <cfRule type="cellIs" dxfId="0" priority="1" operator="equal">
      <formula>"DONE"</formula>
    </cfRule>
  </conditionalFormatting>
  <dataValidations>
    <dataValidation type="list" allowBlank="1" showErrorMessage="1" sqref="C2:F2 C6:F6 C10:F10 C14:F14 C18:F18 C22:F22 C26:F26 C30:F30 C34:F34 C38:F38 C42:F42 C46:F46 C50:F50">
      <formula1>chars!$B$2:$Z972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5" max="5" width="6.38"/>
    <col hidden="1" min="7" max="8" width="12.63"/>
    <col customWidth="1" hidden="1" min="9" max="9" width="21.88"/>
    <col hidden="1" min="10" max="11" width="12.63"/>
  </cols>
  <sheetData>
    <row r="1">
      <c r="A1" s="328" t="s">
        <v>347</v>
      </c>
    </row>
    <row r="2">
      <c r="A2" s="134" t="s">
        <v>348</v>
      </c>
    </row>
    <row r="3">
      <c r="G3" s="7" t="s">
        <v>349</v>
      </c>
      <c r="H3" s="182">
        <f>COUNTIF(H20:J20,"&gt;0")</f>
        <v>2</v>
      </c>
    </row>
    <row r="4">
      <c r="A4" s="328" t="s">
        <v>350</v>
      </c>
      <c r="G4" s="7"/>
    </row>
    <row r="5">
      <c r="A5" s="7" t="s">
        <v>395</v>
      </c>
      <c r="G5" s="7" t="s">
        <v>352</v>
      </c>
    </row>
    <row r="6">
      <c r="A6" s="7" t="s">
        <v>396</v>
      </c>
    </row>
    <row r="7">
      <c r="A7" s="7" t="s">
        <v>397</v>
      </c>
      <c r="G7" s="7" t="s">
        <v>355</v>
      </c>
    </row>
    <row r="8">
      <c r="A8" s="7" t="s">
        <v>398</v>
      </c>
      <c r="G8" s="182" t="str">
        <f>IFS(H20&gt;0,H19,I20&gt;0,I19,J20&gt;0,J19)</f>
        <v>Driver 1 Alx</v>
      </c>
      <c r="H8" s="7" t="s">
        <v>357</v>
      </c>
      <c r="I8" s="182" t="str">
        <f>IF(G8=H19,I19,H19)</f>
        <v>Driver 2 Wish</v>
      </c>
      <c r="J8" s="7" t="s">
        <v>358</v>
      </c>
      <c r="K8" s="329">
        <f>IF(G8=H19,I20,H20)</f>
        <v>152.8666667</v>
      </c>
    </row>
    <row r="9">
      <c r="A9" s="7" t="s">
        <v>359</v>
      </c>
      <c r="G9" s="182" t="str">
        <f>IFS(H20&gt;0,H19,I20&gt;0,I19,J20&gt;0,J19)</f>
        <v>Driver 1 Alx</v>
      </c>
      <c r="H9" s="7" t="s">
        <v>357</v>
      </c>
      <c r="I9" s="182" t="str">
        <f>IFS(G9=H19,J19,G9=I19,J19,G9=J19,I19)</f>
        <v>Driver 3 Delay</v>
      </c>
      <c r="J9" s="7" t="s">
        <v>358</v>
      </c>
      <c r="K9" s="182">
        <f>IFS(G9=H19,J20,G9=I19,J20,G9=J19,I20)</f>
        <v>-614.4833333</v>
      </c>
    </row>
    <row r="11">
      <c r="B11" s="330" t="s">
        <v>322</v>
      </c>
      <c r="C11" s="330" t="s">
        <v>102</v>
      </c>
      <c r="D11" s="330" t="s">
        <v>98</v>
      </c>
      <c r="G11" s="7" t="s">
        <v>360</v>
      </c>
    </row>
    <row r="12">
      <c r="B12" s="7" t="s">
        <v>361</v>
      </c>
      <c r="C12" s="7" t="s">
        <v>362</v>
      </c>
      <c r="D12" s="7" t="s">
        <v>363</v>
      </c>
      <c r="G12" s="182" t="str">
        <f>IF(I12=H19,I19,H19)</f>
        <v>Driver 1 Alx</v>
      </c>
      <c r="H12" s="7" t="s">
        <v>357</v>
      </c>
      <c r="I12" s="182" t="str">
        <f>IFS(H20&lt;0,H19,I20&lt;0,I19,J20&lt;0,J19)</f>
        <v>Driver 3 Delay</v>
      </c>
      <c r="J12" s="7" t="s">
        <v>358</v>
      </c>
      <c r="K12" s="182">
        <f t="shared" ref="K12:K13" si="1">IFS(G12=$H$19,$H$20,G12=$I$19,$I$20,G12=$J$19,$J$20)</f>
        <v>461.6166667</v>
      </c>
    </row>
    <row r="13">
      <c r="B13" s="332"/>
      <c r="C13" s="332"/>
      <c r="D13" s="332"/>
      <c r="G13" s="182" t="str">
        <f>IFS(I12=H19,J19,I12=I19,J19,I12=J19,I19)</f>
        <v>Driver 2 Wish</v>
      </c>
      <c r="H13" s="7" t="s">
        <v>357</v>
      </c>
      <c r="I13" s="182" t="str">
        <f>IFS(H20&lt;0,H19,I20&lt;0,I19,J20&lt;0,J19)</f>
        <v>Driver 3 Delay</v>
      </c>
      <c r="J13" s="7" t="s">
        <v>358</v>
      </c>
      <c r="K13" s="182">
        <f t="shared" si="1"/>
        <v>152.8666667</v>
      </c>
    </row>
    <row r="14">
      <c r="B14" s="331"/>
      <c r="C14" s="331"/>
      <c r="D14" s="331"/>
    </row>
    <row r="15">
      <c r="B15" s="331"/>
      <c r="C15" s="331"/>
      <c r="D15" s="331"/>
    </row>
    <row r="16">
      <c r="B16" s="331"/>
      <c r="C16" s="331"/>
      <c r="D16" s="331"/>
      <c r="F16" s="333"/>
      <c r="G16" s="7" t="s">
        <v>364</v>
      </c>
      <c r="H16" s="329">
        <f>SUM(B40:D40)</f>
        <v>22419.2</v>
      </c>
    </row>
    <row r="17">
      <c r="B17" s="331"/>
      <c r="C17" s="331"/>
      <c r="D17" s="331"/>
      <c r="G17" s="7" t="s">
        <v>365</v>
      </c>
      <c r="H17" s="329">
        <f>H16/3</f>
        <v>7473.066667</v>
      </c>
    </row>
    <row r="18">
      <c r="B18" s="331"/>
      <c r="C18" s="331"/>
      <c r="D18" s="331"/>
    </row>
    <row r="19">
      <c r="B19" s="331"/>
      <c r="C19" s="331"/>
      <c r="D19" s="331"/>
      <c r="H19" s="330" t="str">
        <f t="shared" ref="H19:J19" si="2">CONCAT(B12,B11)</f>
        <v>Driver 1 Alx</v>
      </c>
      <c r="I19" s="330" t="str">
        <f t="shared" si="2"/>
        <v>Driver 2 Wish</v>
      </c>
      <c r="J19" s="330" t="str">
        <f t="shared" si="2"/>
        <v>Driver 3 Delay</v>
      </c>
    </row>
    <row r="20">
      <c r="B20" s="331"/>
      <c r="C20" s="331"/>
      <c r="D20" s="331"/>
      <c r="G20" s="7" t="s">
        <v>366</v>
      </c>
      <c r="H20" s="329">
        <f t="shared" ref="H20:J20" si="3">$H$17-B40</f>
        <v>461.6166667</v>
      </c>
      <c r="I20" s="329">
        <f t="shared" si="3"/>
        <v>152.8666667</v>
      </c>
      <c r="J20" s="329">
        <f t="shared" si="3"/>
        <v>-614.4833333</v>
      </c>
    </row>
    <row r="21">
      <c r="B21" s="331"/>
      <c r="C21" s="331"/>
      <c r="D21" s="331"/>
    </row>
    <row r="22">
      <c r="B22" s="331"/>
      <c r="C22" s="331"/>
      <c r="D22" s="331"/>
    </row>
    <row r="23">
      <c r="B23" s="331"/>
      <c r="C23" s="331"/>
      <c r="D23" s="331"/>
    </row>
    <row r="24">
      <c r="B24" s="331"/>
      <c r="C24" s="331"/>
      <c r="D24" s="331"/>
      <c r="J24" s="7"/>
    </row>
    <row r="25">
      <c r="B25" s="331"/>
      <c r="C25" s="331"/>
      <c r="D25" s="331"/>
      <c r="J25" s="7"/>
    </row>
    <row r="26">
      <c r="B26" s="331"/>
      <c r="C26" s="331"/>
      <c r="D26" s="331"/>
      <c r="J26" s="7"/>
    </row>
    <row r="27">
      <c r="B27" s="331"/>
      <c r="C27" s="331"/>
      <c r="D27" s="331"/>
      <c r="J27" s="7"/>
    </row>
    <row r="28">
      <c r="B28" s="334"/>
      <c r="C28" s="334"/>
      <c r="D28" s="334"/>
      <c r="F28" s="7"/>
      <c r="J28" s="7"/>
    </row>
    <row r="29">
      <c r="B29" s="334"/>
      <c r="C29" s="334"/>
      <c r="D29" s="334"/>
      <c r="J29" s="7"/>
    </row>
    <row r="30">
      <c r="B30" s="334"/>
      <c r="C30" s="334"/>
      <c r="D30" s="334"/>
      <c r="J30" s="7"/>
    </row>
    <row r="31">
      <c r="B31" s="334"/>
      <c r="C31" s="334"/>
      <c r="D31" s="334"/>
      <c r="J31" s="7"/>
    </row>
    <row r="32">
      <c r="B32" s="128">
        <v>3400.0</v>
      </c>
      <c r="C32" s="128">
        <v>2220.0</v>
      </c>
      <c r="D32" s="128">
        <v>1481.0</v>
      </c>
      <c r="J32" s="7"/>
    </row>
    <row r="33">
      <c r="B33" s="336">
        <v>50.0</v>
      </c>
      <c r="C33" s="336">
        <v>50.0</v>
      </c>
      <c r="D33" s="336">
        <v>150.0</v>
      </c>
      <c r="J33" s="7"/>
    </row>
    <row r="34">
      <c r="B34" s="128">
        <v>2994.0</v>
      </c>
      <c r="C34" s="128">
        <v>4799.0</v>
      </c>
      <c r="D34" s="128">
        <v>5499.0</v>
      </c>
      <c r="J34" s="7"/>
    </row>
    <row r="35">
      <c r="B35" s="336">
        <v>50.0</v>
      </c>
      <c r="C35" s="336">
        <v>100.0</v>
      </c>
      <c r="D35" s="336">
        <v>100.0</v>
      </c>
      <c r="J35" s="7"/>
    </row>
    <row r="36">
      <c r="B36" s="128">
        <v>1197.0</v>
      </c>
      <c r="C36" s="128">
        <v>897.0</v>
      </c>
      <c r="D36" s="128">
        <v>1849.0</v>
      </c>
    </row>
    <row r="37">
      <c r="B37" s="337">
        <v>100.0</v>
      </c>
      <c r="C37" s="337">
        <v>50.0</v>
      </c>
      <c r="D37" s="337">
        <v>50.0</v>
      </c>
    </row>
    <row r="38">
      <c r="A38" s="7" t="s">
        <v>367</v>
      </c>
      <c r="B38" s="182">
        <f t="shared" ref="B38:D38" si="4">SUM(B13:B31)</f>
        <v>0</v>
      </c>
      <c r="C38" s="182">
        <f t="shared" si="4"/>
        <v>0</v>
      </c>
      <c r="D38" s="182">
        <f t="shared" si="4"/>
        <v>0</v>
      </c>
    </row>
    <row r="39">
      <c r="A39" s="7" t="s">
        <v>368</v>
      </c>
      <c r="B39" s="338">
        <f t="shared" ref="B39:D39" si="5">SUM(IF(ISNUMBER(B32),B32,0),IF(ISNUMBER(B34),B34,0),IF(ISNUMBER(B36),B36,0)) *0.95 - SUM(IF(ISNUMBER(B33),B33,0),IF(ISNUMBER(B35),B35,0),IF(ISNUMBER(B37),B37,0))</f>
        <v>7011.45</v>
      </c>
      <c r="C39" s="338">
        <f t="shared" si="5"/>
        <v>7320.2</v>
      </c>
      <c r="D39" s="338">
        <f t="shared" si="5"/>
        <v>8087.55</v>
      </c>
    </row>
    <row r="40">
      <c r="A40" s="7" t="s">
        <v>369</v>
      </c>
      <c r="B40" s="329">
        <f t="shared" ref="B40:D40" si="6">B38*0.95+B39</f>
        <v>7011.45</v>
      </c>
      <c r="C40" s="329">
        <f t="shared" si="6"/>
        <v>7320.2</v>
      </c>
      <c r="D40" s="329">
        <f t="shared" si="6"/>
        <v>8087.55</v>
      </c>
    </row>
    <row r="42">
      <c r="A42" s="134" t="str">
        <f t="shared" ref="A42:D42" si="7">IF($H$3=1,G8,G12)</f>
        <v>Driver 1 Alx</v>
      </c>
      <c r="B42" s="328" t="str">
        <f t="shared" si="7"/>
        <v>lists gem for</v>
      </c>
      <c r="C42" s="134" t="str">
        <f t="shared" si="7"/>
        <v>Driver 3 Delay</v>
      </c>
      <c r="D42" s="328" t="str">
        <f t="shared" si="7"/>
        <v>at price</v>
      </c>
      <c r="E42" s="339">
        <f t="shared" ref="E42:E43" si="9">ABS(IF($H$3=1,K8,K12))</f>
        <v>461.6166667</v>
      </c>
    </row>
    <row r="43">
      <c r="A43" s="134" t="str">
        <f t="shared" ref="A43:D43" si="8">IF($H$3=1,G9,G13)</f>
        <v>Driver 2 Wish</v>
      </c>
      <c r="B43" s="328" t="str">
        <f t="shared" si="8"/>
        <v>lists gem for</v>
      </c>
      <c r="C43" s="134" t="str">
        <f t="shared" si="8"/>
        <v>Driver 3 Delay</v>
      </c>
      <c r="D43" s="328" t="str">
        <f t="shared" si="8"/>
        <v>at price</v>
      </c>
      <c r="E43" s="339">
        <f t="shared" si="9"/>
        <v>152.8666667</v>
      </c>
    </row>
  </sheetData>
  <conditionalFormatting sqref="J1:K1 B11:D11 H19:J19">
    <cfRule type="containsText" dxfId="11" priority="1" operator="containsText" text="Name">
      <formula>NOT(ISERROR(SEARCH(("Name"),(J1))))</formula>
    </cfRule>
  </conditionalFormatting>
  <conditionalFormatting sqref="H20:J20">
    <cfRule type="cellIs" dxfId="12" priority="2" operator="lessThan">
      <formula>0</formula>
    </cfRule>
  </conditionalFormatting>
  <conditionalFormatting sqref="H20:J20">
    <cfRule type="cellIs" dxfId="13" priority="3" operator="greaterThan">
      <formula>0</formula>
    </cfRule>
  </conditionalFormatting>
  <conditionalFormatting sqref="B32:D32 B34:D34 B36:D36">
    <cfRule type="containsText" dxfId="14" priority="4" operator="containsText" text="Book">
      <formula>NOT(ISERROR(SEARCH(("Book"),(B32))))</formula>
    </cfRule>
  </conditionalFormatting>
  <conditionalFormatting sqref="B33:D33 B35:D35 B37:D37">
    <cfRule type="containsText" dxfId="15" priority="5" operator="containsText" text="Book">
      <formula>NOT(ISERROR(SEARCH(("Book"),(B33))))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5" max="5" width="6.38"/>
    <col hidden="1" min="7" max="8" width="12.63"/>
    <col customWidth="1" hidden="1" min="9" max="9" width="21.88"/>
    <col hidden="1" min="10" max="11" width="12.63"/>
  </cols>
  <sheetData>
    <row r="1">
      <c r="A1" s="328" t="s">
        <v>347</v>
      </c>
    </row>
    <row r="2">
      <c r="A2" s="134" t="s">
        <v>348</v>
      </c>
    </row>
    <row r="3">
      <c r="G3" s="7" t="s">
        <v>349</v>
      </c>
      <c r="H3" s="182">
        <f>COUNTIF(H20:J20,"&gt;0")</f>
        <v>0</v>
      </c>
    </row>
    <row r="4">
      <c r="A4" s="328" t="s">
        <v>350</v>
      </c>
      <c r="G4" s="7"/>
    </row>
    <row r="5">
      <c r="A5" s="7" t="s">
        <v>399</v>
      </c>
      <c r="G5" s="7" t="s">
        <v>352</v>
      </c>
    </row>
    <row r="6">
      <c r="A6" s="7" t="s">
        <v>400</v>
      </c>
    </row>
    <row r="7">
      <c r="A7" s="7" t="s">
        <v>401</v>
      </c>
      <c r="G7" s="7" t="s">
        <v>355</v>
      </c>
    </row>
    <row r="8">
      <c r="A8" s="7" t="s">
        <v>402</v>
      </c>
      <c r="G8" s="182" t="str">
        <f>IFS(H20&gt;0,H19,I20&gt;0,I19,J20&gt;0,J19)</f>
        <v>#N/A</v>
      </c>
      <c r="H8" s="7" t="s">
        <v>357</v>
      </c>
      <c r="I8" s="182" t="str">
        <f>IF(G8=H19,I19,H19)</f>
        <v>#N/A</v>
      </c>
      <c r="J8" s="7" t="s">
        <v>358</v>
      </c>
      <c r="K8" s="182" t="str">
        <f>IF(G8=H19,I20,H20)</f>
        <v>#N/A</v>
      </c>
    </row>
    <row r="9">
      <c r="A9" s="7" t="s">
        <v>359</v>
      </c>
      <c r="G9" s="182" t="str">
        <f>IFS(H20&gt;0,H19,I20&gt;0,I19,J20&gt;0,J19)</f>
        <v>#N/A</v>
      </c>
      <c r="H9" s="7" t="s">
        <v>357</v>
      </c>
      <c r="I9" s="182" t="str">
        <f>IFS(G9=H19,J19,G9=I19,J19,G9=J19,I19)</f>
        <v>#N/A</v>
      </c>
      <c r="J9" s="7" t="s">
        <v>358</v>
      </c>
      <c r="K9" s="182" t="str">
        <f>IFS(G9=H19,J20,G9=I19,J20,G9=J19,I20)</f>
        <v>#N/A</v>
      </c>
    </row>
    <row r="11">
      <c r="B11" s="330" t="s">
        <v>229</v>
      </c>
      <c r="C11" s="330" t="s">
        <v>403</v>
      </c>
      <c r="D11" s="330" t="s">
        <v>98</v>
      </c>
      <c r="G11" s="7" t="s">
        <v>360</v>
      </c>
    </row>
    <row r="12">
      <c r="B12" s="7" t="s">
        <v>361</v>
      </c>
      <c r="C12" s="7" t="s">
        <v>362</v>
      </c>
      <c r="D12" s="7" t="s">
        <v>363</v>
      </c>
      <c r="G12" s="182" t="str">
        <f>IF(I12=H19,I19,H19)</f>
        <v>#N/A</v>
      </c>
      <c r="H12" s="7" t="s">
        <v>357</v>
      </c>
      <c r="I12" s="182" t="str">
        <f>IFS(H20&lt;0,H19,I20&lt;0,I19,J20&lt;0,J19)</f>
        <v>#N/A</v>
      </c>
      <c r="J12" s="7" t="s">
        <v>358</v>
      </c>
      <c r="K12" s="182" t="str">
        <f t="shared" ref="K12:K13" si="1">IFS(G12=$H$19,$H$20,G12=$I$19,$I$20,G12=$J$19,$J$20)</f>
        <v>#N/A</v>
      </c>
    </row>
    <row r="13">
      <c r="B13" s="331"/>
      <c r="C13" s="331"/>
      <c r="D13" s="331"/>
      <c r="G13" s="182" t="str">
        <f>IFS(I12=H19,J19,I12=I19,J19,I12=J19,I19)</f>
        <v>#N/A</v>
      </c>
      <c r="H13" s="7" t="s">
        <v>357</v>
      </c>
      <c r="I13" s="182" t="str">
        <f>IFS(H20&lt;0,H19,I20&lt;0,I19,J20&lt;0,J19)</f>
        <v>#N/A</v>
      </c>
      <c r="J13" s="7" t="s">
        <v>358</v>
      </c>
      <c r="K13" s="182" t="str">
        <f t="shared" si="1"/>
        <v>#N/A</v>
      </c>
    </row>
    <row r="14">
      <c r="B14" s="331"/>
      <c r="C14" s="331"/>
      <c r="D14" s="331"/>
    </row>
    <row r="15">
      <c r="B15" s="331"/>
      <c r="C15" s="331"/>
      <c r="D15" s="331"/>
    </row>
    <row r="16">
      <c r="B16" s="331"/>
      <c r="C16" s="331"/>
      <c r="D16" s="331"/>
      <c r="F16" s="333"/>
      <c r="G16" s="7" t="s">
        <v>364</v>
      </c>
      <c r="H16" s="329">
        <f>SUM(B40:D40)</f>
        <v>0</v>
      </c>
    </row>
    <row r="17">
      <c r="B17" s="331"/>
      <c r="C17" s="331"/>
      <c r="D17" s="331"/>
      <c r="G17" s="7" t="s">
        <v>365</v>
      </c>
      <c r="H17" s="329">
        <f>H16/3</f>
        <v>0</v>
      </c>
    </row>
    <row r="18">
      <c r="B18" s="331"/>
      <c r="C18" s="331"/>
      <c r="D18" s="331"/>
    </row>
    <row r="19">
      <c r="B19" s="331"/>
      <c r="C19" s="331"/>
      <c r="D19" s="331"/>
      <c r="H19" s="330" t="str">
        <f t="shared" ref="H19:J19" si="2">CONCAT(B12,B11)</f>
        <v>Driver 1 Kpop</v>
      </c>
      <c r="I19" s="330" t="str">
        <f t="shared" si="2"/>
        <v>Driver 2 Jutro</v>
      </c>
      <c r="J19" s="330" t="str">
        <f t="shared" si="2"/>
        <v>Driver 3 Delay</v>
      </c>
    </row>
    <row r="20">
      <c r="B20" s="331"/>
      <c r="C20" s="331"/>
      <c r="D20" s="331"/>
      <c r="G20" s="7" t="s">
        <v>366</v>
      </c>
      <c r="H20" s="329">
        <f t="shared" ref="H20:J20" si="3">$H$17-B40</f>
        <v>0</v>
      </c>
      <c r="I20" s="329">
        <f t="shared" si="3"/>
        <v>0</v>
      </c>
      <c r="J20" s="329">
        <f t="shared" si="3"/>
        <v>0</v>
      </c>
    </row>
    <row r="21">
      <c r="B21" s="331"/>
      <c r="C21" s="331"/>
      <c r="D21" s="331"/>
    </row>
    <row r="22">
      <c r="B22" s="331"/>
      <c r="C22" s="331"/>
      <c r="D22" s="331"/>
    </row>
    <row r="23">
      <c r="B23" s="331"/>
      <c r="C23" s="331"/>
      <c r="D23" s="331"/>
    </row>
    <row r="24">
      <c r="B24" s="331"/>
      <c r="C24" s="331"/>
      <c r="D24" s="331"/>
      <c r="J24" s="7"/>
    </row>
    <row r="25">
      <c r="B25" s="331"/>
      <c r="C25" s="331"/>
      <c r="D25" s="331"/>
      <c r="J25" s="7"/>
    </row>
    <row r="26">
      <c r="B26" s="331"/>
      <c r="C26" s="331"/>
      <c r="D26" s="331"/>
      <c r="J26" s="7"/>
    </row>
    <row r="27">
      <c r="B27" s="331"/>
      <c r="C27" s="331"/>
      <c r="D27" s="331"/>
      <c r="J27" s="7"/>
    </row>
    <row r="28">
      <c r="B28" s="334"/>
      <c r="C28" s="334"/>
      <c r="D28" s="334"/>
      <c r="F28" s="7"/>
      <c r="J28" s="7"/>
    </row>
    <row r="29">
      <c r="B29" s="334"/>
      <c r="C29" s="334"/>
      <c r="D29" s="334"/>
      <c r="J29" s="7"/>
    </row>
    <row r="30">
      <c r="B30" s="334"/>
      <c r="C30" s="334"/>
      <c r="D30" s="334"/>
      <c r="J30" s="7"/>
    </row>
    <row r="31">
      <c r="B31" s="334"/>
      <c r="C31" s="334"/>
      <c r="D31" s="334"/>
      <c r="J31" s="7"/>
    </row>
    <row r="32">
      <c r="B32" s="128"/>
      <c r="C32" s="128"/>
      <c r="D32" s="128"/>
      <c r="J32" s="7"/>
    </row>
    <row r="33">
      <c r="B33" s="336"/>
      <c r="C33" s="336"/>
      <c r="D33" s="336"/>
      <c r="J33" s="7"/>
    </row>
    <row r="34">
      <c r="B34" s="128"/>
      <c r="C34" s="128"/>
      <c r="D34" s="128"/>
      <c r="J34" s="7"/>
    </row>
    <row r="35">
      <c r="B35" s="336"/>
      <c r="C35" s="336"/>
      <c r="D35" s="336"/>
      <c r="J35" s="7"/>
    </row>
    <row r="36">
      <c r="B36" s="128"/>
      <c r="C36" s="128"/>
      <c r="D36" s="128"/>
    </row>
    <row r="37">
      <c r="B37" s="337"/>
      <c r="C37" s="337"/>
      <c r="D37" s="337"/>
    </row>
    <row r="38">
      <c r="A38" s="7" t="s">
        <v>367</v>
      </c>
      <c r="B38" s="182">
        <f t="shared" ref="B38:D38" si="4">SUM(B13:B31)</f>
        <v>0</v>
      </c>
      <c r="C38" s="182">
        <f t="shared" si="4"/>
        <v>0</v>
      </c>
      <c r="D38" s="182">
        <f t="shared" si="4"/>
        <v>0</v>
      </c>
    </row>
    <row r="39">
      <c r="A39" s="7" t="s">
        <v>368</v>
      </c>
      <c r="B39" s="338">
        <f t="shared" ref="B39:D39" si="5">SUM(IF(ISNUMBER(B32),B32,0),IF(ISNUMBER(B34),B34,0),IF(ISNUMBER(B36),B36,0)) *0.95 - SUM(IF(ISNUMBER(B33),B33,0),IF(ISNUMBER(B35),B35,0),IF(ISNUMBER(B37),B37,0))</f>
        <v>0</v>
      </c>
      <c r="C39" s="338">
        <f t="shared" si="5"/>
        <v>0</v>
      </c>
      <c r="D39" s="338">
        <f t="shared" si="5"/>
        <v>0</v>
      </c>
    </row>
    <row r="40">
      <c r="A40" s="7" t="s">
        <v>369</v>
      </c>
      <c r="B40" s="329">
        <f t="shared" ref="B40:D40" si="6">B38*0.95+B39</f>
        <v>0</v>
      </c>
      <c r="C40" s="329">
        <f t="shared" si="6"/>
        <v>0</v>
      </c>
      <c r="D40" s="329">
        <f t="shared" si="6"/>
        <v>0</v>
      </c>
    </row>
    <row r="42">
      <c r="A42" s="134" t="str">
        <f t="shared" ref="A42:D42" si="7">IF($H$3=1,G8,G12)</f>
        <v>#N/A</v>
      </c>
      <c r="B42" s="328" t="str">
        <f t="shared" si="7"/>
        <v>lists gem for</v>
      </c>
      <c r="C42" s="134" t="str">
        <f t="shared" si="7"/>
        <v>#N/A</v>
      </c>
      <c r="D42" s="328" t="str">
        <f t="shared" si="7"/>
        <v>at price</v>
      </c>
      <c r="E42" s="339" t="str">
        <f t="shared" ref="E42:E43" si="9">ABS(IF($H$3=1,K8,K12))</f>
        <v>#N/A</v>
      </c>
    </row>
    <row r="43">
      <c r="A43" s="134" t="str">
        <f t="shared" ref="A43:D43" si="8">IF($H$3=1,G9,G13)</f>
        <v>#N/A</v>
      </c>
      <c r="B43" s="328" t="str">
        <f t="shared" si="8"/>
        <v>lists gem for</v>
      </c>
      <c r="C43" s="134" t="str">
        <f t="shared" si="8"/>
        <v>#N/A</v>
      </c>
      <c r="D43" s="328" t="str">
        <f t="shared" si="8"/>
        <v>at price</v>
      </c>
      <c r="E43" s="339" t="str">
        <f t="shared" si="9"/>
        <v>#N/A</v>
      </c>
    </row>
  </sheetData>
  <conditionalFormatting sqref="J1:K1 B11:D11 H19:J19">
    <cfRule type="containsText" dxfId="11" priority="1" operator="containsText" text="Name">
      <formula>NOT(ISERROR(SEARCH(("Name"),(J1))))</formula>
    </cfRule>
  </conditionalFormatting>
  <conditionalFormatting sqref="H20:J20">
    <cfRule type="cellIs" dxfId="12" priority="2" operator="lessThan">
      <formula>0</formula>
    </cfRule>
  </conditionalFormatting>
  <conditionalFormatting sqref="H20:J20">
    <cfRule type="cellIs" dxfId="13" priority="3" operator="greaterThan">
      <formula>0</formula>
    </cfRule>
  </conditionalFormatting>
  <conditionalFormatting sqref="B32:D32 B34:D34 B36:D36">
    <cfRule type="containsText" dxfId="14" priority="4" operator="containsText" text="Book">
      <formula>NOT(ISERROR(SEARCH(("Book"),(B32))))</formula>
    </cfRule>
  </conditionalFormatting>
  <conditionalFormatting sqref="B33:D33 B35:D35 B37:D37">
    <cfRule type="containsText" dxfId="15" priority="5" operator="containsText" text="Book">
      <formula>NOT(ISERROR(SEARCH(("Book"),(B33))))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99</v>
      </c>
    </row>
    <row r="3">
      <c r="B3" s="367" t="s">
        <v>232</v>
      </c>
      <c r="C3" s="367" t="s">
        <v>404</v>
      </c>
      <c r="D3" s="367" t="s">
        <v>405</v>
      </c>
      <c r="E3" s="367" t="s">
        <v>406</v>
      </c>
      <c r="F3" s="367" t="s">
        <v>407</v>
      </c>
      <c r="G3" s="367" t="s">
        <v>408</v>
      </c>
      <c r="H3" s="367" t="s">
        <v>409</v>
      </c>
      <c r="I3" s="367" t="s">
        <v>410</v>
      </c>
      <c r="J3" s="367" t="s">
        <v>411</v>
      </c>
      <c r="K3" s="367" t="s">
        <v>412</v>
      </c>
      <c r="L3" s="367" t="s">
        <v>413</v>
      </c>
      <c r="M3" s="7" t="s">
        <v>414</v>
      </c>
      <c r="N3" s="367" t="s">
        <v>415</v>
      </c>
      <c r="O3" s="367" t="s">
        <v>416</v>
      </c>
      <c r="P3" s="367" t="s">
        <v>417</v>
      </c>
      <c r="Q3" s="367" t="s">
        <v>418</v>
      </c>
      <c r="R3" s="367" t="s">
        <v>419</v>
      </c>
      <c r="S3" s="367" t="s">
        <v>420</v>
      </c>
      <c r="T3" s="367" t="s">
        <v>128</v>
      </c>
      <c r="U3" s="367"/>
      <c r="V3" s="367"/>
      <c r="W3" s="367"/>
    </row>
    <row r="4">
      <c r="A4" s="7"/>
      <c r="B4" s="367" t="s">
        <v>421</v>
      </c>
      <c r="C4" s="367" t="s">
        <v>422</v>
      </c>
      <c r="D4" s="367" t="s">
        <v>423</v>
      </c>
      <c r="E4" s="367" t="s">
        <v>121</v>
      </c>
      <c r="F4" s="367" t="s">
        <v>424</v>
      </c>
      <c r="G4" s="367" t="s">
        <v>425</v>
      </c>
      <c r="H4" s="367" t="s">
        <v>426</v>
      </c>
      <c r="I4" s="367" t="s">
        <v>427</v>
      </c>
      <c r="J4" s="367" t="s">
        <v>428</v>
      </c>
      <c r="K4" s="367" t="s">
        <v>429</v>
      </c>
      <c r="L4" s="367" t="s">
        <v>430</v>
      </c>
      <c r="M4" s="7" t="s">
        <v>431</v>
      </c>
      <c r="N4" s="367" t="s">
        <v>390</v>
      </c>
      <c r="O4" s="367" t="s">
        <v>432</v>
      </c>
      <c r="P4" s="367" t="s">
        <v>425</v>
      </c>
      <c r="Q4" s="367" t="s">
        <v>138</v>
      </c>
      <c r="R4" s="367" t="s">
        <v>425</v>
      </c>
      <c r="S4" s="367" t="s">
        <v>433</v>
      </c>
      <c r="T4" s="367" t="s">
        <v>434</v>
      </c>
      <c r="U4" s="368"/>
      <c r="V4" s="368"/>
      <c r="W4" s="368"/>
    </row>
    <row r="5">
      <c r="A5" s="7"/>
      <c r="B5" s="367" t="s">
        <v>435</v>
      </c>
      <c r="C5" s="367">
        <v>1750.0</v>
      </c>
      <c r="D5" s="367">
        <v>1750.0</v>
      </c>
      <c r="E5" s="367">
        <v>1750.0</v>
      </c>
      <c r="F5" s="367">
        <v>1540.0</v>
      </c>
      <c r="G5" s="367">
        <v>1750.0</v>
      </c>
      <c r="H5" s="367">
        <v>1750.0</v>
      </c>
      <c r="I5" s="367">
        <v>1600.0</v>
      </c>
      <c r="J5" s="367">
        <v>1640.0</v>
      </c>
      <c r="K5" s="367">
        <v>1467.5</v>
      </c>
      <c r="L5" s="367">
        <v>1660.0</v>
      </c>
      <c r="M5" s="367">
        <v>1750.0</v>
      </c>
      <c r="N5" s="367">
        <v>1375.0</v>
      </c>
      <c r="O5" s="367">
        <v>1560.0</v>
      </c>
      <c r="P5" s="367">
        <v>1585.0</v>
      </c>
      <c r="Q5" s="7">
        <v>1600.83</v>
      </c>
      <c r="R5" s="367">
        <v>1640.0</v>
      </c>
      <c r="S5" s="367">
        <v>1670.0</v>
      </c>
      <c r="T5" s="367">
        <v>1750.0</v>
      </c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7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1</v>
      </c>
      <c r="D11" s="367" t="b">
        <v>1</v>
      </c>
      <c r="E11" s="367" t="b">
        <v>1</v>
      </c>
      <c r="F11" s="367" t="b">
        <v>1</v>
      </c>
      <c r="G11" s="367" t="b">
        <v>1</v>
      </c>
      <c r="H11" s="367" t="b">
        <v>1</v>
      </c>
      <c r="I11" s="367" t="b">
        <v>1</v>
      </c>
      <c r="J11" s="367" t="b">
        <v>1</v>
      </c>
      <c r="K11" s="367" t="b">
        <v>0</v>
      </c>
      <c r="L11" s="367" t="b">
        <v>1</v>
      </c>
      <c r="M11" s="367" t="b">
        <v>1</v>
      </c>
      <c r="N11" s="367" t="b">
        <v>0</v>
      </c>
      <c r="O11" s="367" t="b">
        <v>1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1</v>
      </c>
      <c r="D12" s="367" t="b">
        <v>1</v>
      </c>
      <c r="E12" s="367" t="b">
        <v>1</v>
      </c>
      <c r="F12" s="367" t="b">
        <v>1</v>
      </c>
      <c r="G12" s="367" t="b">
        <v>1</v>
      </c>
      <c r="H12" s="367" t="b">
        <v>1</v>
      </c>
      <c r="I12" s="367" t="b">
        <v>1</v>
      </c>
      <c r="J12" s="367" t="b">
        <v>1</v>
      </c>
      <c r="K12" s="367" t="b">
        <v>0</v>
      </c>
      <c r="L12" s="367" t="b">
        <v>1</v>
      </c>
      <c r="M12" s="367" t="b">
        <v>1</v>
      </c>
      <c r="N12" s="367" t="b">
        <v>0</v>
      </c>
      <c r="O12" s="367" t="b">
        <v>1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440</v>
      </c>
    </row>
    <row r="3">
      <c r="B3" s="367" t="s">
        <v>232</v>
      </c>
      <c r="C3" s="367" t="s">
        <v>441</v>
      </c>
      <c r="D3" s="367" t="s">
        <v>442</v>
      </c>
      <c r="E3" s="367" t="s">
        <v>443</v>
      </c>
      <c r="F3" s="367" t="s">
        <v>444</v>
      </c>
      <c r="G3" s="367" t="s">
        <v>445</v>
      </c>
      <c r="H3" s="367" t="s">
        <v>446</v>
      </c>
      <c r="I3" s="7" t="s">
        <v>447</v>
      </c>
      <c r="J3" s="7" t="s">
        <v>448</v>
      </c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427</v>
      </c>
      <c r="D4" s="367" t="s">
        <v>428</v>
      </c>
      <c r="E4" s="367" t="s">
        <v>449</v>
      </c>
      <c r="F4" s="367" t="s">
        <v>450</v>
      </c>
      <c r="G4" s="367" t="s">
        <v>429</v>
      </c>
      <c r="H4" s="367" t="s">
        <v>137</v>
      </c>
      <c r="I4" s="7" t="s">
        <v>138</v>
      </c>
      <c r="J4" s="7" t="s">
        <v>451</v>
      </c>
      <c r="K4" s="367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1490.0</v>
      </c>
      <c r="D5" s="367">
        <v>1490.0</v>
      </c>
      <c r="E5" s="367">
        <v>1460.0</v>
      </c>
      <c r="F5" s="367">
        <v>1487.5</v>
      </c>
      <c r="G5" s="367">
        <v>1460.0</v>
      </c>
      <c r="H5" s="367">
        <v>1430.0</v>
      </c>
      <c r="I5" s="7">
        <v>1415.0</v>
      </c>
      <c r="J5" s="7">
        <v>1460.0</v>
      </c>
      <c r="K5" s="367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  <row r="18">
      <c r="F18" s="7" t="s">
        <v>452</v>
      </c>
    </row>
    <row r="20">
      <c r="F20" s="7" t="s">
        <v>453</v>
      </c>
    </row>
    <row r="21">
      <c r="G21" s="7" t="s">
        <v>454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322</v>
      </c>
    </row>
    <row r="3">
      <c r="B3" s="367"/>
      <c r="C3" s="367" t="s">
        <v>455</v>
      </c>
      <c r="D3" s="367" t="s">
        <v>456</v>
      </c>
      <c r="E3" s="367" t="s">
        <v>457</v>
      </c>
      <c r="F3" s="367" t="s">
        <v>458</v>
      </c>
      <c r="G3" s="367" t="s">
        <v>459</v>
      </c>
      <c r="H3" s="367" t="s">
        <v>460</v>
      </c>
      <c r="I3" s="367" t="s">
        <v>461</v>
      </c>
      <c r="J3" s="367" t="s">
        <v>462</v>
      </c>
      <c r="K3" s="7" t="s">
        <v>463</v>
      </c>
      <c r="L3" s="367" t="s">
        <v>464</v>
      </c>
      <c r="M3" s="367" t="s">
        <v>465</v>
      </c>
      <c r="N3" s="7" t="s">
        <v>466</v>
      </c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426</v>
      </c>
      <c r="D4" s="367" t="s">
        <v>137</v>
      </c>
      <c r="E4" s="367" t="s">
        <v>429</v>
      </c>
      <c r="F4" s="367" t="s">
        <v>427</v>
      </c>
      <c r="G4" s="367" t="s">
        <v>137</v>
      </c>
      <c r="H4" s="367" t="s">
        <v>467</v>
      </c>
      <c r="I4" s="367" t="s">
        <v>428</v>
      </c>
      <c r="J4" s="367" t="s">
        <v>422</v>
      </c>
      <c r="K4" s="367" t="s">
        <v>431</v>
      </c>
      <c r="L4" s="367" t="s">
        <v>451</v>
      </c>
      <c r="M4" s="367" t="s">
        <v>468</v>
      </c>
      <c r="N4" s="7" t="s">
        <v>469</v>
      </c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1600.0</v>
      </c>
      <c r="D5" s="367">
        <v>1560.0</v>
      </c>
      <c r="E5" s="367">
        <v>1620.0</v>
      </c>
      <c r="F5" s="367">
        <v>1540.0</v>
      </c>
      <c r="G5" s="367">
        <v>1540.0</v>
      </c>
      <c r="H5" s="367">
        <v>1570.0</v>
      </c>
      <c r="I5" s="367">
        <v>1520.0</v>
      </c>
      <c r="J5" s="367">
        <v>1462.5</v>
      </c>
      <c r="K5" s="367">
        <v>1560.0</v>
      </c>
      <c r="L5" s="367">
        <v>1370.0</v>
      </c>
      <c r="M5" s="367">
        <v>1340.0</v>
      </c>
      <c r="N5" s="7">
        <v>1500.0</v>
      </c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98</v>
      </c>
    </row>
    <row r="3">
      <c r="B3" s="367" t="s">
        <v>232</v>
      </c>
      <c r="C3" s="367" t="s">
        <v>141</v>
      </c>
      <c r="D3" s="367" t="s">
        <v>470</v>
      </c>
      <c r="E3" s="367" t="s">
        <v>124</v>
      </c>
      <c r="F3" s="367" t="s">
        <v>471</v>
      </c>
      <c r="G3" s="367" t="s">
        <v>155</v>
      </c>
      <c r="H3" s="367" t="s">
        <v>472</v>
      </c>
      <c r="I3" s="367" t="s">
        <v>473</v>
      </c>
      <c r="J3" s="7" t="s">
        <v>474</v>
      </c>
      <c r="K3" s="367" t="s">
        <v>475</v>
      </c>
      <c r="L3" s="7" t="s">
        <v>476</v>
      </c>
      <c r="M3" s="367" t="s">
        <v>477</v>
      </c>
      <c r="N3" s="367" t="s">
        <v>478</v>
      </c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479</v>
      </c>
      <c r="D4" s="367" t="s">
        <v>469</v>
      </c>
      <c r="E4" s="367" t="s">
        <v>137</v>
      </c>
      <c r="F4" s="367" t="s">
        <v>423</v>
      </c>
      <c r="G4" s="367" t="s">
        <v>434</v>
      </c>
      <c r="H4" s="367" t="s">
        <v>390</v>
      </c>
      <c r="I4" s="367" t="s">
        <v>480</v>
      </c>
      <c r="J4" s="7" t="s">
        <v>468</v>
      </c>
      <c r="K4" s="367" t="s">
        <v>432</v>
      </c>
      <c r="L4" s="7" t="s">
        <v>425</v>
      </c>
      <c r="M4" s="367" t="s">
        <v>220</v>
      </c>
      <c r="N4" s="367" t="s">
        <v>433</v>
      </c>
      <c r="O4" s="368"/>
      <c r="P4" s="368"/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1750.0</v>
      </c>
      <c r="D5" s="367">
        <v>1750.0</v>
      </c>
      <c r="E5" s="367">
        <v>1730.0</v>
      </c>
      <c r="F5" s="367">
        <v>1600.0</v>
      </c>
      <c r="G5" s="367">
        <v>1750.0</v>
      </c>
      <c r="H5" s="367">
        <v>1730.0</v>
      </c>
      <c r="I5" s="367">
        <v>1750.0</v>
      </c>
      <c r="J5" s="367">
        <v>1730.0</v>
      </c>
      <c r="K5" s="367">
        <v>1730.0</v>
      </c>
      <c r="L5" s="367">
        <v>1750.0</v>
      </c>
      <c r="M5" s="367">
        <v>1730.0</v>
      </c>
      <c r="N5" s="367">
        <v>1750.0</v>
      </c>
      <c r="O5" s="368"/>
      <c r="P5" s="368"/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103</v>
      </c>
    </row>
    <row r="3">
      <c r="B3" s="367" t="s">
        <v>232</v>
      </c>
      <c r="C3" s="367" t="s">
        <v>481</v>
      </c>
      <c r="D3" s="367" t="s">
        <v>482</v>
      </c>
      <c r="E3" s="367" t="s">
        <v>103</v>
      </c>
      <c r="F3" s="367" t="s">
        <v>483</v>
      </c>
      <c r="G3" s="367" t="s">
        <v>484</v>
      </c>
      <c r="H3" s="367" t="s">
        <v>485</v>
      </c>
      <c r="I3" s="367" t="s">
        <v>486</v>
      </c>
      <c r="J3" s="367" t="s">
        <v>487</v>
      </c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451</v>
      </c>
      <c r="D4" s="367" t="s">
        <v>433</v>
      </c>
      <c r="E4" s="367" t="s">
        <v>422</v>
      </c>
      <c r="F4" s="367" t="s">
        <v>422</v>
      </c>
      <c r="G4" s="367" t="s">
        <v>425</v>
      </c>
      <c r="H4" s="367" t="s">
        <v>479</v>
      </c>
      <c r="I4" s="367" t="s">
        <v>425</v>
      </c>
      <c r="J4" s="367" t="s">
        <v>451</v>
      </c>
      <c r="K4" s="367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1750.0</v>
      </c>
      <c r="D5" s="367">
        <v>1750.0</v>
      </c>
      <c r="E5" s="367">
        <v>1750.0</v>
      </c>
      <c r="F5" s="367">
        <v>1750.0</v>
      </c>
      <c r="G5" s="367">
        <v>1750.0</v>
      </c>
      <c r="H5" s="367">
        <v>1750.0</v>
      </c>
      <c r="I5" s="367">
        <v>1750.0</v>
      </c>
      <c r="J5" s="367">
        <v>1710.0</v>
      </c>
      <c r="K5" s="367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190</v>
      </c>
    </row>
    <row r="3">
      <c r="B3" s="367" t="s">
        <v>232</v>
      </c>
      <c r="C3" s="367" t="s">
        <v>190</v>
      </c>
      <c r="D3" s="367" t="s">
        <v>488</v>
      </c>
      <c r="E3" s="367" t="s">
        <v>489</v>
      </c>
      <c r="F3" s="367" t="s">
        <v>490</v>
      </c>
      <c r="G3" s="367" t="s">
        <v>491</v>
      </c>
      <c r="H3" s="367" t="s">
        <v>492</v>
      </c>
      <c r="I3" s="367" t="s">
        <v>493</v>
      </c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137</v>
      </c>
      <c r="D4" s="367" t="s">
        <v>480</v>
      </c>
      <c r="E4" s="367" t="s">
        <v>137</v>
      </c>
      <c r="F4" s="367" t="s">
        <v>427</v>
      </c>
      <c r="G4" s="367" t="s">
        <v>137</v>
      </c>
      <c r="H4" s="367" t="s">
        <v>467</v>
      </c>
      <c r="I4" s="367" t="s">
        <v>468</v>
      </c>
      <c r="J4" s="367"/>
      <c r="K4" s="367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1700.0</v>
      </c>
      <c r="D5" s="367">
        <v>1680.0</v>
      </c>
      <c r="E5" s="367">
        <v>1670.0</v>
      </c>
      <c r="F5" s="367">
        <v>1610.0</v>
      </c>
      <c r="G5" s="367">
        <v>1670.0</v>
      </c>
      <c r="H5" s="367">
        <v>1690.0</v>
      </c>
      <c r="I5" s="367">
        <v>1700.0</v>
      </c>
      <c r="J5" s="367"/>
      <c r="K5" s="367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104</v>
      </c>
    </row>
    <row r="3">
      <c r="B3" s="367" t="s">
        <v>232</v>
      </c>
      <c r="C3" s="7" t="s">
        <v>104</v>
      </c>
      <c r="D3" s="367" t="s">
        <v>494</v>
      </c>
      <c r="E3" s="367" t="s">
        <v>152</v>
      </c>
      <c r="F3" s="367" t="s">
        <v>495</v>
      </c>
      <c r="G3" s="367" t="s">
        <v>496</v>
      </c>
      <c r="H3" s="367" t="s">
        <v>497</v>
      </c>
      <c r="I3" s="367" t="s">
        <v>154</v>
      </c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137</v>
      </c>
      <c r="D4" s="367" t="s">
        <v>467</v>
      </c>
      <c r="E4" s="367" t="s">
        <v>121</v>
      </c>
      <c r="F4" s="367" t="s">
        <v>426</v>
      </c>
      <c r="G4" s="367" t="s">
        <v>220</v>
      </c>
      <c r="H4" s="367" t="s">
        <v>433</v>
      </c>
      <c r="I4" s="367" t="s">
        <v>434</v>
      </c>
      <c r="J4" s="367"/>
      <c r="K4" s="367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1750.0</v>
      </c>
      <c r="D5" s="367">
        <v>1750.0</v>
      </c>
      <c r="E5" s="367">
        <v>1750.0</v>
      </c>
      <c r="F5" s="367">
        <v>1750.0</v>
      </c>
      <c r="G5" s="367">
        <v>1670.0</v>
      </c>
      <c r="H5" s="367">
        <v>1670.0</v>
      </c>
      <c r="I5" s="367">
        <v>1750.0</v>
      </c>
      <c r="J5" s="367"/>
      <c r="K5" s="367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101</v>
      </c>
    </row>
    <row r="3">
      <c r="B3" s="367" t="s">
        <v>232</v>
      </c>
      <c r="C3" s="367" t="s">
        <v>498</v>
      </c>
      <c r="D3" s="367" t="s">
        <v>499</v>
      </c>
      <c r="E3" s="367" t="s">
        <v>500</v>
      </c>
      <c r="F3" s="367" t="s">
        <v>501</v>
      </c>
      <c r="G3" s="367" t="s">
        <v>502</v>
      </c>
      <c r="H3" s="367" t="s">
        <v>101</v>
      </c>
      <c r="I3" s="367" t="s">
        <v>503</v>
      </c>
      <c r="J3" s="367" t="s">
        <v>211</v>
      </c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433</v>
      </c>
      <c r="D4" s="367" t="s">
        <v>432</v>
      </c>
      <c r="E4" s="367" t="s">
        <v>137</v>
      </c>
      <c r="F4" s="367" t="s">
        <v>425</v>
      </c>
      <c r="G4" s="367" t="s">
        <v>220</v>
      </c>
      <c r="H4" s="367" t="s">
        <v>431</v>
      </c>
      <c r="I4" s="367" t="s">
        <v>434</v>
      </c>
      <c r="J4" s="367" t="s">
        <v>203</v>
      </c>
      <c r="K4" s="367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1750.0</v>
      </c>
      <c r="D5" s="367">
        <v>1750.0</v>
      </c>
      <c r="E5" s="367">
        <v>1750.0</v>
      </c>
      <c r="F5" s="367">
        <v>1750.0</v>
      </c>
      <c r="G5" s="367">
        <v>1750.0</v>
      </c>
      <c r="H5" s="367">
        <v>1750.0</v>
      </c>
      <c r="I5" s="367">
        <v>1750.0</v>
      </c>
      <c r="J5" s="367">
        <v>1750.0</v>
      </c>
      <c r="K5" s="367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504</v>
      </c>
    </row>
    <row r="3">
      <c r="B3" s="367" t="s">
        <v>232</v>
      </c>
      <c r="C3" s="367" t="s">
        <v>504</v>
      </c>
      <c r="D3" s="367" t="s">
        <v>505</v>
      </c>
      <c r="E3" s="367" t="s">
        <v>506</v>
      </c>
      <c r="F3" s="367" t="s">
        <v>507</v>
      </c>
      <c r="G3" s="367" t="s">
        <v>508</v>
      </c>
      <c r="H3" s="367" t="s">
        <v>127</v>
      </c>
      <c r="I3" s="367" t="s">
        <v>509</v>
      </c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390</v>
      </c>
      <c r="D4" s="367" t="s">
        <v>390</v>
      </c>
      <c r="E4" s="367" t="s">
        <v>425</v>
      </c>
      <c r="F4" s="367" t="s">
        <v>451</v>
      </c>
      <c r="G4" s="367" t="s">
        <v>432</v>
      </c>
      <c r="H4" s="367" t="s">
        <v>434</v>
      </c>
      <c r="I4" s="367" t="s">
        <v>390</v>
      </c>
      <c r="K4" s="367"/>
      <c r="L4" s="367"/>
      <c r="M4" s="367"/>
      <c r="N4" s="367"/>
      <c r="O4" s="367"/>
      <c r="P4" s="367"/>
      <c r="Q4" s="367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1750.0</v>
      </c>
      <c r="D5" s="367">
        <v>1750.0</v>
      </c>
      <c r="E5" s="367">
        <v>1720.0</v>
      </c>
      <c r="F5" s="367">
        <v>1700.0</v>
      </c>
      <c r="G5" s="367">
        <v>1730.0</v>
      </c>
      <c r="H5" s="7">
        <v>1730.0</v>
      </c>
      <c r="I5" s="367">
        <v>1730.0</v>
      </c>
      <c r="J5" s="367"/>
      <c r="K5" s="367"/>
      <c r="L5" s="367"/>
      <c r="M5" s="367"/>
      <c r="N5" s="367"/>
      <c r="O5" s="367"/>
      <c r="P5" s="367"/>
      <c r="Q5" s="367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105</v>
      </c>
    </row>
    <row r="3">
      <c r="B3" s="367" t="s">
        <v>232</v>
      </c>
      <c r="C3" s="367" t="s">
        <v>510</v>
      </c>
      <c r="D3" s="367" t="s">
        <v>511</v>
      </c>
      <c r="E3" s="367" t="s">
        <v>512</v>
      </c>
      <c r="F3" s="367" t="s">
        <v>513</v>
      </c>
      <c r="G3" s="367" t="s">
        <v>514</v>
      </c>
      <c r="H3" s="367" t="s">
        <v>515</v>
      </c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431</v>
      </c>
      <c r="D4" s="367" t="s">
        <v>516</v>
      </c>
      <c r="E4" s="367" t="s">
        <v>138</v>
      </c>
      <c r="F4" s="367" t="s">
        <v>425</v>
      </c>
      <c r="G4" s="367" t="s">
        <v>137</v>
      </c>
      <c r="H4" s="367" t="s">
        <v>427</v>
      </c>
      <c r="I4" s="367"/>
      <c r="J4" s="367"/>
      <c r="K4" s="367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1750.0</v>
      </c>
      <c r="D5" s="367">
        <v>1730.0</v>
      </c>
      <c r="E5" s="367">
        <v>1730.0</v>
      </c>
      <c r="F5" s="367">
        <v>1730.0</v>
      </c>
      <c r="G5" s="367">
        <v>1750.0</v>
      </c>
      <c r="H5" s="367">
        <v>1750.0</v>
      </c>
      <c r="J5" s="367"/>
      <c r="K5" s="367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7" t="s">
        <v>55</v>
      </c>
      <c r="C1" s="7" t="s">
        <v>98</v>
      </c>
      <c r="D1" s="7" t="s">
        <v>99</v>
      </c>
    </row>
    <row r="2">
      <c r="A2" s="7" t="s">
        <v>372</v>
      </c>
      <c r="B2" s="343">
        <f t="shared" ref="B2:D2" si="1">SUM(B3:B1000)</f>
        <v>19910</v>
      </c>
      <c r="C2" s="343">
        <f t="shared" si="1"/>
        <v>19362</v>
      </c>
      <c r="D2" s="343">
        <f t="shared" si="1"/>
        <v>19772</v>
      </c>
    </row>
    <row r="3">
      <c r="A3" s="7" t="s">
        <v>373</v>
      </c>
      <c r="B3" s="7">
        <v>2000.0</v>
      </c>
      <c r="C3" s="7">
        <v>4000.0</v>
      </c>
      <c r="D3" s="7">
        <v>4000.0</v>
      </c>
    </row>
    <row r="4">
      <c r="A4" s="7" t="s">
        <v>374</v>
      </c>
      <c r="B4" s="7">
        <v>2700.0</v>
      </c>
      <c r="C4" s="7">
        <v>900.0</v>
      </c>
      <c r="D4" s="7">
        <v>900.0</v>
      </c>
    </row>
    <row r="5">
      <c r="A5" s="7" t="s">
        <v>374</v>
      </c>
      <c r="B5" s="7">
        <v>2000.0</v>
      </c>
      <c r="C5" s="7">
        <v>1000.0</v>
      </c>
      <c r="D5" s="7">
        <v>2000.0</v>
      </c>
    </row>
    <row r="6">
      <c r="A6" s="7" t="s">
        <v>375</v>
      </c>
      <c r="B6" s="7">
        <f>1440-440</f>
        <v>1000</v>
      </c>
      <c r="C6" s="7">
        <v>62.0</v>
      </c>
      <c r="D6" s="7">
        <v>62.0</v>
      </c>
    </row>
    <row r="7">
      <c r="A7" s="7" t="s">
        <v>376</v>
      </c>
      <c r="B7" s="7">
        <v>1000.0</v>
      </c>
      <c r="C7" s="7">
        <v>2000.0</v>
      </c>
      <c r="D7" s="7">
        <v>2000.0</v>
      </c>
    </row>
    <row r="8">
      <c r="A8" s="7" t="s">
        <v>374</v>
      </c>
      <c r="B8" s="7">
        <v>1800.0</v>
      </c>
      <c r="C8" s="7">
        <v>1800.0</v>
      </c>
      <c r="D8" s="7">
        <v>900.0</v>
      </c>
    </row>
    <row r="9">
      <c r="A9" s="7" t="s">
        <v>374</v>
      </c>
      <c r="B9" s="7">
        <v>850.0</v>
      </c>
      <c r="C9" s="7">
        <v>1700.0</v>
      </c>
      <c r="D9" s="7">
        <v>1700.0</v>
      </c>
    </row>
    <row r="10">
      <c r="A10" s="7" t="s">
        <v>374</v>
      </c>
      <c r="B10" s="7">
        <v>2600.0</v>
      </c>
      <c r="C10" s="7">
        <v>2600.0</v>
      </c>
      <c r="D10" s="7">
        <v>1300.0</v>
      </c>
    </row>
    <row r="11">
      <c r="A11" s="7" t="s">
        <v>377</v>
      </c>
      <c r="B11" s="7">
        <v>310.0</v>
      </c>
      <c r="C11" s="7">
        <v>0.0</v>
      </c>
      <c r="D11" s="7">
        <v>310.0</v>
      </c>
    </row>
    <row r="12">
      <c r="A12" s="7" t="s">
        <v>377</v>
      </c>
      <c r="B12" s="7">
        <v>1675.0</v>
      </c>
      <c r="C12" s="7">
        <v>0.0</v>
      </c>
      <c r="D12" s="7">
        <v>1675.0</v>
      </c>
    </row>
    <row r="13">
      <c r="A13" s="7" t="s">
        <v>374</v>
      </c>
      <c r="B13" s="7">
        <v>950.0</v>
      </c>
      <c r="C13" s="7">
        <v>1900.0</v>
      </c>
      <c r="D13" s="7">
        <v>1900.0</v>
      </c>
    </row>
    <row r="14">
      <c r="A14" s="7" t="s">
        <v>377</v>
      </c>
      <c r="B14" s="7">
        <v>225.0</v>
      </c>
      <c r="C14" s="7">
        <v>0.0</v>
      </c>
      <c r="D14" s="7">
        <v>225.0</v>
      </c>
    </row>
    <row r="15">
      <c r="A15" s="7" t="s">
        <v>374</v>
      </c>
      <c r="B15" s="7">
        <v>800.0</v>
      </c>
      <c r="C15" s="7">
        <v>2400.0</v>
      </c>
      <c r="D15" s="7">
        <v>800.0</v>
      </c>
    </row>
    <row r="16">
      <c r="A16" s="7" t="s">
        <v>374</v>
      </c>
      <c r="B16" s="7">
        <v>2000.0</v>
      </c>
      <c r="C16" s="7">
        <v>1000.0</v>
      </c>
      <c r="D16" s="7">
        <v>2000.0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2.88"/>
    <col customWidth="1" min="3" max="3" width="16.75"/>
    <col customWidth="1" min="4" max="4" width="10.13"/>
    <col customWidth="1" min="5" max="5" width="51.5"/>
  </cols>
  <sheetData>
    <row r="1">
      <c r="A1" s="7" t="s">
        <v>517</v>
      </c>
    </row>
    <row r="2">
      <c r="A2" s="7">
        <v>1.0</v>
      </c>
      <c r="B2" s="7" t="s">
        <v>518</v>
      </c>
    </row>
    <row r="3">
      <c r="A3" s="7">
        <v>2.0</v>
      </c>
      <c r="B3" s="7" t="s">
        <v>519</v>
      </c>
    </row>
    <row r="4">
      <c r="A4" s="7">
        <v>3.0</v>
      </c>
      <c r="B4" s="7" t="s">
        <v>520</v>
      </c>
    </row>
    <row r="5">
      <c r="A5" s="7">
        <v>4.0</v>
      </c>
      <c r="B5" s="7" t="s">
        <v>521</v>
      </c>
    </row>
    <row r="6">
      <c r="A6" s="7" t="s">
        <v>522</v>
      </c>
      <c r="B6" s="7" t="s">
        <v>523</v>
      </c>
      <c r="C6" s="7" t="s">
        <v>524</v>
      </c>
      <c r="D6" s="7" t="s">
        <v>525</v>
      </c>
      <c r="E6" s="7" t="s">
        <v>526</v>
      </c>
    </row>
    <row r="7">
      <c r="A7" s="7">
        <v>2.0</v>
      </c>
      <c r="B7" s="7" t="s">
        <v>527</v>
      </c>
      <c r="C7" s="7" t="s">
        <v>528</v>
      </c>
      <c r="D7" s="7" t="s">
        <v>529</v>
      </c>
      <c r="E7" s="7" t="s">
        <v>530</v>
      </c>
    </row>
    <row r="8">
      <c r="A8" s="7">
        <v>3.0</v>
      </c>
      <c r="B8" s="7" t="s">
        <v>531</v>
      </c>
      <c r="C8" s="7" t="s">
        <v>532</v>
      </c>
      <c r="D8" s="7" t="s">
        <v>533</v>
      </c>
      <c r="E8" s="7" t="s">
        <v>534</v>
      </c>
    </row>
    <row r="9">
      <c r="A9" s="7">
        <v>3.0</v>
      </c>
      <c r="B9" s="7" t="s">
        <v>535</v>
      </c>
      <c r="C9" s="7" t="s">
        <v>536</v>
      </c>
      <c r="D9" s="7" t="s">
        <v>529</v>
      </c>
      <c r="E9" s="7" t="s">
        <v>537</v>
      </c>
    </row>
    <row r="10">
      <c r="A10" s="7">
        <v>1.0</v>
      </c>
      <c r="B10" s="7" t="s">
        <v>538</v>
      </c>
      <c r="C10" s="7" t="s">
        <v>539</v>
      </c>
      <c r="D10" s="7" t="s">
        <v>529</v>
      </c>
      <c r="E10" s="7" t="s">
        <v>540</v>
      </c>
    </row>
    <row r="11">
      <c r="A11" s="7">
        <v>4.0</v>
      </c>
      <c r="B11" s="7" t="s">
        <v>541</v>
      </c>
      <c r="C11" s="7" t="s">
        <v>542</v>
      </c>
      <c r="D11" s="7" t="s">
        <v>529</v>
      </c>
      <c r="E11" s="7" t="s">
        <v>543</v>
      </c>
    </row>
    <row r="12">
      <c r="A12" s="7">
        <v>2.0</v>
      </c>
      <c r="B12" s="7" t="s">
        <v>544</v>
      </c>
      <c r="C12" s="7" t="s">
        <v>545</v>
      </c>
      <c r="D12" s="7" t="s">
        <v>529</v>
      </c>
      <c r="E12" s="7" t="s">
        <v>546</v>
      </c>
    </row>
    <row r="13">
      <c r="A13" s="7">
        <v>2.0</v>
      </c>
      <c r="B13" s="7" t="s">
        <v>547</v>
      </c>
      <c r="D13" s="7" t="s">
        <v>529</v>
      </c>
      <c r="E13" s="7" t="s">
        <v>548</v>
      </c>
    </row>
    <row r="14">
      <c r="A14" s="7">
        <v>2.0</v>
      </c>
      <c r="B14" s="7" t="s">
        <v>549</v>
      </c>
      <c r="C14" s="7" t="s">
        <v>550</v>
      </c>
      <c r="D14" s="7" t="s">
        <v>529</v>
      </c>
      <c r="E14" s="7" t="s">
        <v>551</v>
      </c>
    </row>
    <row r="15">
      <c r="A15" s="7">
        <v>2.0</v>
      </c>
      <c r="B15" s="7" t="s">
        <v>552</v>
      </c>
      <c r="C15" s="7" t="s">
        <v>553</v>
      </c>
      <c r="D15" s="7" t="s">
        <v>529</v>
      </c>
      <c r="E15" s="7" t="s">
        <v>554</v>
      </c>
    </row>
    <row r="16">
      <c r="A16" s="7">
        <v>2.0</v>
      </c>
      <c r="B16" s="7" t="s">
        <v>555</v>
      </c>
      <c r="C16" s="7" t="s">
        <v>556</v>
      </c>
      <c r="D16" s="7" t="s">
        <v>557</v>
      </c>
      <c r="E16" s="7" t="s">
        <v>558</v>
      </c>
    </row>
    <row r="17">
      <c r="A17" s="7">
        <v>2.0</v>
      </c>
      <c r="B17" s="7" t="s">
        <v>559</v>
      </c>
      <c r="C17" s="7" t="s">
        <v>560</v>
      </c>
      <c r="D17" s="7" t="s">
        <v>561</v>
      </c>
      <c r="E17" s="7" t="s">
        <v>562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563</v>
      </c>
    </row>
    <row r="3">
      <c r="B3" s="367"/>
      <c r="C3" s="367" t="s">
        <v>564</v>
      </c>
      <c r="D3" s="367" t="s">
        <v>565</v>
      </c>
      <c r="E3" s="367" t="s">
        <v>566</v>
      </c>
      <c r="F3" s="367" t="s">
        <v>567</v>
      </c>
      <c r="G3" s="367" t="s">
        <v>568</v>
      </c>
      <c r="H3" s="367" t="s">
        <v>569</v>
      </c>
      <c r="I3" s="367" t="s">
        <v>570</v>
      </c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137</v>
      </c>
      <c r="D4" s="367" t="s">
        <v>203</v>
      </c>
      <c r="E4" s="367" t="s">
        <v>451</v>
      </c>
      <c r="F4" s="367" t="s">
        <v>468</v>
      </c>
      <c r="G4" s="367" t="s">
        <v>137</v>
      </c>
      <c r="H4" s="367" t="s">
        <v>121</v>
      </c>
      <c r="I4" s="367" t="s">
        <v>480</v>
      </c>
      <c r="J4" s="367"/>
      <c r="K4" s="367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1485.0</v>
      </c>
      <c r="D5" s="367">
        <v>1475.0</v>
      </c>
      <c r="E5" s="367">
        <v>1460.0</v>
      </c>
      <c r="F5" s="367">
        <v>1460.0</v>
      </c>
      <c r="G5" s="367">
        <v>1460.0</v>
      </c>
      <c r="H5" s="367">
        <v>1475.0</v>
      </c>
      <c r="I5" s="367" t="s">
        <v>571</v>
      </c>
      <c r="J5" s="367"/>
      <c r="K5" s="367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572</v>
      </c>
    </row>
    <row r="3">
      <c r="B3" s="367" t="s">
        <v>232</v>
      </c>
      <c r="C3" s="367" t="s">
        <v>572</v>
      </c>
      <c r="D3" s="367" t="s">
        <v>573</v>
      </c>
      <c r="E3" s="367" t="s">
        <v>574</v>
      </c>
      <c r="F3" s="367" t="s">
        <v>575</v>
      </c>
      <c r="G3" s="367" t="s">
        <v>576</v>
      </c>
      <c r="H3" s="367" t="s">
        <v>577</v>
      </c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426</v>
      </c>
      <c r="D4" s="367" t="s">
        <v>467</v>
      </c>
      <c r="E4" s="367" t="s">
        <v>578</v>
      </c>
      <c r="F4" s="367" t="s">
        <v>137</v>
      </c>
      <c r="G4" s="367" t="s">
        <v>579</v>
      </c>
      <c r="H4" s="367" t="s">
        <v>580</v>
      </c>
      <c r="I4" s="367"/>
      <c r="J4" s="367"/>
      <c r="K4" s="367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1492.5</v>
      </c>
      <c r="D5" s="367">
        <v>1472.5</v>
      </c>
      <c r="E5" s="367">
        <v>1492.5</v>
      </c>
      <c r="F5" s="367">
        <v>1460.0</v>
      </c>
      <c r="G5" s="367">
        <v>1430.0</v>
      </c>
      <c r="H5" s="367">
        <v>1415.0</v>
      </c>
      <c r="I5" s="367"/>
      <c r="J5" s="367"/>
      <c r="K5" s="367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 t="s">
        <v>102</v>
      </c>
    </row>
    <row r="3">
      <c r="B3" s="367" t="s">
        <v>232</v>
      </c>
      <c r="C3" s="367" t="s">
        <v>121</v>
      </c>
      <c r="D3" s="367" t="s">
        <v>581</v>
      </c>
      <c r="E3" s="367" t="s">
        <v>582</v>
      </c>
      <c r="F3" s="367" t="s">
        <v>583</v>
      </c>
      <c r="G3" s="367" t="s">
        <v>424</v>
      </c>
      <c r="H3" s="367" t="s">
        <v>584</v>
      </c>
      <c r="I3" s="367" t="s">
        <v>467</v>
      </c>
      <c r="J3" s="367" t="s">
        <v>585</v>
      </c>
      <c r="K3" s="367" t="s">
        <v>431</v>
      </c>
      <c r="L3" s="367" t="s">
        <v>586</v>
      </c>
      <c r="M3" s="367" t="s">
        <v>173</v>
      </c>
      <c r="N3" s="367"/>
      <c r="O3" s="367"/>
      <c r="P3" s="367"/>
      <c r="Q3" s="367"/>
      <c r="R3" s="367"/>
      <c r="S3" s="367"/>
      <c r="T3" s="367"/>
      <c r="U3" s="367"/>
      <c r="V3" s="367"/>
      <c r="W3" s="367"/>
    </row>
    <row r="4">
      <c r="A4" s="7"/>
      <c r="B4" s="367" t="s">
        <v>421</v>
      </c>
      <c r="C4" s="367" t="s">
        <v>121</v>
      </c>
      <c r="D4" s="367" t="s">
        <v>587</v>
      </c>
      <c r="E4" s="367" t="s">
        <v>390</v>
      </c>
      <c r="F4" s="367" t="s">
        <v>583</v>
      </c>
      <c r="G4" s="367" t="s">
        <v>588</v>
      </c>
      <c r="H4" s="367" t="s">
        <v>584</v>
      </c>
      <c r="I4" s="367" t="s">
        <v>467</v>
      </c>
      <c r="J4" s="367" t="s">
        <v>585</v>
      </c>
      <c r="K4" s="367" t="s">
        <v>431</v>
      </c>
      <c r="L4" s="367" t="s">
        <v>589</v>
      </c>
      <c r="M4" s="367" t="s">
        <v>173</v>
      </c>
      <c r="N4" s="368"/>
      <c r="O4" s="368"/>
      <c r="P4" s="368"/>
      <c r="Q4" s="368"/>
      <c r="R4" s="368"/>
      <c r="S4" s="368"/>
      <c r="T4" s="368"/>
      <c r="U4" s="368"/>
      <c r="V4" s="368"/>
      <c r="W4" s="368"/>
    </row>
    <row r="5">
      <c r="A5" s="7"/>
      <c r="B5" s="367" t="s">
        <v>435</v>
      </c>
      <c r="C5" s="367">
        <v>1750.0</v>
      </c>
      <c r="D5" s="367">
        <v>1750.0</v>
      </c>
      <c r="E5" s="367">
        <v>1475.0</v>
      </c>
      <c r="F5" s="367">
        <v>1750.0</v>
      </c>
      <c r="G5" s="367">
        <v>1550.0</v>
      </c>
      <c r="H5" s="367">
        <v>1750.0</v>
      </c>
      <c r="I5" s="367">
        <v>1560.0</v>
      </c>
      <c r="J5" s="367">
        <v>1600.0</v>
      </c>
      <c r="K5" s="367">
        <v>1610.0</v>
      </c>
      <c r="L5" s="367">
        <v>1750.0</v>
      </c>
      <c r="M5" s="367">
        <v>1750.0</v>
      </c>
      <c r="N5" s="368"/>
      <c r="O5" s="368"/>
      <c r="P5" s="368"/>
      <c r="Q5" s="368"/>
      <c r="R5" s="368"/>
      <c r="S5" s="368"/>
      <c r="T5" s="368"/>
      <c r="U5" s="368"/>
      <c r="V5" s="368"/>
      <c r="W5" s="368"/>
    </row>
    <row r="6">
      <c r="B6" s="367" t="s">
        <v>436</v>
      </c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</row>
    <row r="7">
      <c r="B7" s="367" t="s">
        <v>437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</row>
    <row r="8">
      <c r="B8" s="367" t="s">
        <v>438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</row>
    <row r="9">
      <c r="B9" s="36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</row>
    <row r="10">
      <c r="B10" s="36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</row>
    <row r="11">
      <c r="A11" s="7" t="s">
        <v>439</v>
      </c>
      <c r="B11" s="367" t="s">
        <v>436</v>
      </c>
      <c r="C11" s="367" t="b">
        <v>0</v>
      </c>
      <c r="D11" s="367" t="b">
        <v>0</v>
      </c>
      <c r="E11" s="367" t="b">
        <v>0</v>
      </c>
      <c r="F11" s="367" t="b">
        <v>0</v>
      </c>
      <c r="G11" s="367" t="b">
        <v>0</v>
      </c>
      <c r="H11" s="367" t="b">
        <v>0</v>
      </c>
      <c r="I11" s="367" t="b">
        <v>0</v>
      </c>
      <c r="J11" s="367" t="b">
        <v>0</v>
      </c>
      <c r="K11" s="367" t="b">
        <v>0</v>
      </c>
      <c r="L11" s="367" t="b">
        <v>0</v>
      </c>
      <c r="M11" s="367" t="b">
        <v>0</v>
      </c>
      <c r="N11" s="367" t="b">
        <v>0</v>
      </c>
      <c r="O11" s="367" t="b">
        <v>0</v>
      </c>
      <c r="P11" s="367" t="b">
        <v>0</v>
      </c>
      <c r="Q11" s="367" t="b">
        <v>0</v>
      </c>
      <c r="R11" s="367" t="b">
        <v>0</v>
      </c>
      <c r="S11" s="367" t="b">
        <v>0</v>
      </c>
      <c r="T11" s="367" t="b">
        <v>0</v>
      </c>
      <c r="U11" s="367" t="b">
        <v>0</v>
      </c>
      <c r="V11" s="367" t="b">
        <v>0</v>
      </c>
      <c r="W11" s="367" t="b">
        <v>0</v>
      </c>
    </row>
    <row r="12">
      <c r="B12" s="367" t="s">
        <v>437</v>
      </c>
      <c r="C12" s="367" t="b">
        <v>0</v>
      </c>
      <c r="D12" s="367" t="b">
        <v>0</v>
      </c>
      <c r="E12" s="367" t="b">
        <v>0</v>
      </c>
      <c r="F12" s="367" t="b">
        <v>0</v>
      </c>
      <c r="G12" s="367" t="b">
        <v>0</v>
      </c>
      <c r="H12" s="367" t="b">
        <v>0</v>
      </c>
      <c r="I12" s="367" t="b">
        <v>0</v>
      </c>
      <c r="J12" s="367" t="b">
        <v>0</v>
      </c>
      <c r="K12" s="367" t="b">
        <v>0</v>
      </c>
      <c r="L12" s="367" t="b">
        <v>0</v>
      </c>
      <c r="M12" s="367" t="b">
        <v>0</v>
      </c>
      <c r="N12" s="367" t="b">
        <v>0</v>
      </c>
      <c r="O12" s="367" t="b">
        <v>0</v>
      </c>
      <c r="P12" s="367" t="b">
        <v>0</v>
      </c>
      <c r="Q12" s="367" t="b">
        <v>0</v>
      </c>
      <c r="R12" s="367" t="b">
        <v>0</v>
      </c>
      <c r="S12" s="367" t="b">
        <v>0</v>
      </c>
      <c r="T12" s="367" t="b">
        <v>0</v>
      </c>
      <c r="U12" s="367" t="b">
        <v>0</v>
      </c>
      <c r="V12" s="367" t="b">
        <v>0</v>
      </c>
      <c r="W12" s="367" t="b">
        <v>0</v>
      </c>
    </row>
    <row r="13">
      <c r="B13" s="367" t="s">
        <v>438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</row>
  </sheetData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7" t="s">
        <v>590</v>
      </c>
      <c r="C1" s="7" t="s">
        <v>101</v>
      </c>
      <c r="D1" s="7" t="s">
        <v>229</v>
      </c>
      <c r="E1" s="7" t="s">
        <v>98</v>
      </c>
      <c r="F1" s="7" t="s">
        <v>440</v>
      </c>
      <c r="G1" s="7" t="s">
        <v>103</v>
      </c>
      <c r="H1" s="7" t="s">
        <v>105</v>
      </c>
      <c r="I1" s="7" t="s">
        <v>99</v>
      </c>
      <c r="J1" s="7" t="s">
        <v>102</v>
      </c>
      <c r="K1" s="7" t="s">
        <v>504</v>
      </c>
      <c r="L1" s="7" t="s">
        <v>190</v>
      </c>
      <c r="M1" s="7" t="s">
        <v>104</v>
      </c>
    </row>
    <row r="2">
      <c r="A2" s="7">
        <v>3.0</v>
      </c>
      <c r="B2" s="7" t="s">
        <v>591</v>
      </c>
      <c r="C2" s="182" t="str">
        <f t="shared" ref="C2:M2" si="1">IF(ISBLANK(INDIRECT(CONCATENATE(C$1,"!",ADDRESS(3,$A2)))),"",CONCATENATE(C$1,"-", INDIRECT(CONCATENATE(C$1,"!",ADDRESS(3,$A2)))))</f>
        <v>Faal-Faalsoul</v>
      </c>
      <c r="D2" s="182" t="str">
        <f t="shared" si="1"/>
        <v>#REF!</v>
      </c>
      <c r="E2" s="182" t="str">
        <f t="shared" si="1"/>
        <v>Delay-Chloestrasza</v>
      </c>
      <c r="F2" s="182" t="str">
        <f t="shared" si="1"/>
        <v>Charlie-Chawie</v>
      </c>
      <c r="G2" s="182" t="str">
        <f t="shared" si="1"/>
        <v>Ghonty-Ghowonty</v>
      </c>
      <c r="H2" s="182" t="str">
        <f t="shared" si="1"/>
        <v>Mawino-Sabinalallian</v>
      </c>
      <c r="I2" s="182" t="str">
        <f t="shared" si="1"/>
        <v>Marcel-Ninetailedstrike</v>
      </c>
      <c r="J2" s="182" t="str">
        <f t="shared" si="1"/>
        <v>Wish-Paladin</v>
      </c>
      <c r="K2" s="182" t="str">
        <f t="shared" si="1"/>
        <v>Nonna-Nonna</v>
      </c>
      <c r="L2" s="182" t="str">
        <f t="shared" si="1"/>
        <v>Mina-Mina</v>
      </c>
      <c r="M2" s="182" t="str">
        <f t="shared" si="1"/>
        <v>Vierazy-Vierazy</v>
      </c>
    </row>
    <row r="3">
      <c r="A3" s="7">
        <v>4.0</v>
      </c>
      <c r="B3" s="7" t="s">
        <v>592</v>
      </c>
      <c r="C3" s="182" t="str">
        <f t="shared" ref="C3:M3" si="2">IF(ISBLANK(INDIRECT(CONCATENATE(C$1,"!",ADDRESS(3,$A3)))),"",CONCATENATE(C$1,"-", INDIRECT(CONCATENATE(C$1,"!",ADDRESS(3,$A3)))))</f>
        <v>Faal-Faalmancer</v>
      </c>
      <c r="D3" s="182" t="str">
        <f t="shared" si="2"/>
        <v>#REF!</v>
      </c>
      <c r="E3" s="182" t="str">
        <f t="shared" si="2"/>
        <v>Delay-Chloetwo</v>
      </c>
      <c r="F3" s="182" t="str">
        <f t="shared" si="2"/>
        <v>Charlie-Chawwie</v>
      </c>
      <c r="G3" s="182" t="str">
        <f t="shared" si="2"/>
        <v>Ghonty-Giantditchfrog</v>
      </c>
      <c r="H3" s="182" t="str">
        <f t="shared" si="2"/>
        <v>Mawino-Boobmaxxing</v>
      </c>
      <c r="I3" s="182" t="str">
        <f t="shared" si="2"/>
        <v>Marcel-Lucidsingularity</v>
      </c>
      <c r="J3" s="182" t="str">
        <f t="shared" si="2"/>
        <v>Wish-Destro</v>
      </c>
      <c r="K3" s="182" t="str">
        <f t="shared" si="2"/>
        <v>Nonna-Nonnaa</v>
      </c>
      <c r="L3" s="182" t="str">
        <f t="shared" si="2"/>
        <v>Mina-Triomphe</v>
      </c>
      <c r="M3" s="182" t="str">
        <f t="shared" si="2"/>
        <v>Vierazy-Cardrazy</v>
      </c>
    </row>
    <row r="4">
      <c r="A4" s="7">
        <v>5.0</v>
      </c>
      <c r="B4" s="7" t="s">
        <v>593</v>
      </c>
      <c r="C4" s="182" t="str">
        <f t="shared" ref="C4:M4" si="3">IF(ISBLANK(INDIRECT(CONCATENATE(C$1,"!",ADDRESS(3,$A4)))),"",CONCATENATE(C$1,"-", INDIRECT(CONCATENATE(C$1,"!",ADDRESS(3,$A4)))))</f>
        <v>Faal-Faalb</v>
      </c>
      <c r="D4" s="182" t="str">
        <f t="shared" si="3"/>
        <v>#REF!</v>
      </c>
      <c r="E4" s="182" t="str">
        <f t="shared" si="3"/>
        <v>Delay-Chloenote</v>
      </c>
      <c r="F4" s="182" t="str">
        <f t="shared" si="3"/>
        <v>Charlie-Chawiebonk</v>
      </c>
      <c r="G4" s="182" t="str">
        <f t="shared" si="3"/>
        <v>Ghonty-Ghonty</v>
      </c>
      <c r="H4" s="182" t="str">
        <f t="shared" si="3"/>
        <v>Mawino-Mokokogl</v>
      </c>
      <c r="I4" s="182" t="str">
        <f t="shared" si="3"/>
        <v>Marcel-Íhatechaos</v>
      </c>
      <c r="J4" s="182" t="str">
        <f t="shared" si="3"/>
        <v>Wish-Lilshit</v>
      </c>
      <c r="K4" s="182" t="str">
        <f t="shared" si="3"/>
        <v>Nonna-Shenaya</v>
      </c>
      <c r="L4" s="182" t="str">
        <f t="shared" si="3"/>
        <v>Mina-Chou</v>
      </c>
      <c r="M4" s="182" t="str">
        <f t="shared" si="3"/>
        <v>Vierazy-Holyrazy</v>
      </c>
    </row>
    <row r="5">
      <c r="A5" s="7">
        <v>6.0</v>
      </c>
      <c r="B5" s="7" t="s">
        <v>594</v>
      </c>
      <c r="C5" s="182" t="str">
        <f t="shared" ref="C5:M5" si="4">IF(ISBLANK(INDIRECT(CONCATENATE(C$1,"!",ADDRESS(3,$A5)))),"",CONCATENATE(C$1,"-", INDIRECT(CONCATENATE(C$1,"!",ADDRESS(3,$A5)))))</f>
        <v>Faal-Faaler</v>
      </c>
      <c r="D5" s="182" t="str">
        <f t="shared" si="4"/>
        <v>#REF!</v>
      </c>
      <c r="E5" s="182" t="str">
        <f t="shared" si="4"/>
        <v>Delay-Chloster</v>
      </c>
      <c r="F5" s="182" t="str">
        <f t="shared" si="4"/>
        <v>Charlie-Chawei</v>
      </c>
      <c r="G5" s="182" t="str">
        <f t="shared" si="4"/>
        <v>Ghonty-Dowongerj</v>
      </c>
      <c r="H5" s="182" t="str">
        <f t="shared" si="4"/>
        <v>Mawino-Mawbu</v>
      </c>
      <c r="I5" s="182" t="str">
        <f t="shared" si="4"/>
        <v>Marcel-Brutalmomentum</v>
      </c>
      <c r="J5" s="182" t="str">
        <f t="shared" si="4"/>
        <v>Wish-GL</v>
      </c>
      <c r="K5" s="182" t="str">
        <f t="shared" si="4"/>
        <v>Nonna-Nonaa</v>
      </c>
      <c r="L5" s="182" t="str">
        <f t="shared" si="4"/>
        <v>Mina-Soble</v>
      </c>
      <c r="M5" s="182" t="str">
        <f t="shared" si="4"/>
        <v>Vierazy-Wierazy</v>
      </c>
    </row>
    <row r="6">
      <c r="A6" s="7">
        <v>7.0</v>
      </c>
      <c r="B6" s="7" t="s">
        <v>595</v>
      </c>
      <c r="C6" s="182" t="str">
        <f t="shared" ref="C6:M6" si="5">IF(ISBLANK(INDIRECT(CONCATENATE(C$1,"!",ADDRESS(3,$A6)))),"",CONCATENATE(C$1,"-", INDIRECT(CONCATENATE(C$1,"!",ADDRESS(3,$A6)))))</f>
        <v>Faal-Faalbreaker</v>
      </c>
      <c r="D6" s="182" t="str">
        <f t="shared" si="5"/>
        <v>#REF!</v>
      </c>
      <c r="E6" s="182" t="str">
        <f t="shared" si="5"/>
        <v>Delay-Ghontyfan</v>
      </c>
      <c r="F6" s="182" t="str">
        <f t="shared" si="5"/>
        <v>Charlie-Charwie</v>
      </c>
      <c r="G6" s="182" t="str">
        <f t="shared" si="5"/>
        <v>Ghonty-Catpounce</v>
      </c>
      <c r="H6" s="182" t="str">
        <f t="shared" si="5"/>
        <v>Mawino-Letmeinnnnnn</v>
      </c>
      <c r="I6" s="182" t="str">
        <f t="shared" si="5"/>
        <v>Marcel-Umbralfang</v>
      </c>
      <c r="J6" s="182" t="str">
        <f t="shared" si="5"/>
        <v>Wish-Striker</v>
      </c>
      <c r="K6" s="182" t="str">
        <f t="shared" si="5"/>
        <v>Nonna-Nosha</v>
      </c>
      <c r="L6" s="182" t="str">
        <f t="shared" si="5"/>
        <v>Mina-Ame</v>
      </c>
      <c r="M6" s="182" t="str">
        <f t="shared" si="5"/>
        <v>Vierazy-Cuhrazy</v>
      </c>
    </row>
    <row r="7">
      <c r="A7" s="7">
        <v>8.0</v>
      </c>
      <c r="B7" s="7" t="s">
        <v>596</v>
      </c>
      <c r="C7" s="182" t="str">
        <f t="shared" ref="C7:M7" si="6">IF(ISBLANK(INDIRECT(CONCATENATE(C$1,"!",ADDRESS(3,$A7)))),"",CONCATENATE(C$1,"-", INDIRECT(CONCATENATE(C$1,"!",ADDRESS(3,$A7)))))</f>
        <v>Faal-Faal</v>
      </c>
      <c r="D7" s="182" t="str">
        <f t="shared" si="6"/>
        <v>#REF!</v>
      </c>
      <c r="E7" s="182" t="str">
        <f t="shared" si="6"/>
        <v>Delay-Chloebrush</v>
      </c>
      <c r="F7" s="182" t="str">
        <f t="shared" si="6"/>
        <v>Charlie-Supportmonkey</v>
      </c>
      <c r="G7" s="182" t="str">
        <f t="shared" si="6"/>
        <v>Ghonty-Ghontyg</v>
      </c>
      <c r="H7" s="182" t="str">
        <f t="shared" si="6"/>
        <v>Mawino-Boobaowo</v>
      </c>
      <c r="I7" s="182" t="str">
        <f t="shared" si="6"/>
        <v>Marcel-Threeroundburst</v>
      </c>
      <c r="J7" s="182" t="str">
        <f t="shared" si="6"/>
        <v>Wish-Artill</v>
      </c>
      <c r="K7" s="182" t="str">
        <f t="shared" si="6"/>
        <v>Nonna-Shinaia</v>
      </c>
      <c r="L7" s="182" t="str">
        <f t="shared" si="6"/>
        <v>Mina-Owonyoung</v>
      </c>
      <c r="M7" s="182" t="str">
        <f t="shared" si="6"/>
        <v>Vierazy-Wildrazy</v>
      </c>
    </row>
    <row r="8">
      <c r="A8" s="7">
        <v>9.0</v>
      </c>
      <c r="B8" s="7" t="s">
        <v>597</v>
      </c>
      <c r="C8" s="182" t="str">
        <f t="shared" ref="C8:M8" si="7">IF(ISBLANK(INDIRECT(CONCATENATE(C$1,"!",ADDRESS(3,$A8)))),"",CONCATENATE(C$1,"-", INDIRECT(CONCATENATE(C$1,"!",ADDRESS(3,$A8)))))</f>
        <v>Faal-Faalkyrie</v>
      </c>
      <c r="D8" s="182" t="str">
        <f t="shared" si="7"/>
        <v>#REF!</v>
      </c>
      <c r="E8" s="182" t="str">
        <f t="shared" si="7"/>
        <v>Delay-Chloepet</v>
      </c>
      <c r="F8" s="182" t="str">
        <f t="shared" si="7"/>
        <v>Charlie-Chadwie</v>
      </c>
      <c r="G8" s="182" t="str">
        <f t="shared" si="7"/>
        <v>Ghonty-Ghontycarpet</v>
      </c>
      <c r="H8" s="182" t="str">
        <f t="shared" si="7"/>
        <v/>
      </c>
      <c r="I8" s="182" t="str">
        <f t="shared" si="7"/>
        <v>Marcel-Dancíngdagger</v>
      </c>
      <c r="J8" s="182" t="str">
        <f t="shared" si="7"/>
        <v>Wish-Arcana</v>
      </c>
      <c r="K8" s="182" t="str">
        <f t="shared" si="7"/>
        <v>Nonna-Nonnâ</v>
      </c>
      <c r="L8" s="182" t="str">
        <f t="shared" si="7"/>
        <v>Mina-Pitshu</v>
      </c>
      <c r="M8" s="182" t="str">
        <f t="shared" si="7"/>
        <v>Vierazy-Valkyrazy</v>
      </c>
    </row>
    <row r="9">
      <c r="A9" s="7">
        <v>10.0</v>
      </c>
      <c r="B9" s="7" t="s">
        <v>598</v>
      </c>
      <c r="C9" s="182" t="str">
        <f t="shared" ref="C9:M9" si="8">IF(ISBLANK(INDIRECT(CONCATENATE(C$1,"!",ADDRESS(3,$A9)))),"",CONCATENATE(C$1,"-", INDIRECT(CONCATENATE(C$1,"!",ADDRESS(3,$A9)))))</f>
        <v>Faal-Faals</v>
      </c>
      <c r="D9" s="182" t="str">
        <f t="shared" si="8"/>
        <v>#REF!</v>
      </c>
      <c r="E9" s="182" t="str">
        <f t="shared" si="8"/>
        <v>Delay-Chloeburst</v>
      </c>
      <c r="F9" s="182" t="str">
        <f t="shared" si="8"/>
        <v>Charlie-Demonchawie</v>
      </c>
      <c r="G9" s="182" t="str">
        <f t="shared" si="8"/>
        <v>Ghonty-Ghowonterj</v>
      </c>
      <c r="H9" s="182" t="str">
        <f t="shared" si="8"/>
        <v/>
      </c>
      <c r="I9" s="182" t="str">
        <f t="shared" si="8"/>
        <v>Marcel-Lunarimpact</v>
      </c>
      <c r="J9" s="182" t="str">
        <f t="shared" si="8"/>
        <v>Wish-Scouter</v>
      </c>
      <c r="K9" s="182" t="str">
        <f t="shared" si="8"/>
        <v/>
      </c>
      <c r="L9" s="182" t="str">
        <f t="shared" si="8"/>
        <v/>
      </c>
      <c r="M9" s="182" t="str">
        <f t="shared" si="8"/>
        <v/>
      </c>
    </row>
    <row r="10">
      <c r="A10" s="7">
        <v>11.0</v>
      </c>
      <c r="B10" s="7" t="s">
        <v>599</v>
      </c>
      <c r="C10" s="182" t="str">
        <f t="shared" ref="C10:M10" si="9">IF(ISBLANK(INDIRECT(CONCATENATE(C$1,"!",ADDRESS(3,$A10)))),"",CONCATENATE(C$1,"-", INDIRECT(CONCATENATE(C$1,"!",ADDRESS(3,$A10)))))</f>
        <v/>
      </c>
      <c r="D10" s="182" t="str">
        <f t="shared" si="9"/>
        <v>#REF!</v>
      </c>
      <c r="E10" s="182" t="str">
        <f t="shared" si="9"/>
        <v>Delay-Chloestorm</v>
      </c>
      <c r="F10" s="182" t="str">
        <f t="shared" si="9"/>
        <v/>
      </c>
      <c r="G10" s="182" t="str">
        <f t="shared" si="9"/>
        <v/>
      </c>
      <c r="H10" s="182" t="str">
        <f t="shared" si="9"/>
        <v/>
      </c>
      <c r="I10" s="182" t="str">
        <f t="shared" si="9"/>
        <v>Marcel-Impactstrike</v>
      </c>
      <c r="J10" s="182" t="str">
        <f t="shared" si="9"/>
        <v>Wish-Slayer</v>
      </c>
      <c r="K10" s="182" t="str">
        <f t="shared" si="9"/>
        <v/>
      </c>
      <c r="L10" s="182" t="str">
        <f t="shared" si="9"/>
        <v/>
      </c>
      <c r="M10" s="182" t="str">
        <f t="shared" si="9"/>
        <v/>
      </c>
    </row>
    <row r="11">
      <c r="A11" s="7">
        <v>12.0</v>
      </c>
      <c r="B11" s="7" t="s">
        <v>383</v>
      </c>
      <c r="C11" s="182" t="str">
        <f t="shared" ref="C11:M11" si="10">IF(ISBLANK(INDIRECT(CONCATENATE(C$1,"!",ADDRESS(3,$A11)))),"",CONCATENATE(C$1,"-", INDIRECT(CONCATENATE(C$1,"!",ADDRESS(3,$A11)))))</f>
        <v/>
      </c>
      <c r="D11" s="182" t="str">
        <f t="shared" si="10"/>
        <v>#REF!</v>
      </c>
      <c r="E11" s="182" t="str">
        <f t="shared" si="10"/>
        <v>Delay-Chloescythe</v>
      </c>
      <c r="F11" s="182" t="str">
        <f t="shared" si="10"/>
        <v/>
      </c>
      <c r="G11" s="182" t="str">
        <f t="shared" si="10"/>
        <v/>
      </c>
      <c r="H11" s="182" t="str">
        <f t="shared" si="10"/>
        <v/>
      </c>
      <c r="I11" s="182" t="str">
        <f t="shared" si="10"/>
        <v>Marcel-Radiantarc</v>
      </c>
      <c r="J11" s="182" t="str">
        <f t="shared" si="10"/>
        <v>Wish-BAKER</v>
      </c>
      <c r="K11" s="182" t="str">
        <f t="shared" si="10"/>
        <v/>
      </c>
      <c r="L11" s="182" t="str">
        <f t="shared" si="10"/>
        <v/>
      </c>
      <c r="M11" s="182" t="str">
        <f t="shared" si="10"/>
        <v/>
      </c>
    </row>
    <row r="12">
      <c r="A12" s="7">
        <v>13.0</v>
      </c>
      <c r="B12" s="7" t="s">
        <v>384</v>
      </c>
      <c r="C12" s="182" t="str">
        <f t="shared" ref="C12:K12" si="11">IF(ISBLANK(INDIRECT(CONCATENATE(C$1,"!",ADDRESS(3,$A12)))),"",CONCATENATE(C$1,"-", INDIRECT(CONCATENATE(C$1,"!",ADDRESS(3,$A12)))))</f>
        <v/>
      </c>
      <c r="D12" s="182" t="str">
        <f t="shared" si="11"/>
        <v>#REF!</v>
      </c>
      <c r="E12" s="182" t="str">
        <f t="shared" si="11"/>
        <v>Delay-Bighandguy</v>
      </c>
      <c r="F12" s="182" t="str">
        <f t="shared" si="11"/>
        <v/>
      </c>
      <c r="G12" s="182" t="str">
        <f t="shared" si="11"/>
        <v/>
      </c>
      <c r="H12" s="182" t="str">
        <f t="shared" si="11"/>
        <v/>
      </c>
      <c r="I12" s="182" t="str">
        <f t="shared" si="11"/>
        <v>Marcel-Searingslash</v>
      </c>
      <c r="J12" s="182" t="str">
        <f t="shared" si="11"/>
        <v>Wish-G</v>
      </c>
      <c r="K12" s="182" t="str">
        <f t="shared" si="11"/>
        <v/>
      </c>
    </row>
    <row r="13">
      <c r="A13" s="7">
        <v>14.0</v>
      </c>
      <c r="B13" s="7" t="s">
        <v>600</v>
      </c>
      <c r="C13" s="182" t="str">
        <f t="shared" ref="C13:K13" si="12">IF(ISBLANK(INDIRECT(CONCATENATE(C$1,"!",ADDRESS(3,$A13)))),"",CONCATENATE(C$1,"-", INDIRECT(CONCATENATE(C$1,"!",ADDRESS(3,$A13)))))</f>
        <v/>
      </c>
      <c r="D13" s="182" t="str">
        <f t="shared" si="12"/>
        <v>#REF!</v>
      </c>
      <c r="E13" s="182" t="str">
        <f t="shared" si="12"/>
        <v>Delay-Wildchloe</v>
      </c>
      <c r="F13" s="182" t="str">
        <f t="shared" si="12"/>
        <v/>
      </c>
      <c r="G13" s="182" t="str">
        <f t="shared" si="12"/>
        <v/>
      </c>
      <c r="H13" s="182" t="str">
        <f t="shared" si="12"/>
        <v/>
      </c>
      <c r="I13" s="182" t="str">
        <f t="shared" si="12"/>
        <v>Marcel-Astralwisp</v>
      </c>
      <c r="J13" s="182" t="str">
        <f t="shared" si="12"/>
        <v/>
      </c>
      <c r="K13" s="182" t="str">
        <f t="shared" si="12"/>
        <v/>
      </c>
    </row>
    <row r="14">
      <c r="A14" s="7">
        <v>15.0</v>
      </c>
      <c r="B14" s="7" t="s">
        <v>601</v>
      </c>
      <c r="C14" s="182" t="str">
        <f t="shared" ref="C14:K14" si="13">IF(ISBLANK(INDIRECT(CONCATENATE(C$1,"!",ADDRESS(3,$A14)))),"",CONCATENATE(C$1,"-", INDIRECT(CONCATENATE(C$1,"!",ADDRESS(3,$A14)))))</f>
        <v/>
      </c>
      <c r="D14" s="182" t="str">
        <f t="shared" si="13"/>
        <v>#REF!</v>
      </c>
      <c r="E14" s="182" t="str">
        <f t="shared" si="13"/>
        <v/>
      </c>
      <c r="F14" s="182" t="str">
        <f t="shared" si="13"/>
        <v/>
      </c>
      <c r="G14" s="182" t="str">
        <f t="shared" si="13"/>
        <v/>
      </c>
      <c r="H14" s="182" t="str">
        <f t="shared" si="13"/>
        <v/>
      </c>
      <c r="I14" s="182" t="str">
        <f t="shared" si="13"/>
        <v>Marcel-Ferociouswinds</v>
      </c>
      <c r="J14" s="182" t="str">
        <f t="shared" si="13"/>
        <v/>
      </c>
      <c r="K14" s="182" t="str">
        <f t="shared" si="13"/>
        <v/>
      </c>
    </row>
    <row r="15">
      <c r="A15" s="7">
        <v>16.0</v>
      </c>
      <c r="B15" s="7" t="s">
        <v>101</v>
      </c>
      <c r="C15" s="182" t="str">
        <f t="shared" ref="C15:K15" si="14">IF(ISBLANK(INDIRECT(CONCATENATE(C$1,"!",ADDRESS(3,$A15)))),"",CONCATENATE(C$1,"-", INDIRECT(CONCATENATE(C$1,"!",ADDRESS(3,$A15)))))</f>
        <v/>
      </c>
      <c r="D15" s="182" t="str">
        <f t="shared" si="14"/>
        <v>#REF!</v>
      </c>
      <c r="E15" s="182" t="str">
        <f t="shared" si="14"/>
        <v/>
      </c>
      <c r="F15" s="182" t="str">
        <f t="shared" si="14"/>
        <v/>
      </c>
      <c r="G15" s="182" t="str">
        <f t="shared" si="14"/>
        <v/>
      </c>
      <c r="H15" s="182" t="str">
        <f t="shared" si="14"/>
        <v/>
      </c>
      <c r="I15" s="182" t="str">
        <f t="shared" si="14"/>
        <v>Marcel-Felinegrace</v>
      </c>
      <c r="J15" s="182" t="str">
        <f t="shared" si="14"/>
        <v/>
      </c>
      <c r="K15" s="182" t="str">
        <f t="shared" si="14"/>
        <v/>
      </c>
    </row>
    <row r="16">
      <c r="A16" s="7">
        <v>17.0</v>
      </c>
      <c r="B16" s="7" t="s">
        <v>116</v>
      </c>
      <c r="C16" s="182" t="str">
        <f t="shared" ref="C16:K16" si="15">IF(ISBLANK(INDIRECT(CONCATENATE(C$1,"!",ADDRESS(3,$A16)))),"",CONCATENATE(C$1,"-", INDIRECT(CONCATENATE(C$1,"!",ADDRESS(3,$A16)))))</f>
        <v/>
      </c>
      <c r="D16" s="182" t="str">
        <f t="shared" si="15"/>
        <v>#REF!</v>
      </c>
      <c r="E16" s="182" t="str">
        <f t="shared" si="15"/>
        <v/>
      </c>
      <c r="F16" s="182" t="str">
        <f t="shared" si="15"/>
        <v/>
      </c>
      <c r="G16" s="182" t="str">
        <f t="shared" si="15"/>
        <v/>
      </c>
      <c r="H16" s="182" t="str">
        <f t="shared" si="15"/>
        <v/>
      </c>
      <c r="I16" s="182" t="str">
        <f t="shared" si="15"/>
        <v>Marcel-Battlepresence</v>
      </c>
      <c r="J16" s="182" t="str">
        <f t="shared" si="15"/>
        <v/>
      </c>
      <c r="K16" s="182" t="str">
        <f t="shared" si="15"/>
        <v/>
      </c>
    </row>
    <row r="17">
      <c r="A17" s="7">
        <v>18.0</v>
      </c>
      <c r="B17" s="7" t="s">
        <v>103</v>
      </c>
      <c r="C17" s="182" t="str">
        <f t="shared" ref="C17:K17" si="16">IF(ISBLANK(INDIRECT(CONCATENATE(C$1,"!",ADDRESS(3,$A17)))),"",CONCATENATE(C$1,"-", INDIRECT(CONCATENATE(C$1,"!",ADDRESS(3,$A17)))))</f>
        <v/>
      </c>
      <c r="D17" s="182" t="str">
        <f t="shared" si="16"/>
        <v>#REF!</v>
      </c>
      <c r="E17" s="182" t="str">
        <f t="shared" si="16"/>
        <v/>
      </c>
      <c r="F17" s="182" t="str">
        <f t="shared" si="16"/>
        <v/>
      </c>
      <c r="G17" s="182" t="str">
        <f t="shared" si="16"/>
        <v/>
      </c>
      <c r="H17" s="182" t="str">
        <f t="shared" si="16"/>
        <v/>
      </c>
      <c r="I17" s="182" t="str">
        <f t="shared" si="16"/>
        <v>Marcel-Quietintensity</v>
      </c>
      <c r="J17" s="182" t="str">
        <f t="shared" si="16"/>
        <v/>
      </c>
      <c r="K17" s="182" t="str">
        <f t="shared" si="16"/>
        <v/>
      </c>
    </row>
    <row r="18">
      <c r="A18" s="7">
        <v>19.0</v>
      </c>
      <c r="B18" s="7" t="s">
        <v>602</v>
      </c>
      <c r="C18" s="182" t="str">
        <f t="shared" ref="C18:K18" si="17">IF(ISBLANK(INDIRECT(CONCATENATE(C$1,"!",ADDRESS(3,$A18)))),"",CONCATENATE(C$1,"-", INDIRECT(CONCATENATE(C$1,"!",ADDRESS(3,$A18)))))</f>
        <v/>
      </c>
      <c r="D18" s="182" t="str">
        <f t="shared" si="17"/>
        <v>#REF!</v>
      </c>
      <c r="E18" s="182" t="str">
        <f t="shared" si="17"/>
        <v/>
      </c>
      <c r="F18" s="182" t="str">
        <f t="shared" si="17"/>
        <v/>
      </c>
      <c r="G18" s="182" t="str">
        <f t="shared" si="17"/>
        <v/>
      </c>
      <c r="H18" s="182" t="str">
        <f t="shared" si="17"/>
        <v/>
      </c>
      <c r="I18" s="182" t="str">
        <f t="shared" si="17"/>
        <v>Marcel-Primalsoul</v>
      </c>
      <c r="J18" s="182" t="str">
        <f t="shared" si="17"/>
        <v/>
      </c>
      <c r="K18" s="182" t="str">
        <f t="shared" si="17"/>
        <v/>
      </c>
    </row>
    <row r="19">
      <c r="A19" s="7">
        <v>20.0</v>
      </c>
      <c r="B19" s="7" t="s">
        <v>603</v>
      </c>
      <c r="C19" s="182" t="str">
        <f t="shared" ref="C19:K19" si="18">IF(ISBLANK(INDIRECT(CONCATENATE(C$1,"!",ADDRESS(3,$A19)))),"",CONCATENATE(C$1,"-", INDIRECT(CONCATENATE(C$1,"!",ADDRESS(3,$A19)))))</f>
        <v/>
      </c>
      <c r="D19" s="182" t="str">
        <f t="shared" si="18"/>
        <v>#REF!</v>
      </c>
      <c r="E19" s="182" t="str">
        <f t="shared" si="18"/>
        <v/>
      </c>
      <c r="F19" s="182" t="str">
        <f t="shared" si="18"/>
        <v/>
      </c>
      <c r="G19" s="182" t="str">
        <f t="shared" si="18"/>
        <v/>
      </c>
      <c r="H19" s="182" t="str">
        <f t="shared" si="18"/>
        <v/>
      </c>
      <c r="I19" s="182" t="str">
        <f t="shared" si="18"/>
        <v>Marcel-Enjin</v>
      </c>
      <c r="J19" s="182" t="str">
        <f t="shared" si="18"/>
        <v/>
      </c>
      <c r="K19" s="182" t="str">
        <f t="shared" si="18"/>
        <v/>
      </c>
    </row>
    <row r="20">
      <c r="A20" s="7">
        <v>21.0</v>
      </c>
      <c r="B20" s="7" t="s">
        <v>604</v>
      </c>
      <c r="C20" s="182" t="str">
        <f t="shared" ref="C20:K20" si="19">IF(ISBLANK(INDIRECT(CONCATENATE(C$1,"!",ADDRESS(3,$A20)))),"",CONCATENATE(C$1,"-", INDIRECT(CONCATENATE(C$1,"!",ADDRESS(3,$A20)))))</f>
        <v/>
      </c>
      <c r="D20" s="182" t="str">
        <f t="shared" si="19"/>
        <v>#REF!</v>
      </c>
      <c r="E20" s="182" t="str">
        <f t="shared" si="19"/>
        <v/>
      </c>
      <c r="F20" s="182" t="str">
        <f t="shared" si="19"/>
        <v/>
      </c>
      <c r="G20" s="182" t="str">
        <f t="shared" si="19"/>
        <v/>
      </c>
      <c r="H20" s="182" t="str">
        <f t="shared" si="19"/>
        <v/>
      </c>
      <c r="I20" s="182" t="str">
        <f t="shared" si="19"/>
        <v/>
      </c>
      <c r="J20" s="182" t="str">
        <f t="shared" si="19"/>
        <v/>
      </c>
      <c r="K20" s="182" t="str">
        <f t="shared" si="19"/>
        <v/>
      </c>
    </row>
    <row r="21">
      <c r="A21" s="7">
        <v>22.0</v>
      </c>
      <c r="B21" s="7" t="s">
        <v>132</v>
      </c>
      <c r="C21" s="182" t="str">
        <f t="shared" ref="C21:K21" si="20">IF(ISBLANK(INDIRECT(CONCATENATE(C$1,"!",ADDRESS(3,$A21)))),"",CONCATENATE(C$1,"-", INDIRECT(CONCATENATE(C$1,"!",ADDRESS(3,$A21)))))</f>
        <v/>
      </c>
      <c r="D21" s="182" t="str">
        <f t="shared" si="20"/>
        <v>#REF!</v>
      </c>
      <c r="E21" s="182" t="str">
        <f t="shared" si="20"/>
        <v/>
      </c>
      <c r="F21" s="182" t="str">
        <f t="shared" si="20"/>
        <v/>
      </c>
      <c r="G21" s="182" t="str">
        <f t="shared" si="20"/>
        <v/>
      </c>
      <c r="H21" s="182" t="str">
        <f t="shared" si="20"/>
        <v/>
      </c>
      <c r="I21" s="182" t="str">
        <f t="shared" si="20"/>
        <v/>
      </c>
      <c r="J21" s="182" t="str">
        <f t="shared" si="20"/>
        <v/>
      </c>
      <c r="K21" s="182" t="str">
        <f t="shared" si="20"/>
        <v/>
      </c>
    </row>
    <row r="22">
      <c r="A22" s="7">
        <v>23.0</v>
      </c>
      <c r="B22" s="7" t="s">
        <v>605</v>
      </c>
      <c r="C22" s="182" t="str">
        <f t="shared" ref="C22:K22" si="21">IF(ISBLANK(INDIRECT(CONCATENATE(C$1,"!",ADDRESS(3,$A22)))),"",CONCATENATE(C$1,"-", INDIRECT(CONCATENATE(C$1,"!",ADDRESS(3,$A22)))))</f>
        <v/>
      </c>
      <c r="D22" s="182" t="str">
        <f t="shared" si="21"/>
        <v>#REF!</v>
      </c>
      <c r="E22" s="182" t="str">
        <f t="shared" si="21"/>
        <v/>
      </c>
      <c r="F22" s="182" t="str">
        <f t="shared" si="21"/>
        <v/>
      </c>
      <c r="G22" s="182" t="str">
        <f t="shared" si="21"/>
        <v/>
      </c>
      <c r="H22" s="182" t="str">
        <f t="shared" si="21"/>
        <v/>
      </c>
      <c r="I22" s="182" t="str">
        <f t="shared" si="21"/>
        <v/>
      </c>
      <c r="J22" s="182" t="str">
        <f t="shared" si="21"/>
        <v/>
      </c>
      <c r="K22" s="182" t="str">
        <f t="shared" si="21"/>
        <v/>
      </c>
    </row>
    <row r="23">
      <c r="A23" s="7">
        <v>24.0</v>
      </c>
      <c r="B23" s="7" t="s">
        <v>107</v>
      </c>
      <c r="C23" s="182" t="str">
        <f t="shared" ref="C23:K23" si="22">IF(ISBLANK(INDIRECT(CONCATENATE(C$1,"!",ADDRESS(3,$A23)))),"",CONCATENATE(C$1,"-", INDIRECT(CONCATENATE(C$1,"!",ADDRESS(3,$A23)))))</f>
        <v/>
      </c>
      <c r="D23" s="182" t="str">
        <f t="shared" si="22"/>
        <v>#REF!</v>
      </c>
      <c r="E23" s="182" t="str">
        <f t="shared" si="22"/>
        <v/>
      </c>
      <c r="F23" s="182" t="str">
        <f t="shared" si="22"/>
        <v/>
      </c>
      <c r="G23" s="182" t="str">
        <f t="shared" si="22"/>
        <v/>
      </c>
      <c r="H23" s="182" t="str">
        <f t="shared" si="22"/>
        <v/>
      </c>
      <c r="I23" s="182" t="str">
        <f t="shared" si="22"/>
        <v/>
      </c>
      <c r="J23" s="182" t="str">
        <f t="shared" si="22"/>
        <v/>
      </c>
      <c r="K23" s="182" t="str">
        <f t="shared" si="22"/>
        <v/>
      </c>
    </row>
    <row r="24">
      <c r="A24" s="7">
        <v>25.0</v>
      </c>
      <c r="B24" s="7" t="s">
        <v>606</v>
      </c>
      <c r="C24" s="182" t="str">
        <f t="shared" ref="C24:K24" si="23">IF(ISBLANK(INDIRECT(CONCATENATE(C$1,"!",ADDRESS(3,$A24)))),"",CONCATENATE(C$1,"-", INDIRECT(CONCATENATE(C$1,"!",ADDRESS(3,$A24)))))</f>
        <v/>
      </c>
      <c r="D24" s="182" t="str">
        <f t="shared" si="23"/>
        <v>#REF!</v>
      </c>
      <c r="E24" s="182" t="str">
        <f t="shared" si="23"/>
        <v/>
      </c>
      <c r="F24" s="182" t="str">
        <f t="shared" si="23"/>
        <v/>
      </c>
      <c r="G24" s="182" t="str">
        <f t="shared" si="23"/>
        <v/>
      </c>
      <c r="H24" s="182" t="str">
        <f t="shared" si="23"/>
        <v/>
      </c>
      <c r="I24" s="182" t="str">
        <f t="shared" si="23"/>
        <v/>
      </c>
      <c r="J24" s="182" t="str">
        <f t="shared" si="23"/>
        <v/>
      </c>
      <c r="K24" s="182" t="str">
        <f t="shared" si="23"/>
        <v/>
      </c>
    </row>
    <row r="25">
      <c r="A25" s="7">
        <v>26.0</v>
      </c>
      <c r="B25" s="7" t="s">
        <v>229</v>
      </c>
      <c r="C25" s="182" t="str">
        <f t="shared" ref="C25:K25" si="24">IF(ISBLANK(INDIRECT(CONCATENATE(C$1,"!",ADDRESS(3,$A25)))),"",CONCATENATE(C$1,"-", INDIRECT(CONCATENATE(C$1,"!",ADDRESS(3,$A25)))))</f>
        <v/>
      </c>
      <c r="D25" s="182" t="str">
        <f t="shared" si="24"/>
        <v>#REF!</v>
      </c>
      <c r="E25" s="182" t="str">
        <f t="shared" si="24"/>
        <v/>
      </c>
      <c r="F25" s="182" t="str">
        <f t="shared" si="24"/>
        <v/>
      </c>
      <c r="G25" s="182" t="str">
        <f t="shared" si="24"/>
        <v/>
      </c>
      <c r="H25" s="182" t="str">
        <f t="shared" si="24"/>
        <v/>
      </c>
      <c r="I25" s="182" t="str">
        <f t="shared" si="24"/>
        <v/>
      </c>
      <c r="J25" s="182" t="str">
        <f t="shared" si="24"/>
        <v/>
      </c>
      <c r="K25" s="182" t="str">
        <f t="shared" si="24"/>
        <v/>
      </c>
    </row>
    <row r="26">
      <c r="A26" s="7">
        <v>27.0</v>
      </c>
      <c r="B26" s="7" t="s">
        <v>106</v>
      </c>
      <c r="C26" s="182" t="str">
        <f t="shared" ref="C26:K26" si="25">IF(ISBLANK(INDIRECT(CONCATENATE(C$1,"!",ADDRESS(3,$A26)))),"",CONCATENATE(C$1,"-", INDIRECT(CONCATENATE(C$1,"!",ADDRESS(3,$A26)))))</f>
        <v/>
      </c>
      <c r="D26" s="182" t="str">
        <f t="shared" si="25"/>
        <v>#REF!</v>
      </c>
      <c r="E26" s="182" t="str">
        <f t="shared" si="25"/>
        <v/>
      </c>
      <c r="F26" s="182" t="str">
        <f t="shared" si="25"/>
        <v/>
      </c>
      <c r="G26" s="182" t="str">
        <f t="shared" si="25"/>
        <v/>
      </c>
      <c r="H26" s="182" t="str">
        <f t="shared" si="25"/>
        <v/>
      </c>
      <c r="I26" s="182" t="str">
        <f t="shared" si="25"/>
        <v/>
      </c>
      <c r="J26" s="182" t="str">
        <f t="shared" si="25"/>
        <v/>
      </c>
      <c r="K26" s="182" t="str">
        <f t="shared" si="25"/>
        <v/>
      </c>
    </row>
    <row r="27">
      <c r="A27" s="7">
        <v>28.0</v>
      </c>
      <c r="B27" s="7" t="s">
        <v>105</v>
      </c>
      <c r="C27" s="182" t="str">
        <f t="shared" ref="C27:K27" si="26">IF(ISBLANK(INDIRECT(CONCATENATE(C$1,"!",ADDRESS(3,$A27)))),"",CONCATENATE(C$1,"-", INDIRECT(CONCATENATE(C$1,"!",ADDRESS(3,$A27)))))</f>
        <v/>
      </c>
      <c r="D27" s="182" t="str">
        <f t="shared" si="26"/>
        <v>#REF!</v>
      </c>
      <c r="E27" s="182" t="str">
        <f t="shared" si="26"/>
        <v/>
      </c>
      <c r="F27" s="182" t="str">
        <f t="shared" si="26"/>
        <v/>
      </c>
      <c r="G27" s="182" t="str">
        <f t="shared" si="26"/>
        <v/>
      </c>
      <c r="H27" s="182" t="str">
        <f t="shared" si="26"/>
        <v/>
      </c>
      <c r="I27" s="182" t="str">
        <f t="shared" si="26"/>
        <v/>
      </c>
      <c r="J27" s="182" t="str">
        <f t="shared" si="26"/>
        <v/>
      </c>
      <c r="K27" s="182" t="str">
        <f t="shared" si="26"/>
        <v/>
      </c>
    </row>
    <row r="28">
      <c r="A28" s="7">
        <v>29.0</v>
      </c>
      <c r="B28" s="7" t="s">
        <v>607</v>
      </c>
      <c r="C28" s="182" t="str">
        <f t="shared" ref="C28:K28" si="27">IF(ISBLANK(INDIRECT(CONCATENATE(C$1,"!",ADDRESS(3,$A28)))),"",CONCATENATE(C$1,"-", INDIRECT(CONCATENATE(C$1,"!",ADDRESS(3,$A28)))))</f>
        <v/>
      </c>
      <c r="D28" s="182" t="str">
        <f t="shared" si="27"/>
        <v>#REF!</v>
      </c>
      <c r="E28" s="182" t="str">
        <f t="shared" si="27"/>
        <v/>
      </c>
      <c r="F28" s="182" t="str">
        <f t="shared" si="27"/>
        <v/>
      </c>
      <c r="G28" s="182" t="str">
        <f t="shared" si="27"/>
        <v/>
      </c>
      <c r="H28" s="182" t="str">
        <f t="shared" si="27"/>
        <v/>
      </c>
      <c r="I28" s="182" t="str">
        <f t="shared" si="27"/>
        <v/>
      </c>
      <c r="J28" s="182" t="str">
        <f t="shared" si="27"/>
        <v/>
      </c>
      <c r="K28" s="182" t="str">
        <f t="shared" si="27"/>
        <v/>
      </c>
    </row>
    <row r="29">
      <c r="A29" s="7">
        <v>30.0</v>
      </c>
      <c r="B29" s="7" t="s">
        <v>608</v>
      </c>
      <c r="C29" s="182" t="str">
        <f t="shared" ref="C29:K29" si="28">IF(ISBLANK(INDIRECT(CONCATENATE(C$1,"!",ADDRESS(3,$A29)))),"",CONCATENATE(C$1,"-", INDIRECT(CONCATENATE(C$1,"!",ADDRESS(3,$A29)))))</f>
        <v/>
      </c>
      <c r="D29" s="182" t="str">
        <f t="shared" si="28"/>
        <v>#REF!</v>
      </c>
      <c r="E29" s="182" t="str">
        <f t="shared" si="28"/>
        <v/>
      </c>
      <c r="F29" s="182" t="str">
        <f t="shared" si="28"/>
        <v/>
      </c>
      <c r="G29" s="182" t="str">
        <f t="shared" si="28"/>
        <v/>
      </c>
      <c r="H29" s="182" t="str">
        <f t="shared" si="28"/>
        <v/>
      </c>
      <c r="I29" s="182" t="str">
        <f t="shared" si="28"/>
        <v/>
      </c>
      <c r="J29" s="182" t="str">
        <f t="shared" si="28"/>
        <v/>
      </c>
      <c r="K29" s="182" t="str">
        <f t="shared" si="28"/>
        <v/>
      </c>
    </row>
    <row r="30">
      <c r="A30" s="7">
        <v>31.0</v>
      </c>
      <c r="B30" s="7" t="s">
        <v>133</v>
      </c>
    </row>
    <row r="31">
      <c r="A31" s="7">
        <v>32.0</v>
      </c>
      <c r="B31" s="7" t="s">
        <v>134</v>
      </c>
    </row>
    <row r="32">
      <c r="A32" s="7">
        <v>33.0</v>
      </c>
      <c r="B32" s="7" t="s">
        <v>403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3.13"/>
  </cols>
  <sheetData>
    <row r="1">
      <c r="A1" s="7" t="s">
        <v>316</v>
      </c>
    </row>
    <row r="2">
      <c r="C2" s="7" t="s">
        <v>55</v>
      </c>
      <c r="D2" s="7" t="s">
        <v>98</v>
      </c>
      <c r="E2" s="7" t="s">
        <v>609</v>
      </c>
      <c r="F2" s="7" t="s">
        <v>572</v>
      </c>
      <c r="G2" s="7" t="s">
        <v>323</v>
      </c>
      <c r="H2" s="7" t="s">
        <v>99</v>
      </c>
      <c r="I2" s="7" t="s">
        <v>440</v>
      </c>
      <c r="J2" s="7" t="s">
        <v>102</v>
      </c>
      <c r="P2" s="370" t="s">
        <v>610</v>
      </c>
      <c r="X2" s="7"/>
      <c r="Y2" s="7"/>
      <c r="Z2" s="7"/>
    </row>
    <row r="3">
      <c r="B3" s="324" t="s">
        <v>370</v>
      </c>
      <c r="C3" s="309" t="s">
        <v>48</v>
      </c>
      <c r="D3" s="310" t="s">
        <v>380</v>
      </c>
      <c r="E3" s="310"/>
      <c r="F3" s="310"/>
      <c r="G3" s="310" t="s">
        <v>338</v>
      </c>
      <c r="H3" s="310" t="s">
        <v>18</v>
      </c>
      <c r="I3" s="310" t="s">
        <v>611</v>
      </c>
      <c r="J3" s="311" t="s">
        <v>612</v>
      </c>
      <c r="P3" s="371" t="s">
        <v>421</v>
      </c>
      <c r="Q3" s="371" t="s">
        <v>613</v>
      </c>
      <c r="R3" s="371" t="s">
        <v>55</v>
      </c>
      <c r="S3" s="371" t="s">
        <v>98</v>
      </c>
      <c r="T3" s="371" t="s">
        <v>324</v>
      </c>
      <c r="U3" s="371" t="s">
        <v>323</v>
      </c>
      <c r="V3" s="371" t="s">
        <v>99</v>
      </c>
      <c r="W3" s="371" t="s">
        <v>102</v>
      </c>
    </row>
    <row r="4">
      <c r="B4" s="199" t="s">
        <v>614</v>
      </c>
      <c r="C4" s="361" t="str">
        <f>IFERROR(__xludf.DUMMYFUNCTION("IF(ISBLANK(C3),"""",HLOOKUP(REGEXEXTRACT(C3,"".*-(.*)""),INDIRECT(CONCATENATE(REGEXEXTRACT(C3,""(.*)-.*""),""!C3:I"")),2,FALSE))"),"Arcana")</f>
        <v>Arcana</v>
      </c>
      <c r="D4" s="59" t="str">
        <f>IFERROR(__xludf.DUMMYFUNCTION("IF(ISBLANK(D3),"""",HLOOKUP(REGEXEXTRACT(D3,"".*-(.*)""),INDIRECT(CONCATENATE(REGEXEXTRACT(D3,""(.*)-.*""),""!C3:I"")),2,FALSE))"),"#N/A")</f>
        <v>#N/A</v>
      </c>
      <c r="E4" s="59"/>
      <c r="F4" s="60"/>
      <c r="G4" s="59" t="str">
        <f>IFERROR(__xludf.DUMMYFUNCTION("IF(ISBLANK(G3),"""",HLOOKUP(REGEXEXTRACT(G3,"".*-(.*)""),INDIRECT(CONCATENATE(REGEXEXTRACT(G3,""(.*)-.*""),""!C3:I"")),2,FALSE))"),"#REF!")</f>
        <v>#REF!</v>
      </c>
      <c r="H4" s="59" t="str">
        <f>IFERROR(__xludf.DUMMYFUNCTION("IF(ISBLANK(H3),"""",HLOOKUP(REGEXEXTRACT(H3,"".*-(.*)""),INDIRECT(CONCATENATE(REGEXEXTRACT(H3,""(.*)-.*""),""!C3:I"")),2,FALSE))"),"Striker")</f>
        <v>Striker</v>
      </c>
      <c r="I4" s="59" t="str">
        <f>IFERROR(__xludf.DUMMYFUNCTION("IF(ISBLANK(I3),"""",HLOOKUP(REGEXEXTRACT(I3,"".*-(.*)""),INDIRECT(CONCATENATE(REGEXEXTRACT(I3,""(.*)-.*""),""!C3:I"")),2,FALSE))"),"Reaper")</f>
        <v>Reaper</v>
      </c>
      <c r="J4" s="312" t="str">
        <f>IFERROR(__xludf.DUMMYFUNCTION("IF(ISBLANK(J3),"""",HLOOKUP(REGEXEXTRACT(J3,"".*-(.*)""),INDIRECT(CONCATENATE(REGEXEXTRACT(J3,""(.*)-.*""),""!C3:I"")),2,FALSE))"),"#N/A")</f>
        <v>#N/A</v>
      </c>
      <c r="P4" s="372" t="s">
        <v>137</v>
      </c>
      <c r="Q4" s="373">
        <f t="shared" ref="Q4:Q26" si="1">SUM(R4:W4)</f>
        <v>6</v>
      </c>
      <c r="R4" s="372">
        <v>3.0</v>
      </c>
      <c r="S4" s="372">
        <v>1.0</v>
      </c>
      <c r="T4" s="372">
        <v>1.0</v>
      </c>
      <c r="U4" s="372">
        <v>1.0</v>
      </c>
      <c r="V4" s="372">
        <v>0.0</v>
      </c>
      <c r="W4" s="372">
        <v>0.0</v>
      </c>
    </row>
    <row r="5">
      <c r="B5" s="341"/>
      <c r="C5" s="374">
        <f>IFERROR(__xludf.DUMMYFUNCTION("IF(ISBLANK(C3),"""",HLOOKUP(REGEXEXTRACT(C3,"".*-(.*)""),INDIRECT(CONCATENATE(REGEXEXTRACT(C3,""(.*)-.*""),""!C3:I"")),3,FALSE))"),1570.0)</f>
        <v>1570</v>
      </c>
      <c r="D5" s="313" t="str">
        <f>IFERROR(__xludf.DUMMYFUNCTION("IF(ISBLANK(D3),"""",HLOOKUP(REGEXEXTRACT(D3,"".*-(.*)""),INDIRECT(CONCATENATE(REGEXEXTRACT(D3,""(.*)-.*""),""!C3:I"")),3,FALSE))"),"#N/A")</f>
        <v>#N/A</v>
      </c>
      <c r="E5" s="313"/>
      <c r="F5" s="375"/>
      <c r="G5" s="375">
        <v>1477.5</v>
      </c>
      <c r="H5" s="313">
        <f>IFERROR(__xludf.DUMMYFUNCTION("IF(ISBLANK(H3),"""",HLOOKUP(REGEXEXTRACT(H3,"".*-(.*)""),INDIRECT(CONCATENATE(REGEXEXTRACT(H3,""(.*)-.*""),""!C3:I"")),3,FALSE))"),1540.0)</f>
        <v>1540</v>
      </c>
      <c r="I5" s="313">
        <f>IFERROR(__xludf.DUMMYFUNCTION("IF(ISBLANK(I3),"""",HLOOKUP(REGEXEXTRACT(I3,"".*-(.*)""),INDIRECT(CONCATENATE(REGEXEXTRACT(I3,""(.*)-.*""),""!C3:I"")),3,FALSE))"),1490.0)</f>
        <v>1490</v>
      </c>
      <c r="J5" s="314" t="str">
        <f>IFERROR(__xludf.DUMMYFUNCTION("IF(ISBLANK(J3),"""",HLOOKUP(REGEXEXTRACT(J3,"".*-(.*)""),INDIRECT(CONCATENATE(REGEXEXTRACT(J3,""(.*)-.*""),""!C3:I"")),3,FALSE))"),"#N/A")</f>
        <v>#N/A</v>
      </c>
      <c r="P5" s="376" t="s">
        <v>467</v>
      </c>
      <c r="Q5" s="377">
        <f t="shared" si="1"/>
        <v>5</v>
      </c>
      <c r="R5" s="376">
        <v>1.0</v>
      </c>
      <c r="S5" s="376">
        <v>1.0</v>
      </c>
      <c r="T5" s="376">
        <v>1.0</v>
      </c>
      <c r="U5" s="376">
        <v>1.0</v>
      </c>
      <c r="V5" s="376">
        <v>0.0</v>
      </c>
      <c r="W5" s="376">
        <v>1.0</v>
      </c>
    </row>
    <row r="6">
      <c r="B6" s="324" t="s">
        <v>370</v>
      </c>
      <c r="C6" s="309" t="s">
        <v>387</v>
      </c>
      <c r="D6" s="310" t="s">
        <v>49</v>
      </c>
      <c r="E6" s="310"/>
      <c r="F6" s="310"/>
      <c r="G6" s="310" t="s">
        <v>23</v>
      </c>
      <c r="H6" s="310" t="s">
        <v>14</v>
      </c>
      <c r="I6" s="310" t="s">
        <v>615</v>
      </c>
      <c r="J6" s="311" t="s">
        <v>36</v>
      </c>
      <c r="N6" s="378" t="s">
        <v>616</v>
      </c>
      <c r="P6" s="372" t="s">
        <v>423</v>
      </c>
      <c r="Q6" s="373">
        <f t="shared" si="1"/>
        <v>5</v>
      </c>
      <c r="R6" s="372">
        <v>0.0</v>
      </c>
      <c r="S6" s="372">
        <v>1.0</v>
      </c>
      <c r="T6" s="372">
        <v>2.0</v>
      </c>
      <c r="U6" s="372">
        <v>1.0</v>
      </c>
      <c r="V6" s="372">
        <v>1.0</v>
      </c>
      <c r="W6" s="372">
        <v>0.0</v>
      </c>
    </row>
    <row r="7">
      <c r="B7" s="199" t="s">
        <v>617</v>
      </c>
      <c r="C7" s="361" t="str">
        <f>IFERROR(__xludf.DUMMYFUNCTION("IF(ISBLANK(C6),"""",HLOOKUP(REGEXEXTRACT(C6,"".*-(.*)""),INDIRECT(CONCATENATE(REGEXEXTRACT(C6,""(.*)-.*""),""!C3:I"")),2,FALSE))"),"Reaper")</f>
        <v>Reaper</v>
      </c>
      <c r="D7" s="59" t="str">
        <f>IFERROR(__xludf.DUMMYFUNCTION("IF(ISBLANK(D6),"""",HLOOKUP(REGEXEXTRACT(D6,"".*-(.*)""),INDIRECT(CONCATENATE(REGEXEXTRACT(D6,""(.*)-.*""),""!C3:I"")),2,FALSE))"),"Bard")</f>
        <v>Bard</v>
      </c>
      <c r="E7" s="59"/>
      <c r="F7" s="59"/>
      <c r="G7" s="59" t="str">
        <f>IFERROR(__xludf.DUMMYFUNCTION("IF(ISBLANK(G6),"""",HLOOKUP(REGEXEXTRACT(G6,"".*-(.*)""),INDIRECT(CONCATENATE(REGEXEXTRACT(G6,""(.*)-.*""),""!C3:I"")),2,FALSE))"),"#REF!")</f>
        <v>#REF!</v>
      </c>
      <c r="H7" s="59" t="str">
        <f>IFERROR(__xludf.DUMMYFUNCTION("IF(ISBLANK(H6),"""",HLOOKUP(REGEXEXTRACT(H6,"".*-(.*)""),INDIRECT(CONCATENATE(REGEXEXTRACT(H6,""(.*)-.*""),""!C3:I"")),2,FALSE))"),"Sorceress")</f>
        <v>Sorceress</v>
      </c>
      <c r="I7" s="59" t="str">
        <f>IFERROR(__xludf.DUMMYFUNCTION("IF(ISBLANK(I6),"""",HLOOKUP(REGEXEXTRACT(I6,"".*-(.*)""),INDIRECT(CONCATENATE(REGEXEXTRACT(I6,""(.*)-.*""),""!C3:I"")),2,FALSE))"),"Sole(fish)")</f>
        <v>Sole(fish)</v>
      </c>
      <c r="J7" s="379" t="str">
        <f>IFERROR(__xludf.DUMMYFUNCTION("IF(ISBLANK(J6),"""",HLOOKUP(REGEXEXTRACT(J6,"".*-(.*)""),INDIRECT(CONCATENATE(REGEXEXTRACT(J6,""(.*)-.*""),""!C3:I"")),2,FALSE))"),"#N/A")</f>
        <v>#N/A</v>
      </c>
      <c r="P7" s="376" t="s">
        <v>121</v>
      </c>
      <c r="Q7" s="377">
        <f t="shared" si="1"/>
        <v>3</v>
      </c>
      <c r="R7" s="376">
        <v>0.0</v>
      </c>
      <c r="S7" s="376">
        <v>0.0</v>
      </c>
      <c r="T7" s="376">
        <v>1.0</v>
      </c>
      <c r="U7" s="376">
        <v>0.0</v>
      </c>
      <c r="V7" s="376">
        <v>1.0</v>
      </c>
      <c r="W7" s="376">
        <v>1.0</v>
      </c>
    </row>
    <row r="8">
      <c r="B8" s="341"/>
      <c r="C8" s="374">
        <f>IFERROR(__xludf.DUMMYFUNCTION("IF(ISBLANK(C6),"""",HLOOKUP(REGEXEXTRACT(C6,"".*-(.*)""),INDIRECT(CONCATENATE(REGEXEXTRACT(C6,""(.*)-.*""),""!C3:I"")),3,FALSE))"),1520.0)</f>
        <v>1520</v>
      </c>
      <c r="D8" s="313">
        <f>IFERROR(__xludf.DUMMYFUNCTION("IF(ISBLANK(D6),"""",HLOOKUP(REGEXEXTRACT(D6,"".*-(.*)""),INDIRECT(CONCATENATE(REGEXEXTRACT(D6,""(.*)-.*""),""!C3:I"")),3,FALSE))"),1730.0)</f>
        <v>1730</v>
      </c>
      <c r="E8" s="313" t="str">
        <f>IFERROR(__xludf.DUMMYFUNCTION("IF(ISBLANK(E6),"""",HLOOKUP(REGEXEXTRACT(E6,"".*-(.*)""),INDIRECT(CONCATENATE(REGEXEXTRACT(E6,""(.*)-.*""),""!C3:I"")),3,FALSE))"),"")</f>
        <v/>
      </c>
      <c r="F8" s="375"/>
      <c r="G8" s="313" t="str">
        <f>IFERROR(__xludf.DUMMYFUNCTION("IF(ISBLANK(G6),"""",HLOOKUP(REGEXEXTRACT(G6,"".*-(.*)""),INDIRECT(CONCATENATE(REGEXEXTRACT(G6,""(.*)-.*""),""!C3:I"")),3,FALSE))"),"#REF!")</f>
        <v>#REF!</v>
      </c>
      <c r="H8" s="313">
        <f>IFERROR(__xludf.DUMMYFUNCTION("IF(ISBLANK(H6),"""",HLOOKUP(REGEXEXTRACT(H6,"".*-(.*)""),INDIRECT(CONCATENATE(REGEXEXTRACT(H6,""(.*)-.*""),""!C3:I"")),3,FALSE))"),1750.0)</f>
        <v>1750</v>
      </c>
      <c r="I8" s="375">
        <v>1475.0</v>
      </c>
      <c r="J8" s="13" t="str">
        <f>IFERROR(__xludf.DUMMYFUNCTION("IF(ISBLANK(J6),"""",HLOOKUP(REGEXEXTRACT(J6,"".*-(.*)""),INDIRECT(CONCATENATE(REGEXEXTRACT(J6,""(.*)-.*""),""!C3:I"")),3,FALSE))"),"#N/A")</f>
        <v>#N/A</v>
      </c>
      <c r="P8" s="372" t="s">
        <v>427</v>
      </c>
      <c r="Q8" s="373">
        <f t="shared" si="1"/>
        <v>3</v>
      </c>
      <c r="R8" s="372">
        <v>1.0</v>
      </c>
      <c r="S8" s="372">
        <v>1.0</v>
      </c>
      <c r="T8" s="372">
        <v>0.0</v>
      </c>
      <c r="U8" s="372">
        <v>0.0</v>
      </c>
      <c r="V8" s="372">
        <v>1.0</v>
      </c>
      <c r="W8" s="372">
        <v>0.0</v>
      </c>
    </row>
    <row r="9">
      <c r="B9" s="324" t="s">
        <v>370</v>
      </c>
      <c r="C9" s="340" t="s">
        <v>39</v>
      </c>
      <c r="D9" s="340" t="s">
        <v>78</v>
      </c>
      <c r="E9" s="340"/>
      <c r="F9" s="340"/>
      <c r="G9" s="340" t="s">
        <v>38</v>
      </c>
      <c r="H9" s="340" t="s">
        <v>618</v>
      </c>
      <c r="I9" s="340" t="s">
        <v>619</v>
      </c>
      <c r="J9" s="380" t="s">
        <v>620</v>
      </c>
      <c r="N9" s="7" t="s">
        <v>621</v>
      </c>
      <c r="P9" s="376" t="s">
        <v>431</v>
      </c>
      <c r="Q9" s="377">
        <f t="shared" si="1"/>
        <v>2</v>
      </c>
      <c r="R9" s="376">
        <v>1.0</v>
      </c>
      <c r="S9" s="376">
        <v>0.0</v>
      </c>
      <c r="T9" s="376">
        <v>0.0</v>
      </c>
      <c r="U9" s="376">
        <v>0.0</v>
      </c>
      <c r="V9" s="376">
        <v>1.0</v>
      </c>
      <c r="W9" s="376">
        <v>0.0</v>
      </c>
    </row>
    <row r="10">
      <c r="B10" s="199" t="s">
        <v>622</v>
      </c>
      <c r="C10" s="182" t="str">
        <f>IFERROR(__xludf.DUMMYFUNCTION("IF(ISBLANK(C9),"""",HLOOKUP(REGEXEXTRACT(C9,"".*-(.*)""),INDIRECT(CONCATENATE(REGEXEXTRACT(C9,""(.*)-.*""),""!C3:I"")),2,FALSE))"),"Bard")</f>
        <v>Bard</v>
      </c>
      <c r="D10" s="182" t="str">
        <f>IFERROR(__xludf.DUMMYFUNCTION("IF(ISBLANK(D9),"""",HLOOKUP(REGEXEXTRACT(D9,"".*-(.*)""),INDIRECT(CONCATENATE(REGEXEXTRACT(D9,""(.*)-.*""),""!C3:I"")),2,FALSE))"),"#N/A")</f>
        <v>#N/A</v>
      </c>
      <c r="E10" s="182" t="str">
        <f>IFERROR(__xludf.DUMMYFUNCTION("IF(ISBLANK(E9),"""",HLOOKUP(REGEXEXTRACT(E9,"".*-(.*)""),INDIRECT(CONCATENATE(REGEXEXTRACT(E9,""(.*)-.*""),""!C3:I"")),2,FALSE))"),"")</f>
        <v/>
      </c>
      <c r="G10" s="182" t="str">
        <f>IFERROR(__xludf.DUMMYFUNCTION("IF(ISBLANK(G9),"""",HLOOKUP(REGEXEXTRACT(G9,"".*-(.*)""),INDIRECT(CONCATENATE(REGEXEXTRACT(G9,""(.*)-.*""),""!C3:I"")),2,FALSE))"),"#REF!")</f>
        <v>#REF!</v>
      </c>
      <c r="H10" s="182" t="str">
        <f>IFERROR(__xludf.DUMMYFUNCTION("IF(ISBLANK(H9),"""",HLOOKUP(REGEXEXTRACT(H9,"".*-(.*)""),INDIRECT(CONCATENATE(REGEXEXTRACT(H9,""(.*)-.*""),""!C3:I"")),2,FALSE))"),"#N/A")</f>
        <v>#N/A</v>
      </c>
      <c r="I10" s="7" t="s">
        <v>449</v>
      </c>
      <c r="J10" s="379" t="str">
        <f>IFERROR(__xludf.DUMMYFUNCTION("IF(ISBLANK(J9),"""",HLOOKUP(REGEXEXTRACT(J9,"".*-(.*)""),INDIRECT(CONCATENATE(REGEXEXTRACT(J9,""(.*)-.*""),""!C3:I"")),2,FALSE))"),"#N/A")</f>
        <v>#N/A</v>
      </c>
      <c r="N10" s="7" t="s">
        <v>623</v>
      </c>
      <c r="P10" s="372" t="s">
        <v>480</v>
      </c>
      <c r="Q10" s="373">
        <f t="shared" si="1"/>
        <v>2</v>
      </c>
      <c r="R10" s="372">
        <v>0.0</v>
      </c>
      <c r="S10" s="372">
        <v>1.0</v>
      </c>
      <c r="T10" s="372">
        <v>1.0</v>
      </c>
      <c r="U10" s="372">
        <v>0.0</v>
      </c>
      <c r="V10" s="372">
        <v>0.0</v>
      </c>
      <c r="W10" s="372">
        <v>0.0</v>
      </c>
    </row>
    <row r="11">
      <c r="B11" s="341"/>
      <c r="C11" s="12">
        <f>IFERROR(__xludf.DUMMYFUNCTION("IF(ISBLANK(C9),"""",HLOOKUP(REGEXEXTRACT(C9,"".*-(.*)""),INDIRECT(CONCATENATE(REGEXEXTRACT(C9,""(.*)-.*""),""!C3:I"")),3,FALSE))"),1540.0)</f>
        <v>1540</v>
      </c>
      <c r="D11" s="12" t="str">
        <f>IFERROR(__xludf.DUMMYFUNCTION("IF(ISBLANK(D9),"""",HLOOKUP(REGEXEXTRACT(D9,"".*-(.*)""),INDIRECT(CONCATENATE(REGEXEXTRACT(D9,""(.*)-.*""),""!C3:I"")),3,FALSE))"),"#N/A")</f>
        <v>#N/A</v>
      </c>
      <c r="E11" s="12" t="str">
        <f>IFERROR(__xludf.DUMMYFUNCTION("IF(ISBLANK(E9),"""",HLOOKUP(REGEXEXTRACT(E9,"".*-(.*)""),INDIRECT(CONCATENATE(REGEXEXTRACT(E9,""(.*)-.*""),""!C3:I"")),3,FALSE))"),"")</f>
        <v/>
      </c>
      <c r="F11" s="381"/>
      <c r="G11" s="12" t="str">
        <f>IFERROR(__xludf.DUMMYFUNCTION("IF(ISBLANK(G9),"""",HLOOKUP(REGEXEXTRACT(G9,"".*-(.*)""),INDIRECT(CONCATENATE(REGEXEXTRACT(G9,""(.*)-.*""),""!C3:I"")),3,FALSE))"),"#REF!")</f>
        <v>#REF!</v>
      </c>
      <c r="H11" s="12" t="str">
        <f>IFERROR(__xludf.DUMMYFUNCTION("IF(ISBLANK(H9),"""",HLOOKUP(REGEXEXTRACT(H9,"".*-(.*)""),INDIRECT(CONCATENATE(REGEXEXTRACT(H9,""(.*)-.*""),""!C3:I"")),3,FALSE))"),"#N/A")</f>
        <v>#N/A</v>
      </c>
      <c r="I11" s="382">
        <v>1460.0</v>
      </c>
      <c r="J11" s="13" t="str">
        <f>IFERROR(__xludf.DUMMYFUNCTION("IF(ISBLANK(J9),"""",HLOOKUP(REGEXEXTRACT(J9,"".*-(.*)""),INDIRECT(CONCATENATE(REGEXEXTRACT(J9,""(.*)-.*""),""!C3:I"")),3,FALSE))"),"#N/A")</f>
        <v>#N/A</v>
      </c>
      <c r="N11" s="7" t="s">
        <v>624</v>
      </c>
      <c r="P11" s="376" t="s">
        <v>625</v>
      </c>
      <c r="Q11" s="377">
        <f t="shared" si="1"/>
        <v>2</v>
      </c>
      <c r="R11" s="376">
        <v>0.0</v>
      </c>
      <c r="S11" s="376">
        <v>0.0</v>
      </c>
      <c r="T11" s="376">
        <v>0.0</v>
      </c>
      <c r="U11" s="376">
        <v>1.0</v>
      </c>
      <c r="V11" s="376">
        <v>1.0</v>
      </c>
      <c r="W11" s="376">
        <v>0.0</v>
      </c>
    </row>
    <row r="12">
      <c r="P12" s="372" t="s">
        <v>429</v>
      </c>
      <c r="Q12" s="373">
        <f t="shared" si="1"/>
        <v>2</v>
      </c>
      <c r="R12" s="372">
        <v>1.0</v>
      </c>
      <c r="S12" s="372">
        <v>0.0</v>
      </c>
      <c r="T12" s="372">
        <v>1.0</v>
      </c>
      <c r="U12" s="372">
        <v>0.0</v>
      </c>
      <c r="V12" s="372">
        <v>0.0</v>
      </c>
      <c r="W12" s="372">
        <v>0.0</v>
      </c>
    </row>
    <row r="13">
      <c r="B13" s="324" t="s">
        <v>382</v>
      </c>
      <c r="C13" s="309" t="s">
        <v>7</v>
      </c>
      <c r="D13" s="310" t="s">
        <v>380</v>
      </c>
      <c r="E13" s="310"/>
      <c r="F13" s="310"/>
      <c r="G13" s="310" t="s">
        <v>338</v>
      </c>
      <c r="H13" s="310" t="s">
        <v>18</v>
      </c>
      <c r="I13" s="310" t="s">
        <v>626</v>
      </c>
      <c r="J13" s="311" t="s">
        <v>612</v>
      </c>
      <c r="P13" s="376" t="s">
        <v>424</v>
      </c>
      <c r="Q13" s="377">
        <f t="shared" si="1"/>
        <v>2</v>
      </c>
      <c r="R13" s="376">
        <v>0.0</v>
      </c>
      <c r="S13" s="376">
        <v>0.0</v>
      </c>
      <c r="T13" s="376">
        <v>0.0</v>
      </c>
      <c r="U13" s="376">
        <v>0.0</v>
      </c>
      <c r="V13" s="376">
        <v>1.0</v>
      </c>
      <c r="W13" s="376">
        <v>1.0</v>
      </c>
    </row>
    <row r="14">
      <c r="B14" s="199" t="s">
        <v>622</v>
      </c>
      <c r="C14" s="361" t="str">
        <f>IFERROR(__xludf.DUMMYFUNCTION("IF(ISBLANK(C13),"""",HLOOKUP(REGEXEXTRACT(C13,"".*-(.*)""),INDIRECT(CONCATENATE(REGEXEXTRACT(C13,""(.*)-.*""),""!C3:I"")),2,FALSE))"),"Wardancer")</f>
        <v>Wardancer</v>
      </c>
      <c r="D14" s="59" t="str">
        <f>IFERROR(__xludf.DUMMYFUNCTION("IF(ISBLANK(D13),"""",HLOOKUP(REGEXEXTRACT(D13,"".*-(.*)""),INDIRECT(CONCATENATE(REGEXEXTRACT(D13,""(.*)-.*""),""!C3:I"")),2,FALSE))"),"#N/A")</f>
        <v>#N/A</v>
      </c>
      <c r="E14" s="59" t="str">
        <f>IFERROR(__xludf.DUMMYFUNCTION("IF(ISBLANK(E13),"""",HLOOKUP(REGEXEXTRACT(E13,"".*-(.*)""),INDIRECT(CONCATENATE(REGEXEXTRACT(E13,""(.*)-.*""),""!C3:I"")),2,FALSE))"),"")</f>
        <v/>
      </c>
      <c r="F14" s="60"/>
      <c r="G14" s="59" t="str">
        <f>IFERROR(__xludf.DUMMYFUNCTION("IF(ISBLANK(G13),"""",HLOOKUP(REGEXEXTRACT(G13,"".*-(.*)""),INDIRECT(CONCATENATE(REGEXEXTRACT(G13,""(.*)-.*""),""!C3:I"")),2,FALSE))"),"#REF!")</f>
        <v>#REF!</v>
      </c>
      <c r="H14" s="59" t="str">
        <f>IFERROR(__xludf.DUMMYFUNCTION("IF(ISBLANK(H13),"""",HLOOKUP(REGEXEXTRACT(H13,"".*-(.*)""),INDIRECT(CONCATENATE(REGEXEXTRACT(H13,""(.*)-.*""),""!C3:I"")),2,FALSE))"),"Striker")</f>
        <v>Striker</v>
      </c>
      <c r="I14" s="59" t="str">
        <f>IFERROR(__xludf.DUMMYFUNCTION("IF(ISBLANK(I13),"""",HLOOKUP(REGEXEXTRACT(I13,"".*-(.*)""),INDIRECT(CONCATENATE(REGEXEXTRACT(I13,""(.*)-.*""),""!C3:I"")),2,FALSE))"),"Wardancer")</f>
        <v>Wardancer</v>
      </c>
      <c r="J14" s="312" t="str">
        <f>IFERROR(__xludf.DUMMYFUNCTION("IF(ISBLANK(J13),"""",HLOOKUP(REGEXEXTRACT(J13,"".*-(.*)""),INDIRECT(CONCATENATE(REGEXEXTRACT(J13,""(.*)-.*""),""!C3:I"")),2,FALSE))"),"#N/A")</f>
        <v>#N/A</v>
      </c>
      <c r="M14" s="7" t="s">
        <v>627</v>
      </c>
      <c r="P14" s="372" t="s">
        <v>426</v>
      </c>
      <c r="Q14" s="373">
        <f t="shared" si="1"/>
        <v>2</v>
      </c>
      <c r="R14" s="372">
        <v>1.0</v>
      </c>
      <c r="S14" s="372">
        <v>0.0</v>
      </c>
      <c r="T14" s="372">
        <v>0.0</v>
      </c>
      <c r="U14" s="372">
        <v>0.0</v>
      </c>
      <c r="V14" s="372">
        <v>1.0</v>
      </c>
      <c r="W14" s="372">
        <v>0.0</v>
      </c>
    </row>
    <row r="15">
      <c r="B15" s="341"/>
      <c r="C15" s="374">
        <f>IFERROR(__xludf.DUMMYFUNCTION("IF(ISBLANK(C13),"""",HLOOKUP(REGEXEXTRACT(C13,"".*-(.*)""),INDIRECT(CONCATENATE(REGEXEXTRACT(C13,""(.*)-.*""),""!C3:I"")),3,FALSE))"),1620.0)</f>
        <v>1620</v>
      </c>
      <c r="D15" s="313" t="str">
        <f>IFERROR(__xludf.DUMMYFUNCTION("IF(ISBLANK(D13),"""",HLOOKUP(REGEXEXTRACT(D13,"".*-(.*)""),INDIRECT(CONCATENATE(REGEXEXTRACT(D13,""(.*)-.*""),""!C3:I"")),3,FALSE))"),"#N/A")</f>
        <v>#N/A</v>
      </c>
      <c r="E15" s="313" t="str">
        <f>IFERROR(__xludf.DUMMYFUNCTION("IF(ISBLANK(E13),"""",HLOOKUP(REGEXEXTRACT(E13,"".*-(.*)""),INDIRECT(CONCATENATE(REGEXEXTRACT(E13,""(.*)-.*""),""!C3:I"")),3,FALSE))"),"")</f>
        <v/>
      </c>
      <c r="F15" s="383"/>
      <c r="G15" s="313" t="str">
        <f>IFERROR(__xludf.DUMMYFUNCTION("IF(ISBLANK(G13),"""",HLOOKUP(REGEXEXTRACT(G13,"".*-(.*)""),INDIRECT(CONCATENATE(REGEXEXTRACT(G13,""(.*)-.*""),""!C3:I"")),3,FALSE))"),"#REF!")</f>
        <v>#REF!</v>
      </c>
      <c r="H15" s="313">
        <f>IFERROR(__xludf.DUMMYFUNCTION("IF(ISBLANK(H13),"""",HLOOKUP(REGEXEXTRACT(H13,"".*-(.*)""),INDIRECT(CONCATENATE(REGEXEXTRACT(H13,""(.*)-.*""),""!C3:I"")),3,FALSE))"),1540.0)</f>
        <v>1540</v>
      </c>
      <c r="I15" s="313">
        <f>IFERROR(__xludf.DUMMYFUNCTION("IF(ISBLANK(I13),"""",HLOOKUP(REGEXEXTRACT(I13,"".*-(.*)""),INDIRECT(CONCATENATE(REGEXEXTRACT(I13,""(.*)-.*""),""!C3:I"")),3,FALSE))"),1460.0)</f>
        <v>1460</v>
      </c>
      <c r="J15" s="314" t="str">
        <f>IFERROR(__xludf.DUMMYFUNCTION("IF(ISBLANK(J13),"""",HLOOKUP(REGEXEXTRACT(J13,"".*-(.*)""),INDIRECT(CONCATENATE(REGEXEXTRACT(J13,""(.*)-.*""),""!C3:I"")),3,FALSE))"),"#N/A")</f>
        <v>#N/A</v>
      </c>
      <c r="M15" s="7" t="s">
        <v>628</v>
      </c>
      <c r="P15" s="376" t="s">
        <v>390</v>
      </c>
      <c r="Q15" s="377">
        <f t="shared" si="1"/>
        <v>3</v>
      </c>
      <c r="R15" s="376">
        <v>1.0</v>
      </c>
      <c r="S15" s="376">
        <v>0.0</v>
      </c>
      <c r="T15" s="376">
        <v>0.0</v>
      </c>
      <c r="U15" s="376">
        <v>1.0</v>
      </c>
      <c r="V15" s="376">
        <v>0.0</v>
      </c>
      <c r="W15" s="376">
        <v>1.0</v>
      </c>
    </row>
    <row r="16">
      <c r="B16" s="199" t="s">
        <v>382</v>
      </c>
      <c r="C16" s="309" t="s">
        <v>381</v>
      </c>
      <c r="D16" s="310" t="s">
        <v>49</v>
      </c>
      <c r="E16" s="310"/>
      <c r="F16" s="310"/>
      <c r="G16" s="310" t="s">
        <v>23</v>
      </c>
      <c r="H16" s="310" t="s">
        <v>14</v>
      </c>
      <c r="I16" s="310" t="s">
        <v>615</v>
      </c>
      <c r="J16" s="311" t="s">
        <v>36</v>
      </c>
      <c r="M16" s="7" t="s">
        <v>629</v>
      </c>
      <c r="N16" s="7" t="s">
        <v>630</v>
      </c>
      <c r="P16" s="372" t="s">
        <v>631</v>
      </c>
      <c r="Q16" s="373">
        <f t="shared" si="1"/>
        <v>2</v>
      </c>
      <c r="R16" s="372">
        <v>0.0</v>
      </c>
      <c r="S16" s="372">
        <v>0.0</v>
      </c>
      <c r="T16" s="372">
        <v>1.0</v>
      </c>
      <c r="U16" s="372">
        <v>0.0</v>
      </c>
      <c r="V16" s="372">
        <v>0.0</v>
      </c>
      <c r="W16" s="372">
        <v>1.0</v>
      </c>
    </row>
    <row r="17">
      <c r="B17" s="199" t="s">
        <v>622</v>
      </c>
      <c r="C17" s="361" t="str">
        <f>IFERROR(__xludf.DUMMYFUNCTION("IF(ISBLANK(C16),"""",HLOOKUP(REGEXEXTRACT(C16,"".*-(.*)""),INDIRECT(CONCATENATE(REGEXEXTRACT(C16,""(.*)-.*""),""!C3:I"")),2,FALSE))"),"#N/A")</f>
        <v>#N/A</v>
      </c>
      <c r="D17" s="59" t="str">
        <f>IFERROR(__xludf.DUMMYFUNCTION("IF(ISBLANK(D16),"""",HLOOKUP(REGEXEXTRACT(D16,"".*-(.*)""),INDIRECT(CONCATENATE(REGEXEXTRACT(D16,""(.*)-.*""),""!C3:I"")),2,FALSE))"),"Bard")</f>
        <v>Bard</v>
      </c>
      <c r="E17" s="59" t="str">
        <f>IFERROR(__xludf.DUMMYFUNCTION("IF(ISBLANK(E16),"""",HLOOKUP(REGEXEXTRACT(E16,"".*-(.*)""),INDIRECT(CONCATENATE(REGEXEXTRACT(E16,""(.*)-.*""),""!C3:I"")),2,FALSE))"),"")</f>
        <v/>
      </c>
      <c r="F17" s="59"/>
      <c r="G17" s="59" t="str">
        <f>IFERROR(__xludf.DUMMYFUNCTION("IF(ISBLANK(G16),"""",HLOOKUP(REGEXEXTRACT(G16,"".*-(.*)""),INDIRECT(CONCATENATE(REGEXEXTRACT(G16,""(.*)-.*""),""!C3:I"")),2,FALSE))"),"#REF!")</f>
        <v>#REF!</v>
      </c>
      <c r="H17" s="59" t="str">
        <f>IFERROR(__xludf.DUMMYFUNCTION("IF(ISBLANK(H16),"""",HLOOKUP(REGEXEXTRACT(H16,"".*-(.*)""),INDIRECT(CONCATENATE(REGEXEXTRACT(H16,""(.*)-.*""),""!C3:I"")),2,FALSE))"),"Sorceress")</f>
        <v>Sorceress</v>
      </c>
      <c r="I17" s="59" t="str">
        <f>IFERROR(__xludf.DUMMYFUNCTION("IF(ISBLANK(I16),"""",HLOOKUP(REGEXEXTRACT(I16,"".*-(.*)""),INDIRECT(CONCATENATE(REGEXEXTRACT(I16,""(.*)-.*""),""!C3:I"")),2,FALSE))"),"Sole(fish)")</f>
        <v>Sole(fish)</v>
      </c>
      <c r="J17" s="312" t="str">
        <f>IFERROR(__xludf.DUMMYFUNCTION("IF(ISBLANK(J16),"""",HLOOKUP(REGEXEXTRACT(J16,"".*-(.*)""),INDIRECT(CONCATENATE(REGEXEXTRACT(J16,""(.*)-.*""),""!C3:I"")),2,FALSE))"),"#N/A")</f>
        <v>#N/A</v>
      </c>
      <c r="M17" s="7" t="s">
        <v>632</v>
      </c>
      <c r="P17" s="376" t="s">
        <v>138</v>
      </c>
      <c r="Q17" s="377">
        <f t="shared" si="1"/>
        <v>1</v>
      </c>
      <c r="R17" s="376">
        <v>0.0</v>
      </c>
      <c r="S17" s="376">
        <v>0.0</v>
      </c>
      <c r="T17" s="376">
        <v>0.0</v>
      </c>
      <c r="U17" s="376">
        <v>0.0</v>
      </c>
      <c r="V17" s="376">
        <v>0.0</v>
      </c>
      <c r="W17" s="376">
        <v>1.0</v>
      </c>
    </row>
    <row r="18">
      <c r="B18" s="341"/>
      <c r="C18" s="374" t="str">
        <f>IFERROR(__xludf.DUMMYFUNCTION("IF(ISBLANK(C16),"""",HLOOKUP(REGEXEXTRACT(C16,"".*-(.*)""),INDIRECT(CONCATENATE(REGEXEXTRACT(C16,""(.*)-.*""),""!C3:I"")),3,FALSE))"),"#N/A")</f>
        <v>#N/A</v>
      </c>
      <c r="D18" s="313">
        <f>IFERROR(__xludf.DUMMYFUNCTION("IF(ISBLANK(D16),"""",HLOOKUP(REGEXEXTRACT(D16,"".*-(.*)""),INDIRECT(CONCATENATE(REGEXEXTRACT(D16,""(.*)-.*""),""!C3:I"")),3,FALSE))"),1730.0)</f>
        <v>1730</v>
      </c>
      <c r="E18" s="313" t="str">
        <f>IFERROR(__xludf.DUMMYFUNCTION("IF(ISBLANK(E16),"""",HLOOKUP(REGEXEXTRACT(E16,"".*-(.*)""),INDIRECT(CONCATENATE(REGEXEXTRACT(E16,""(.*)-.*""),""!C3:I"")),3,FALSE))"),"")</f>
        <v/>
      </c>
      <c r="F18" s="375"/>
      <c r="G18" s="375">
        <v>1460.0</v>
      </c>
      <c r="H18" s="313">
        <f>IFERROR(__xludf.DUMMYFUNCTION("IF(ISBLANK(H16),"""",HLOOKUP(REGEXEXTRACT(H16,"".*-(.*)""),INDIRECT(CONCATENATE(REGEXEXTRACT(H16,""(.*)-.*""),""!C3:I"")),3,FALSE))"),1750.0)</f>
        <v>1750</v>
      </c>
      <c r="I18" s="313">
        <f>IFERROR(__xludf.DUMMYFUNCTION("IF(ISBLANK(I16),"""",HLOOKUP(REGEXEXTRACT(I16,"".*-(.*)""),INDIRECT(CONCATENATE(REGEXEXTRACT(I16,""(.*)-.*""),""!C3:I"")),3,FALSE))"),1487.5)</f>
        <v>1487.5</v>
      </c>
      <c r="J18" s="314" t="str">
        <f>IFERROR(__xludf.DUMMYFUNCTION("IF(ISBLANK(J16),"""",HLOOKUP(REGEXEXTRACT(J16,"".*-(.*)""),INDIRECT(CONCATENATE(REGEXEXTRACT(J16,""(.*)-.*""),""!C3:I"")),3,FALSE))"),"#N/A")</f>
        <v>#N/A</v>
      </c>
      <c r="M18" s="7" t="s">
        <v>633</v>
      </c>
      <c r="P18" s="372" t="s">
        <v>469</v>
      </c>
      <c r="Q18" s="373">
        <f t="shared" si="1"/>
        <v>1</v>
      </c>
      <c r="R18" s="372">
        <v>0.0</v>
      </c>
      <c r="S18" s="372">
        <v>1.0</v>
      </c>
      <c r="T18" s="372">
        <v>0.0</v>
      </c>
      <c r="U18" s="372">
        <v>0.0</v>
      </c>
      <c r="V18" s="372">
        <v>0.0</v>
      </c>
      <c r="W18" s="372">
        <v>0.0</v>
      </c>
    </row>
    <row r="19">
      <c r="B19" s="199" t="s">
        <v>382</v>
      </c>
      <c r="C19" s="340" t="s">
        <v>39</v>
      </c>
      <c r="D19" s="340" t="s">
        <v>43</v>
      </c>
      <c r="E19" s="340"/>
      <c r="F19" s="340"/>
      <c r="G19" s="340" t="s">
        <v>38</v>
      </c>
      <c r="H19" s="340" t="s">
        <v>618</v>
      </c>
      <c r="I19" s="340" t="s">
        <v>619</v>
      </c>
      <c r="J19" s="380" t="s">
        <v>620</v>
      </c>
      <c r="M19" s="7" t="s">
        <v>634</v>
      </c>
      <c r="P19" s="376" t="s">
        <v>580</v>
      </c>
      <c r="Q19" s="377">
        <f t="shared" si="1"/>
        <v>1</v>
      </c>
      <c r="R19" s="376">
        <v>0.0</v>
      </c>
      <c r="S19" s="376">
        <v>0.0</v>
      </c>
      <c r="T19" s="376">
        <v>0.0</v>
      </c>
      <c r="U19" s="376">
        <v>1.0</v>
      </c>
      <c r="V19" s="376">
        <v>0.0</v>
      </c>
      <c r="W19" s="376">
        <v>0.0</v>
      </c>
    </row>
    <row r="20">
      <c r="B20" s="199" t="s">
        <v>622</v>
      </c>
      <c r="C20" s="182" t="str">
        <f>IFERROR(__xludf.DUMMYFUNCTION("IF(ISBLANK(C19),"""",HLOOKUP(REGEXEXTRACT(C19,"".*-(.*)""),INDIRECT(CONCATENATE(REGEXEXTRACT(C19,""(.*)-.*""),""!C3:I"")),2,FALSE))"),"Bard")</f>
        <v>Bard</v>
      </c>
      <c r="D20" s="182" t="str">
        <f>IFERROR(__xludf.DUMMYFUNCTION("IF(ISBLANK(D19),"""",HLOOKUP(REGEXEXTRACT(D19,"".*-(.*)""),INDIRECT(CONCATENATE(REGEXEXTRACT(D19,""(.*)-.*""),""!C3:I"")),2,FALSE))"),"Soulfist")</f>
        <v>Soulfist</v>
      </c>
      <c r="E20" s="182" t="str">
        <f>IFERROR(__xludf.DUMMYFUNCTION("IF(ISBLANK(E19),"""",HLOOKUP(REGEXEXTRACT(E19,"".*-(.*)""),INDIRECT(CONCATENATE(REGEXEXTRACT(E19,""(.*)-.*""),""!C3:I"")),2,FALSE))"),"")</f>
        <v/>
      </c>
      <c r="G20" s="182" t="str">
        <f>IFERROR(__xludf.DUMMYFUNCTION("IF(ISBLANK(G19),"""",HLOOKUP(REGEXEXTRACT(G19,"".*-(.*)""),INDIRECT(CONCATENATE(REGEXEXTRACT(G19,""(.*)-.*""),""!C3:I"")),2,FALSE))"),"#REF!")</f>
        <v>#REF!</v>
      </c>
      <c r="H20" s="182" t="str">
        <f>IFERROR(__xludf.DUMMYFUNCTION("IF(ISBLANK(H19),"""",HLOOKUP(REGEXEXTRACT(H19,"".*-(.*)""),INDIRECT(CONCATENATE(REGEXEXTRACT(H19,""(.*)-.*""),""!C3:I"")),2,FALSE))"),"#N/A")</f>
        <v>#N/A</v>
      </c>
      <c r="I20" s="7" t="s">
        <v>449</v>
      </c>
      <c r="J20" s="379" t="str">
        <f>IFERROR(__xludf.DUMMYFUNCTION("IF(ISBLANK(J19),"""",HLOOKUP(REGEXEXTRACT(J19,"".*-(.*)""),INDIRECT(CONCATENATE(REGEXEXTRACT(J19,""(.*)-.*""),""!C3:I"")),2,FALSE))"),"#N/A")</f>
        <v>#N/A</v>
      </c>
      <c r="M20" s="7" t="s">
        <v>635</v>
      </c>
      <c r="P20" s="372" t="s">
        <v>578</v>
      </c>
      <c r="Q20" s="373">
        <f t="shared" si="1"/>
        <v>1</v>
      </c>
      <c r="R20" s="372">
        <v>0.0</v>
      </c>
      <c r="S20" s="372">
        <v>0.0</v>
      </c>
      <c r="T20" s="372">
        <v>0.0</v>
      </c>
      <c r="U20" s="372">
        <v>0.0</v>
      </c>
      <c r="V20" s="372">
        <v>0.0</v>
      </c>
      <c r="W20" s="372">
        <v>1.0</v>
      </c>
    </row>
    <row r="21">
      <c r="B21" s="341"/>
      <c r="C21" s="12">
        <f>IFERROR(__xludf.DUMMYFUNCTION("IF(ISBLANK(C19),"""",HLOOKUP(REGEXEXTRACT(C19,"".*-(.*)""),INDIRECT(CONCATENATE(REGEXEXTRACT(C19,""(.*)-.*""),""!C3:I"")),3,FALSE))"),1540.0)</f>
        <v>1540</v>
      </c>
      <c r="D21" s="12">
        <f>IFERROR(__xludf.DUMMYFUNCTION("IF(ISBLANK(D19),"""",HLOOKUP(REGEXEXTRACT(D19,"".*-(.*)""),INDIRECT(CONCATENATE(REGEXEXTRACT(D19,""(.*)-.*""),""!C3:I"")),3,FALSE))"),1750.0)</f>
        <v>1750</v>
      </c>
      <c r="E21" s="12" t="str">
        <f>IFERROR(__xludf.DUMMYFUNCTION("IF(ISBLANK(E19),"""",HLOOKUP(REGEXEXTRACT(E19,"".*-(.*)""),INDIRECT(CONCATENATE(REGEXEXTRACT(E19,""(.*)-.*""),""!C3:I"")),3,FALSE))"),"")</f>
        <v/>
      </c>
      <c r="F21" s="382"/>
      <c r="G21" s="12" t="str">
        <f>IFERROR(__xludf.DUMMYFUNCTION("IF(ISBLANK(G19),"""",HLOOKUP(REGEXEXTRACT(G19,"".*-(.*)""),INDIRECT(CONCATENATE(REGEXEXTRACT(G19,""(.*)-.*""),""!C3:I"")),3,FALSE))"),"#REF!")</f>
        <v>#REF!</v>
      </c>
      <c r="H21" s="12" t="str">
        <f>IFERROR(__xludf.DUMMYFUNCTION("IF(ISBLANK(H19),"""",HLOOKUP(REGEXEXTRACT(H19,"".*-(.*)""),INDIRECT(CONCATENATE(REGEXEXTRACT(H19,""(.*)-.*""),""!C3:I"")),3,FALSE))"),"#N/A")</f>
        <v>#N/A</v>
      </c>
      <c r="I21" s="382">
        <v>1460.0</v>
      </c>
      <c r="J21" s="13" t="str">
        <f>IFERROR(__xludf.DUMMYFUNCTION("IF(ISBLANK(J19),"""",HLOOKUP(REGEXEXTRACT(J19,"".*-(.*)""),INDIRECT(CONCATENATE(REGEXEXTRACT(J19,""(.*)-.*""),""!C3:I"")),3,FALSE))"),"#N/A")</f>
        <v>#N/A</v>
      </c>
      <c r="M21" s="7" t="s">
        <v>636</v>
      </c>
      <c r="P21" s="376" t="s">
        <v>449</v>
      </c>
      <c r="Q21" s="377">
        <f t="shared" si="1"/>
        <v>0</v>
      </c>
      <c r="R21" s="376">
        <v>0.0</v>
      </c>
      <c r="S21" s="376">
        <v>0.0</v>
      </c>
      <c r="T21" s="376">
        <v>0.0</v>
      </c>
      <c r="U21" s="376">
        <v>0.0</v>
      </c>
      <c r="V21" s="376">
        <v>0.0</v>
      </c>
      <c r="W21" s="376">
        <v>0.0</v>
      </c>
    </row>
    <row r="22">
      <c r="B22" s="324" t="s">
        <v>382</v>
      </c>
      <c r="C22" s="340"/>
      <c r="D22" s="340"/>
      <c r="E22" s="340"/>
      <c r="F22" s="340"/>
      <c r="G22" s="340"/>
      <c r="H22" s="340"/>
      <c r="I22" s="340"/>
      <c r="J22" s="380"/>
      <c r="M22" s="7" t="s">
        <v>637</v>
      </c>
      <c r="N22" s="7" t="s">
        <v>638</v>
      </c>
      <c r="P22" s="372" t="s">
        <v>468</v>
      </c>
      <c r="Q22" s="373">
        <f t="shared" si="1"/>
        <v>0</v>
      </c>
      <c r="R22" s="372">
        <v>0.0</v>
      </c>
      <c r="S22" s="372">
        <v>0.0</v>
      </c>
      <c r="T22" s="372">
        <v>0.0</v>
      </c>
      <c r="U22" s="372">
        <v>0.0</v>
      </c>
      <c r="V22" s="372">
        <v>0.0</v>
      </c>
      <c r="W22" s="372">
        <v>0.0</v>
      </c>
    </row>
    <row r="23">
      <c r="B23" s="199" t="s">
        <v>622</v>
      </c>
      <c r="C23" s="182" t="str">
        <f>IFERROR(__xludf.DUMMYFUNCTION("IF(ISBLANK(C22),"""",HLOOKUP(REGEXEXTRACT(C22,"".*-(.*)""),INDIRECT(CONCATENATE(REGEXEXTRACT(C22,""(.*)-.*""),""!C3:I"")),2,FALSE))"),"")</f>
        <v/>
      </c>
      <c r="D23" s="182" t="str">
        <f>IFERROR(__xludf.DUMMYFUNCTION("IF(ISBLANK(D22),"""",HLOOKUP(REGEXEXTRACT(D22,"".*-(.*)""),INDIRECT(CONCATENATE(REGEXEXTRACT(D22,""(.*)-.*""),""!C3:I"")),2,FALSE))"),"")</f>
        <v/>
      </c>
      <c r="E23" s="182" t="str">
        <f>IFERROR(__xludf.DUMMYFUNCTION("IF(ISBLANK(E22),"""",HLOOKUP(REGEXEXTRACT(E22,"".*-(.*)""),INDIRECT(CONCATENATE(REGEXEXTRACT(E22,""(.*)-.*""),""!C3:I"")),2,FALSE))"),"")</f>
        <v/>
      </c>
      <c r="F23" s="182" t="str">
        <f>IFERROR(__xludf.DUMMYFUNCTION("IF(ISBLANK(F22),"""",HLOOKUP(REGEXEXTRACT(F22,"".*-(.*)""),INDIRECT(CONCATENATE(REGEXEXTRACT(F22,""(.*)-.*""),""!C3:I"")),2,FALSE))"),"")</f>
        <v/>
      </c>
      <c r="G23" s="182" t="str">
        <f>IFERROR(__xludf.DUMMYFUNCTION("IF(ISBLANK(G22),"""",HLOOKUP(REGEXEXTRACT(G22,"".*-(.*)""),INDIRECT(CONCATENATE(REGEXEXTRACT(G22,""(.*)-.*""),""!C3:I"")),2,FALSE))"),"")</f>
        <v/>
      </c>
      <c r="H23" s="182" t="str">
        <f>IFERROR(__xludf.DUMMYFUNCTION("IF(ISBLANK(H22),"""",HLOOKUP(REGEXEXTRACT(H22,"".*-(.*)""),INDIRECT(CONCATENATE(REGEXEXTRACT(H22,""(.*)-.*""),""!C3:I"")),2,FALSE))"),"")</f>
        <v/>
      </c>
      <c r="I23" s="182" t="str">
        <f>IFERROR(__xludf.DUMMYFUNCTION("IF(ISBLANK(I22),"""",HLOOKUP(REGEXEXTRACT(I22,"".*-(.*)""),INDIRECT(CONCATENATE(REGEXEXTRACT(I22,""(.*)-.*""),""!C3:I"")),2,FALSE))"),"")</f>
        <v/>
      </c>
      <c r="J23" s="379" t="str">
        <f>IFERROR(__xludf.DUMMYFUNCTION("IF(ISBLANK(J22),"""",HLOOKUP(REGEXEXTRACT(J22,"".*-(.*)""),INDIRECT(CONCATENATE(REGEXEXTRACT(J22,""(.*)-.*""),""!C3:I"")),2,FALSE))"),"")</f>
        <v/>
      </c>
      <c r="M23" s="7" t="s">
        <v>454</v>
      </c>
      <c r="P23" s="376" t="s">
        <v>579</v>
      </c>
      <c r="Q23" s="377">
        <f t="shared" si="1"/>
        <v>0</v>
      </c>
      <c r="R23" s="376">
        <v>0.0</v>
      </c>
      <c r="S23" s="376">
        <v>0.0</v>
      </c>
      <c r="T23" s="376">
        <v>0.0</v>
      </c>
      <c r="U23" s="376">
        <v>0.0</v>
      </c>
      <c r="V23" s="376">
        <v>0.0</v>
      </c>
      <c r="W23" s="376">
        <v>0.0</v>
      </c>
    </row>
    <row r="24">
      <c r="B24" s="341"/>
      <c r="C24" s="182" t="str">
        <f>IFERROR(__xludf.DUMMYFUNCTION("IF(ISBLANK(C22),"""",HLOOKUP(REGEXEXTRACT(C22,"".*-(.*)""),INDIRECT(CONCATENATE(REGEXEXTRACT(C22,""(.*)-.*""),""!C3:I"")),3,FALSE))"),"")</f>
        <v/>
      </c>
      <c r="D24" s="182" t="str">
        <f>IFERROR(__xludf.DUMMYFUNCTION("IF(ISBLANK(D22),"""",HLOOKUP(REGEXEXTRACT(D22,"".*-(.*)""),INDIRECT(CONCATENATE(REGEXEXTRACT(D22,""(.*)-.*""),""!C3:I"")),3,FALSE))"),"")</f>
        <v/>
      </c>
      <c r="E24" s="182" t="str">
        <f>IFERROR(__xludf.DUMMYFUNCTION("IF(ISBLANK(E22),"""",HLOOKUP(REGEXEXTRACT(E22,"".*-(.*)""),INDIRECT(CONCATENATE(REGEXEXTRACT(E22,""(.*)-.*""),""!C3:I"")),3,FALSE))"),"")</f>
        <v/>
      </c>
      <c r="F24" s="182" t="str">
        <f>IFERROR(__xludf.DUMMYFUNCTION("IF(ISBLANK(F22),"""",HLOOKUP(REGEXEXTRACT(F22,"".*-(.*)""),INDIRECT(CONCATENATE(REGEXEXTRACT(F22,""(.*)-.*""),""!C3:I"")),3,FALSE))"),"")</f>
        <v/>
      </c>
      <c r="G24" s="182" t="str">
        <f>IFERROR(__xludf.DUMMYFUNCTION("IF(ISBLANK(G22),"""",HLOOKUP(REGEXEXTRACT(G22,"".*-(.*)""),INDIRECT(CONCATENATE(REGEXEXTRACT(G22,""(.*)-.*""),""!C3:I"")),3,FALSE))"),"")</f>
        <v/>
      </c>
      <c r="H24" s="182" t="str">
        <f>IFERROR(__xludf.DUMMYFUNCTION("IF(ISBLANK(H22),"""",HLOOKUP(REGEXEXTRACT(H22,"".*-(.*)""),INDIRECT(CONCATENATE(REGEXEXTRACT(H22,""(.*)-.*""),""!C3:I"")),3,FALSE))"),"")</f>
        <v/>
      </c>
      <c r="I24" s="182" t="str">
        <f>IFERROR(__xludf.DUMMYFUNCTION("IF(ISBLANK(I22),"""",HLOOKUP(REGEXEXTRACT(I22,"".*-(.*)""),INDIRECT(CONCATENATE(REGEXEXTRACT(I22,""(.*)-.*""),""!C3:I"")),3,FALSE))"),"")</f>
        <v/>
      </c>
      <c r="J24" s="379" t="str">
        <f>IFERROR(__xludf.DUMMYFUNCTION("IF(ISBLANK(J22),"""",HLOOKUP(REGEXEXTRACT(J22,"".*-(.*)""),INDIRECT(CONCATENATE(REGEXEXTRACT(J22,""(.*)-.*""),""!C3:I"")),3,FALSE))"),"")</f>
        <v/>
      </c>
      <c r="M24" s="7" t="s">
        <v>453</v>
      </c>
      <c r="P24" s="372" t="s">
        <v>639</v>
      </c>
      <c r="Q24" s="373">
        <f t="shared" si="1"/>
        <v>0</v>
      </c>
      <c r="R24" s="372">
        <v>0.0</v>
      </c>
      <c r="S24" s="372">
        <v>0.0</v>
      </c>
      <c r="T24" s="372">
        <v>0.0</v>
      </c>
      <c r="U24" s="372">
        <v>0.0</v>
      </c>
      <c r="V24" s="372">
        <v>0.0</v>
      </c>
      <c r="W24" s="372">
        <v>0.0</v>
      </c>
    </row>
    <row r="25">
      <c r="B25" s="199" t="s">
        <v>382</v>
      </c>
      <c r="C25" s="340"/>
      <c r="D25" s="340"/>
      <c r="E25" s="340"/>
      <c r="F25" s="340"/>
      <c r="G25" s="340"/>
      <c r="H25" s="340"/>
      <c r="I25" s="340"/>
      <c r="J25" s="380"/>
      <c r="M25" s="7" t="s">
        <v>640</v>
      </c>
      <c r="P25" s="376" t="s">
        <v>451</v>
      </c>
      <c r="Q25" s="377">
        <f t="shared" si="1"/>
        <v>0</v>
      </c>
      <c r="R25" s="376">
        <v>0.0</v>
      </c>
      <c r="S25" s="376">
        <v>0.0</v>
      </c>
      <c r="T25" s="376">
        <v>0.0</v>
      </c>
      <c r="U25" s="376">
        <v>0.0</v>
      </c>
      <c r="V25" s="376">
        <v>0.0</v>
      </c>
      <c r="W25" s="376">
        <v>0.0</v>
      </c>
    </row>
    <row r="26">
      <c r="B26" s="199" t="s">
        <v>622</v>
      </c>
      <c r="C26" s="182" t="str">
        <f>IFERROR(__xludf.DUMMYFUNCTION("IF(ISBLANK(C25),"""",HLOOKUP(REGEXEXTRACT(C25,"".*-(.*)""),INDIRECT(CONCATENATE(REGEXEXTRACT(C25,""(.*)-.*""),""!C3:I"")),2,FALSE))"),"")</f>
        <v/>
      </c>
      <c r="D26" s="182" t="str">
        <f>IFERROR(__xludf.DUMMYFUNCTION("IF(ISBLANK(D25),"""",HLOOKUP(REGEXEXTRACT(D25,"".*-(.*)""),INDIRECT(CONCATENATE(REGEXEXTRACT(D25,""(.*)-.*""),""!C3:I"")),2,FALSE))"),"")</f>
        <v/>
      </c>
      <c r="E26" s="182" t="str">
        <f>IFERROR(__xludf.DUMMYFUNCTION("IF(ISBLANK(E25),"""",HLOOKUP(REGEXEXTRACT(E25,"".*-(.*)""),INDIRECT(CONCATENATE(REGEXEXTRACT(E25,""(.*)-.*""),""!C3:I"")),2,FALSE))"),"")</f>
        <v/>
      </c>
      <c r="F26" s="182" t="str">
        <f>IFERROR(__xludf.DUMMYFUNCTION("IF(ISBLANK(F25),"""",HLOOKUP(REGEXEXTRACT(F25,"".*-(.*)""),INDIRECT(CONCATENATE(REGEXEXTRACT(F25,""(.*)-.*""),""!C3:I"")),2,FALSE))"),"")</f>
        <v/>
      </c>
      <c r="G26" s="182" t="str">
        <f>IFERROR(__xludf.DUMMYFUNCTION("IF(ISBLANK(G25),"""",HLOOKUP(REGEXEXTRACT(G25,"".*-(.*)""),INDIRECT(CONCATENATE(REGEXEXTRACT(G25,""(.*)-.*""),""!C3:I"")),2,FALSE))"),"")</f>
        <v/>
      </c>
      <c r="H26" s="182" t="str">
        <f>IFERROR(__xludf.DUMMYFUNCTION("IF(ISBLANK(H25),"""",HLOOKUP(REGEXEXTRACT(H25,"".*-(.*)""),INDIRECT(CONCATENATE(REGEXEXTRACT(H25,""(.*)-.*""),""!C3:I"")),2,FALSE))"),"")</f>
        <v/>
      </c>
      <c r="I26" s="182" t="str">
        <f>IFERROR(__xludf.DUMMYFUNCTION("IF(ISBLANK(I25),"""",HLOOKUP(REGEXEXTRACT(I25,"".*-(.*)""),INDIRECT(CONCATENATE(REGEXEXTRACT(I25,""(.*)-.*""),""!C3:I"")),2,FALSE))"),"")</f>
        <v/>
      </c>
      <c r="J26" s="379" t="str">
        <f>IFERROR(__xludf.DUMMYFUNCTION("IF(ISBLANK(J25),"""",HLOOKUP(REGEXEXTRACT(J25,"".*-(.*)""),INDIRECT(CONCATENATE(REGEXEXTRACT(J25,""(.*)-.*""),""!C3:I"")),2,FALSE))"),"")</f>
        <v/>
      </c>
      <c r="P26" s="372" t="s">
        <v>428</v>
      </c>
      <c r="Q26" s="373">
        <f t="shared" si="1"/>
        <v>0</v>
      </c>
      <c r="R26" s="372">
        <v>0.0</v>
      </c>
      <c r="S26" s="372">
        <v>0.0</v>
      </c>
      <c r="T26" s="372">
        <v>0.0</v>
      </c>
      <c r="U26" s="372">
        <v>0.0</v>
      </c>
      <c r="V26" s="372">
        <v>0.0</v>
      </c>
      <c r="W26" s="372">
        <v>0.0</v>
      </c>
    </row>
    <row r="27">
      <c r="B27" s="341"/>
      <c r="C27" s="12" t="str">
        <f>IFERROR(__xludf.DUMMYFUNCTION("IF(ISBLANK(C25),"""",HLOOKUP(REGEXEXTRACT(C25,"".*-(.*)""),INDIRECT(CONCATENATE(REGEXEXTRACT(C25,""(.*)-.*""),""!C3:I"")),3,FALSE))"),"")</f>
        <v/>
      </c>
      <c r="D27" s="12" t="str">
        <f>IFERROR(__xludf.DUMMYFUNCTION("IF(ISBLANK(D25),"""",HLOOKUP(REGEXEXTRACT(D25,"".*-(.*)""),INDIRECT(CONCATENATE(REGEXEXTRACT(D25,""(.*)-.*""),""!C3:I"")),3,FALSE))"),"")</f>
        <v/>
      </c>
      <c r="E27" s="12" t="str">
        <f>IFERROR(__xludf.DUMMYFUNCTION("IF(ISBLANK(E25),"""",HLOOKUP(REGEXEXTRACT(E25,"".*-(.*)""),INDIRECT(CONCATENATE(REGEXEXTRACT(E25,""(.*)-.*""),""!C3:I"")),3,FALSE))"),"")</f>
        <v/>
      </c>
      <c r="F27" s="12" t="str">
        <f>IFERROR(__xludf.DUMMYFUNCTION("IF(ISBLANK(F25),"""",HLOOKUP(REGEXEXTRACT(F25,"".*-(.*)""),INDIRECT(CONCATENATE(REGEXEXTRACT(F25,""(.*)-.*""),""!C3:I"")),3,FALSE))"),"")</f>
        <v/>
      </c>
      <c r="G27" s="12" t="str">
        <f>IFERROR(__xludf.DUMMYFUNCTION("IF(ISBLANK(G25),"""",HLOOKUP(REGEXEXTRACT(G25,"".*-(.*)""),INDIRECT(CONCATENATE(REGEXEXTRACT(G25,""(.*)-.*""),""!C3:I"")),3,FALSE))"),"")</f>
        <v/>
      </c>
      <c r="H27" s="12" t="str">
        <f>IFERROR(__xludf.DUMMYFUNCTION("IF(ISBLANK(H25),"""",HLOOKUP(REGEXEXTRACT(H25,"".*-(.*)""),INDIRECT(CONCATENATE(REGEXEXTRACT(H25,""(.*)-.*""),""!C3:I"")),3,FALSE))"),"")</f>
        <v/>
      </c>
      <c r="I27" s="12" t="str">
        <f>IFERROR(__xludf.DUMMYFUNCTION("IF(ISBLANK(I25),"""",HLOOKUP(REGEXEXTRACT(I25,"".*-(.*)""),INDIRECT(CONCATENATE(REGEXEXTRACT(I25,""(.*)-.*""),""!C3:I"")),3,FALSE))"),"")</f>
        <v/>
      </c>
      <c r="J27" s="13" t="str">
        <f>IFERROR(__xludf.DUMMYFUNCTION("IF(ISBLANK(J25),"""",HLOOKUP(REGEXEXTRACT(J25,"".*-(.*)""),INDIRECT(CONCATENATE(REGEXEXTRACT(J25,""(.*)-.*""),""!C3:I"")),3,FALSE))"),"")</f>
        <v/>
      </c>
    </row>
    <row r="29">
      <c r="B29" s="324" t="s">
        <v>373</v>
      </c>
      <c r="C29" s="384"/>
      <c r="D29" s="310"/>
      <c r="E29" s="385"/>
      <c r="F29" s="310"/>
      <c r="G29" s="310"/>
      <c r="H29" s="385"/>
      <c r="I29" s="385"/>
      <c r="J29" s="386"/>
    </row>
    <row r="30">
      <c r="B30" s="199" t="s">
        <v>622</v>
      </c>
      <c r="C30" s="361" t="str">
        <f>IFERROR(__xludf.DUMMYFUNCTION("IF(ISBLANK(C29),"""",HLOOKUP(REGEXEXTRACT(C29,"".*-(.*)""),INDIRECT(CONCATENATE(REGEXEXTRACT(C29,""(.*)-.*""),""!C3:I"")),2,FALSE))"),"")</f>
        <v/>
      </c>
      <c r="D30" s="59" t="str">
        <f>IFERROR(__xludf.DUMMYFUNCTION("IF(ISBLANK(D29),"""",HLOOKUP(REGEXEXTRACT(D29,"".*-(.*)""),INDIRECT(CONCATENATE(REGEXEXTRACT(D29,""(.*)-.*""),""!C3:I"")),2,FALSE))"),"")</f>
        <v/>
      </c>
      <c r="E30" s="59" t="str">
        <f>IFERROR(__xludf.DUMMYFUNCTION("IF(ISBLANK(E29),"""",HLOOKUP(REGEXEXTRACT(E29,"".*-(.*)""),INDIRECT(CONCATENATE(REGEXEXTRACT(E29,""(.*)-.*""),""!C3:I"")),2,FALSE))"),"")</f>
        <v/>
      </c>
      <c r="F30" s="59" t="str">
        <f>IFERROR(__xludf.DUMMYFUNCTION("IF(ISBLANK(F29),"""",HLOOKUP(REGEXEXTRACT(F29,"".*-(.*)""),INDIRECT(CONCATENATE(REGEXEXTRACT(F29,""(.*)-.*""),""!C3:I"")),2,FALSE))"),"")</f>
        <v/>
      </c>
      <c r="G30" s="59" t="str">
        <f>IFERROR(__xludf.DUMMYFUNCTION("IF(ISBLANK(G29),"""",HLOOKUP(REGEXEXTRACT(G29,"".*-(.*)""),INDIRECT(CONCATENATE(REGEXEXTRACT(G29,""(.*)-.*""),""!C3:I"")),2,FALSE))"),"")</f>
        <v/>
      </c>
      <c r="H30" s="59" t="str">
        <f>IFERROR(__xludf.DUMMYFUNCTION("IF(ISBLANK(H29),"""",HLOOKUP(REGEXEXTRACT(H29,"".*-(.*)""),INDIRECT(CONCATENATE(REGEXEXTRACT(H29,""(.*)-.*""),""!C3:I"")),2,FALSE))"),"")</f>
        <v/>
      </c>
      <c r="I30" s="59" t="str">
        <f>IFERROR(__xludf.DUMMYFUNCTION("IF(ISBLANK(I29),"""",HLOOKUP(REGEXEXTRACT(I29,"".*-(.*)""),INDIRECT(CONCATENATE(REGEXEXTRACT(I29,""(.*)-.*""),""!C3:I"")),2,FALSE))"),"")</f>
        <v/>
      </c>
      <c r="J30" s="312" t="str">
        <f>IFERROR(__xludf.DUMMYFUNCTION("IF(ISBLANK(J29),"""",HLOOKUP(REGEXEXTRACT(J29,"".*-(.*)""),INDIRECT(CONCATENATE(REGEXEXTRACT(J29,""(.*)-.*""),""!C3:I"")),2,FALSE))"),"")</f>
        <v/>
      </c>
    </row>
    <row r="31">
      <c r="B31" s="341"/>
      <c r="C31" s="374" t="str">
        <f>IFERROR(__xludf.DUMMYFUNCTION("IF(ISBLANK(C29),"""",HLOOKUP(REGEXEXTRACT(C29,"".*-(.*)""),INDIRECT(CONCATENATE(REGEXEXTRACT(C29,""(.*)-.*""),""!C3:I"")),3,FALSE))"),"")</f>
        <v/>
      </c>
      <c r="D31" s="313" t="str">
        <f>IFERROR(__xludf.DUMMYFUNCTION("IF(ISBLANK(D29),"""",HLOOKUP(REGEXEXTRACT(D29,"".*-(.*)""),INDIRECT(CONCATENATE(REGEXEXTRACT(D29,""(.*)-.*""),""!C3:I"")),3,FALSE))"),"")</f>
        <v/>
      </c>
      <c r="E31" s="313" t="str">
        <f>IFERROR(__xludf.DUMMYFUNCTION("IF(ISBLANK(E29),"""",HLOOKUP(REGEXEXTRACT(E29,"".*-(.*)""),INDIRECT(CONCATENATE(REGEXEXTRACT(E29,""(.*)-.*""),""!C3:I"")),3,FALSE))"),"")</f>
        <v/>
      </c>
      <c r="F31" s="313" t="str">
        <f>IFERROR(__xludf.DUMMYFUNCTION("IF(ISBLANK(F29),"""",HLOOKUP(REGEXEXTRACT(F29,"".*-(.*)""),INDIRECT(CONCATENATE(REGEXEXTRACT(F29,""(.*)-.*""),""!C3:I"")),3,FALSE))"),"")</f>
        <v/>
      </c>
      <c r="G31" s="313" t="str">
        <f>IFERROR(__xludf.DUMMYFUNCTION("IF(ISBLANK(G29),"""",HLOOKUP(REGEXEXTRACT(G29,"".*-(.*)""),INDIRECT(CONCATENATE(REGEXEXTRACT(G29,""(.*)-.*""),""!C3:I"")),3,FALSE))"),"")</f>
        <v/>
      </c>
      <c r="H31" s="313" t="str">
        <f>IFERROR(__xludf.DUMMYFUNCTION("IF(ISBLANK(H29),"""",HLOOKUP(REGEXEXTRACT(H29,"".*-(.*)""),INDIRECT(CONCATENATE(REGEXEXTRACT(H29,""(.*)-.*""),""!C3:I"")),3,FALSE))"),"")</f>
        <v/>
      </c>
      <c r="I31" s="313" t="str">
        <f>IFERROR(__xludf.DUMMYFUNCTION("IF(ISBLANK(I29),"""",HLOOKUP(REGEXEXTRACT(I29,"".*-(.*)""),INDIRECT(CONCATENATE(REGEXEXTRACT(I29,""(.*)-.*""),""!C3:I"")),3,FALSE))"),"")</f>
        <v/>
      </c>
      <c r="J31" s="314" t="str">
        <f>IFERROR(__xludf.DUMMYFUNCTION("IF(ISBLANK(J29),"""",HLOOKUP(REGEXEXTRACT(J29,"".*-(.*)""),INDIRECT(CONCATENATE(REGEXEXTRACT(J29,""(.*)-.*""),""!C3:I"")),3,FALSE))"),"")</f>
        <v/>
      </c>
    </row>
    <row r="32">
      <c r="B32" s="324" t="s">
        <v>373</v>
      </c>
      <c r="C32" s="340"/>
      <c r="D32" s="340"/>
      <c r="E32" s="340"/>
      <c r="F32" s="340"/>
      <c r="G32" s="340"/>
      <c r="H32" s="340"/>
      <c r="I32" s="340"/>
      <c r="J32" s="380"/>
    </row>
    <row r="33">
      <c r="B33" s="199" t="s">
        <v>622</v>
      </c>
      <c r="C33" s="182" t="str">
        <f>IFERROR(__xludf.DUMMYFUNCTION("IF(ISBLANK(C32),"""",HLOOKUP(REGEXEXTRACT(C32,"".*-(.*)""),INDIRECT(CONCATENATE(REGEXEXTRACT(C32,""(.*)-.*""),""!C3:I"")),2,FALSE))"),"")</f>
        <v/>
      </c>
      <c r="D33" s="182" t="str">
        <f>IFERROR(__xludf.DUMMYFUNCTION("IF(ISBLANK(D32),"""",HLOOKUP(REGEXEXTRACT(D32,"".*-(.*)""),INDIRECT(CONCATENATE(REGEXEXTRACT(D32,""(.*)-.*""),""!C3:I"")),2,FALSE))"),"")</f>
        <v/>
      </c>
      <c r="E33" s="182" t="str">
        <f>IFERROR(__xludf.DUMMYFUNCTION("IF(ISBLANK(E32),"""",HLOOKUP(REGEXEXTRACT(E32,"".*-(.*)""),INDIRECT(CONCATENATE(REGEXEXTRACT(E32,""(.*)-.*""),""!C3:I"")),2,FALSE))"),"")</f>
        <v/>
      </c>
      <c r="F33" s="182" t="str">
        <f>IFERROR(__xludf.DUMMYFUNCTION("IF(ISBLANK(F32),"""",HLOOKUP(REGEXEXTRACT(F32,"".*-(.*)""),INDIRECT(CONCATENATE(REGEXEXTRACT(F32,""(.*)-.*""),""!C3:I"")),2,FALSE))"),"")</f>
        <v/>
      </c>
      <c r="G33" s="182" t="str">
        <f>IFERROR(__xludf.DUMMYFUNCTION("IF(ISBLANK(G32),"""",HLOOKUP(REGEXEXTRACT(G32,"".*-(.*)""),INDIRECT(CONCATENATE(REGEXEXTRACT(G32,""(.*)-.*""),""!C3:I"")),2,FALSE))"),"")</f>
        <v/>
      </c>
      <c r="H33" s="182" t="str">
        <f>IFERROR(__xludf.DUMMYFUNCTION("IF(ISBLANK(H32),"""",HLOOKUP(REGEXEXTRACT(H32,"".*-(.*)""),INDIRECT(CONCATENATE(REGEXEXTRACT(H32,""(.*)-.*""),""!C3:I"")),2,FALSE))"),"")</f>
        <v/>
      </c>
      <c r="I33" s="182" t="str">
        <f>IFERROR(__xludf.DUMMYFUNCTION("IF(ISBLANK(I32),"""",HLOOKUP(REGEXEXTRACT(I32,"".*-(.*)""),INDIRECT(CONCATENATE(REGEXEXTRACT(I32,""(.*)-.*""),""!C3:I"")),2,FALSE))"),"")</f>
        <v/>
      </c>
      <c r="J33" s="379" t="str">
        <f>IFERROR(__xludf.DUMMYFUNCTION("IF(ISBLANK(J32),"""",HLOOKUP(REGEXEXTRACT(J32,"".*-(.*)""),INDIRECT(CONCATENATE(REGEXEXTRACT(J32,""(.*)-.*""),""!C3:I"")),2,FALSE))"),"")</f>
        <v/>
      </c>
    </row>
    <row r="34">
      <c r="B34" s="341"/>
      <c r="C34" s="12" t="str">
        <f>IFERROR(__xludf.DUMMYFUNCTION("IF(ISBLANK(C32),"""",HLOOKUP(REGEXEXTRACT(C32,"".*-(.*)""),INDIRECT(CONCATENATE(REGEXEXTRACT(C32,""(.*)-.*""),""!C3:I"")),3,FALSE))"),"")</f>
        <v/>
      </c>
      <c r="D34" s="12" t="str">
        <f>IFERROR(__xludf.DUMMYFUNCTION("IF(ISBLANK(D32),"""",HLOOKUP(REGEXEXTRACT(D32,"".*-(.*)""),INDIRECT(CONCATENATE(REGEXEXTRACT(D32,""(.*)-.*""),""!C3:I"")),3,FALSE))"),"")</f>
        <v/>
      </c>
      <c r="E34" s="12" t="str">
        <f>IFERROR(__xludf.DUMMYFUNCTION("IF(ISBLANK(E32),"""",HLOOKUP(REGEXEXTRACT(E32,"".*-(.*)""),INDIRECT(CONCATENATE(REGEXEXTRACT(E32,""(.*)-.*""),""!C3:I"")),3,FALSE))"),"")</f>
        <v/>
      </c>
      <c r="F34" s="12" t="str">
        <f>IFERROR(__xludf.DUMMYFUNCTION("IF(ISBLANK(F32),"""",HLOOKUP(REGEXEXTRACT(F32,"".*-(.*)""),INDIRECT(CONCATENATE(REGEXEXTRACT(F32,""(.*)-.*""),""!C3:I"")),3,FALSE))"),"")</f>
        <v/>
      </c>
      <c r="G34" s="12" t="str">
        <f>IFERROR(__xludf.DUMMYFUNCTION("IF(ISBLANK(G32),"""",HLOOKUP(REGEXEXTRACT(G32,"".*-(.*)""),INDIRECT(CONCATENATE(REGEXEXTRACT(G32,""(.*)-.*""),""!C3:I"")),3,FALSE))"),"")</f>
        <v/>
      </c>
      <c r="H34" s="12" t="str">
        <f>IFERROR(__xludf.DUMMYFUNCTION("IF(ISBLANK(H32),"""",HLOOKUP(REGEXEXTRACT(H32,"".*-(.*)""),INDIRECT(CONCATENATE(REGEXEXTRACT(H32,""(.*)-.*""),""!C3:I"")),3,FALSE))"),"")</f>
        <v/>
      </c>
      <c r="I34" s="12" t="str">
        <f>IFERROR(__xludf.DUMMYFUNCTION("IF(ISBLANK(I32),"""",HLOOKUP(REGEXEXTRACT(I32,"".*-(.*)""),INDIRECT(CONCATENATE(REGEXEXTRACT(I32,""(.*)-.*""),""!C3:I"")),3,FALSE))"),"")</f>
        <v/>
      </c>
      <c r="J34" s="13" t="str">
        <f>IFERROR(__xludf.DUMMYFUNCTION("IF(ISBLANK(J32),"""",HLOOKUP(REGEXEXTRACT(J32,"".*-(.*)""),INDIRECT(CONCATENATE(REGEXEXTRACT(J32,""(.*)-.*""),""!C3:I"")),3,FALSE))"),"")</f>
        <v/>
      </c>
    </row>
    <row r="35">
      <c r="B35" s="324" t="s">
        <v>373</v>
      </c>
      <c r="C35" s="340"/>
      <c r="D35" s="340"/>
      <c r="E35" s="340"/>
      <c r="F35" s="340"/>
      <c r="G35" s="340"/>
      <c r="H35" s="340"/>
      <c r="I35" s="340"/>
      <c r="J35" s="380"/>
    </row>
    <row r="36">
      <c r="B36" s="199" t="s">
        <v>622</v>
      </c>
      <c r="C36" s="182" t="str">
        <f>IFERROR(__xludf.DUMMYFUNCTION("IF(ISBLANK(C35),"""",HLOOKUP(REGEXEXTRACT(C35,"".*-(.*)""),INDIRECT(CONCATENATE(REGEXEXTRACT(C35,""(.*)-.*""),""!C3:I"")),2,FALSE))"),"")</f>
        <v/>
      </c>
      <c r="D36" s="182" t="str">
        <f>IFERROR(__xludf.DUMMYFUNCTION("IF(ISBLANK(D35),"""",HLOOKUP(REGEXEXTRACT(D35,"".*-(.*)""),INDIRECT(CONCATENATE(REGEXEXTRACT(D35,""(.*)-.*""),""!C3:I"")),2,FALSE))"),"")</f>
        <v/>
      </c>
      <c r="E36" s="182" t="str">
        <f>IFERROR(__xludf.DUMMYFUNCTION("IF(ISBLANK(E35),"""",HLOOKUP(REGEXEXTRACT(E35,"".*-(.*)""),INDIRECT(CONCATENATE(REGEXEXTRACT(E35,""(.*)-.*""),""!C3:I"")),2,FALSE))"),"")</f>
        <v/>
      </c>
      <c r="F36" s="182" t="str">
        <f>IFERROR(__xludf.DUMMYFUNCTION("IF(ISBLANK(F35),"""",HLOOKUP(REGEXEXTRACT(F35,"".*-(.*)""),INDIRECT(CONCATENATE(REGEXEXTRACT(F35,""(.*)-.*""),""!C3:I"")),2,FALSE))"),"")</f>
        <v/>
      </c>
      <c r="G36" s="182" t="str">
        <f>IFERROR(__xludf.DUMMYFUNCTION("IF(ISBLANK(G35),"""",HLOOKUP(REGEXEXTRACT(G35,"".*-(.*)""),INDIRECT(CONCATENATE(REGEXEXTRACT(G35,""(.*)-.*""),""!C3:I"")),2,FALSE))"),"")</f>
        <v/>
      </c>
      <c r="H36" s="182" t="str">
        <f>IFERROR(__xludf.DUMMYFUNCTION("IF(ISBLANK(H35),"""",HLOOKUP(REGEXEXTRACT(H35,"".*-(.*)""),INDIRECT(CONCATENATE(REGEXEXTRACT(H35,""(.*)-.*""),""!C3:I"")),2,FALSE))"),"")</f>
        <v/>
      </c>
      <c r="I36" s="182" t="str">
        <f>IFERROR(__xludf.DUMMYFUNCTION("IF(ISBLANK(I35),"""",HLOOKUP(REGEXEXTRACT(I35,"".*-(.*)""),INDIRECT(CONCATENATE(REGEXEXTRACT(I35,""(.*)-.*""),""!C3:I"")),2,FALSE))"),"")</f>
        <v/>
      </c>
      <c r="J36" s="379" t="str">
        <f>IFERROR(__xludf.DUMMYFUNCTION("IF(ISBLANK(J35),"""",HLOOKUP(REGEXEXTRACT(J35,"".*-(.*)""),INDIRECT(CONCATENATE(REGEXEXTRACT(J35,""(.*)-.*""),""!C3:I"")),2,FALSE))"),"")</f>
        <v/>
      </c>
    </row>
    <row r="37">
      <c r="B37" s="341"/>
      <c r="C37" s="12" t="str">
        <f>IFERROR(__xludf.DUMMYFUNCTION("IF(ISBLANK(C35),"""",HLOOKUP(REGEXEXTRACT(C35,"".*-(.*)""),INDIRECT(CONCATENATE(REGEXEXTRACT(C35,""(.*)-.*""),""!C3:I"")),3,FALSE))"),"")</f>
        <v/>
      </c>
      <c r="D37" s="12" t="str">
        <f>IFERROR(__xludf.DUMMYFUNCTION("IF(ISBLANK(D35),"""",HLOOKUP(REGEXEXTRACT(D35,"".*-(.*)""),INDIRECT(CONCATENATE(REGEXEXTRACT(D35,""(.*)-.*""),""!C3:I"")),3,FALSE))"),"")</f>
        <v/>
      </c>
      <c r="E37" s="12" t="str">
        <f>IFERROR(__xludf.DUMMYFUNCTION("IF(ISBLANK(E35),"""",HLOOKUP(REGEXEXTRACT(E35,"".*-(.*)""),INDIRECT(CONCATENATE(REGEXEXTRACT(E35,""(.*)-.*""),""!C3:I"")),3,FALSE))"),"")</f>
        <v/>
      </c>
      <c r="F37" s="12" t="str">
        <f>IFERROR(__xludf.DUMMYFUNCTION("IF(ISBLANK(F35),"""",HLOOKUP(REGEXEXTRACT(F35,"".*-(.*)""),INDIRECT(CONCATENATE(REGEXEXTRACT(F35,""(.*)-.*""),""!C3:I"")),3,FALSE))"),"")</f>
        <v/>
      </c>
      <c r="G37" s="12" t="str">
        <f>IFERROR(__xludf.DUMMYFUNCTION("IF(ISBLANK(G35),"""",HLOOKUP(REGEXEXTRACT(G35,"".*-(.*)""),INDIRECT(CONCATENATE(REGEXEXTRACT(G35,""(.*)-.*""),""!C3:I"")),3,FALSE))"),"")</f>
        <v/>
      </c>
      <c r="H37" s="12" t="str">
        <f>IFERROR(__xludf.DUMMYFUNCTION("IF(ISBLANK(H35),"""",HLOOKUP(REGEXEXTRACT(H35,"".*-(.*)""),INDIRECT(CONCATENATE(REGEXEXTRACT(H35,""(.*)-.*""),""!C3:I"")),3,FALSE))"),"")</f>
        <v/>
      </c>
      <c r="I37" s="12" t="str">
        <f>IFERROR(__xludf.DUMMYFUNCTION("IF(ISBLANK(I35),"""",HLOOKUP(REGEXEXTRACT(I35,"".*-(.*)""),INDIRECT(CONCATENATE(REGEXEXTRACT(I35,""(.*)-.*""),""!C3:I"")),3,FALSE))"),"")</f>
        <v/>
      </c>
      <c r="J37" s="13" t="str">
        <f>IFERROR(__xludf.DUMMYFUNCTION("IF(ISBLANK(J35),"""",HLOOKUP(REGEXEXTRACT(J35,"".*-(.*)""),INDIRECT(CONCATENATE(REGEXEXTRACT(J35,""(.*)-.*""),""!C3:I"")),3,FALSE))"),"")</f>
        <v/>
      </c>
    </row>
  </sheetData>
  <autoFilter ref="$P$3:$W$26">
    <sortState ref="P3:W26">
      <sortCondition descending="1" ref="Q3:Q26"/>
    </sortState>
  </autoFilter>
  <mergeCells count="2">
    <mergeCell ref="P2:W2"/>
    <mergeCell ref="N6:N7"/>
  </mergeCells>
  <dataValidations>
    <dataValidation type="list" allowBlank="1" showErrorMessage="1" sqref="C3:J3 C6:J6 C9:J9 C13:J13 C16:J16 C19:J19 C22:J22 C25:J25 C29:J29 C32:J32 C35:J35">
      <formula1>chars!$B$2:$Z995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210</v>
      </c>
      <c r="B1" s="7" t="s">
        <v>231</v>
      </c>
    </row>
    <row r="2">
      <c r="A2" s="7" t="s">
        <v>429</v>
      </c>
      <c r="B2" s="7" t="s">
        <v>137</v>
      </c>
    </row>
    <row r="3">
      <c r="A3" s="7" t="s">
        <v>468</v>
      </c>
      <c r="B3" s="7" t="s">
        <v>121</v>
      </c>
    </row>
    <row r="4">
      <c r="A4" s="7" t="s">
        <v>422</v>
      </c>
      <c r="B4" s="7" t="s">
        <v>390</v>
      </c>
    </row>
    <row r="5">
      <c r="A5" s="7" t="s">
        <v>469</v>
      </c>
    </row>
  </sheetData>
  <drawing r:id="rId1"/>
</worksheet>
</file>