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MTPI" sheetId="2" r:id="rId6"/>
    <sheet state="visible" name="LTPI" sheetId="3" r:id="rId7"/>
    <sheet state="visible" name="Major Rotation" sheetId="4" r:id="rId8"/>
    <sheet state="visible" name="Gold TPI" sheetId="5" r:id="rId9"/>
    <sheet state="visible" name="BTC TPI" sheetId="6" r:id="rId10"/>
    <sheet state="visible" name="ETH TPI" sheetId="7" r:id="rId11"/>
    <sheet state="visible" name="SOL TPI" sheetId="8" r:id="rId12"/>
    <sheet state="visible" name="SUI TPI" sheetId="9" r:id="rId13"/>
    <sheet state="visible" name="Leverage TPI" sheetId="10" r:id="rId14"/>
    <sheet state="visible" name="Others.D" sheetId="11" r:id="rId15"/>
    <sheet state="visible" name="SDCA" sheetId="12" r:id="rId16"/>
    <sheet state="visible" name="Trash Table" sheetId="13" r:id="rId17"/>
    <sheet state="visible" name="BTCETH Chart" sheetId="14" r:id="rId18"/>
    <sheet state="visible" name="Portfolio Weekly Update" sheetId="15" r:id="rId19"/>
    <sheet state="visible" name="Ternary Diagram" sheetId="16" r:id="rId20"/>
    <sheet state="visible" name="Fear &amp; Greed" sheetId="17" r:id="rId21"/>
  </sheets>
  <definedNames/>
  <calcPr/>
</workbook>
</file>

<file path=xl/sharedStrings.xml><?xml version="1.0" encoding="utf-8"?>
<sst xmlns="http://schemas.openxmlformats.org/spreadsheetml/2006/main" count="1144" uniqueCount="412">
  <si>
    <t>No Days Off Dashboard</t>
  </si>
  <si>
    <t>Market Value Z-score</t>
  </si>
  <si>
    <t>MAJORS ROTATION</t>
  </si>
  <si>
    <t>BTC</t>
  </si>
  <si>
    <t>SOL</t>
  </si>
  <si>
    <t>XRP</t>
  </si>
  <si>
    <t>ETH</t>
  </si>
  <si>
    <t>PAXG</t>
  </si>
  <si>
    <t>USD</t>
  </si>
  <si>
    <t>SCORE</t>
  </si>
  <si>
    <t>`</t>
  </si>
  <si>
    <t>Top Majors</t>
  </si>
  <si>
    <t>Allocation</t>
  </si>
  <si>
    <t>1st</t>
  </si>
  <si>
    <t>2nd</t>
  </si>
  <si>
    <t>Fear &amp; Greed</t>
  </si>
  <si>
    <t>s</t>
  </si>
  <si>
    <t>file:///C:html/Users/delgu/Downloads/no-days-off-live_3.</t>
  </si>
  <si>
    <t>BTC MTPI</t>
  </si>
  <si>
    <t>Total MTPI</t>
  </si>
  <si>
    <t>Category</t>
  </si>
  <si>
    <t>Indicator</t>
  </si>
  <si>
    <t>Timeframe</t>
  </si>
  <si>
    <t>Inputs</t>
  </si>
  <si>
    <t>Score</t>
  </si>
  <si>
    <t>Result</t>
  </si>
  <si>
    <t>Perpetual</t>
  </si>
  <si>
    <t>Kalman Hull ST</t>
  </si>
  <si>
    <t>1D</t>
  </si>
  <si>
    <t>High,28,0.02,9,1.69</t>
  </si>
  <si>
    <t>DEMARSI</t>
  </si>
  <si>
    <t>Open,31,15,53,56</t>
  </si>
  <si>
    <t>DEMA Flow [Alpha Extract]</t>
  </si>
  <si>
    <t>Default Settings</t>
  </si>
  <si>
    <t>RSI Trail</t>
  </si>
  <si>
    <t>EMA, 39,61</t>
  </si>
  <si>
    <t>Kalman EMA Cross</t>
  </si>
  <si>
    <t>SMA MAD Trend [Alpha Extract]</t>
  </si>
  <si>
    <t>Keltner Channels For Loop | RakoQuant</t>
  </si>
  <si>
    <t>High,44,ema,60,1.5</t>
  </si>
  <si>
    <t>Oscillator</t>
  </si>
  <si>
    <t>Directional Logistic Oscillator | GainzAlgo</t>
  </si>
  <si>
    <t>3D</t>
  </si>
  <si>
    <t>Default</t>
  </si>
  <si>
    <t>MA Z Suite (Backquant)</t>
  </si>
  <si>
    <t>Close,9,4,6,close,0.01</t>
  </si>
  <si>
    <t>Kalman Filtered RSI Oscillator (Backquant)</t>
  </si>
  <si>
    <t>Close,0.009,0.3,1,4,SMA,1</t>
  </si>
  <si>
    <t>Volume Weighted Relative Strength Index (Algo Alpha)</t>
  </si>
  <si>
    <t>9,Close,10,EMA,14</t>
  </si>
  <si>
    <t>Adaptive Momentum (Backquant)</t>
  </si>
  <si>
    <t>Normalised T3 (Backquant)</t>
  </si>
  <si>
    <t>2,Close,0,7,19,SMA,18</t>
  </si>
  <si>
    <t>RSI For Loop | RakoQuant</t>
  </si>
  <si>
    <t>Low,11,6,23.9,-12.6</t>
  </si>
  <si>
    <t>Average</t>
  </si>
  <si>
    <t>Entry Criteria:</t>
  </si>
  <si>
    <t>How to use my TPI</t>
  </si>
  <si>
    <t>Exit Criteria:</t>
  </si>
  <si>
    <t>TPI</t>
  </si>
  <si>
    <t>STATE</t>
  </si>
  <si>
    <t>ACTION</t>
  </si>
  <si>
    <t>0 to -1</t>
  </si>
  <si>
    <t>NEGATIVE</t>
  </si>
  <si>
    <t>Sell when guage crosses below 0, and enter a negative state</t>
  </si>
  <si>
    <t>0 to +1</t>
  </si>
  <si>
    <t>POSITIVE</t>
  </si>
  <si>
    <t>Buy when guage crosses above 0, and enter a positive state</t>
  </si>
  <si>
    <t>BTC + TOTAL</t>
  </si>
  <si>
    <t>NOTES</t>
  </si>
  <si>
    <t>When guage reaches -0.25 from a negative state prepare to buy spot/ leverage. When guage reaches 0.25 from a posative state cut leverage and prepare to sell spot.</t>
  </si>
  <si>
    <t>Date</t>
  </si>
  <si>
    <t>MTPI Score</t>
  </si>
  <si>
    <t>Totals MTPI</t>
  </si>
  <si>
    <t>LTPI</t>
  </si>
  <si>
    <t>13/08/24</t>
  </si>
  <si>
    <t>14/08/24</t>
  </si>
  <si>
    <t>15/08/24</t>
  </si>
  <si>
    <t>17/08/24</t>
  </si>
  <si>
    <t>18/08/24</t>
  </si>
  <si>
    <t>19/08/24</t>
  </si>
  <si>
    <t>20/08/24</t>
  </si>
  <si>
    <t>21/08/24</t>
  </si>
  <si>
    <t>22/08/24</t>
  </si>
  <si>
    <t>23/08/24</t>
  </si>
  <si>
    <t>24/08/24</t>
  </si>
  <si>
    <t>25/08/24</t>
  </si>
  <si>
    <t>28/08/24</t>
  </si>
  <si>
    <t>29/08/24</t>
  </si>
  <si>
    <t>30/08/24</t>
  </si>
  <si>
    <t>13/09/24</t>
  </si>
  <si>
    <t>14/09/24</t>
  </si>
  <si>
    <t>15/09/24</t>
  </si>
  <si>
    <t>16/09/24</t>
  </si>
  <si>
    <t>17/09/24</t>
  </si>
  <si>
    <t>18/09/24</t>
  </si>
  <si>
    <t>19/09/24</t>
  </si>
  <si>
    <t>20/09/24</t>
  </si>
  <si>
    <t>21/09/24</t>
  </si>
  <si>
    <t>22/09/24</t>
  </si>
  <si>
    <t>23/09/24</t>
  </si>
  <si>
    <t>24/09/24</t>
  </si>
  <si>
    <t>25/09/24</t>
  </si>
  <si>
    <t>26/09/24</t>
  </si>
  <si>
    <t>27/09/24</t>
  </si>
  <si>
    <t>28/09/24</t>
  </si>
  <si>
    <t>29/09/24</t>
  </si>
  <si>
    <t>30/09/24</t>
  </si>
  <si>
    <t>13/10/24</t>
  </si>
  <si>
    <t>14/10/24</t>
  </si>
  <si>
    <t>15/10/24</t>
  </si>
  <si>
    <t>16/10/24</t>
  </si>
  <si>
    <t>17/10/24</t>
  </si>
  <si>
    <t>18/10/24</t>
  </si>
  <si>
    <t>19/10/24</t>
  </si>
  <si>
    <t>20/10/24</t>
  </si>
  <si>
    <t>21/10/24</t>
  </si>
  <si>
    <t>22/10/24</t>
  </si>
  <si>
    <t>23/10/24</t>
  </si>
  <si>
    <t>24/10/24</t>
  </si>
  <si>
    <t>25/10/24</t>
  </si>
  <si>
    <t>26/10/24</t>
  </si>
  <si>
    <t>27/10/24</t>
  </si>
  <si>
    <t>28/10/24</t>
  </si>
  <si>
    <t>29/10/24</t>
  </si>
  <si>
    <t>30/10/24</t>
  </si>
  <si>
    <t>31/10/24</t>
  </si>
  <si>
    <t>13/11/24</t>
  </si>
  <si>
    <t>14/11/24</t>
  </si>
  <si>
    <t>16/11/24</t>
  </si>
  <si>
    <t>17/11/24</t>
  </si>
  <si>
    <t>18/11/24</t>
  </si>
  <si>
    <t>20/11/24</t>
  </si>
  <si>
    <t>21/11/24</t>
  </si>
  <si>
    <t>22/11/24</t>
  </si>
  <si>
    <t>24/11/24</t>
  </si>
  <si>
    <t>25/11/25</t>
  </si>
  <si>
    <t>26/11/24</t>
  </si>
  <si>
    <t>28/11/24</t>
  </si>
  <si>
    <t>13/12/24</t>
  </si>
  <si>
    <t>15/12/24</t>
  </si>
  <si>
    <t>16/12/24</t>
  </si>
  <si>
    <t>17/12/24</t>
  </si>
  <si>
    <t>28/12/24</t>
  </si>
  <si>
    <t>30/12/24</t>
  </si>
  <si>
    <t>1 YEAR!!!!</t>
  </si>
  <si>
    <t xml:space="preserve">Totals </t>
  </si>
  <si>
    <t>DATE UPDATED:</t>
  </si>
  <si>
    <t>Add date updated</t>
  </si>
  <si>
    <t xml:space="preserve">Add indicator name </t>
  </si>
  <si>
    <t>DON'T TOUCH THIS COLUMN</t>
  </si>
  <si>
    <t>What is a positive score and what is a negative score. Keep it simple and stated clearly when is 1/0/-1</t>
  </si>
  <si>
    <t>Insert Scores</t>
  </si>
  <si>
    <t>Include source link for easy access</t>
  </si>
  <si>
    <t>Scoring</t>
  </si>
  <si>
    <t>Comment</t>
  </si>
  <si>
    <t>Source</t>
  </si>
  <si>
    <t>Macroeconomic Inputs</t>
  </si>
  <si>
    <t>42 Macro GRID Model (World)</t>
  </si>
  <si>
    <t xml:space="preserve">(1) Goldilocks, (.5) Reflation, (-.5) Inflation, (-1) Deflation </t>
  </si>
  <si>
    <t xml:space="preserve">(1 Dark Green) Goldilocks, (.5 Bright Green) Reflation, (-.5 Blue) Inflation, (-1 Red) Deflation </t>
  </si>
  <si>
    <t>42 Macro Weather Model (pg47)</t>
  </si>
  <si>
    <t>1(Green), 0(Yellow), -1(Red)</t>
  </si>
  <si>
    <t>Technical Indicators on BTC</t>
  </si>
  <si>
    <t>RSI Momentum Trend (4D)</t>
  </si>
  <si>
    <t>10,62,38</t>
  </si>
  <si>
    <t>(1) when the indicator is green, (-1) when the indicator is red.</t>
  </si>
  <si>
    <t>Boosted Moving Average (4D)</t>
  </si>
  <si>
    <t>43,1.5, Close</t>
  </si>
  <si>
    <t>Kalman Hull ST (4D)</t>
  </si>
  <si>
    <t>Close,3,0.01,12,1.7</t>
  </si>
  <si>
    <t>RSI Trail (4D)</t>
  </si>
  <si>
    <t>EMA,40,60</t>
  </si>
  <si>
    <t>Normalized T3 (4D)</t>
  </si>
  <si>
    <t>2,hlcc4, 0.7,50,EMA,18</t>
  </si>
  <si>
    <t>LKAF</t>
  </si>
  <si>
    <t>0.52,12,1.1,0.001</t>
  </si>
  <si>
    <t>Technical Indicators on a generic Liquidity ticker</t>
  </si>
  <si>
    <t>DEMA ATR (12D)</t>
  </si>
  <si>
    <t>3,hlc3,63,0.31,Ema,12</t>
  </si>
  <si>
    <t>Dema Vstop (12D)</t>
  </si>
  <si>
    <t>5,close,2,0.5</t>
  </si>
  <si>
    <t>Sine-Weighted MA ATR (12D)</t>
  </si>
  <si>
    <t>6,close,NormalATR,5,0.5,close,close,Long and Short</t>
  </si>
  <si>
    <t>EWMA (12D)</t>
  </si>
  <si>
    <t>3,close,6</t>
  </si>
  <si>
    <t>On-chain Indicators</t>
  </si>
  <si>
    <t>Short Term Holder MVRV Ratio</t>
  </si>
  <si>
    <t>When above white line (1) When it is below white line (-1)</t>
  </si>
  <si>
    <t>https://cryptoquant.com/community/dashboard/6721acfd1336e76f6a8ea9fb</t>
  </si>
  <si>
    <t>Short Term Net Unrealized Profit and Loss</t>
  </si>
  <si>
    <t>EMA,20D</t>
  </si>
  <si>
    <t>When is indicator is above 0 (1) When it is below 0 (-1)</t>
  </si>
  <si>
    <t>https://charts.researchbitcoin.net/</t>
  </si>
  <si>
    <t>SOPR STH</t>
  </si>
  <si>
    <t>EMA, 50D</t>
  </si>
  <si>
    <t>When indicator is above 1 (1) When it is below 1 (-1)</t>
  </si>
  <si>
    <t>TPI Avg Score</t>
  </si>
  <si>
    <t>DON'T TOUCH THESE - THEY WILL POPULATE AUTOMATICALLY</t>
  </si>
  <si>
    <t>LTPI Score</t>
  </si>
  <si>
    <t>Major Rotation</t>
  </si>
  <si>
    <t>Top  Majors</t>
  </si>
  <si>
    <t>Rules</t>
  </si>
  <si>
    <t>Only invest in major assets if TPI for that token is positive!!!</t>
  </si>
  <si>
    <t>Asset Rotation indicator</t>
  </si>
  <si>
    <t>usd</t>
  </si>
  <si>
    <t>XRP/ETH TPI</t>
  </si>
  <si>
    <t>BTC/ETH</t>
  </si>
  <si>
    <t>ETH/SOL</t>
  </si>
  <si>
    <t>SOL/BTC</t>
  </si>
  <si>
    <t>1 or 0</t>
  </si>
  <si>
    <t>1 or -1</t>
  </si>
  <si>
    <t>TImeframe</t>
  </si>
  <si>
    <t>Dema Flow</t>
  </si>
  <si>
    <t>hlcc4, 1, 0.01, 12, 1.7</t>
  </si>
  <si>
    <t>Multiple MA Supertrend</t>
  </si>
  <si>
    <t>avg of calc 1&amp;2, Ema, open, 14, 1.1, 13</t>
  </si>
  <si>
    <t>CTI_LB</t>
  </si>
  <si>
    <t>21, 0.4</t>
  </si>
  <si>
    <t>Normalized KAMA</t>
  </si>
  <si>
    <t>9, 66, 100, 16</t>
  </si>
  <si>
    <t>J</t>
  </si>
  <si>
    <t>XRP/BTC</t>
  </si>
  <si>
    <t>BTC/SOL</t>
  </si>
  <si>
    <t>SOL/ETH</t>
  </si>
  <si>
    <t>XRP/SOL</t>
  </si>
  <si>
    <t>BTC/PAXG</t>
  </si>
  <si>
    <t>ETH/XRP</t>
  </si>
  <si>
    <t>SOL/XRP</t>
  </si>
  <si>
    <t>SUI/DOGE</t>
  </si>
  <si>
    <t>XRP/PAXG</t>
  </si>
  <si>
    <t>ETH/PAXG</t>
  </si>
  <si>
    <t>SOL/PAXG</t>
  </si>
  <si>
    <t>Boosted Moving Average</t>
  </si>
  <si>
    <t>Micheals EMA</t>
  </si>
  <si>
    <t>Zenith</t>
  </si>
  <si>
    <t>Total</t>
  </si>
  <si>
    <t>BTC MTPI (1d)</t>
  </si>
  <si>
    <t>BTC LTPI (3D)</t>
  </si>
  <si>
    <t xml:space="preserve">RSI Momentum Trend </t>
  </si>
  <si>
    <t>Enhanced LNL</t>
  </si>
  <si>
    <t xml:space="preserve">Boosted Moving Average </t>
  </si>
  <si>
    <t>Calc1, Ema,hlcc4,57,1.6,14,Ema,close,12,1.6,4</t>
  </si>
  <si>
    <t xml:space="preserve">Kalman Hull ST </t>
  </si>
  <si>
    <t>12,21,50</t>
  </si>
  <si>
    <t xml:space="preserve">RSI Trail </t>
  </si>
  <si>
    <t>43,1.5,Close</t>
  </si>
  <si>
    <t xml:space="preserve">Normalized T3 </t>
  </si>
  <si>
    <t>Casper</t>
  </si>
  <si>
    <t>EMD Trend</t>
  </si>
  <si>
    <r>
      <rPr>
        <rFont val="Arial"/>
        <color rgb="FFFFFFFF"/>
      </rPr>
      <t>U</t>
    </r>
    <r>
      <rPr>
        <rFont val="Arial"/>
        <b/>
        <color rgb="FFFFFFFF"/>
      </rPr>
      <t>Universal Trend Sniper</t>
    </r>
  </si>
  <si>
    <t>Bullish</t>
  </si>
  <si>
    <r>
      <rPr>
        <rFont val="Arial"/>
        <color rgb="FFFFFFFF"/>
      </rPr>
      <t>R</t>
    </r>
    <r>
      <rPr>
        <rFont val="Arial"/>
        <color rgb="FFFFFFFF"/>
      </rPr>
      <t>RSI Momentum Trend pilot</t>
    </r>
  </si>
  <si>
    <t>BTC STRAT Slapper</t>
  </si>
  <si>
    <t>BTC STRAT Mid</t>
  </si>
  <si>
    <t>Kamth</t>
  </si>
  <si>
    <t>DATE</t>
  </si>
  <si>
    <t>TPI SCORE</t>
  </si>
  <si>
    <t>19/11/24</t>
  </si>
  <si>
    <t>27/11/24</t>
  </si>
  <si>
    <t>30/11/24</t>
  </si>
  <si>
    <t>ETH MTPI (1D)</t>
  </si>
  <si>
    <t>(eth/btc template)</t>
  </si>
  <si>
    <t>INDICATOR</t>
  </si>
  <si>
    <t>INPUTS</t>
  </si>
  <si>
    <t>SOL MTPI (1D)</t>
  </si>
  <si>
    <t>INPUT</t>
  </si>
  <si>
    <t>3,25,33</t>
  </si>
  <si>
    <t>Close, 0.01, 15, 1.7</t>
  </si>
  <si>
    <t>Multiple ma Supertrend</t>
  </si>
  <si>
    <t>EMA, Open, 20,1.2,12</t>
  </si>
  <si>
    <t>MA Z Suit</t>
  </si>
  <si>
    <t xml:space="preserve">Kalman Hull, close,9,4,6,close,3,0.01,10,10 </t>
  </si>
  <si>
    <t>Kalman ATR</t>
  </si>
  <si>
    <t>SMA- MAD</t>
  </si>
  <si>
    <t>25/11/24</t>
  </si>
  <si>
    <t>SUI TPI (1D)</t>
  </si>
  <si>
    <t>Ema,35,61</t>
  </si>
  <si>
    <t>hlcc4,2,0.001,12,1.7</t>
  </si>
  <si>
    <t>51,1.2,hlcc4</t>
  </si>
  <si>
    <t>Micheal's EMA</t>
  </si>
  <si>
    <t>22,28,50</t>
  </si>
  <si>
    <t>SMA</t>
  </si>
  <si>
    <t xml:space="preserve"> </t>
  </si>
  <si>
    <t>Leverage TPI (BTC)</t>
  </si>
  <si>
    <t xml:space="preserve">Score </t>
  </si>
  <si>
    <t>ADF</t>
  </si>
  <si>
    <t>Close, 100, 0, 90%, 0.00</t>
  </si>
  <si>
    <t>ADF For G's</t>
  </si>
  <si>
    <t>44, 1, -1.4, -1.8, 23, EMA, Close</t>
  </si>
  <si>
    <t>Enhanced ADF</t>
  </si>
  <si>
    <t>Trend</t>
  </si>
  <si>
    <t>OTHERS.D TPI</t>
  </si>
  <si>
    <t>CTI</t>
  </si>
  <si>
    <t>Kalman  Hull st</t>
  </si>
  <si>
    <t>NARMALIZED KAMA</t>
  </si>
  <si>
    <t>Max to TRASH?</t>
  </si>
  <si>
    <t xml:space="preserve">Strength </t>
  </si>
  <si>
    <t>Portfolio % to allocate</t>
  </si>
  <si>
    <t>SDCA</t>
  </si>
  <si>
    <t>Why did you choose this indicator / How does it work / What is Positive Score and what is Negative Score</t>
  </si>
  <si>
    <t>Fundamental Category</t>
  </si>
  <si>
    <t>Z Score</t>
  </si>
  <si>
    <t>Fundamental Indicators</t>
  </si>
  <si>
    <t xml:space="preserve">MVRV Z-Score </t>
  </si>
  <si>
    <t>I chose the MVRV as a indicator because it shows the market value's relative position to to realized value. It uses blockchain analysis to identify periods where Bitcoin is extremely over or undervalued relative to its 'fair value. Market value= black line, Realised value = blue line, Z-score = orange line. 10M and above is a negative score, 10M and Below is a posative score.</t>
  </si>
  <si>
    <t>https://www.lookintobitcoin.com/charts/mvrv-zscore/</t>
  </si>
  <si>
    <t xml:space="preserve">CBBI </t>
  </si>
  <si>
    <t>I chose the CBBI as a indicator because it can be used as a leading macro indicator for other crypto assets. It is a index that measures 9 metrics to guage the current stage of a bull or bear market. A When the chart is above 400 it is a negative score, when it is below 400 it is a posative score.</t>
  </si>
  <si>
    <t>https://colintalkscrypto.com/cbbi/</t>
  </si>
  <si>
    <t xml:space="preserve">NUPL </t>
  </si>
  <si>
    <t>I chose NUPL as a indicator because is helps identify the best time to take profits and when to re enter. It determins the difference between unrealized profit and unrealized loss. When the chart is over the 1000 mark it is a negative score, when it is below it is a posative score.</t>
  </si>
  <si>
    <t>https://charts.checkonchain.com/btconchain/unrealised/nupl/nupl_light.html</t>
  </si>
  <si>
    <t xml:space="preserve">Bitcoin Realized Price </t>
  </si>
  <si>
    <t>I chose the Bitcoin Realized Price because it shows the economic state of the bitcoin market at a overall level. The indicator uses the realized market cap and divides it by the total number of generated coins. When the real/actual price (grey line) is above the red line it is a negative score, when it is below it is a positive score.</t>
  </si>
  <si>
    <t>https://charts.bitbo.io/realized-price/</t>
  </si>
  <si>
    <t xml:space="preserve">Value Days Destroyed </t>
  </si>
  <si>
    <t>I chose the Value Days Destroyed indicator because it  takes the concept of Coin Days Destroyed and adds a value component to it by incorporating the value (in USD or other fiat currency) of the Bitcoin at the time it is moved. This provides a more nuanced view of the economic activity and investor behavior. It works by analising the selling behavior of long-term Bitcoin holders and provides insights into market trends and potential price movements. When the value is above 1 it is a negative score, when it is below 1 it is a positive score.</t>
  </si>
  <si>
    <t>https://www.lookintobitcoin.com/charts/value-days-destroyed-multiple/</t>
  </si>
  <si>
    <t xml:space="preserve">RHODL Ratio </t>
  </si>
  <si>
    <t xml:space="preserve">I chose the RHODL indicator because it shows when the market is running at extreme overbought and oversold market conditions. is a market indicator provides insight between long term holders and short term holders. When the indicator is in the red zone it is overbought (negative score) when it is in the green zone it is oversold (Positive score) </t>
  </si>
  <si>
    <t>https://www.lookintobitcoin.com/charts/rhodl-ratio/</t>
  </si>
  <si>
    <t>Bitcoin Macro Oscillator</t>
  </si>
  <si>
    <t>I chose the BMO indicator because it offers a complementary perspective by emphasizing longer-term trends and macroeconomic influences. It works by bringing together 4 signals (MVRV Ratio, VWAP Ratio, CVDD Ratio, Sharpe Ratio) and and gives an average score of all 4 of them. When the BMO is above 0 it is a negative score, when it is below 0 it is a positive score.</t>
  </si>
  <si>
    <t>https://woocharts.com/bitcoin-macro-oscillator/</t>
  </si>
  <si>
    <t>Technical Indicators</t>
  </si>
  <si>
    <t xml:space="preserve">Bitcoin 2 Year MA Multiplier </t>
  </si>
  <si>
    <t xml:space="preserve">I chose the 2 Year MA Multiplier because it helps identify potential buying and selling opportunities in the Bitcoin market. It works by  it using a moving average of the 2yr MA line, and also a multiplication of that moving average line, 2yr MA x5. When the price of bitcoin drops towards the 2 yr MA line (green) it is a positive score. When the price gets to the 2yr MA X5 line (Red) it is a negative score. 
</t>
  </si>
  <si>
    <t>https://www.lookintobitcoin.com/charts/bitcoin-investor-tool/</t>
  </si>
  <si>
    <t xml:space="preserve">Pi-Cycle top and bottom </t>
  </si>
  <si>
    <t xml:space="preserve">I chose the Pi-Cycle Top &amp; Bottom indicator because it has a excellent track record of picking the tops of cycles before the market crashing. The indicator forcasts the top and bottom of the bitcoin Cycle. When the oscillator is in the red zone it indicates negative score, when in the green positive score.  </t>
  </si>
  <si>
    <t>https://www.lookintobitcoin.com/charts/pi-cycle-top-bottom-indicator/</t>
  </si>
  <si>
    <t xml:space="preserve">Monthly RSI </t>
  </si>
  <si>
    <t>I chose the Monthly RSI because it measures how much and how fast the price of bitcoin changes. It works by providing a visual mean to monitor both the current, as well as historical, strength and weakness of BTC  market. The strength or weakness is based on closing prices over the duration of a specified trading periods creating a reliable metric of price and momentum changes. When the RSI is above 70 it is a negative score, when it is below 70 it is a posative score.</t>
  </si>
  <si>
    <t>https://charts.bitbo.io/monthly-rsi/</t>
  </si>
  <si>
    <t xml:space="preserve">Power Law Oscillator </t>
  </si>
  <si>
    <t>I chose the Power Law Oscillator because it identifies and analyze long-term price trends and potential market cycles. The indicator works by taking bitcoin’s historical price data as its input, Then the oscillator has a range of 1 to -1, and it describes the log-price deviation between the current market price and the power-law fit from the beginning of bitcoin’s history to now.  When the oscillator is above the median line it is a negative score, when it is below the median line it is a positive score.</t>
  </si>
  <si>
    <t>https://charts.bitbo.io/power-law-oscillator/</t>
  </si>
  <si>
    <t>Bitcoin Economics Adaptive Multiple (BEAM)  (fundamental) !</t>
  </si>
  <si>
    <t>I chose the BEAM indicator because it shows when BTC is overvalued or undervalued at any given time. It works by dividing the price of bitcoin at any given moment to a moving average of past prices. When price is in the red zone it's ideal to sell, when it is in the green zone it's ideal to buy, when in the grey zone it's ideal to hodl. When price is obove 0.50 it is a negative score, when price is below 0.50 it is a positive score.</t>
  </si>
  <si>
    <t>https://charts.bitbo.io/beam/</t>
  </si>
  <si>
    <t xml:space="preserve">Sharpe Ratio </t>
  </si>
  <si>
    <t>I chose the Sharp Ratio because it helps visualize the risk adjusted return of bitcoin. The indicator shows you the average return earned after subtracting out the risk-free rate per unit of volatility. When the sharpe rato is above 0 it is a negative score, when it is below 0 it is a positive score.</t>
  </si>
  <si>
    <t>https://charts.bitbo.io/sharpe-ratio/</t>
  </si>
  <si>
    <t>Sentiment Indicators</t>
  </si>
  <si>
    <t xml:space="preserve">Sentix BTC Sentiment </t>
  </si>
  <si>
    <t>I chose the Sentix Sentiment indicator because it helps to see the reading of other investors emotions on the market. It measurs investors one-month expectations for a given market by reflecting the emotions between greed and fear of BTC market participants. Above 0 indicates a positive score, below 0 is a negative score.</t>
  </si>
  <si>
    <t>https://www.crypto-sentiment.com/bitcoin-sentiment</t>
  </si>
  <si>
    <t xml:space="preserve">Fear and Greed Index </t>
  </si>
  <si>
    <t>I chose the Fear and Greed Index because it shows whenever other investors are feeling fear or greed in the current market. It measures emotion and sentiment of investors. Above 50 is a negative score, below 50 is a positive score.</t>
  </si>
  <si>
    <t>https://alternative.me/crypto/fear-and-greed-index/#google_vignette</t>
  </si>
  <si>
    <t>Avg Z Score</t>
  </si>
  <si>
    <t>Avg Z Score multiplied by -1</t>
  </si>
  <si>
    <t>https://www.bitcoinmagazinepro.com/charts/mvrv-zscore/</t>
  </si>
  <si>
    <t>TICKER</t>
  </si>
  <si>
    <t>Ticker/BTC   (1D)</t>
  </si>
  <si>
    <t>Ticker / USD   (1D)</t>
  </si>
  <si>
    <r>
      <rPr>
        <rFont val="Arial"/>
        <b/>
        <color rgb="FFFFFFFF"/>
        <sz val="11.0"/>
      </rPr>
      <t xml:space="preserve">Proceed? </t>
    </r>
    <r>
      <rPr>
        <rFont val="Arial"/>
        <b/>
        <color rgb="FFFFFFFF"/>
        <sz val="9.0"/>
      </rPr>
      <t xml:space="preserve">                     Score of 2</t>
    </r>
  </si>
  <si>
    <t>Ticker/Others.D  (1D)</t>
  </si>
  <si>
    <t>Ticker/ SOL   (1D)</t>
  </si>
  <si>
    <t>Beta vs Btc</t>
  </si>
  <si>
    <t>Ticker/BTCUP</t>
  </si>
  <si>
    <t>Ticker/ETHUP</t>
  </si>
  <si>
    <t>Multi beta coefficient table Period: 500, 1D</t>
  </si>
  <si>
    <t>(1D)</t>
  </si>
  <si>
    <t xml:space="preserve">Median Supertrend 10, 2.15, 14, hlcc4 </t>
  </si>
  <si>
    <t xml:space="preserve">Multiple MA Supertrend EMA Close 20 1.2 12  </t>
  </si>
  <si>
    <t>CTI_LB 22, 0.4</t>
  </si>
  <si>
    <t>Kalman Hull ST hlcc4, 3, 0.01, 12, 1.7</t>
  </si>
  <si>
    <t>Beta</t>
  </si>
  <si>
    <t>Score 1 if &gt; 1.30</t>
  </si>
  <si>
    <t>Hyperbolic Tangent Supertrend: Overlay 3 hlcc4 0.2 8 2 Long &amp; Short</t>
  </si>
  <si>
    <t>Michaels EMA:  4, 21,50</t>
  </si>
  <si>
    <t>DOGE</t>
  </si>
  <si>
    <t>Winner</t>
  </si>
  <si>
    <t>Floki</t>
  </si>
  <si>
    <t>SUI</t>
  </si>
  <si>
    <t>PEPE</t>
  </si>
  <si>
    <t>WIF</t>
  </si>
  <si>
    <t>SHIB</t>
  </si>
  <si>
    <t>RENDER</t>
  </si>
  <si>
    <t>BONK</t>
  </si>
  <si>
    <t>RAYDIUM</t>
  </si>
  <si>
    <t>INJ</t>
  </si>
  <si>
    <t>SPX</t>
  </si>
  <si>
    <t>POPCAT</t>
  </si>
  <si>
    <t>FLOW</t>
  </si>
  <si>
    <t>ADA</t>
  </si>
  <si>
    <t>BTC Price</t>
  </si>
  <si>
    <t xml:space="preserve">ETH </t>
  </si>
  <si>
    <t>BTC Chart</t>
  </si>
  <si>
    <t>$</t>
  </si>
  <si>
    <t>Trezor</t>
  </si>
  <si>
    <t>Coinbase wallet</t>
  </si>
  <si>
    <t xml:space="preserve">SUI </t>
  </si>
  <si>
    <t>BTC DCA</t>
  </si>
  <si>
    <t>Phantom</t>
  </si>
  <si>
    <t>Kast</t>
  </si>
  <si>
    <t>TRW Wallet</t>
  </si>
  <si>
    <t>NDAX</t>
  </si>
  <si>
    <t>CRV</t>
  </si>
  <si>
    <t>Token</t>
  </si>
  <si>
    <t>Top (BTC)</t>
  </si>
  <si>
    <t>Left (ETH)</t>
  </si>
  <si>
    <t>Right (SOL)</t>
  </si>
  <si>
    <t>x</t>
  </si>
  <si>
    <t>y</t>
  </si>
  <si>
    <t>ALLOCATION</t>
  </si>
  <si>
    <t>SUI/ETH TPI</t>
  </si>
  <si>
    <t>2D</t>
  </si>
  <si>
    <t>SOL/ETH TPI</t>
  </si>
  <si>
    <t>SOL/SUI TPI</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</si>
</sst>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dd/yy"/>
    <numFmt numFmtId="165" formatCode="mm/dd/yyyy"/>
    <numFmt numFmtId="166" formatCode="m/d/yy"/>
    <numFmt numFmtId="167" formatCode="mmm d yyyy"/>
    <numFmt numFmtId="168" formatCode="0.000"/>
    <numFmt numFmtId="169" formatCode="0.0"/>
    <numFmt numFmtId="170" formatCode="&quot;$&quot;#,##0.00"/>
    <numFmt numFmtId="171" formatCode="&quot;$&quot;#,##0"/>
    <numFmt numFmtId="172" formatCode="m/d/yyyy h:mm:ss"/>
  </numFmts>
  <fonts count="104">
    <font>
      <sz val="10.0"/>
      <color rgb="FF000000"/>
      <name val="Arial"/>
      <scheme val="minor"/>
    </font>
    <font>
      <color theme="1"/>
      <name val="Lobster"/>
    </font>
    <font>
      <color rgb="FF00FF00"/>
      <name val="Lobster"/>
    </font>
    <font>
      <i/>
      <sz val="37.0"/>
      <color rgb="FF00FF00"/>
      <name val="Lobster"/>
    </font>
    <font/>
    <font>
      <sz val="14.0"/>
      <color rgb="FFFFFFFF"/>
      <name val="Lobster"/>
    </font>
    <font>
      <color rgb="FFFFFFFF"/>
      <name val="Lobster"/>
    </font>
    <font>
      <b/>
      <sz val="14.0"/>
      <color theme="1"/>
      <name val="Lobster"/>
    </font>
    <font>
      <color rgb="FFFF001A"/>
      <name val="Lobster"/>
    </font>
    <font>
      <i/>
      <color rgb="FFFF1424"/>
      <name val="Lobster"/>
    </font>
    <font>
      <i/>
      <sz val="19.0"/>
      <color rgb="FFFFFFFF"/>
      <name val="Arial"/>
      <scheme val="minor"/>
    </font>
    <font>
      <color rgb="FFF9363C"/>
      <name val="Lobster"/>
    </font>
    <font>
      <color rgb="FFFFFFFF"/>
      <name val="Arial"/>
      <scheme val="minor"/>
    </font>
    <font>
      <color rgb="FF00FF00"/>
      <name val="Arial"/>
      <scheme val="minor"/>
    </font>
    <font>
      <color theme="1"/>
      <name val="Arial"/>
      <scheme val="minor"/>
    </font>
    <font>
      <color rgb="FFF74146"/>
      <name val="Lobster"/>
    </font>
    <font>
      <sz val="12.0"/>
      <color rgb="FFFFFFFF"/>
      <name val="Arial"/>
      <scheme val="minor"/>
    </font>
    <font>
      <sz val="12.0"/>
      <color rgb="FFFF9900"/>
      <name val="Arial"/>
      <scheme val="minor"/>
    </font>
    <font>
      <sz val="12.0"/>
      <color rgb="FF9900FF"/>
      <name val="Arial"/>
      <scheme val="minor"/>
    </font>
    <font>
      <sz val="12.0"/>
      <color rgb="FF00FFFF"/>
      <name val="Arial"/>
      <scheme val="minor"/>
    </font>
    <font>
      <sz val="12.0"/>
      <color rgb="FF4A86E8"/>
      <name val="Arial"/>
      <scheme val="minor"/>
    </font>
    <font>
      <sz val="12.0"/>
      <color rgb="FFFFFF00"/>
      <name val="Arial"/>
      <scheme val="minor"/>
    </font>
    <font>
      <sz val="12.0"/>
      <color rgb="FF00FF00"/>
      <name val="Arial"/>
      <scheme val="minor"/>
    </font>
    <font>
      <color rgb="FF000000"/>
      <name val="Lobster"/>
    </font>
    <font>
      <color rgb="FFF44B4F"/>
      <name val="Lobster"/>
    </font>
    <font>
      <color rgb="FFEE6C6E"/>
      <name val="Lobster"/>
    </font>
    <font>
      <color rgb="FFFF9900"/>
      <name val="Arial"/>
      <scheme val="minor"/>
    </font>
    <font>
      <color rgb="FFEB8284"/>
      <name val="Lobster"/>
    </font>
    <font>
      <color rgb="FF9900FF"/>
      <name val="Arial"/>
      <scheme val="minor"/>
    </font>
    <font>
      <color rgb="FFE98D8E"/>
      <name val="Lobster"/>
    </font>
    <font>
      <color rgb="FF00FFFF"/>
      <name val="Arial"/>
      <scheme val="minor"/>
    </font>
    <font>
      <color rgb="FFE4A2A3"/>
      <name val="Lobster"/>
    </font>
    <font>
      <color rgb="FF4A86E8"/>
      <name val="Arial"/>
      <scheme val="minor"/>
    </font>
    <font>
      <color rgb="FFE0B8B8"/>
      <name val="Lobster"/>
    </font>
    <font>
      <color rgb="FFD9D9D9"/>
      <name val="Lobster"/>
    </font>
    <font>
      <color rgb="FFACE1B0"/>
      <name val="Lobster"/>
    </font>
    <font>
      <sz val="11.0"/>
      <color rgb="FF000000"/>
      <name val="Lobster"/>
    </font>
    <font>
      <color rgb="FFA0E3A5"/>
      <name val="Lobster"/>
    </font>
    <font>
      <sz val="30.0"/>
      <color rgb="FF00FF00"/>
      <name val="Lobster"/>
    </font>
    <font>
      <sz val="30.0"/>
      <color rgb="FFFFFFFF"/>
      <name val="Lobster"/>
    </font>
    <font>
      <color rgb="FF63EE74"/>
      <name val="Lobster"/>
    </font>
    <font>
      <sz val="18.0"/>
      <color rgb="FF00FF00"/>
      <name val="Lobster"/>
    </font>
    <font>
      <sz val="23.0"/>
      <color rgb="FF00FF00"/>
      <name val="Lobster"/>
    </font>
    <font>
      <sz val="23.0"/>
      <color rgb="FFFF0000"/>
      <name val="Lobster"/>
    </font>
    <font>
      <sz val="23.0"/>
      <color rgb="FFFFFFFF"/>
      <name val="Lobster"/>
    </font>
    <font>
      <sz val="10.0"/>
      <color theme="1"/>
      <name val="Lobster"/>
    </font>
    <font>
      <sz val="23.0"/>
      <color rgb="FFFFFF00"/>
      <name val="Lobster"/>
    </font>
    <font>
      <i/>
      <sz val="30.0"/>
      <color rgb="FF00FF00"/>
      <name val="Lobster"/>
    </font>
    <font>
      <color rgb="FFFFFFFF"/>
      <name val="Arial"/>
    </font>
    <font>
      <sz val="12.0"/>
      <color rgb="FF00FF00"/>
      <name val="Lobster"/>
    </font>
    <font>
      <color theme="1"/>
      <name val="Arial"/>
    </font>
    <font>
      <sz val="14.0"/>
      <color theme="1"/>
      <name val="Lobster"/>
    </font>
    <font>
      <strike/>
      <sz val="11.0"/>
      <color rgb="FFFFFFFF"/>
      <name val="Times New Roman"/>
    </font>
    <font>
      <sz val="11.0"/>
      <color theme="1"/>
      <name val="Lobster"/>
    </font>
    <font>
      <i/>
      <sz val="30.0"/>
      <color rgb="FFFFFFFF"/>
      <name val="Lobster"/>
    </font>
    <font>
      <i/>
      <color theme="1"/>
      <name val="Lobster"/>
    </font>
    <font>
      <sz val="20.0"/>
      <color theme="1"/>
      <name val="Lobster"/>
    </font>
    <font>
      <sz val="20.0"/>
      <color rgb="FFFFFFFF"/>
      <name val="Lobster"/>
    </font>
    <font>
      <color rgb="FFFFFFFF"/>
      <name val="Times New Roman"/>
    </font>
    <font>
      <sz val="15.0"/>
      <color rgb="FFFFFFFF"/>
      <name val="Times New Roman"/>
    </font>
    <font>
      <sz val="15.0"/>
      <color rgb="FFFFFFFF"/>
      <name val="Lobster"/>
    </font>
    <font>
      <strike/>
      <sz val="15.0"/>
      <color theme="1"/>
      <name val="Lobster"/>
    </font>
    <font>
      <b/>
      <sz val="13.0"/>
      <color rgb="FFFFFFFF"/>
      <name val="Arial"/>
    </font>
    <font>
      <b/>
      <color rgb="FFFFFFFF"/>
      <name val="Arial"/>
    </font>
    <font>
      <b/>
      <sz val="10.0"/>
      <color rgb="FFDBDBDB"/>
      <name val="EuclidCircularSemibold"/>
    </font>
    <font>
      <b/>
      <sz val="10.0"/>
      <color rgb="FFFFFFFF"/>
      <name val="EuclidCircularSemibold"/>
    </font>
    <font>
      <b/>
      <sz val="10.0"/>
      <color rgb="FFDBDBDB"/>
      <name val="Arial"/>
    </font>
    <font>
      <b/>
      <sz val="11.0"/>
      <color rgb="FFFFFFFF"/>
      <name val="Arial"/>
    </font>
    <font>
      <b/>
      <i/>
      <sz val="12.0"/>
      <color rgb="FFFFFFFF"/>
      <name val="Arial"/>
    </font>
    <font>
      <sz val="17.0"/>
      <color rgb="FFFFFFFF"/>
      <name val="Arial"/>
    </font>
    <font>
      <sz val="21.0"/>
      <color rgb="FFFFFFFF"/>
      <name val="Arial"/>
    </font>
    <font>
      <color rgb="FF00FF00"/>
      <name val="Arial"/>
    </font>
    <font>
      <sz val="11.0"/>
      <color rgb="FF00FF00"/>
      <name val="Arial"/>
    </font>
    <font>
      <i/>
      <color rgb="FFFFFFFF"/>
      <name val="Arial"/>
    </font>
    <font>
      <b/>
      <i/>
      <sz val="9.0"/>
      <color rgb="FFFFFFFF"/>
      <name val="Arial"/>
    </font>
    <font>
      <b/>
      <sz val="9.0"/>
      <color rgb="FFFFFFFF"/>
      <name val="Arial"/>
    </font>
    <font>
      <b/>
      <i/>
      <color rgb="FFFFFFFF"/>
      <name val="Arial"/>
    </font>
    <font>
      <u/>
      <color rgb="FFFFFFFF"/>
    </font>
    <font>
      <u/>
      <color rgb="FFFFFFFF"/>
      <name val="Arial"/>
    </font>
    <font>
      <sz val="11.0"/>
      <color rgb="FFFFFFFF"/>
      <name val="Arial"/>
      <scheme val="minor"/>
    </font>
    <font>
      <sz val="9.0"/>
      <color rgb="FF00FF00"/>
      <name val="Arial"/>
    </font>
    <font>
      <b/>
      <sz val="9.0"/>
      <color rgb="FF00FF00"/>
      <name val="Arial"/>
    </font>
    <font>
      <i/>
      <sz val="9.0"/>
      <color rgb="FF00FF00"/>
      <name val="Arial"/>
    </font>
    <font>
      <b/>
      <i/>
      <sz val="9.0"/>
      <color rgb="FF00FF00"/>
      <name val="Arial"/>
    </font>
    <font>
      <color rgb="FF000000"/>
      <name val="Arial"/>
    </font>
    <font>
      <b/>
      <sz val="9.0"/>
      <color rgb="FF000000"/>
      <name val="Arial"/>
    </font>
    <font>
      <sz val="11.0"/>
      <color theme="1"/>
      <name val="Arial"/>
    </font>
    <font>
      <sz val="11.0"/>
      <color rgb="FFFFFFFF"/>
      <name val="Arial"/>
    </font>
    <font>
      <color rgb="FFFF9900"/>
      <name val="Arial"/>
    </font>
    <font>
      <sz val="9.0"/>
      <color rgb="FFFFFFFF"/>
      <name val="Arial"/>
    </font>
    <font>
      <b/>
      <color theme="1"/>
      <name val="Arial"/>
    </font>
    <font>
      <i/>
      <color rgb="FF666666"/>
      <name val="Arial"/>
    </font>
    <font>
      <u/>
      <color rgb="FF1155CC"/>
      <name val="Arial"/>
    </font>
    <font>
      <u/>
      <color rgb="FF1155CC"/>
      <name val="Arial"/>
    </font>
    <font>
      <u/>
      <color rgb="FF1155CC"/>
      <name val="Arial"/>
    </font>
    <font>
      <u/>
      <color rgb="FF0000FF"/>
      <name val="Arial"/>
    </font>
    <font>
      <color rgb="FF111111"/>
      <name val="Arial"/>
    </font>
    <font>
      <u/>
      <color rgb="FF1155CC"/>
      <name val="Arial"/>
    </font>
    <font>
      <b/>
      <i/>
      <sz val="11.0"/>
      <color rgb="FFFF0000"/>
      <name val="Arial"/>
    </font>
    <font>
      <u/>
      <color rgb="FF0000FF"/>
      <name val="Arial"/>
    </font>
    <font>
      <color rgb="FF000000"/>
      <name val="Monospace"/>
    </font>
    <font>
      <color rgb="FF000000"/>
      <name val="Sans-serif"/>
    </font>
    <font>
      <b/>
      <sz val="12.0"/>
      <color rgb="FF00FF00"/>
      <name val="Arial"/>
    </font>
    <font>
      <b/>
      <color rgb="FF00FF00"/>
      <name val="Arial"/>
    </font>
  </fonts>
  <fills count="35">
    <fill>
      <patternFill patternType="none"/>
    </fill>
    <fill>
      <patternFill patternType="lightGray"/>
    </fill>
    <fill>
      <patternFill patternType="solid">
        <fgColor rgb="FF000000"/>
        <bgColor rgb="FF000000"/>
      </patternFill>
    </fill>
    <fill>
      <patternFill patternType="solid">
        <fgColor rgb="FFFF0000"/>
        <bgColor rgb="FFFF0000"/>
      </patternFill>
    </fill>
    <fill>
      <patternFill patternType="solid">
        <fgColor rgb="FFFC1515"/>
        <bgColor rgb="FFFC1515"/>
      </patternFill>
    </fill>
    <fill>
      <patternFill patternType="solid">
        <fgColor rgb="FFF63636"/>
        <bgColor rgb="FFF63636"/>
      </patternFill>
    </fill>
    <fill>
      <patternFill patternType="solid">
        <fgColor rgb="FFF44141"/>
        <bgColor rgb="FFF44141"/>
      </patternFill>
    </fill>
    <fill>
      <patternFill patternType="solid">
        <fgColor rgb="FFF24B4B"/>
        <bgColor rgb="FFF24B4B"/>
      </patternFill>
    </fill>
    <fill>
      <patternFill patternType="solid">
        <fgColor rgb="FF666666"/>
        <bgColor rgb="FF666666"/>
      </patternFill>
    </fill>
    <fill>
      <patternFill patternType="solid">
        <fgColor rgb="FFEC6C6C"/>
        <bgColor rgb="FFEC6C6C"/>
      </patternFill>
    </fill>
    <fill>
      <patternFill patternType="solid">
        <fgColor rgb="FFE98282"/>
        <bgColor rgb="FFE98282"/>
      </patternFill>
    </fill>
    <fill>
      <patternFill patternType="solid">
        <fgColor rgb="FFE78D8D"/>
        <bgColor rgb="FFE78D8D"/>
      </patternFill>
    </fill>
    <fill>
      <patternFill patternType="solid">
        <fgColor rgb="FFE3A2A2"/>
        <bgColor rgb="FFE3A2A2"/>
      </patternFill>
    </fill>
    <fill>
      <patternFill patternType="solid">
        <fgColor rgb="FFDFB8B8"/>
        <bgColor rgb="FFDFB8B8"/>
      </patternFill>
    </fill>
    <fill>
      <patternFill patternType="solid">
        <fgColor rgb="FFD9D9D9"/>
        <bgColor rgb="FFD9D9D9"/>
      </patternFill>
    </fill>
    <fill>
      <patternFill patternType="solid">
        <fgColor rgb="FFAEE0AE"/>
        <bgColor rgb="FFAEE0AE"/>
      </patternFill>
    </fill>
    <fill>
      <patternFill patternType="solid">
        <fgColor rgb="FFA3E2A3"/>
        <bgColor rgb="FFA3E2A3"/>
      </patternFill>
    </fill>
    <fill>
      <patternFill patternType="solid">
        <fgColor rgb="FF6DEC6D"/>
        <bgColor rgb="FF6DEC6D"/>
      </patternFill>
    </fill>
    <fill>
      <patternFill patternType="solid">
        <fgColor rgb="FFEA9999"/>
        <bgColor rgb="FFEA9999"/>
      </patternFill>
    </fill>
    <fill>
      <patternFill patternType="solid">
        <fgColor rgb="FFB6D7A8"/>
        <bgColor rgb="FFB6D7A8"/>
      </patternFill>
    </fill>
    <fill>
      <patternFill patternType="solid">
        <fgColor rgb="FFA4C2F4"/>
        <bgColor rgb="FFA4C2F4"/>
      </patternFill>
    </fill>
    <fill>
      <patternFill patternType="solid">
        <fgColor rgb="FFB45F06"/>
        <bgColor rgb="FFB45F06"/>
      </patternFill>
    </fill>
    <fill>
      <patternFill patternType="solid">
        <fgColor rgb="FF4A86E8"/>
        <bgColor rgb="FF4A86E8"/>
      </patternFill>
    </fill>
    <fill>
      <patternFill patternType="solid">
        <fgColor rgb="FF351C75"/>
        <bgColor rgb="FF351C75"/>
      </patternFill>
    </fill>
    <fill>
      <patternFill patternType="solid">
        <fgColor rgb="FF3C78D8"/>
        <bgColor rgb="FF3C78D8"/>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EFEFEF"/>
        <bgColor rgb="FFEFEFEF"/>
      </patternFill>
    </fill>
    <fill>
      <patternFill patternType="solid">
        <fgColor rgb="FFC9DAF8"/>
        <bgColor rgb="FFC9DAF8"/>
      </patternFill>
    </fill>
    <fill>
      <patternFill patternType="solid">
        <fgColor rgb="FFEAD1DC"/>
        <bgColor rgb="FFEAD1DC"/>
      </patternFill>
    </fill>
    <fill>
      <patternFill patternType="solid">
        <fgColor rgb="FFFDFEFF"/>
        <bgColor rgb="FFFDFEFF"/>
      </patternFill>
    </fill>
    <fill>
      <patternFill patternType="solid">
        <fgColor rgb="FFF3BC0A"/>
        <bgColor rgb="FFF3BC0A"/>
      </patternFill>
    </fill>
  </fills>
  <borders count="36">
    <border/>
    <border>
      <bottom style="thin">
        <color rgb="FF00FF00"/>
      </bottom>
    </border>
    <border>
      <left style="thick">
        <color rgb="FF000000"/>
      </left>
      <right style="medium">
        <color rgb="FF000000"/>
      </right>
      <top style="medium">
        <color rgb="FF000000"/>
      </top>
    </border>
    <border>
      <left style="thick">
        <color rgb="FF000000"/>
      </left>
      <right style="medium">
        <color rgb="FF000000"/>
      </right>
    </border>
    <border>
      <left style="thin">
        <color rgb="FF00FF00"/>
      </left>
      <top style="thin">
        <color rgb="FF00FF00"/>
      </top>
      <bottom style="thin">
        <color rgb="FF00FF00"/>
      </bottom>
    </border>
    <border>
      <top style="thin">
        <color rgb="FF00FF00"/>
      </top>
      <bottom style="thin">
        <color rgb="FF00FF00"/>
      </bottom>
    </border>
    <border>
      <right style="thin">
        <color rgb="FF00FF00"/>
      </right>
      <top style="thin">
        <color rgb="FF00FF00"/>
      </top>
      <bottom style="thin">
        <color rgb="FF00FF00"/>
      </bottom>
    </border>
    <border>
      <left style="thin">
        <color rgb="FF00FF00"/>
      </left>
      <right style="thin">
        <color rgb="FF00FF00"/>
      </right>
      <top style="thin">
        <color rgb="FF00FF00"/>
      </top>
      <bottom style="thin">
        <color rgb="FF00FF00"/>
      </bottom>
    </border>
    <border>
      <left style="thick">
        <color rgb="FF000000"/>
      </left>
      <right style="medium">
        <color rgb="FF000000"/>
      </right>
      <bottom style="medium">
        <color rgb="FF000000"/>
      </bottom>
    </border>
    <border>
      <right style="thin">
        <color rgb="FF00FF00"/>
      </right>
      <bottom style="thin">
        <color rgb="FF00FF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right style="thin">
        <color rgb="FF000000"/>
      </right>
      <top style="thin">
        <color rgb="FF000000"/>
      </top>
      <bottom style="thin">
        <color rgb="FF000000"/>
      </bottom>
    </border>
    <border>
      <left style="thin">
        <color rgb="FF00FF00"/>
      </left>
      <right style="thin">
        <color rgb="FF00FF00"/>
      </right>
      <top style="thin">
        <color rgb="FF00FF00"/>
      </top>
    </border>
    <border>
      <left style="thin">
        <color rgb="FF00FF00"/>
      </left>
      <right style="thin">
        <color rgb="FF00FF00"/>
      </right>
      <bottom style="thin">
        <color rgb="FF00FF00"/>
      </bottom>
    </border>
    <border>
      <left style="thick">
        <color rgb="FF00FF00"/>
      </left>
      <right style="thick">
        <color rgb="FF00FF00"/>
      </right>
      <top style="thick">
        <color rgb="FF00FF00"/>
      </top>
      <bottom style="thick">
        <color rgb="FF00FF00"/>
      </bottom>
    </border>
    <border>
      <left style="thin">
        <color rgb="FF07F848"/>
      </left>
      <right style="thin">
        <color rgb="FF07F848"/>
      </right>
      <top style="thin">
        <color rgb="FF07F848"/>
      </top>
      <bottom style="thin">
        <color rgb="FF07F848"/>
      </bottom>
    </border>
    <border>
      <left style="thin">
        <color rgb="FF07F848"/>
      </left>
      <right style="thin">
        <color rgb="FF07F848"/>
      </right>
      <top style="thin">
        <color rgb="FF07F848"/>
      </top>
    </border>
    <border>
      <right style="thin">
        <color rgb="FF00FF00"/>
      </right>
      <top style="thin">
        <color rgb="FF00FF00"/>
      </top>
    </border>
    <border>
      <left style="thin">
        <color rgb="FF6DEC6D"/>
      </left>
      <right style="thin">
        <color rgb="FF6DEC6D"/>
      </right>
      <top style="thin">
        <color rgb="FF6DEC6D"/>
      </top>
      <bottom style="thin">
        <color rgb="FF6DEC6D"/>
      </bottom>
    </border>
    <border>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FF00"/>
      </left>
      <right style="thin">
        <color rgb="FF00FF00"/>
      </right>
    </border>
    <border>
      <left style="medium">
        <color rgb="FF000000"/>
      </left>
      <right style="thin">
        <color rgb="FF000000"/>
      </right>
      <bottom style="medium">
        <color rgb="FF000000"/>
      </bottom>
    </border>
    <border>
      <right style="thin">
        <color rgb="FF000000"/>
      </right>
      <bottom style="medium">
        <color rgb="FF000000"/>
      </bottom>
    </border>
    <border>
      <right style="medium">
        <color rgb="FF000000"/>
      </right>
    </border>
  </borders>
  <cellStyleXfs count="1">
    <xf borderId="0" fillId="0" fontId="0" numFmtId="0" applyAlignment="1" applyFont="1"/>
  </cellStyleXfs>
  <cellXfs count="475">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1" fillId="2" fontId="3" numFmtId="0" xfId="0" applyAlignment="1" applyBorder="1" applyFont="1">
      <alignment horizontal="center" readingOrder="0" vertical="bottom"/>
    </xf>
    <xf borderId="1" fillId="0" fontId="4" numFmtId="0" xfId="0" applyBorder="1" applyFont="1"/>
    <xf borderId="0" fillId="2" fontId="5" numFmtId="0" xfId="0" applyAlignment="1" applyFont="1">
      <alignment readingOrder="0" vertical="bottom"/>
    </xf>
    <xf borderId="0" fillId="2" fontId="6" numFmtId="0" xfId="0" applyAlignment="1" applyFont="1">
      <alignment vertical="bottom"/>
    </xf>
    <xf borderId="0" fillId="0" fontId="7" numFmtId="0" xfId="0" applyAlignment="1" applyFont="1">
      <alignment horizontal="center" vertical="bottom"/>
    </xf>
    <xf borderId="2" fillId="3" fontId="8" numFmtId="0" xfId="0" applyAlignment="1" applyBorder="1" applyFill="1" applyFont="1">
      <alignment horizontal="right" vertical="bottom"/>
    </xf>
    <xf borderId="3" fillId="4" fontId="9" numFmtId="0" xfId="0" applyAlignment="1" applyBorder="1" applyFill="1" applyFont="1">
      <alignment horizontal="center" vertical="bottom"/>
    </xf>
    <xf borderId="4" fillId="2" fontId="10" numFmtId="0" xfId="0" applyAlignment="1" applyBorder="1" applyFont="1">
      <alignment horizontal="center" readingOrder="0"/>
    </xf>
    <xf borderId="5" fillId="0" fontId="4" numFmtId="0" xfId="0" applyBorder="1" applyFont="1"/>
    <xf borderId="6" fillId="0" fontId="4" numFmtId="0" xfId="0" applyBorder="1" applyFont="1"/>
    <xf borderId="0" fillId="2" fontId="10" numFmtId="0" xfId="0" applyAlignment="1" applyFont="1">
      <alignment horizontal="center" readingOrder="0"/>
    </xf>
    <xf borderId="3" fillId="5" fontId="11" numFmtId="0" xfId="0" applyAlignment="1" applyBorder="1" applyFill="1" applyFont="1">
      <alignment horizontal="right" vertical="bottom"/>
    </xf>
    <xf borderId="0" fillId="2" fontId="12" numFmtId="0" xfId="0" applyAlignment="1" applyFont="1">
      <alignment horizontal="center" readingOrder="0"/>
    </xf>
    <xf borderId="0" fillId="2" fontId="13" numFmtId="0" xfId="0" applyAlignment="1" applyFont="1">
      <alignment readingOrder="0"/>
    </xf>
    <xf borderId="0" fillId="2" fontId="14" numFmtId="0" xfId="0" applyFont="1"/>
    <xf borderId="3" fillId="6" fontId="15" numFmtId="0" xfId="0" applyAlignment="1" applyBorder="1" applyFill="1" applyFont="1">
      <alignment horizontal="right" vertical="bottom"/>
    </xf>
    <xf borderId="7" fillId="2" fontId="16" numFmtId="0" xfId="0" applyAlignment="1" applyBorder="1" applyFont="1">
      <alignment horizontal="center" readingOrder="0"/>
    </xf>
    <xf borderId="7" fillId="2" fontId="17" numFmtId="0" xfId="0" applyAlignment="1" applyBorder="1" applyFont="1">
      <alignment horizontal="center" readingOrder="0"/>
    </xf>
    <xf borderId="7" fillId="2" fontId="18" numFmtId="0" xfId="0" applyAlignment="1" applyBorder="1" applyFont="1">
      <alignment horizontal="center" readingOrder="0"/>
    </xf>
    <xf borderId="7" fillId="2" fontId="19" numFmtId="0" xfId="0" applyAlignment="1" applyBorder="1" applyFont="1">
      <alignment horizontal="center" readingOrder="0"/>
    </xf>
    <xf borderId="7" fillId="2" fontId="20" numFmtId="0" xfId="0" applyAlignment="1" applyBorder="1" applyFont="1">
      <alignment horizontal="center" readingOrder="0"/>
    </xf>
    <xf borderId="7" fillId="2" fontId="21" numFmtId="0" xfId="0" applyAlignment="1" applyBorder="1" applyFont="1">
      <alignment horizontal="center" readingOrder="0"/>
    </xf>
    <xf borderId="7" fillId="2" fontId="22" numFmtId="0" xfId="0" applyAlignment="1" applyBorder="1" applyFont="1">
      <alignment horizontal="center" readingOrder="0"/>
    </xf>
    <xf borderId="0" fillId="2" fontId="23" numFmtId="0" xfId="0" applyAlignment="1" applyFont="1">
      <alignment shrinkToFit="0" wrapText="1"/>
    </xf>
    <xf borderId="3" fillId="7" fontId="24" numFmtId="0" xfId="0" applyAlignment="1" applyBorder="1" applyFill="1" applyFont="1">
      <alignment horizontal="right" vertical="bottom"/>
    </xf>
    <xf borderId="0" fillId="2" fontId="5" numFmtId="2" xfId="0" applyAlignment="1" applyFont="1" applyNumberFormat="1">
      <alignment readingOrder="0" vertical="bottom"/>
    </xf>
    <xf borderId="0" fillId="2" fontId="5" numFmtId="2" xfId="0" applyAlignment="1" applyFont="1" applyNumberFormat="1">
      <alignment vertical="bottom"/>
    </xf>
    <xf borderId="7" fillId="8" fontId="22" numFmtId="1" xfId="0" applyAlignment="1" applyBorder="1" applyFill="1" applyFont="1" applyNumberFormat="1">
      <alignment horizontal="center"/>
    </xf>
    <xf borderId="7" fillId="2" fontId="22" numFmtId="1" xfId="0" applyAlignment="1" applyBorder="1" applyFont="1" applyNumberFormat="1">
      <alignment horizontal="center" readingOrder="0"/>
    </xf>
    <xf borderId="0" fillId="2" fontId="12" numFmtId="0" xfId="0" applyFont="1"/>
    <xf borderId="3" fillId="9" fontId="25" numFmtId="0" xfId="0" applyAlignment="1" applyBorder="1" applyFill="1" applyFont="1">
      <alignment horizontal="right" vertical="bottom"/>
    </xf>
    <xf borderId="0" fillId="2" fontId="26" numFmtId="0" xfId="0" applyAlignment="1" applyFont="1">
      <alignment horizontal="center" readingOrder="0"/>
    </xf>
    <xf borderId="0" fillId="2" fontId="12" numFmtId="0" xfId="0" applyAlignment="1" applyFont="1">
      <alignment readingOrder="0"/>
    </xf>
    <xf borderId="3" fillId="10" fontId="27" numFmtId="0" xfId="0" applyAlignment="1" applyBorder="1" applyFill="1" applyFont="1">
      <alignment horizontal="right" vertical="bottom"/>
    </xf>
    <xf borderId="0" fillId="2" fontId="28" numFmtId="0" xfId="0" applyAlignment="1" applyFont="1">
      <alignment horizontal="center" readingOrder="0"/>
    </xf>
    <xf borderId="3" fillId="11" fontId="29" numFmtId="0" xfId="0" applyAlignment="1" applyBorder="1" applyFill="1" applyFont="1">
      <alignment horizontal="right" vertical="bottom"/>
    </xf>
    <xf borderId="0" fillId="2" fontId="30" numFmtId="0" xfId="0" applyAlignment="1" applyFont="1">
      <alignment horizontal="center" readingOrder="0"/>
    </xf>
    <xf borderId="3" fillId="12" fontId="31" numFmtId="0" xfId="0" applyAlignment="1" applyBorder="1" applyFill="1" applyFont="1">
      <alignment horizontal="right" vertical="bottom"/>
    </xf>
    <xf borderId="0" fillId="2" fontId="32" numFmtId="0" xfId="0" applyAlignment="1" applyFont="1">
      <alignment horizontal="center" readingOrder="0"/>
    </xf>
    <xf borderId="3" fillId="13" fontId="33" numFmtId="0" xfId="0" applyAlignment="1" applyBorder="1" applyFill="1" applyFont="1">
      <alignment horizontal="right" vertical="bottom"/>
    </xf>
    <xf borderId="0" fillId="2" fontId="13" numFmtId="0" xfId="0" applyAlignment="1" applyFont="1">
      <alignment horizontal="center" readingOrder="0"/>
    </xf>
    <xf borderId="7" fillId="8" fontId="16" numFmtId="1" xfId="0" applyAlignment="1" applyBorder="1" applyFont="1" applyNumberFormat="1">
      <alignment horizontal="center"/>
    </xf>
    <xf borderId="3" fillId="14" fontId="34" numFmtId="0" xfId="0" applyAlignment="1" applyBorder="1" applyFill="1" applyFont="1">
      <alignment horizontal="right" vertical="bottom"/>
    </xf>
    <xf borderId="0" fillId="2" fontId="14" numFmtId="0" xfId="0" applyAlignment="1" applyFont="1">
      <alignment horizontal="center"/>
    </xf>
    <xf borderId="0" fillId="2" fontId="22" numFmtId="0" xfId="0" applyAlignment="1" applyFont="1">
      <alignment horizontal="center" readingOrder="0"/>
    </xf>
    <xf borderId="0" fillId="2" fontId="22" numFmtId="1" xfId="0" applyAlignment="1" applyFont="1" applyNumberFormat="1">
      <alignment horizontal="center" readingOrder="0"/>
    </xf>
    <xf borderId="0" fillId="2" fontId="22" numFmtId="1" xfId="0" applyAlignment="1" applyFont="1" applyNumberFormat="1">
      <alignment horizontal="center"/>
    </xf>
    <xf borderId="3" fillId="15" fontId="35" numFmtId="0" xfId="0" applyAlignment="1" applyBorder="1" applyFill="1" applyFont="1">
      <alignment horizontal="right" vertical="bottom"/>
    </xf>
    <xf borderId="0" fillId="2" fontId="2" numFmtId="0" xfId="0" applyAlignment="1" applyFont="1">
      <alignment shrinkToFit="0" wrapText="1"/>
    </xf>
    <xf borderId="0" fillId="2" fontId="36" numFmtId="0" xfId="0" applyAlignment="1" applyFont="1">
      <alignment readingOrder="0" shrinkToFit="0" wrapText="1"/>
    </xf>
    <xf borderId="3" fillId="16" fontId="37" numFmtId="0" xfId="0" applyAlignment="1" applyBorder="1" applyFill="1" applyFont="1">
      <alignment horizontal="right" vertical="bottom"/>
    </xf>
    <xf borderId="1" fillId="2" fontId="38" numFmtId="0" xfId="0" applyAlignment="1" applyBorder="1" applyFont="1">
      <alignment readingOrder="0" vertical="bottom"/>
    </xf>
    <xf borderId="1" fillId="2" fontId="2" numFmtId="0" xfId="0" applyAlignment="1" applyBorder="1" applyFont="1">
      <alignment shrinkToFit="0" wrapText="1"/>
    </xf>
    <xf borderId="0" fillId="2" fontId="39" numFmtId="0" xfId="0" applyAlignment="1" applyFont="1">
      <alignment readingOrder="0" shrinkToFit="0" wrapText="0"/>
    </xf>
    <xf borderId="3" fillId="17" fontId="40" numFmtId="0" xfId="0" applyAlignment="1" applyBorder="1" applyFill="1" applyFont="1">
      <alignment horizontal="right" vertical="bottom"/>
    </xf>
    <xf borderId="0" fillId="2" fontId="41" numFmtId="0" xfId="0" applyAlignment="1" applyFont="1">
      <alignment readingOrder="0" shrinkToFit="0" wrapText="1"/>
    </xf>
    <xf borderId="7" fillId="2" fontId="41" numFmtId="0" xfId="0" applyAlignment="1" applyBorder="1" applyFont="1">
      <alignment horizontal="center" readingOrder="0" shrinkToFit="0" wrapText="1"/>
    </xf>
    <xf borderId="7" fillId="2" fontId="42" numFmtId="0" xfId="0" applyAlignment="1" applyBorder="1" applyFont="1">
      <alignment readingOrder="0" vertical="bottom"/>
    </xf>
    <xf borderId="7" fillId="2" fontId="41" numFmtId="9" xfId="0" applyAlignment="1" applyBorder="1" applyFont="1" applyNumberFormat="1">
      <alignment readingOrder="0" shrinkToFit="0" wrapText="1"/>
    </xf>
    <xf borderId="0" fillId="2" fontId="43" numFmtId="0" xfId="0" applyAlignment="1" applyFont="1">
      <alignment readingOrder="0" shrinkToFit="0" wrapText="1"/>
    </xf>
    <xf borderId="0" fillId="2" fontId="44" numFmtId="9" xfId="0" applyAlignment="1" applyFont="1" applyNumberFormat="1">
      <alignment readingOrder="0" shrinkToFit="0" wrapText="1"/>
    </xf>
    <xf borderId="0" fillId="2" fontId="45" numFmtId="0" xfId="0" applyAlignment="1" applyFont="1">
      <alignment vertical="bottom"/>
    </xf>
    <xf borderId="0" fillId="2" fontId="2" numFmtId="0" xfId="0" applyAlignment="1" applyFont="1">
      <alignment readingOrder="0" shrinkToFit="0" wrapText="1"/>
    </xf>
    <xf borderId="0" fillId="2" fontId="46" numFmtId="0" xfId="0" applyAlignment="1" applyFont="1">
      <alignment readingOrder="0" shrinkToFit="0" wrapText="1"/>
    </xf>
    <xf borderId="3" fillId="2" fontId="40" numFmtId="0" xfId="0" applyAlignment="1" applyBorder="1" applyFont="1">
      <alignment horizontal="right" vertical="bottom"/>
    </xf>
    <xf borderId="1" fillId="2" fontId="47" numFmtId="0" xfId="0" applyAlignment="1" applyBorder="1" applyFont="1">
      <alignment vertical="bottom"/>
    </xf>
    <xf borderId="1" fillId="2" fontId="48" numFmtId="0" xfId="0" applyAlignment="1" applyBorder="1" applyFont="1">
      <alignment vertical="bottom"/>
    </xf>
    <xf borderId="7" fillId="2" fontId="49" numFmtId="0" xfId="0" applyAlignment="1" applyBorder="1" applyFont="1">
      <alignment horizontal="center" vertical="bottom"/>
    </xf>
    <xf borderId="7" fillId="2" fontId="42" numFmtId="9" xfId="0" applyAlignment="1" applyBorder="1" applyFont="1" applyNumberFormat="1">
      <alignment readingOrder="0" vertical="bottom"/>
    </xf>
    <xf borderId="3" fillId="2" fontId="23" numFmtId="0" xfId="0" applyAlignment="1" applyBorder="1" applyFont="1">
      <alignment horizontal="right" vertical="bottom"/>
    </xf>
    <xf borderId="0" fillId="2" fontId="23" numFmtId="0" xfId="0" applyAlignment="1" applyFont="1">
      <alignment vertical="bottom"/>
    </xf>
    <xf borderId="0" fillId="2" fontId="48" numFmtId="0" xfId="0" applyAlignment="1" applyFont="1">
      <alignment vertical="bottom"/>
    </xf>
    <xf borderId="0" fillId="2" fontId="49" numFmtId="0" xfId="0" applyAlignment="1" applyFont="1">
      <alignment horizontal="center" vertical="bottom"/>
    </xf>
    <xf borderId="0" fillId="2" fontId="42" numFmtId="0" xfId="0" applyAlignment="1" applyFont="1">
      <alignment readingOrder="0" vertical="bottom"/>
    </xf>
    <xf borderId="0" fillId="2" fontId="42" numFmtId="9" xfId="0" applyAlignment="1" applyFont="1" applyNumberFormat="1">
      <alignment readingOrder="0" vertical="bottom"/>
    </xf>
    <xf borderId="0" fillId="2" fontId="38" numFmtId="0" xfId="0" applyAlignment="1" applyFont="1">
      <alignment horizontal="center" vertical="bottom"/>
    </xf>
    <xf borderId="0" fillId="2" fontId="48" numFmtId="0" xfId="0" applyAlignment="1" applyFont="1">
      <alignment vertical="bottom"/>
    </xf>
    <xf borderId="0" fillId="2" fontId="50" numFmtId="0" xfId="0" applyAlignment="1" applyFont="1">
      <alignment vertical="bottom"/>
    </xf>
    <xf borderId="0" fillId="2" fontId="50" numFmtId="0" xfId="0" applyAlignment="1" applyFont="1">
      <alignment vertical="bottom"/>
    </xf>
    <xf borderId="0" fillId="2" fontId="5" numFmtId="0" xfId="0" applyAlignment="1" applyFont="1">
      <alignment vertical="bottom"/>
    </xf>
    <xf borderId="0" fillId="2" fontId="51" numFmtId="0" xfId="0" applyAlignment="1" applyFont="1">
      <alignment horizontal="center" readingOrder="0" vertical="bottom"/>
    </xf>
    <xf borderId="0" fillId="2" fontId="52" numFmtId="0" xfId="0" applyAlignment="1" applyFont="1">
      <alignment horizontal="center" vertical="bottom"/>
    </xf>
    <xf borderId="0" fillId="2" fontId="53" numFmtId="0" xfId="0" applyAlignment="1" applyFont="1">
      <alignment readingOrder="0" vertical="bottom"/>
    </xf>
    <xf borderId="0" fillId="2" fontId="54" numFmtId="0" xfId="0" applyAlignment="1" applyFont="1">
      <alignment readingOrder="0" vertical="bottom"/>
    </xf>
    <xf borderId="0" fillId="2" fontId="55" numFmtId="0" xfId="0" applyAlignment="1" applyFont="1">
      <alignment vertical="bottom"/>
    </xf>
    <xf borderId="0" fillId="2" fontId="56" numFmtId="0" xfId="0" applyAlignment="1" applyFont="1">
      <alignment horizontal="center" readingOrder="0" vertical="bottom"/>
    </xf>
    <xf borderId="0" fillId="2" fontId="57" numFmtId="0" xfId="0" applyAlignment="1" applyFont="1">
      <alignment readingOrder="0" vertical="bottom"/>
    </xf>
    <xf borderId="0" fillId="2" fontId="58" numFmtId="0" xfId="0" applyAlignment="1" applyFont="1">
      <alignment horizontal="center" vertical="bottom"/>
    </xf>
    <xf borderId="8" fillId="2" fontId="23" numFmtId="0" xfId="0" applyAlignment="1" applyBorder="1" applyFont="1">
      <alignment horizontal="right" vertical="bottom"/>
    </xf>
    <xf borderId="0" fillId="2" fontId="39" numFmtId="0" xfId="0" applyAlignment="1" applyFont="1">
      <alignment horizontal="center" vertical="bottom"/>
    </xf>
    <xf borderId="0" fillId="2" fontId="59" numFmtId="0" xfId="0" applyAlignment="1" applyFont="1">
      <alignment horizontal="center" vertical="bottom"/>
    </xf>
    <xf borderId="0" fillId="2" fontId="60" numFmtId="0" xfId="0" applyAlignment="1" applyFont="1">
      <alignment vertical="bottom"/>
    </xf>
    <xf borderId="0" fillId="2" fontId="61" numFmtId="0" xfId="0" applyAlignment="1" applyFont="1">
      <alignment vertical="bottom"/>
    </xf>
    <xf borderId="1" fillId="2" fontId="1" numFmtId="0" xfId="0" applyAlignment="1" applyBorder="1" applyFont="1">
      <alignment vertical="bottom"/>
    </xf>
    <xf borderId="9" fillId="2" fontId="1" numFmtId="0" xfId="0" applyAlignment="1" applyBorder="1" applyFont="1">
      <alignment vertical="bottom"/>
    </xf>
    <xf borderId="0" fillId="2" fontId="6" numFmtId="0" xfId="0" applyAlignment="1" applyFont="1">
      <alignment readingOrder="0" shrinkToFit="0" vertical="bottom" wrapText="1"/>
    </xf>
    <xf borderId="0" fillId="2" fontId="6" numFmtId="0" xfId="0" applyAlignment="1" applyFont="1">
      <alignment readingOrder="0" vertical="bottom"/>
    </xf>
    <xf borderId="0" fillId="2" fontId="6" numFmtId="2" xfId="0" applyAlignment="1" applyFont="1" applyNumberFormat="1">
      <alignment horizontal="right" vertical="bottom"/>
    </xf>
    <xf borderId="0" fillId="2" fontId="62" numFmtId="0" xfId="0" applyAlignment="1" applyFont="1">
      <alignment horizontal="center" vertical="bottom"/>
    </xf>
    <xf borderId="0" fillId="2" fontId="62" numFmtId="0" xfId="0" applyAlignment="1" applyFont="1">
      <alignment horizontal="center" readingOrder="0" vertical="bottom"/>
    </xf>
    <xf borderId="7" fillId="2" fontId="62" numFmtId="0" xfId="0" applyAlignment="1" applyBorder="1" applyFont="1">
      <alignment horizontal="center" vertical="bottom"/>
    </xf>
    <xf borderId="7" fillId="2" fontId="63" numFmtId="1" xfId="0" applyAlignment="1" applyBorder="1" applyFont="1" applyNumberFormat="1">
      <alignment vertical="bottom"/>
    </xf>
    <xf borderId="7" fillId="2" fontId="63" numFmtId="0" xfId="0" applyAlignment="1" applyBorder="1" applyFont="1">
      <alignment vertical="bottom"/>
    </xf>
    <xf borderId="7" fillId="2" fontId="63" numFmtId="0" xfId="0" applyAlignment="1" applyBorder="1" applyFont="1">
      <alignment horizontal="center" vertical="bottom"/>
    </xf>
    <xf borderId="7" fillId="2" fontId="63" numFmtId="1" xfId="0" applyAlignment="1" applyBorder="1" applyFont="1" applyNumberFormat="1">
      <alignment horizontal="center" readingOrder="0" vertical="bottom"/>
    </xf>
    <xf borderId="0" fillId="2" fontId="64" numFmtId="0" xfId="0" applyAlignment="1" applyFont="1">
      <alignment readingOrder="0" shrinkToFit="0" wrapText="1"/>
    </xf>
    <xf borderId="7" fillId="2" fontId="63" numFmtId="0" xfId="0" applyAlignment="1" applyBorder="1" applyFont="1">
      <alignment readingOrder="0" vertical="bottom"/>
    </xf>
    <xf borderId="7" fillId="2" fontId="63" numFmtId="0" xfId="0" applyAlignment="1" applyBorder="1" applyFont="1">
      <alignment horizontal="center" readingOrder="0" vertical="bottom"/>
    </xf>
    <xf borderId="7" fillId="2" fontId="65" numFmtId="0" xfId="0" applyAlignment="1" applyBorder="1" applyFont="1">
      <alignment readingOrder="0" shrinkToFit="0" wrapText="1"/>
    </xf>
    <xf borderId="7" fillId="2" fontId="64" numFmtId="0" xfId="0" applyAlignment="1" applyBorder="1" applyFont="1">
      <alignment readingOrder="0" shrinkToFit="0" wrapText="1"/>
    </xf>
    <xf borderId="0" fillId="2" fontId="66" numFmtId="0" xfId="0" applyAlignment="1" applyFont="1">
      <alignment readingOrder="0" shrinkToFit="0" wrapText="1"/>
    </xf>
    <xf borderId="7" fillId="2" fontId="67" numFmtId="0" xfId="0" applyAlignment="1" applyBorder="1" applyFont="1">
      <alignment vertical="bottom"/>
    </xf>
    <xf borderId="7" fillId="2" fontId="68" numFmtId="2" xfId="0" applyAlignment="1" applyBorder="1" applyFont="1" applyNumberFormat="1">
      <alignment horizontal="center" vertical="bottom"/>
    </xf>
    <xf borderId="4" fillId="2" fontId="67" numFmtId="0" xfId="0" applyAlignment="1" applyBorder="1" applyFont="1">
      <alignment horizontal="center" vertical="bottom"/>
    </xf>
    <xf borderId="7" fillId="2" fontId="48" numFmtId="0" xfId="0" applyAlignment="1" applyBorder="1" applyFont="1">
      <alignment horizontal="center" vertical="bottom"/>
    </xf>
    <xf borderId="7" fillId="18" fontId="48" numFmtId="0" xfId="0" applyAlignment="1" applyBorder="1" applyFill="1" applyFont="1">
      <alignment horizontal="center" vertical="bottom"/>
    </xf>
    <xf borderId="7" fillId="2" fontId="48" numFmtId="0" xfId="0" applyAlignment="1" applyBorder="1" applyFont="1">
      <alignment shrinkToFit="0" vertical="bottom" wrapText="1"/>
    </xf>
    <xf borderId="7" fillId="19" fontId="48" numFmtId="0" xfId="0" applyAlignment="1" applyBorder="1" applyFill="1" applyFont="1">
      <alignment horizontal="center" vertical="bottom"/>
    </xf>
    <xf borderId="4" fillId="2" fontId="69" numFmtId="0" xfId="0" applyAlignment="1" applyBorder="1" applyFont="1">
      <alignment readingOrder="0" vertical="bottom"/>
    </xf>
    <xf borderId="7" fillId="20" fontId="48" numFmtId="0" xfId="0" applyAlignment="1" applyBorder="1" applyFill="1" applyFont="1">
      <alignment horizontal="center" vertical="bottom"/>
    </xf>
    <xf borderId="7" fillId="2" fontId="70" numFmtId="2" xfId="0" applyAlignment="1" applyBorder="1" applyFont="1" applyNumberFormat="1">
      <alignment vertical="bottom"/>
    </xf>
    <xf borderId="10" fillId="2" fontId="71" numFmtId="0" xfId="0" applyAlignment="1" applyBorder="1" applyFont="1">
      <alignment horizontal="center" vertical="bottom"/>
    </xf>
    <xf borderId="11" fillId="2" fontId="71" numFmtId="0" xfId="0" applyAlignment="1" applyBorder="1" applyFont="1">
      <alignment horizontal="center" readingOrder="0" vertical="bottom"/>
    </xf>
    <xf borderId="0" fillId="2" fontId="71" numFmtId="0" xfId="0" applyAlignment="1" applyFont="1">
      <alignment vertical="bottom"/>
    </xf>
    <xf borderId="0" fillId="2" fontId="71" numFmtId="0" xfId="0" applyAlignment="1" applyFont="1">
      <alignment readingOrder="0" vertical="bottom"/>
    </xf>
    <xf borderId="10" fillId="2" fontId="71" numFmtId="164" xfId="0" applyAlignment="1" applyBorder="1" applyFont="1" applyNumberFormat="1">
      <alignment horizontal="center" vertical="bottom"/>
    </xf>
    <xf borderId="11" fillId="2" fontId="71" numFmtId="0" xfId="0" applyAlignment="1" applyBorder="1" applyFont="1">
      <alignment horizontal="center" vertical="bottom"/>
    </xf>
    <xf borderId="10" fillId="2" fontId="71" numFmtId="165" xfId="0" applyAlignment="1" applyBorder="1" applyFont="1" applyNumberFormat="1">
      <alignment horizontal="center" vertical="bottom"/>
    </xf>
    <xf borderId="10" fillId="2" fontId="71" numFmtId="166" xfId="0" applyAlignment="1" applyBorder="1" applyFont="1" applyNumberFormat="1">
      <alignment horizontal="center" vertical="bottom"/>
    </xf>
    <xf borderId="0" fillId="2" fontId="71" numFmtId="166" xfId="0" applyAlignment="1" applyFont="1" applyNumberFormat="1">
      <alignment horizontal="center" vertical="bottom"/>
    </xf>
    <xf borderId="12" fillId="2" fontId="71" numFmtId="0" xfId="0" applyAlignment="1" applyBorder="1" applyFont="1">
      <alignment horizontal="center" vertical="bottom"/>
    </xf>
    <xf borderId="0" fillId="2" fontId="71" numFmtId="0" xfId="0" applyAlignment="1" applyFont="1">
      <alignment horizontal="center" vertical="bottom"/>
    </xf>
    <xf borderId="0" fillId="2" fontId="71" numFmtId="164" xfId="0" applyAlignment="1" applyFont="1" applyNumberFormat="1">
      <alignment horizontal="center" readingOrder="0" vertical="bottom"/>
    </xf>
    <xf borderId="0" fillId="2" fontId="71" numFmtId="0" xfId="0" applyAlignment="1" applyFont="1">
      <alignment horizontal="center" readingOrder="0" vertical="bottom"/>
    </xf>
    <xf borderId="0" fillId="2" fontId="71" numFmtId="166" xfId="0" applyAlignment="1" applyFont="1" applyNumberFormat="1">
      <alignment horizontal="center" readingOrder="0" vertical="bottom"/>
    </xf>
    <xf borderId="0" fillId="2" fontId="71" numFmtId="2" xfId="0" applyAlignment="1" applyFont="1" applyNumberFormat="1">
      <alignment readingOrder="0" vertical="bottom"/>
    </xf>
    <xf borderId="0" fillId="2" fontId="72" numFmtId="0" xfId="0" applyAlignment="1" applyFont="1">
      <alignment readingOrder="0" vertical="bottom"/>
    </xf>
    <xf borderId="10" fillId="2" fontId="50" numFmtId="0" xfId="0" applyAlignment="1" applyBorder="1" applyFont="1">
      <alignment vertical="bottom"/>
    </xf>
    <xf borderId="11" fillId="2" fontId="63" numFmtId="0" xfId="0" applyAlignment="1" applyBorder="1" applyFont="1">
      <alignment horizontal="center" vertical="bottom"/>
    </xf>
    <xf borderId="13" fillId="2" fontId="50" numFmtId="167" xfId="0" applyAlignment="1" applyBorder="1" applyFont="1" applyNumberFormat="1">
      <alignment vertical="bottom"/>
    </xf>
    <xf borderId="0" fillId="2" fontId="73" numFmtId="0" xfId="0" applyAlignment="1" applyFont="1">
      <alignment shrinkToFit="0" vertical="bottom" wrapText="1"/>
    </xf>
    <xf borderId="0" fillId="2" fontId="73" numFmtId="0" xfId="0" applyAlignment="1" applyFont="1">
      <alignment horizontal="center" vertical="bottom"/>
    </xf>
    <xf borderId="0" fillId="2" fontId="74" numFmtId="0" xfId="0" applyAlignment="1" applyFont="1">
      <alignment horizontal="center" shrinkToFit="0" vertical="bottom" wrapText="1"/>
    </xf>
    <xf borderId="0" fillId="2" fontId="75" numFmtId="0" xfId="0" applyAlignment="1" applyFont="1">
      <alignment horizontal="center" shrinkToFit="0" vertical="bottom" wrapText="1"/>
    </xf>
    <xf borderId="0" fillId="2" fontId="73" numFmtId="0" xfId="0" applyAlignment="1" applyFont="1">
      <alignment horizontal="center" shrinkToFit="0" vertical="bottom" wrapText="1"/>
    </xf>
    <xf borderId="0" fillId="2" fontId="76" numFmtId="0" xfId="0" applyAlignment="1" applyFont="1">
      <alignment horizontal="center" shrinkToFit="0" vertical="bottom" wrapText="1"/>
    </xf>
    <xf borderId="0" fillId="2" fontId="73" numFmtId="0" xfId="0" applyAlignment="1" applyFont="1">
      <alignment horizontal="center" shrinkToFit="0" vertical="bottom" wrapText="0"/>
    </xf>
    <xf borderId="7" fillId="2" fontId="63" numFmtId="0" xfId="0" applyAlignment="1" applyBorder="1" applyFont="1">
      <alignment horizontal="center" shrinkToFit="0" vertical="bottom" wrapText="1"/>
    </xf>
    <xf borderId="7" fillId="2" fontId="63" numFmtId="0" xfId="0" applyAlignment="1" applyBorder="1" applyFont="1">
      <alignment horizontal="center" shrinkToFit="0" vertical="bottom" wrapText="0"/>
    </xf>
    <xf borderId="12" fillId="2" fontId="50" numFmtId="1" xfId="0" applyAlignment="1" applyBorder="1" applyFont="1" applyNumberFormat="1">
      <alignment vertical="bottom"/>
    </xf>
    <xf borderId="0" fillId="2" fontId="50" numFmtId="1" xfId="0" applyAlignment="1" applyFont="1" applyNumberFormat="1">
      <alignment vertical="bottom"/>
    </xf>
    <xf borderId="7" fillId="2" fontId="50" numFmtId="0" xfId="0" applyAlignment="1" applyBorder="1" applyFont="1">
      <alignment vertical="bottom"/>
    </xf>
    <xf borderId="7" fillId="2" fontId="48" numFmtId="1" xfId="0" applyAlignment="1" applyBorder="1" applyFont="1" applyNumberFormat="1">
      <alignment horizontal="center" shrinkToFit="0" vertical="bottom" wrapText="1"/>
    </xf>
    <xf borderId="7" fillId="2" fontId="48" numFmtId="0" xfId="0" applyAlignment="1" applyBorder="1" applyFont="1">
      <alignment horizontal="center" shrinkToFit="0" vertical="bottom" wrapText="1"/>
    </xf>
    <xf borderId="7" fillId="2" fontId="48" numFmtId="1" xfId="0" applyAlignment="1" applyBorder="1" applyFont="1" applyNumberFormat="1">
      <alignment horizontal="center" readingOrder="0" shrinkToFit="0" vertical="bottom" wrapText="1"/>
    </xf>
    <xf borderId="7" fillId="2" fontId="50" numFmtId="1" xfId="0" applyAlignment="1" applyBorder="1" applyFont="1" applyNumberFormat="1">
      <alignment vertical="bottom"/>
    </xf>
    <xf borderId="12" fillId="2" fontId="50" numFmtId="0" xfId="0" applyAlignment="1" applyBorder="1" applyFont="1">
      <alignment vertical="bottom"/>
    </xf>
    <xf borderId="7" fillId="2" fontId="48" numFmtId="2" xfId="0" applyAlignment="1" applyBorder="1" applyFont="1" applyNumberFormat="1">
      <alignment horizontal="center" vertical="bottom"/>
    </xf>
    <xf borderId="14" fillId="2" fontId="63" numFmtId="0" xfId="0" applyAlignment="1" applyBorder="1" applyFont="1">
      <alignment vertical="bottom"/>
    </xf>
    <xf borderId="14" fillId="2" fontId="48" numFmtId="0" xfId="0" applyAlignment="1" applyBorder="1" applyFont="1">
      <alignment horizontal="center" vertical="bottom"/>
    </xf>
    <xf borderId="14" fillId="2" fontId="48" numFmtId="0" xfId="0" applyAlignment="1" applyBorder="1" applyFont="1">
      <alignment horizontal="center" shrinkToFit="0" vertical="bottom" wrapText="1"/>
    </xf>
    <xf borderId="14" fillId="2" fontId="50" numFmtId="1" xfId="0" applyAlignment="1" applyBorder="1" applyFont="1" applyNumberFormat="1">
      <alignment vertical="bottom"/>
    </xf>
    <xf borderId="14" fillId="2" fontId="50" numFmtId="0" xfId="0" applyAlignment="1" applyBorder="1" applyFont="1">
      <alignment vertical="bottom"/>
    </xf>
    <xf borderId="14" fillId="2" fontId="48" numFmtId="0" xfId="0" applyAlignment="1" applyBorder="1" applyFont="1">
      <alignment readingOrder="0" vertical="bottom"/>
    </xf>
    <xf borderId="14" fillId="2" fontId="48" numFmtId="0" xfId="0" applyAlignment="1" applyBorder="1" applyFont="1">
      <alignment horizontal="center" readingOrder="0" shrinkToFit="0" vertical="bottom" wrapText="1"/>
    </xf>
    <xf borderId="7" fillId="2" fontId="48" numFmtId="0" xfId="0" applyAlignment="1" applyBorder="1" applyFont="1">
      <alignment horizontal="center" readingOrder="0" shrinkToFit="0" vertical="bottom" wrapText="1"/>
    </xf>
    <xf borderId="0" fillId="2" fontId="48" numFmtId="2" xfId="0" applyAlignment="1" applyFont="1" applyNumberFormat="1">
      <alignment vertical="bottom"/>
    </xf>
    <xf borderId="14" fillId="2" fontId="63" numFmtId="0" xfId="0" applyAlignment="1" applyBorder="1" applyFont="1">
      <alignment shrinkToFit="0" vertical="bottom" wrapText="1"/>
    </xf>
    <xf borderId="15" fillId="0" fontId="4" numFmtId="0" xfId="0" applyBorder="1" applyFont="1"/>
    <xf borderId="15" fillId="2" fontId="63" numFmtId="0" xfId="0" applyAlignment="1" applyBorder="1" applyFont="1">
      <alignment vertical="bottom"/>
    </xf>
    <xf borderId="15" fillId="2" fontId="48" numFmtId="0" xfId="0" applyAlignment="1" applyBorder="1" applyFont="1">
      <alignment horizontal="center" vertical="bottom"/>
    </xf>
    <xf borderId="15" fillId="2" fontId="48" numFmtId="0" xfId="0" applyAlignment="1" applyBorder="1" applyFont="1">
      <alignment horizontal="center" shrinkToFit="0" vertical="bottom" wrapText="1"/>
    </xf>
    <xf borderId="15" fillId="2" fontId="50" numFmtId="0" xfId="0" applyAlignment="1" applyBorder="1" applyFont="1">
      <alignment vertical="bottom"/>
    </xf>
    <xf borderId="4" fillId="2" fontId="63" numFmtId="0" xfId="0" applyAlignment="1" applyBorder="1" applyFont="1">
      <alignment vertical="bottom"/>
    </xf>
    <xf borderId="5" fillId="2" fontId="48" numFmtId="0" xfId="0" applyAlignment="1" applyBorder="1" applyFont="1">
      <alignment horizontal="center" vertical="bottom"/>
    </xf>
    <xf borderId="7" fillId="2" fontId="48" numFmtId="0" xfId="0" applyAlignment="1" applyBorder="1" applyFont="1">
      <alignment vertical="bottom"/>
    </xf>
    <xf borderId="6" fillId="2" fontId="50" numFmtId="0" xfId="0" applyAlignment="1" applyBorder="1" applyFont="1">
      <alignment vertical="bottom"/>
    </xf>
    <xf borderId="7" fillId="2" fontId="77" numFmtId="0" xfId="0" applyAlignment="1" applyBorder="1" applyFont="1">
      <alignment readingOrder="0" shrinkToFit="0" wrapText="0"/>
    </xf>
    <xf borderId="7" fillId="2" fontId="78" numFmtId="0" xfId="0" applyAlignment="1" applyBorder="1" applyFont="1">
      <alignment readingOrder="0" shrinkToFit="0" vertical="bottom" wrapText="0"/>
    </xf>
    <xf borderId="7" fillId="2" fontId="48" numFmtId="0" xfId="0" applyAlignment="1" applyBorder="1" applyFont="1">
      <alignment readingOrder="0" shrinkToFit="0" vertical="bottom" wrapText="1"/>
    </xf>
    <xf borderId="16" fillId="2" fontId="48" numFmtId="0" xfId="0" applyAlignment="1" applyBorder="1" applyFont="1">
      <alignment vertical="bottom"/>
    </xf>
    <xf borderId="16" fillId="2" fontId="50" numFmtId="0" xfId="0" applyAlignment="1" applyBorder="1" applyFont="1">
      <alignment vertical="bottom"/>
    </xf>
    <xf borderId="16" fillId="2" fontId="50" numFmtId="2" xfId="0" applyAlignment="1" applyBorder="1" applyFont="1" applyNumberFormat="1">
      <alignment vertical="bottom"/>
    </xf>
    <xf borderId="16" fillId="2" fontId="48" numFmtId="2" xfId="0" applyAlignment="1" applyBorder="1" applyFont="1" applyNumberFormat="1">
      <alignment horizontal="center" vertical="bottom"/>
    </xf>
    <xf borderId="0" fillId="2" fontId="50" numFmtId="2" xfId="0" applyAlignment="1" applyFont="1" applyNumberFormat="1">
      <alignment vertical="bottom"/>
    </xf>
    <xf borderId="0" fillId="2" fontId="50" numFmtId="168" xfId="0" applyAlignment="1" applyFont="1" applyNumberFormat="1">
      <alignment vertical="bottom"/>
    </xf>
    <xf borderId="17" fillId="2" fontId="71" numFmtId="0" xfId="0" applyAlignment="1" applyBorder="1" applyFont="1">
      <alignment horizontal="center" readingOrder="0" vertical="bottom"/>
    </xf>
    <xf borderId="17" fillId="2" fontId="71" numFmtId="164" xfId="0" applyAlignment="1" applyBorder="1" applyFont="1" applyNumberFormat="1">
      <alignment horizontal="center" readingOrder="0" vertical="bottom"/>
    </xf>
    <xf borderId="18" fillId="2" fontId="71" numFmtId="164" xfId="0" applyAlignment="1" applyBorder="1" applyFont="1" applyNumberFormat="1">
      <alignment horizontal="center" readingOrder="0" vertical="bottom"/>
    </xf>
    <xf borderId="18" fillId="2" fontId="71" numFmtId="0" xfId="0" applyAlignment="1" applyBorder="1" applyFont="1">
      <alignment horizontal="center" readingOrder="0" vertical="bottom"/>
    </xf>
    <xf borderId="7" fillId="2" fontId="71" numFmtId="0" xfId="0" applyAlignment="1" applyBorder="1" applyFont="1">
      <alignment horizontal="center" readingOrder="0" vertical="bottom"/>
    </xf>
    <xf borderId="7" fillId="2" fontId="71" numFmtId="2" xfId="0" applyAlignment="1" applyBorder="1" applyFont="1" applyNumberFormat="1">
      <alignment horizontal="center" readingOrder="0" vertical="bottom"/>
    </xf>
    <xf borderId="0" fillId="2" fontId="72" numFmtId="0" xfId="0" applyAlignment="1" applyFont="1">
      <alignment horizontal="center" readingOrder="0" vertical="bottom"/>
    </xf>
    <xf borderId="4" fillId="2" fontId="12" numFmtId="0" xfId="0" applyAlignment="1" applyBorder="1" applyFont="1">
      <alignment horizontal="center" readingOrder="0"/>
    </xf>
    <xf borderId="7" fillId="2" fontId="12" numFmtId="0" xfId="0" applyAlignment="1" applyBorder="1" applyFont="1">
      <alignment readingOrder="0"/>
    </xf>
    <xf borderId="7" fillId="2" fontId="12" numFmtId="0" xfId="0" applyBorder="1" applyFont="1"/>
    <xf borderId="0" fillId="2" fontId="79" numFmtId="0" xfId="0" applyAlignment="1" applyFont="1">
      <alignment readingOrder="0" shrinkToFit="0" wrapText="1"/>
    </xf>
    <xf borderId="14" fillId="2" fontId="12" numFmtId="0" xfId="0" applyAlignment="1" applyBorder="1" applyFont="1">
      <alignment readingOrder="0"/>
    </xf>
    <xf borderId="0" fillId="2" fontId="79" numFmtId="0" xfId="0" applyAlignment="1" applyFont="1">
      <alignment readingOrder="0"/>
    </xf>
    <xf borderId="0" fillId="2" fontId="80" numFmtId="168" xfId="0" applyAlignment="1" applyFont="1" applyNumberFormat="1">
      <alignment vertical="bottom"/>
    </xf>
    <xf borderId="4" fillId="2" fontId="81" numFmtId="0" xfId="0" applyAlignment="1" applyBorder="1" applyFont="1">
      <alignment horizontal="center" readingOrder="0" vertical="bottom"/>
    </xf>
    <xf borderId="0" fillId="2" fontId="80" numFmtId="0" xfId="0" applyAlignment="1" applyFont="1">
      <alignment vertical="bottom"/>
    </xf>
    <xf borderId="0" fillId="2" fontId="82" numFmtId="0" xfId="0" applyAlignment="1" applyFont="1">
      <alignment horizontal="center" readingOrder="0" vertical="bottom"/>
    </xf>
    <xf borderId="0" fillId="2" fontId="82" numFmtId="0" xfId="0" applyAlignment="1" applyFont="1">
      <alignment horizontal="center" vertical="bottom"/>
    </xf>
    <xf borderId="7" fillId="2" fontId="81" numFmtId="168" xfId="0" applyAlignment="1" applyBorder="1" applyFont="1" applyNumberFormat="1">
      <alignment horizontal="center"/>
    </xf>
    <xf borderId="7" fillId="2" fontId="81" numFmtId="0" xfId="0" applyAlignment="1" applyBorder="1" applyFont="1">
      <alignment horizontal="center" readingOrder="0"/>
    </xf>
    <xf borderId="7" fillId="2" fontId="81" numFmtId="0" xfId="0" applyAlignment="1" applyBorder="1" applyFont="1">
      <alignment horizontal="center"/>
    </xf>
    <xf borderId="7" fillId="2" fontId="80" numFmtId="168" xfId="0" applyAlignment="1" applyBorder="1" applyFont="1" applyNumberFormat="1">
      <alignment readingOrder="0" vertical="bottom"/>
    </xf>
    <xf borderId="7" fillId="2" fontId="81" numFmtId="0" xfId="0" applyAlignment="1" applyBorder="1" applyFont="1">
      <alignment horizontal="center" readingOrder="0" vertical="bottom"/>
    </xf>
    <xf borderId="7" fillId="2" fontId="80" numFmtId="0" xfId="0" applyAlignment="1" applyBorder="1" applyFont="1">
      <alignment vertical="bottom"/>
    </xf>
    <xf borderId="7" fillId="2" fontId="81" numFmtId="1" xfId="0" applyAlignment="1" applyBorder="1" applyFont="1" applyNumberFormat="1">
      <alignment horizontal="center" readingOrder="0" vertical="bottom"/>
    </xf>
    <xf borderId="7" fillId="2" fontId="81" numFmtId="1" xfId="0" applyAlignment="1" applyBorder="1" applyFont="1" applyNumberFormat="1">
      <alignment vertical="bottom"/>
    </xf>
    <xf borderId="7" fillId="2" fontId="81" numFmtId="0" xfId="0" applyAlignment="1" applyBorder="1" applyFont="1">
      <alignment horizontal="center" vertical="bottom"/>
    </xf>
    <xf borderId="7" fillId="2" fontId="81" numFmtId="0" xfId="0" applyAlignment="1" applyBorder="1" applyFont="1">
      <alignment horizontal="center" vertical="bottom"/>
    </xf>
    <xf borderId="14" fillId="2" fontId="81" numFmtId="1" xfId="0" applyAlignment="1" applyBorder="1" applyFont="1" applyNumberFormat="1">
      <alignment vertical="bottom"/>
    </xf>
    <xf borderId="14" fillId="2" fontId="81" numFmtId="0" xfId="0" applyAlignment="1" applyBorder="1" applyFont="1">
      <alignment horizontal="center" vertical="bottom"/>
    </xf>
    <xf borderId="14" fillId="2" fontId="81" numFmtId="1" xfId="0" applyAlignment="1" applyBorder="1" applyFont="1" applyNumberFormat="1">
      <alignment horizontal="center" readingOrder="0" vertical="bottom"/>
    </xf>
    <xf borderId="7" fillId="2" fontId="81" numFmtId="0" xfId="0" applyAlignment="1" applyBorder="1" applyFont="1">
      <alignment readingOrder="0" vertical="bottom"/>
    </xf>
    <xf borderId="15" fillId="2" fontId="81" numFmtId="0" xfId="0" applyAlignment="1" applyBorder="1" applyFont="1">
      <alignment horizontal="center"/>
    </xf>
    <xf borderId="15" fillId="2" fontId="83" numFmtId="2" xfId="0" applyAlignment="1" applyBorder="1" applyFont="1" applyNumberFormat="1">
      <alignment horizontal="center" vertical="bottom"/>
    </xf>
    <xf borderId="0" fillId="2" fontId="14" numFmtId="0" xfId="0" applyAlignment="1" applyFont="1">
      <alignment readingOrder="0"/>
    </xf>
    <xf borderId="7" fillId="2" fontId="83" numFmtId="2" xfId="0" applyAlignment="1" applyBorder="1" applyFont="1" applyNumberFormat="1">
      <alignment horizontal="center" vertical="bottom"/>
    </xf>
    <xf borderId="0" fillId="2" fontId="71" numFmtId="0" xfId="0" applyFont="1"/>
    <xf borderId="0" fillId="2" fontId="71" numFmtId="168" xfId="0" applyAlignment="1" applyFont="1" applyNumberFormat="1">
      <alignment vertical="bottom"/>
    </xf>
    <xf borderId="7" fillId="2" fontId="81" numFmtId="168" xfId="0" applyAlignment="1" applyBorder="1" applyFont="1" applyNumberFormat="1">
      <alignment horizontal="center" vertical="bottom"/>
    </xf>
    <xf borderId="7" fillId="2" fontId="71" numFmtId="0" xfId="0" applyAlignment="1" applyBorder="1" applyFont="1">
      <alignment vertical="bottom"/>
    </xf>
    <xf borderId="6" fillId="2" fontId="81" numFmtId="0" xfId="0" applyAlignment="1" applyBorder="1" applyFont="1">
      <alignment horizontal="center" vertical="bottom"/>
    </xf>
    <xf borderId="15" fillId="2" fontId="81" numFmtId="0" xfId="0" applyAlignment="1" applyBorder="1" applyFont="1">
      <alignment horizontal="center" vertical="bottom"/>
    </xf>
    <xf borderId="0" fillId="2" fontId="84" numFmtId="168" xfId="0" applyAlignment="1" applyFont="1" applyNumberFormat="1">
      <alignment vertical="bottom"/>
    </xf>
    <xf borderId="0" fillId="2" fontId="85" numFmtId="0" xfId="0" applyAlignment="1" applyFont="1">
      <alignment horizontal="center" readingOrder="0" vertical="bottom"/>
    </xf>
    <xf borderId="0" fillId="2" fontId="81" numFmtId="0" xfId="0" applyAlignment="1" applyFont="1">
      <alignment horizontal="center" readingOrder="0" vertical="bottom"/>
    </xf>
    <xf borderId="0" fillId="2" fontId="81" numFmtId="168" xfId="0" applyAlignment="1" applyFont="1" applyNumberFormat="1">
      <alignment horizontal="center" vertical="bottom"/>
    </xf>
    <xf borderId="0" fillId="2" fontId="81" numFmtId="0" xfId="0" applyAlignment="1" applyFont="1">
      <alignment horizontal="center" vertical="bottom"/>
    </xf>
    <xf borderId="6" fillId="2" fontId="81" numFmtId="168" xfId="0" applyAlignment="1" applyBorder="1" applyFont="1" applyNumberFormat="1">
      <alignment horizontal="center" vertical="bottom"/>
    </xf>
    <xf borderId="0" fillId="2" fontId="80" numFmtId="168" xfId="0" applyAlignment="1" applyFont="1" applyNumberFormat="1">
      <alignment readingOrder="0" vertical="bottom"/>
    </xf>
    <xf borderId="0" fillId="2" fontId="81" numFmtId="1" xfId="0" applyAlignment="1" applyFont="1" applyNumberFormat="1">
      <alignment horizontal="center" readingOrder="0" vertical="bottom"/>
    </xf>
    <xf borderId="6" fillId="2" fontId="80" numFmtId="168" xfId="0" applyAlignment="1" applyBorder="1" applyFont="1" applyNumberFormat="1">
      <alignment readingOrder="0" vertical="bottom"/>
    </xf>
    <xf borderId="0" fillId="2" fontId="81" numFmtId="1" xfId="0" applyAlignment="1" applyFont="1" applyNumberFormat="1">
      <alignment vertical="bottom"/>
    </xf>
    <xf borderId="6" fillId="2" fontId="81" numFmtId="1" xfId="0" applyAlignment="1" applyBorder="1" applyFont="1" applyNumberFormat="1">
      <alignment vertical="bottom"/>
    </xf>
    <xf borderId="19" fillId="2" fontId="81" numFmtId="1" xfId="0" applyAlignment="1" applyBorder="1" applyFont="1" applyNumberFormat="1">
      <alignment vertical="bottom"/>
    </xf>
    <xf borderId="0" fillId="2" fontId="81" numFmtId="0" xfId="0" applyAlignment="1" applyFont="1">
      <alignment readingOrder="0" vertical="bottom"/>
    </xf>
    <xf borderId="6" fillId="2" fontId="81" numFmtId="0" xfId="0" applyAlignment="1" applyBorder="1" applyFont="1">
      <alignment readingOrder="0" vertical="bottom"/>
    </xf>
    <xf borderId="0" fillId="2" fontId="83" numFmtId="2" xfId="0" applyAlignment="1" applyFont="1" applyNumberFormat="1">
      <alignment horizontal="center" vertical="bottom"/>
    </xf>
    <xf borderId="20" fillId="2" fontId="12" numFmtId="0" xfId="0" applyAlignment="1" applyBorder="1" applyFont="1">
      <alignment readingOrder="0"/>
    </xf>
    <xf borderId="20" fillId="2" fontId="79" numFmtId="0" xfId="0" applyAlignment="1" applyBorder="1" applyFont="1">
      <alignment readingOrder="0"/>
    </xf>
    <xf borderId="20" fillId="2" fontId="12" numFmtId="0" xfId="0" applyBorder="1" applyFont="1"/>
    <xf borderId="0" fillId="21" fontId="50" numFmtId="0" xfId="0" applyAlignment="1" applyFill="1" applyFont="1">
      <alignment vertical="bottom"/>
    </xf>
    <xf borderId="10" fillId="21" fontId="48" numFmtId="0" xfId="0" applyAlignment="1" applyBorder="1" applyFont="1">
      <alignment readingOrder="0" vertical="bottom"/>
    </xf>
    <xf borderId="0" fillId="21" fontId="48" numFmtId="0" xfId="0" applyAlignment="1" applyFont="1">
      <alignment readingOrder="0" vertical="bottom"/>
    </xf>
    <xf borderId="0" fillId="21" fontId="48" numFmtId="0" xfId="0" applyAlignment="1" applyFont="1">
      <alignment vertical="bottom"/>
    </xf>
    <xf borderId="21" fillId="21" fontId="48" numFmtId="0" xfId="0" applyAlignment="1" applyBorder="1" applyFont="1">
      <alignment vertical="bottom"/>
    </xf>
    <xf borderId="10" fillId="21" fontId="63" numFmtId="0" xfId="0" applyAlignment="1" applyBorder="1" applyFont="1">
      <alignment readingOrder="0" vertical="bottom"/>
    </xf>
    <xf borderId="10" fillId="21" fontId="48" numFmtId="0" xfId="0" applyAlignment="1" applyBorder="1" applyFont="1">
      <alignment horizontal="center" vertical="bottom"/>
    </xf>
    <xf borderId="10" fillId="21" fontId="48" numFmtId="0" xfId="0" applyAlignment="1" applyBorder="1" applyFont="1">
      <alignment horizontal="center" shrinkToFit="0" vertical="bottom" wrapText="1"/>
    </xf>
    <xf borderId="10" fillId="21" fontId="48" numFmtId="0" xfId="0" applyAlignment="1" applyBorder="1" applyFont="1">
      <alignment horizontal="right" readingOrder="0" vertical="bottom"/>
    </xf>
    <xf borderId="10" fillId="21" fontId="48" numFmtId="0" xfId="0" applyAlignment="1" applyBorder="1" applyFont="1">
      <alignment vertical="bottom"/>
    </xf>
    <xf borderId="10" fillId="21" fontId="48" numFmtId="2" xfId="0" applyAlignment="1" applyBorder="1" applyFont="1" applyNumberFormat="1">
      <alignment horizontal="center" vertical="bottom"/>
    </xf>
    <xf borderId="10" fillId="21" fontId="48" numFmtId="0" xfId="0" applyAlignment="1" applyBorder="1" applyFont="1">
      <alignment horizontal="center" readingOrder="0" vertical="bottom"/>
    </xf>
    <xf borderId="10" fillId="21" fontId="48" numFmtId="0" xfId="0" applyAlignment="1" applyBorder="1" applyFont="1">
      <alignment horizontal="center" readingOrder="0" shrinkToFit="0" vertical="bottom" wrapText="1"/>
    </xf>
    <xf borderId="0" fillId="21" fontId="63" numFmtId="0" xfId="0" applyAlignment="1" applyFont="1">
      <alignment vertical="bottom"/>
    </xf>
    <xf borderId="0" fillId="21" fontId="48" numFmtId="0" xfId="0" applyAlignment="1" applyFont="1">
      <alignment horizontal="center" vertical="bottom"/>
    </xf>
    <xf borderId="0" fillId="21" fontId="48" numFmtId="0" xfId="0" applyAlignment="1" applyFont="1">
      <alignment horizontal="center" shrinkToFit="0" vertical="bottom" wrapText="1"/>
    </xf>
    <xf borderId="10" fillId="21" fontId="86" numFmtId="0" xfId="0" applyAlignment="1" applyBorder="1" applyFont="1">
      <alignment readingOrder="0" vertical="bottom"/>
    </xf>
    <xf borderId="10" fillId="21" fontId="50" numFmtId="0" xfId="0" applyAlignment="1" applyBorder="1" applyFont="1">
      <alignment vertical="bottom"/>
    </xf>
    <xf borderId="0" fillId="21" fontId="48" numFmtId="2" xfId="0" applyAlignment="1" applyFont="1" applyNumberFormat="1">
      <alignment horizontal="center" vertical="bottom"/>
    </xf>
    <xf borderId="0" fillId="21" fontId="86" numFmtId="0" xfId="0" applyAlignment="1" applyFont="1">
      <alignment readingOrder="0" vertical="bottom"/>
    </xf>
    <xf borderId="0" fillId="21" fontId="50" numFmtId="0" xfId="0" applyAlignment="1" applyFont="1">
      <alignment readingOrder="0" vertical="bottom"/>
    </xf>
    <xf borderId="0" fillId="21" fontId="48" numFmtId="1" xfId="0" applyAlignment="1" applyFont="1" applyNumberFormat="1">
      <alignment horizontal="right" readingOrder="0" vertical="bottom"/>
    </xf>
    <xf borderId="0" fillId="21" fontId="50" numFmtId="2" xfId="0" applyAlignment="1" applyFont="1" applyNumberFormat="1">
      <alignment vertical="bottom"/>
    </xf>
    <xf borderId="10" fillId="21" fontId="48" numFmtId="0" xfId="0" applyAlignment="1" applyBorder="1" applyFont="1">
      <alignment horizontal="right" vertical="bottom"/>
    </xf>
    <xf borderId="10" fillId="21" fontId="48" numFmtId="2" xfId="0" applyAlignment="1" applyBorder="1" applyFont="1" applyNumberFormat="1">
      <alignment horizontal="right" vertical="bottom"/>
    </xf>
    <xf borderId="10" fillId="21" fontId="48" numFmtId="2" xfId="0" applyAlignment="1" applyBorder="1" applyFont="1" applyNumberFormat="1">
      <alignment vertical="bottom"/>
    </xf>
    <xf borderId="0" fillId="21" fontId="48" numFmtId="2" xfId="0" applyAlignment="1" applyFont="1" applyNumberFormat="1">
      <alignment horizontal="center" readingOrder="0" vertical="bottom"/>
    </xf>
    <xf borderId="0" fillId="21" fontId="48" numFmtId="0" xfId="0" applyAlignment="1" applyFont="1">
      <alignment horizontal="right" vertical="bottom"/>
    </xf>
    <xf borderId="0" fillId="21" fontId="48" numFmtId="2" xfId="0" applyAlignment="1" applyFont="1" applyNumberFormat="1">
      <alignment horizontal="right" vertical="bottom"/>
    </xf>
    <xf borderId="10" fillId="21" fontId="48" numFmtId="164" xfId="0" applyAlignment="1" applyBorder="1" applyFont="1" applyNumberFormat="1">
      <alignment horizontal="center" vertical="bottom"/>
    </xf>
    <xf borderId="10" fillId="21" fontId="48" numFmtId="166" xfId="0" applyAlignment="1" applyBorder="1" applyFont="1" applyNumberFormat="1">
      <alignment horizontal="center" vertical="bottom"/>
    </xf>
    <xf borderId="0" fillId="22" fontId="50" numFmtId="0" xfId="0" applyAlignment="1" applyFill="1" applyFont="1">
      <alignment vertical="bottom"/>
    </xf>
    <xf borderId="0" fillId="22" fontId="48" numFmtId="0" xfId="0" applyAlignment="1" applyFont="1">
      <alignment readingOrder="0" vertical="bottom"/>
    </xf>
    <xf borderId="0" fillId="22" fontId="48" numFmtId="0" xfId="0" applyAlignment="1" applyFont="1">
      <alignment vertical="bottom"/>
    </xf>
    <xf borderId="10" fillId="22" fontId="48" numFmtId="0" xfId="0" applyAlignment="1" applyBorder="1" applyFont="1">
      <alignment readingOrder="0" vertical="bottom"/>
    </xf>
    <xf borderId="10" fillId="22" fontId="87" numFmtId="0" xfId="0" applyAlignment="1" applyBorder="1" applyFont="1">
      <alignment horizontal="right" readingOrder="0" vertical="bottom"/>
    </xf>
    <xf borderId="10" fillId="22" fontId="48" numFmtId="0" xfId="0" applyAlignment="1" applyBorder="1" applyFont="1">
      <alignment vertical="bottom"/>
    </xf>
    <xf borderId="10" fillId="22" fontId="48" numFmtId="0" xfId="0" applyAlignment="1" applyBorder="1" applyFont="1">
      <alignment horizontal="right" readingOrder="0" vertical="bottom"/>
    </xf>
    <xf borderId="10" fillId="22" fontId="48" numFmtId="1" xfId="0" applyAlignment="1" applyBorder="1" applyFont="1" applyNumberFormat="1">
      <alignment horizontal="right" readingOrder="0" vertical="bottom"/>
    </xf>
    <xf borderId="10" fillId="22" fontId="48" numFmtId="1" xfId="0" applyAlignment="1" applyBorder="1" applyFont="1" applyNumberFormat="1">
      <alignment readingOrder="0" vertical="bottom"/>
    </xf>
    <xf borderId="0" fillId="22" fontId="48" numFmtId="2" xfId="0" applyAlignment="1" applyFont="1" applyNumberFormat="1">
      <alignment horizontal="center" vertical="bottom"/>
    </xf>
    <xf borderId="0" fillId="22" fontId="48" numFmtId="0" xfId="0" applyAlignment="1" applyFont="1">
      <alignment horizontal="right" vertical="bottom"/>
    </xf>
    <xf borderId="0" fillId="22" fontId="48" numFmtId="2" xfId="0" applyAlignment="1" applyFont="1" applyNumberFormat="1">
      <alignment horizontal="right" vertical="bottom"/>
    </xf>
    <xf borderId="0" fillId="23" fontId="50" numFmtId="0" xfId="0" applyAlignment="1" applyFill="1" applyFont="1">
      <alignment vertical="bottom"/>
    </xf>
    <xf borderId="0" fillId="23" fontId="48" numFmtId="0" xfId="0" applyAlignment="1" applyFont="1">
      <alignment readingOrder="0" vertical="bottom"/>
    </xf>
    <xf borderId="22" fillId="23" fontId="48" numFmtId="0" xfId="0" applyAlignment="1" applyBorder="1" applyFont="1">
      <alignment vertical="bottom"/>
    </xf>
    <xf borderId="10" fillId="23" fontId="48" numFmtId="0" xfId="0" applyAlignment="1" applyBorder="1" applyFont="1">
      <alignment readingOrder="0" vertical="bottom"/>
    </xf>
    <xf borderId="10" fillId="23" fontId="48" numFmtId="0" xfId="0" applyAlignment="1" applyBorder="1" applyFont="1">
      <alignment horizontal="right" readingOrder="0" vertical="bottom"/>
    </xf>
    <xf borderId="0" fillId="23" fontId="48" numFmtId="0" xfId="0" applyAlignment="1" applyFont="1">
      <alignment vertical="bottom"/>
    </xf>
    <xf borderId="0" fillId="23" fontId="50" numFmtId="2" xfId="0" applyAlignment="1" applyFont="1" applyNumberFormat="1">
      <alignment vertical="bottom"/>
    </xf>
    <xf borderId="10" fillId="23" fontId="48" numFmtId="0" xfId="0" applyAlignment="1" applyBorder="1" applyFont="1">
      <alignment horizontal="right" vertical="bottom"/>
    </xf>
    <xf borderId="10" fillId="23" fontId="50" numFmtId="2" xfId="0" applyAlignment="1" applyBorder="1" applyFont="1" applyNumberFormat="1">
      <alignment vertical="bottom"/>
    </xf>
    <xf borderId="10" fillId="23" fontId="88" numFmtId="2" xfId="0" applyAlignment="1" applyBorder="1" applyFont="1" applyNumberFormat="1">
      <alignment horizontal="right" vertical="bottom"/>
    </xf>
    <xf borderId="0" fillId="23" fontId="48" numFmtId="2" xfId="0" applyAlignment="1" applyFont="1" applyNumberFormat="1">
      <alignment horizontal="center" vertical="bottom"/>
    </xf>
    <xf borderId="0" fillId="23" fontId="48" numFmtId="0" xfId="0" applyAlignment="1" applyFont="1">
      <alignment horizontal="right" vertical="bottom"/>
    </xf>
    <xf borderId="0" fillId="23" fontId="48" numFmtId="2" xfId="0" applyAlignment="1" applyFont="1" applyNumberFormat="1">
      <alignment horizontal="right" vertical="bottom"/>
    </xf>
    <xf borderId="10" fillId="23" fontId="48" numFmtId="0" xfId="0" applyAlignment="1" applyBorder="1" applyFont="1">
      <alignment vertical="bottom"/>
    </xf>
    <xf borderId="10" fillId="23" fontId="50" numFmtId="0" xfId="0" applyAlignment="1" applyBorder="1" applyFont="1">
      <alignment vertical="bottom"/>
    </xf>
    <xf borderId="10" fillId="23" fontId="48" numFmtId="164" xfId="0" applyAlignment="1" applyBorder="1" applyFont="1" applyNumberFormat="1">
      <alignment horizontal="center" vertical="bottom"/>
    </xf>
    <xf borderId="10" fillId="23" fontId="48" numFmtId="2" xfId="0" applyAlignment="1" applyBorder="1" applyFont="1" applyNumberFormat="1">
      <alignment horizontal="right" vertical="bottom"/>
    </xf>
    <xf borderId="10" fillId="23" fontId="48" numFmtId="166" xfId="0" applyAlignment="1" applyBorder="1" applyFont="1" applyNumberFormat="1">
      <alignment horizontal="center" vertical="bottom"/>
    </xf>
    <xf borderId="10" fillId="23" fontId="48" numFmtId="0" xfId="0" applyAlignment="1" applyBorder="1" applyFont="1">
      <alignment horizontal="center" vertical="bottom"/>
    </xf>
    <xf borderId="10" fillId="23" fontId="48" numFmtId="164" xfId="0" applyAlignment="1" applyBorder="1" applyFont="1" applyNumberFormat="1">
      <alignment horizontal="center" readingOrder="0" vertical="bottom"/>
    </xf>
    <xf borderId="10" fillId="23" fontId="48" numFmtId="0" xfId="0" applyAlignment="1" applyBorder="1" applyFont="1">
      <alignment horizontal="center" readingOrder="0" vertical="bottom"/>
    </xf>
    <xf borderId="10" fillId="23" fontId="50" numFmtId="0" xfId="0" applyAlignment="1" applyBorder="1" applyFont="1">
      <alignment horizontal="center" vertical="bottom"/>
    </xf>
    <xf borderId="0" fillId="24" fontId="50" numFmtId="0" xfId="0" applyAlignment="1" applyFill="1" applyFont="1">
      <alignment vertical="bottom"/>
    </xf>
    <xf borderId="0" fillId="24" fontId="14" numFmtId="0" xfId="0" applyFont="1"/>
    <xf borderId="0" fillId="24" fontId="48" numFmtId="0" xfId="0" applyAlignment="1" applyFont="1">
      <alignment readingOrder="0" vertical="bottom"/>
    </xf>
    <xf borderId="0" fillId="24" fontId="48" numFmtId="0" xfId="0" applyAlignment="1" applyFont="1">
      <alignment vertical="bottom"/>
    </xf>
    <xf borderId="22" fillId="24" fontId="48" numFmtId="0" xfId="0" applyAlignment="1" applyBorder="1" applyFont="1">
      <alignment vertical="bottom"/>
    </xf>
    <xf borderId="10" fillId="24" fontId="48" numFmtId="0" xfId="0" applyAlignment="1" applyBorder="1" applyFont="1">
      <alignment vertical="bottom"/>
    </xf>
    <xf borderId="11" fillId="24" fontId="48" numFmtId="0" xfId="0" applyAlignment="1" applyBorder="1" applyFont="1">
      <alignment readingOrder="0" vertical="bottom"/>
    </xf>
    <xf borderId="10" fillId="24" fontId="48" numFmtId="0" xfId="0" applyAlignment="1" applyBorder="1" applyFont="1">
      <alignment horizontal="right" readingOrder="0" vertical="bottom"/>
    </xf>
    <xf borderId="0" fillId="24" fontId="48" numFmtId="0" xfId="0" applyAlignment="1" applyFont="1">
      <alignment horizontal="right" readingOrder="0" vertical="bottom"/>
    </xf>
    <xf borderId="0" fillId="24" fontId="50" numFmtId="0" xfId="0" applyAlignment="1" applyFont="1">
      <alignment readingOrder="0" vertical="bottom"/>
    </xf>
    <xf borderId="10" fillId="24" fontId="48" numFmtId="0" xfId="0" applyAlignment="1" applyBorder="1" applyFont="1">
      <alignment horizontal="right" vertical="bottom"/>
    </xf>
    <xf borderId="10" fillId="24" fontId="50" numFmtId="2" xfId="0" applyAlignment="1" applyBorder="1" applyFont="1" applyNumberFormat="1">
      <alignment vertical="bottom"/>
    </xf>
    <xf borderId="10" fillId="24" fontId="88" numFmtId="2" xfId="0" applyAlignment="1" applyBorder="1" applyFont="1" applyNumberFormat="1">
      <alignment horizontal="right" vertical="bottom"/>
    </xf>
    <xf borderId="15" fillId="2" fontId="12" numFmtId="0" xfId="0" applyAlignment="1" applyBorder="1" applyFont="1">
      <alignment readingOrder="0"/>
    </xf>
    <xf borderId="15" fillId="2" fontId="12" numFmtId="0" xfId="0" applyBorder="1" applyFont="1"/>
    <xf borderId="7" fillId="2" fontId="75" numFmtId="0" xfId="0" applyAlignment="1" applyBorder="1" applyFont="1">
      <alignment horizontal="center" vertical="bottom"/>
    </xf>
    <xf borderId="0" fillId="2" fontId="74" numFmtId="0" xfId="0" applyAlignment="1" applyFont="1">
      <alignment horizontal="center" vertical="bottom"/>
    </xf>
    <xf borderId="4" fillId="2" fontId="75" numFmtId="0" xfId="0" applyAlignment="1" applyBorder="1" applyFont="1">
      <alignment horizontal="center" vertical="bottom"/>
    </xf>
    <xf borderId="7" fillId="2" fontId="75" numFmtId="0" xfId="0" applyAlignment="1" applyBorder="1" applyFont="1">
      <alignment horizontal="center" readingOrder="0" vertical="bottom"/>
    </xf>
    <xf borderId="7" fillId="2" fontId="74" numFmtId="0" xfId="0" applyAlignment="1" applyBorder="1" applyFont="1">
      <alignment horizontal="center" readingOrder="0" vertical="bottom"/>
    </xf>
    <xf borderId="7" fillId="2" fontId="74" numFmtId="0" xfId="0" applyAlignment="1" applyBorder="1" applyFont="1">
      <alignment horizontal="center" vertical="bottom"/>
    </xf>
    <xf borderId="7" fillId="2" fontId="75" numFmtId="1" xfId="0" applyAlignment="1" applyBorder="1" applyFont="1" applyNumberFormat="1">
      <alignment horizontal="center" readingOrder="0" vertical="bottom"/>
    </xf>
    <xf borderId="7" fillId="2" fontId="75" numFmtId="0" xfId="0" applyAlignment="1" applyBorder="1" applyFont="1">
      <alignment horizontal="center" shrinkToFit="0" vertical="bottom" wrapText="1"/>
    </xf>
    <xf borderId="7" fillId="2" fontId="48" numFmtId="1" xfId="0" applyAlignment="1" applyBorder="1" applyFont="1" applyNumberFormat="1">
      <alignment horizontal="center" readingOrder="0" vertical="bottom"/>
    </xf>
    <xf borderId="0" fillId="2" fontId="48" numFmtId="169" xfId="0" applyAlignment="1" applyFont="1" applyNumberFormat="1">
      <alignment vertical="bottom"/>
    </xf>
    <xf borderId="7" fillId="2" fontId="89" numFmtId="0" xfId="0" applyAlignment="1" applyBorder="1" applyFont="1">
      <alignment horizontal="right" vertical="bottom"/>
    </xf>
    <xf borderId="7" fillId="2" fontId="75" numFmtId="2" xfId="0" applyAlignment="1" applyBorder="1" applyFont="1" applyNumberFormat="1">
      <alignment horizontal="center" vertical="bottom"/>
    </xf>
    <xf borderId="7" fillId="2" fontId="48" numFmtId="0" xfId="0" applyAlignment="1" applyBorder="1" applyFont="1">
      <alignment horizontal="right" vertical="bottom"/>
    </xf>
    <xf borderId="7" fillId="2" fontId="63" numFmtId="9" xfId="0" applyAlignment="1" applyBorder="1" applyFont="1" applyNumberFormat="1">
      <alignment horizontal="right" vertical="bottom"/>
    </xf>
    <xf borderId="7" fillId="2" fontId="48" numFmtId="169" xfId="0" applyAlignment="1" applyBorder="1" applyFont="1" applyNumberFormat="1">
      <alignment horizontal="right" vertical="bottom"/>
    </xf>
    <xf borderId="7" fillId="2" fontId="48" numFmtId="9" xfId="0" applyAlignment="1" applyBorder="1" applyFont="1" applyNumberFormat="1">
      <alignment horizontal="right" vertical="bottom"/>
    </xf>
    <xf borderId="10" fillId="25" fontId="90" numFmtId="0" xfId="0" applyAlignment="1" applyBorder="1" applyFill="1" applyFont="1">
      <alignment vertical="bottom"/>
    </xf>
    <xf borderId="11" fillId="0" fontId="90" numFmtId="0" xfId="0" applyAlignment="1" applyBorder="1" applyFont="1">
      <alignment horizontal="center" vertical="bottom"/>
    </xf>
    <xf borderId="13" fillId="0" fontId="90" numFmtId="167" xfId="0" applyAlignment="1" applyBorder="1" applyFont="1" applyNumberFormat="1">
      <alignment horizontal="center" vertical="bottom"/>
    </xf>
    <xf borderId="0" fillId="0" fontId="50" numFmtId="0" xfId="0" applyAlignment="1" applyFont="1">
      <alignment vertical="bottom"/>
    </xf>
    <xf borderId="0" fillId="0" fontId="91" numFmtId="0" xfId="0" applyAlignment="1" applyFont="1">
      <alignment horizontal="center" shrinkToFit="0" vertical="bottom" wrapText="1"/>
    </xf>
    <xf borderId="10" fillId="26" fontId="90" numFmtId="0" xfId="0" applyAlignment="1" applyBorder="1" applyFill="1" applyFont="1">
      <alignment horizontal="center" vertical="bottom"/>
    </xf>
    <xf borderId="11" fillId="26" fontId="90" numFmtId="0" xfId="0" applyAlignment="1" applyBorder="1" applyFont="1">
      <alignment horizontal="center" shrinkToFit="0" vertical="bottom" wrapText="1"/>
    </xf>
    <xf borderId="23" fillId="26" fontId="50" numFmtId="0" xfId="0" applyAlignment="1" applyBorder="1" applyFont="1">
      <alignment vertical="bottom"/>
    </xf>
    <xf borderId="13" fillId="26" fontId="90" numFmtId="0" xfId="0" applyAlignment="1" applyBorder="1" applyFont="1">
      <alignment horizontal="center" vertical="bottom"/>
    </xf>
    <xf borderId="10" fillId="26" fontId="90" numFmtId="0" xfId="0" applyAlignment="1" applyBorder="1" applyFont="1">
      <alignment horizontal="center" shrinkToFit="0" vertical="bottom" wrapText="0"/>
    </xf>
    <xf borderId="11" fillId="0" fontId="50" numFmtId="0" xfId="0" applyAlignment="1" applyBorder="1" applyFont="1">
      <alignment vertical="bottom"/>
    </xf>
    <xf borderId="24" fillId="0" fontId="50" numFmtId="0" xfId="0" applyAlignment="1" applyBorder="1" applyFont="1">
      <alignment vertical="bottom"/>
    </xf>
    <xf borderId="10" fillId="27" fontId="90" numFmtId="0" xfId="0" applyAlignment="1" applyBorder="1" applyFill="1" applyFont="1">
      <alignment vertical="bottom"/>
    </xf>
    <xf borderId="10" fillId="27" fontId="50" numFmtId="0" xfId="0" applyAlignment="1" applyBorder="1" applyFont="1">
      <alignment vertical="bottom"/>
    </xf>
    <xf borderId="10" fillId="28" fontId="50" numFmtId="0" xfId="0" applyAlignment="1" applyBorder="1" applyFill="1" applyFont="1">
      <alignment horizontal="center" vertical="bottom"/>
    </xf>
    <xf borderId="10" fillId="0" fontId="50" numFmtId="0" xfId="0" applyAlignment="1" applyBorder="1" applyFont="1">
      <alignment shrinkToFit="0" vertical="bottom" wrapText="1"/>
    </xf>
    <xf borderId="10" fillId="29" fontId="90" numFmtId="0" xfId="0" applyAlignment="1" applyBorder="1" applyFill="1" applyFont="1">
      <alignment horizontal="center" readingOrder="0" vertical="bottom"/>
    </xf>
    <xf borderId="10" fillId="0" fontId="92" numFmtId="0" xfId="0" applyAlignment="1" applyBorder="1" applyFont="1">
      <alignment vertical="bottom"/>
    </xf>
    <xf borderId="12" fillId="29" fontId="50" numFmtId="0" xfId="0" applyAlignment="1" applyBorder="1" applyFont="1">
      <alignment vertical="bottom"/>
    </xf>
    <xf borderId="25" fillId="27" fontId="50" numFmtId="0" xfId="0" applyAlignment="1" applyBorder="1" applyFont="1">
      <alignment vertical="bottom"/>
    </xf>
    <xf borderId="10" fillId="26" fontId="50" numFmtId="0" xfId="0" applyAlignment="1" applyBorder="1" applyFont="1">
      <alignment horizontal="center" vertical="bottom"/>
    </xf>
    <xf borderId="10" fillId="29" fontId="50" numFmtId="0" xfId="0" applyAlignment="1" applyBorder="1" applyFont="1">
      <alignment shrinkToFit="0" vertical="bottom" wrapText="1"/>
    </xf>
    <xf borderId="10" fillId="0" fontId="90" numFmtId="0" xfId="0" applyAlignment="1" applyBorder="1" applyFont="1">
      <alignment horizontal="center" readingOrder="0" vertical="bottom"/>
    </xf>
    <xf borderId="25" fillId="0" fontId="93" numFmtId="0" xfId="0" applyAlignment="1" applyBorder="1" applyFont="1">
      <alignment vertical="bottom"/>
    </xf>
    <xf borderId="10" fillId="18" fontId="50" numFmtId="0" xfId="0" applyAlignment="1" applyBorder="1" applyFont="1">
      <alignment horizontal="center" vertical="bottom"/>
    </xf>
    <xf borderId="10" fillId="0" fontId="50" numFmtId="0" xfId="0" applyAlignment="1" applyBorder="1" applyFont="1">
      <alignment readingOrder="0" shrinkToFit="0" vertical="bottom" wrapText="1"/>
    </xf>
    <xf borderId="10" fillId="0" fontId="50" numFmtId="0" xfId="0" applyAlignment="1" applyBorder="1" applyFont="1">
      <alignment horizontal="center" readingOrder="0" vertical="bottom"/>
    </xf>
    <xf borderId="25" fillId="0" fontId="94" numFmtId="0" xfId="0" applyAlignment="1" applyBorder="1" applyFont="1">
      <alignment readingOrder="0" vertical="bottom"/>
    </xf>
    <xf borderId="10" fillId="0" fontId="50" numFmtId="0" xfId="0" applyAlignment="1" applyBorder="1" applyFont="1">
      <alignment horizontal="center" shrinkToFit="0" vertical="bottom" wrapText="1"/>
    </xf>
    <xf borderId="25" fillId="0" fontId="90" numFmtId="0" xfId="0" applyAlignment="1" applyBorder="1" applyFont="1">
      <alignment horizontal="center" readingOrder="0" vertical="bottom"/>
    </xf>
    <xf borderId="26" fillId="29" fontId="50" numFmtId="0" xfId="0" applyAlignment="1" applyBorder="1" applyFont="1">
      <alignment vertical="bottom"/>
    </xf>
    <xf borderId="10" fillId="30" fontId="50" numFmtId="0" xfId="0" applyAlignment="1" applyBorder="1" applyFill="1" applyFont="1">
      <alignment horizontal="center" vertical="bottom"/>
    </xf>
    <xf borderId="12" fillId="0" fontId="50" numFmtId="0" xfId="0" applyAlignment="1" applyBorder="1" applyFont="1">
      <alignment vertical="bottom"/>
    </xf>
    <xf borderId="10" fillId="0" fontId="90" numFmtId="0" xfId="0" applyAlignment="1" applyBorder="1" applyFont="1">
      <alignment horizontal="center" vertical="bottom"/>
    </xf>
    <xf borderId="21" fillId="0" fontId="50" numFmtId="0" xfId="0" applyAlignment="1" applyBorder="1" applyFont="1">
      <alignment vertical="bottom"/>
    </xf>
    <xf borderId="10" fillId="31" fontId="90" numFmtId="0" xfId="0" applyAlignment="1" applyBorder="1" applyFill="1" applyFont="1">
      <alignment vertical="bottom"/>
    </xf>
    <xf borderId="10" fillId="31" fontId="50" numFmtId="0" xfId="0" applyAlignment="1" applyBorder="1" applyFont="1">
      <alignment vertical="bottom"/>
    </xf>
    <xf borderId="25" fillId="31" fontId="50" numFmtId="0" xfId="0" applyAlignment="1" applyBorder="1" applyFont="1">
      <alignment vertical="bottom"/>
    </xf>
    <xf borderId="10" fillId="0" fontId="50" numFmtId="0" xfId="0" applyAlignment="1" applyBorder="1" applyFont="1">
      <alignment horizontal="center" readingOrder="0" shrinkToFit="0" vertical="bottom" wrapText="1"/>
    </xf>
    <xf borderId="10" fillId="19" fontId="50" numFmtId="0" xfId="0" applyAlignment="1" applyBorder="1" applyFont="1">
      <alignment horizontal="center" vertical="bottom"/>
    </xf>
    <xf borderId="25" fillId="0" fontId="95" numFmtId="0" xfId="0" applyAlignment="1" applyBorder="1" applyFont="1">
      <alignment readingOrder="0" vertical="bottom"/>
    </xf>
    <xf borderId="10" fillId="0" fontId="50" numFmtId="0" xfId="0" applyAlignment="1" applyBorder="1" applyFont="1">
      <alignment vertical="bottom"/>
    </xf>
    <xf borderId="13" fillId="18" fontId="50" numFmtId="0" xfId="0" applyAlignment="1" applyBorder="1" applyFont="1">
      <alignment horizontal="center" vertical="bottom"/>
    </xf>
    <xf borderId="13" fillId="29" fontId="96" numFmtId="0" xfId="0" applyAlignment="1" applyBorder="1" applyFont="1">
      <alignment shrinkToFit="0" vertical="bottom" wrapText="1"/>
    </xf>
    <xf borderId="26" fillId="0" fontId="50" numFmtId="0" xfId="0" applyAlignment="1" applyBorder="1" applyFont="1">
      <alignment vertical="bottom"/>
    </xf>
    <xf borderId="13" fillId="0" fontId="90" numFmtId="0" xfId="0" applyAlignment="1" applyBorder="1" applyFont="1">
      <alignment horizontal="center" readingOrder="0" vertical="bottom"/>
    </xf>
    <xf borderId="13" fillId="0" fontId="97" numFmtId="0" xfId="0" applyAlignment="1" applyBorder="1" applyFont="1">
      <alignment vertical="bottom"/>
    </xf>
    <xf borderId="0" fillId="29" fontId="50" numFmtId="0" xfId="0" applyAlignment="1" applyFont="1">
      <alignment vertical="bottom"/>
    </xf>
    <xf borderId="10" fillId="32" fontId="90" numFmtId="0" xfId="0" applyAlignment="1" applyBorder="1" applyFill="1" applyFont="1">
      <alignment vertical="bottom"/>
    </xf>
    <xf borderId="10" fillId="32" fontId="50" numFmtId="0" xfId="0" applyAlignment="1" applyBorder="1" applyFont="1">
      <alignment vertical="bottom"/>
    </xf>
    <xf borderId="10" fillId="33" fontId="50" numFmtId="0" xfId="0" applyAlignment="1" applyBorder="1" applyFill="1" applyFont="1">
      <alignment shrinkToFit="0" vertical="bottom" wrapText="1"/>
    </xf>
    <xf borderId="27" fillId="0" fontId="50" numFmtId="0" xfId="0" applyAlignment="1" applyBorder="1" applyFont="1">
      <alignment vertical="bottom"/>
    </xf>
    <xf borderId="28" fillId="0" fontId="50" numFmtId="0" xfId="0" applyAlignment="1" applyBorder="1" applyFont="1">
      <alignment vertical="bottom"/>
    </xf>
    <xf borderId="28" fillId="0" fontId="50" numFmtId="2" xfId="0" applyAlignment="1" applyBorder="1" applyFont="1" applyNumberFormat="1">
      <alignment vertical="bottom"/>
    </xf>
    <xf borderId="29" fillId="34" fontId="50" numFmtId="2" xfId="0" applyAlignment="1" applyBorder="1" applyFill="1" applyFont="1" applyNumberFormat="1">
      <alignment horizontal="center" vertical="bottom"/>
    </xf>
    <xf borderId="30" fillId="28" fontId="50" numFmtId="0" xfId="0" applyAlignment="1" applyBorder="1" applyFont="1">
      <alignment vertical="bottom"/>
    </xf>
    <xf borderId="31" fillId="0" fontId="50" numFmtId="0" xfId="0" applyAlignment="1" applyBorder="1" applyFont="1">
      <alignment horizontal="center" vertical="bottom"/>
    </xf>
    <xf borderId="30" fillId="26" fontId="50" numFmtId="0" xfId="0" applyAlignment="1" applyBorder="1" applyFont="1">
      <alignment vertical="bottom"/>
    </xf>
    <xf borderId="0" fillId="0" fontId="98" numFmtId="0" xfId="0" applyAlignment="1" applyFont="1">
      <alignment horizontal="center" shrinkToFit="0" vertical="bottom" wrapText="1"/>
    </xf>
    <xf borderId="0" fillId="0" fontId="50" numFmtId="2" xfId="0" applyAlignment="1" applyFont="1" applyNumberFormat="1">
      <alignment vertical="bottom"/>
    </xf>
    <xf borderId="0" fillId="29" fontId="99" numFmtId="0" xfId="0" applyAlignment="1" applyFont="1">
      <alignment readingOrder="0" vertical="bottom"/>
    </xf>
    <xf borderId="14" fillId="2" fontId="67" numFmtId="0" xfId="0" applyAlignment="1" applyBorder="1" applyFont="1">
      <alignment horizontal="center" vertical="bottom"/>
    </xf>
    <xf borderId="14" fillId="2" fontId="67" numFmtId="3" xfId="0" applyAlignment="1" applyBorder="1" applyFont="1" applyNumberFormat="1">
      <alignment horizontal="center" shrinkToFit="0" vertical="bottom" wrapText="1"/>
    </xf>
    <xf borderId="14" fillId="2" fontId="67" numFmtId="1" xfId="0" applyAlignment="1" applyBorder="1" applyFont="1" applyNumberFormat="1">
      <alignment horizontal="center" shrinkToFit="0" vertical="bottom" wrapText="1"/>
    </xf>
    <xf borderId="4" fillId="2" fontId="67" numFmtId="3" xfId="0" applyAlignment="1" applyBorder="1" applyFont="1" applyNumberFormat="1">
      <alignment horizontal="center" vertical="bottom"/>
    </xf>
    <xf borderId="7" fillId="2" fontId="67" numFmtId="1" xfId="0" applyAlignment="1" applyBorder="1" applyFont="1" applyNumberFormat="1">
      <alignment horizontal="center" vertical="bottom"/>
    </xf>
    <xf borderId="14" fillId="2" fontId="67" numFmtId="1" xfId="0" applyAlignment="1" applyBorder="1" applyFont="1" applyNumberFormat="1">
      <alignment horizontal="center" vertical="bottom"/>
    </xf>
    <xf borderId="32" fillId="0" fontId="4" numFmtId="0" xfId="0" applyBorder="1" applyFont="1"/>
    <xf borderId="4" fillId="2" fontId="89" numFmtId="3" xfId="0" applyAlignment="1" applyBorder="1" applyFont="1" applyNumberFormat="1">
      <alignment horizontal="center" shrinkToFit="0" vertical="bottom" wrapText="1"/>
    </xf>
    <xf borderId="7" fillId="2" fontId="89" numFmtId="1" xfId="0" applyAlignment="1" applyBorder="1" applyFont="1" applyNumberFormat="1">
      <alignment horizontal="center" shrinkToFit="0" vertical="bottom" wrapText="1"/>
    </xf>
    <xf borderId="7" fillId="2" fontId="89" numFmtId="0" xfId="0" applyAlignment="1" applyBorder="1" applyFont="1">
      <alignment horizontal="center" shrinkToFit="0" vertical="bottom" wrapText="1"/>
    </xf>
    <xf borderId="7" fillId="2" fontId="89" numFmtId="1" xfId="0" applyAlignment="1" applyBorder="1" applyFont="1" applyNumberFormat="1">
      <alignment shrinkToFit="0" vertical="bottom" wrapText="1"/>
    </xf>
    <xf borderId="7" fillId="2" fontId="89" numFmtId="0" xfId="0" applyAlignment="1" applyBorder="1" applyFont="1">
      <alignment horizontal="center" vertical="bottom"/>
    </xf>
    <xf borderId="7" fillId="2" fontId="84" numFmtId="0" xfId="0" applyAlignment="1" applyBorder="1" applyFont="1">
      <alignment horizontal="center" vertical="bottom"/>
    </xf>
    <xf borderId="7" fillId="2" fontId="84" numFmtId="1" xfId="0" applyAlignment="1" applyBorder="1" applyFont="1" applyNumberFormat="1">
      <alignment horizontal="center" readingOrder="0" vertical="bottom"/>
    </xf>
    <xf borderId="7" fillId="2" fontId="84" numFmtId="3" xfId="0" applyAlignment="1" applyBorder="1" applyFont="1" applyNumberFormat="1">
      <alignment horizontal="center" readingOrder="0" vertical="bottom"/>
    </xf>
    <xf borderId="7" fillId="2" fontId="84" numFmtId="170" xfId="0" applyAlignment="1" applyBorder="1" applyFont="1" applyNumberFormat="1">
      <alignment horizontal="center" vertical="bottom"/>
    </xf>
    <xf borderId="7" fillId="2" fontId="84" numFmtId="4" xfId="0" applyAlignment="1" applyBorder="1" applyFont="1" applyNumberFormat="1">
      <alignment horizontal="center" readingOrder="0" vertical="bottom"/>
    </xf>
    <xf borderId="7" fillId="2" fontId="84" numFmtId="3" xfId="0" applyAlignment="1" applyBorder="1" applyFont="1" applyNumberFormat="1">
      <alignment horizontal="center" vertical="bottom"/>
    </xf>
    <xf borderId="7" fillId="2" fontId="62" numFmtId="1" xfId="0" applyAlignment="1" applyBorder="1" applyFont="1" applyNumberFormat="1">
      <alignment horizontal="center" vertical="bottom"/>
    </xf>
    <xf borderId="4" fillId="2" fontId="12" numFmtId="0" xfId="0" applyAlignment="1" applyBorder="1" applyFont="1">
      <alignment readingOrder="0"/>
    </xf>
    <xf borderId="7" fillId="2" fontId="84" numFmtId="171" xfId="0" applyAlignment="1" applyBorder="1" applyFont="1" applyNumberFormat="1">
      <alignment horizontal="center" vertical="bottom"/>
    </xf>
    <xf borderId="7" fillId="2" fontId="84" numFmtId="0" xfId="0" applyAlignment="1" applyBorder="1" applyFont="1">
      <alignment horizontal="center" readingOrder="0" vertical="bottom"/>
    </xf>
    <xf borderId="7" fillId="2" fontId="84" numFmtId="1" xfId="0" applyAlignment="1" applyBorder="1" applyFont="1" applyNumberFormat="1">
      <alignment horizontal="center" vertical="bottom"/>
    </xf>
    <xf borderId="7" fillId="2" fontId="84" numFmtId="4" xfId="0" applyAlignment="1" applyBorder="1" applyFont="1" applyNumberFormat="1">
      <alignment horizontal="center" vertical="bottom"/>
    </xf>
    <xf borderId="0" fillId="0" fontId="100" numFmtId="0" xfId="0" applyFont="1"/>
    <xf borderId="0" fillId="0" fontId="14" numFmtId="0" xfId="0" applyAlignment="1" applyFont="1">
      <alignment readingOrder="0"/>
    </xf>
    <xf borderId="0" fillId="0" fontId="101" numFmtId="0" xfId="0" applyAlignment="1" applyFont="1">
      <alignment shrinkToFit="0" wrapText="1"/>
    </xf>
    <xf borderId="0" fillId="0" fontId="14" numFmtId="0" xfId="0" applyFont="1"/>
    <xf borderId="0" fillId="0" fontId="14" numFmtId="172" xfId="0" applyFont="1" applyNumberFormat="1"/>
    <xf borderId="10" fillId="0" fontId="14" numFmtId="0" xfId="0" applyAlignment="1" applyBorder="1" applyFont="1">
      <alignment readingOrder="0"/>
    </xf>
    <xf borderId="10" fillId="0" fontId="14" numFmtId="170" xfId="0" applyAlignment="1" applyBorder="1" applyFont="1" applyNumberFormat="1">
      <alignment readingOrder="0"/>
    </xf>
    <xf borderId="0" fillId="0" fontId="14" numFmtId="170" xfId="0" applyAlignment="1" applyFont="1" applyNumberFormat="1">
      <alignment readingOrder="0"/>
    </xf>
    <xf borderId="10" fillId="0" fontId="14" numFmtId="164" xfId="0" applyAlignment="1" applyBorder="1" applyFont="1" applyNumberFormat="1">
      <alignment horizontal="center" readingOrder="0"/>
    </xf>
    <xf borderId="10" fillId="0" fontId="14" numFmtId="170" xfId="0" applyAlignment="1" applyBorder="1" applyFont="1" applyNumberFormat="1">
      <alignment horizontal="center" readingOrder="0"/>
    </xf>
    <xf borderId="10" fillId="0" fontId="14" numFmtId="3" xfId="0" applyAlignment="1" applyBorder="1" applyFont="1" applyNumberFormat="1">
      <alignment horizontal="center" readingOrder="0"/>
    </xf>
    <xf borderId="10" fillId="0" fontId="14" numFmtId="171" xfId="0" applyAlignment="1" applyBorder="1" applyFont="1" applyNumberFormat="1">
      <alignment readingOrder="0"/>
    </xf>
    <xf borderId="0" fillId="0" fontId="14" numFmtId="3" xfId="0" applyAlignment="1" applyFont="1" applyNumberFormat="1">
      <alignment readingOrder="0"/>
    </xf>
    <xf borderId="0" fillId="0" fontId="14" numFmtId="170" xfId="0" applyFont="1" applyNumberFormat="1"/>
    <xf borderId="10" fillId="0" fontId="14" numFmtId="166" xfId="0" applyAlignment="1" applyBorder="1" applyFont="1" applyNumberFormat="1">
      <alignment horizontal="center" readingOrder="0"/>
    </xf>
    <xf borderId="10" fillId="0" fontId="14" numFmtId="3" xfId="0" applyAlignment="1" applyBorder="1" applyFont="1" applyNumberFormat="1">
      <alignment horizontal="center"/>
    </xf>
    <xf borderId="10" fillId="0" fontId="14" numFmtId="0" xfId="0" applyAlignment="1" applyBorder="1" applyFont="1">
      <alignment horizontal="center"/>
    </xf>
    <xf borderId="10" fillId="0" fontId="14" numFmtId="170" xfId="0" applyAlignment="1" applyBorder="1" applyFont="1" applyNumberFormat="1">
      <alignment horizontal="center"/>
    </xf>
    <xf borderId="10" fillId="0" fontId="14" numFmtId="0" xfId="0" applyBorder="1" applyFont="1"/>
    <xf borderId="10" fillId="0" fontId="14" numFmtId="170" xfId="0" applyBorder="1" applyFont="1" applyNumberFormat="1"/>
    <xf borderId="10" fillId="0" fontId="14" numFmtId="3" xfId="0" applyBorder="1" applyFont="1" applyNumberFormat="1"/>
    <xf borderId="0" fillId="2" fontId="102" numFmtId="0" xfId="0" applyAlignment="1" applyFont="1">
      <alignment readingOrder="0"/>
    </xf>
    <xf borderId="0" fillId="2" fontId="103" numFmtId="0" xfId="0" applyFont="1"/>
    <xf borderId="7" fillId="2" fontId="81" numFmtId="0" xfId="0" applyAlignment="1" applyBorder="1" applyFont="1">
      <alignment readingOrder="0" shrinkToFit="0" wrapText="0"/>
    </xf>
    <xf borderId="7" fillId="2" fontId="81" numFmtId="0" xfId="0" applyAlignment="1" applyBorder="1" applyFont="1">
      <alignment horizontal="center" readingOrder="0" shrinkToFit="0" wrapText="0"/>
    </xf>
    <xf borderId="0" fillId="2" fontId="80" numFmtId="0" xfId="0" applyAlignment="1" applyFont="1">
      <alignment readingOrder="0"/>
    </xf>
    <xf borderId="0" fillId="2" fontId="80" numFmtId="0" xfId="0" applyAlignment="1" applyFont="1">
      <alignment horizontal="center" readingOrder="0"/>
    </xf>
    <xf borderId="7" fillId="2" fontId="80" numFmtId="0" xfId="0" applyAlignment="1" applyBorder="1" applyFont="1">
      <alignment readingOrder="0" shrinkToFit="0" wrapText="0"/>
    </xf>
    <xf borderId="7" fillId="2" fontId="80" numFmtId="0" xfId="0" applyAlignment="1" applyBorder="1" applyFont="1">
      <alignment horizontal="center" readingOrder="0" shrinkToFit="0" wrapText="0"/>
    </xf>
    <xf borderId="7" fillId="2" fontId="80" numFmtId="2" xfId="0" applyAlignment="1" applyBorder="1" applyFont="1" applyNumberFormat="1">
      <alignment horizontal="center" readingOrder="0" shrinkToFit="0" wrapText="0"/>
    </xf>
    <xf borderId="7" fillId="2" fontId="81" numFmtId="9" xfId="0" applyAlignment="1" applyBorder="1" applyFont="1" applyNumberFormat="1">
      <alignment horizontal="center" vertical="bottom"/>
    </xf>
    <xf borderId="0" fillId="2" fontId="80" numFmtId="0" xfId="0" applyFont="1"/>
    <xf borderId="0" fillId="2" fontId="80" numFmtId="0" xfId="0" applyAlignment="1" applyFont="1">
      <alignment horizontal="left" readingOrder="0"/>
    </xf>
    <xf borderId="7" fillId="2" fontId="80" numFmtId="0" xfId="0" applyBorder="1" applyFont="1"/>
    <xf borderId="0" fillId="2" fontId="71" numFmtId="0" xfId="0" applyAlignment="1" applyFont="1">
      <alignment horizontal="center" readingOrder="0"/>
    </xf>
    <xf borderId="0" fillId="2" fontId="80" numFmtId="0" xfId="0" applyAlignment="1" applyFont="1">
      <alignment vertical="bottom"/>
    </xf>
    <xf borderId="7" fillId="2" fontId="80" numFmtId="168" xfId="0" applyAlignment="1" applyBorder="1" applyFont="1" applyNumberFormat="1">
      <alignment vertical="bottom"/>
    </xf>
    <xf borderId="0" fillId="2" fontId="71" numFmtId="0" xfId="0" applyAlignment="1" applyFont="1">
      <alignment readingOrder="0"/>
    </xf>
    <xf borderId="33" fillId="2" fontId="81" numFmtId="10" xfId="0" applyAlignment="1" applyBorder="1" applyFont="1" applyNumberFormat="1">
      <alignment vertical="bottom"/>
    </xf>
    <xf borderId="34" fillId="2" fontId="81" numFmtId="0" xfId="0" applyAlignment="1" applyBorder="1" applyFont="1">
      <alignment horizontal="center" vertical="bottom"/>
    </xf>
    <xf borderId="26" fillId="2" fontId="81" numFmtId="1" xfId="0" applyAlignment="1" applyBorder="1" applyFont="1" applyNumberFormat="1">
      <alignment horizontal="center" readingOrder="0" vertical="bottom"/>
    </xf>
    <xf borderId="35" fillId="2" fontId="81" numFmtId="0" xfId="0" applyAlignment="1" applyBorder="1" applyFont="1">
      <alignment horizontal="center" vertical="bottom"/>
    </xf>
    <xf borderId="7" fillId="2" fontId="71" numFmtId="168" xfId="0" applyAlignment="1" applyBorder="1" applyFont="1" applyNumberFormat="1">
      <alignment vertical="bottom"/>
    </xf>
    <xf borderId="33" fillId="2" fontId="71" numFmtId="10" xfId="0" applyAlignment="1" applyBorder="1" applyFont="1" applyNumberFormat="1">
      <alignment vertical="bottom"/>
    </xf>
    <xf borderId="34" fillId="2" fontId="71" numFmtId="0" xfId="0" applyAlignment="1" applyBorder="1" applyFont="1">
      <alignment vertical="bottom"/>
    </xf>
  </cellXfs>
  <cellStyles count="1">
    <cellStyle xfId="0" name="Normal" builtinId="0"/>
  </cellStyles>
  <dxfs count="8">
    <dxf>
      <font/>
      <fill>
        <patternFill patternType="solid">
          <fgColor rgb="FFB7E1CD"/>
          <bgColor rgb="FFB7E1CD"/>
        </patternFill>
      </fill>
      <border/>
    </dxf>
    <dxf>
      <font/>
      <fill>
        <patternFill patternType="solid">
          <fgColor rgb="FFEA9999"/>
          <bgColor rgb="FFEA9999"/>
        </patternFill>
      </fill>
      <border/>
    </dxf>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E06666"/>
          <bgColor rgb="FFE06666"/>
        </patternFill>
      </fill>
      <border/>
    </dxf>
  </dxfs>
  <tableStyles count="2">
    <tableStyle count="2" pivot="0" name="Trash Table-style">
      <tableStyleElement dxfId="3" type="firstRowStripe"/>
      <tableStyleElement dxfId="4" type="secondRowStripe"/>
    </tableStyle>
    <tableStyle count="3" pivot="0" name="Trash Table-style 2">
      <tableStyleElement dxfId="5" type="headerRow"/>
      <tableStyleElement dxfId="4" type="firstRowStripe"/>
      <tableStyleElement dxfId="6"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582677165354332"/>
          <c:y val="0.041008771929824536"/>
          <c:w val="0.8141732283464568"/>
          <c:h val="0.9403508771929825"/>
        </c:manualLayout>
      </c:layout>
      <c:lineChart>
        <c:varyColors val="0"/>
        <c:ser>
          <c:idx val="0"/>
          <c:order val="0"/>
          <c:spPr>
            <a:ln cmpd="sng">
              <a:solidFill>
                <a:srgbClr val="000000">
                  <a:alpha val="100000"/>
                </a:srgbClr>
              </a:solidFill>
            </a:ln>
          </c:spPr>
          <c:marker>
            <c:symbol val="circle"/>
            <c:size val="14"/>
            <c:spPr>
              <a:solidFill>
                <a:srgbClr val="000000">
                  <a:alpha val="100000"/>
                </a:srgbClr>
              </a:solidFill>
              <a:ln cmpd="sng">
                <a:solidFill>
                  <a:srgbClr val="000000">
                    <a:alpha val="100000"/>
                  </a:srgbClr>
                </a:solidFill>
              </a:ln>
            </c:spPr>
          </c:marker>
          <c:val>
            <c:numRef>
              <c:f>SDCA!$F$30</c:f>
              <c:numCache/>
            </c:numRef>
          </c:val>
          <c:smooth val="0"/>
        </c:ser>
        <c:axId val="1906211164"/>
        <c:axId val="1746231789"/>
      </c:lineChart>
      <c:catAx>
        <c:axId val="19062111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746231789"/>
      </c:catAx>
      <c:valAx>
        <c:axId val="1746231789"/>
        <c:scaling>
          <c:orientation val="minMax"/>
          <c:max val="2.0"/>
        </c:scaling>
        <c:delete val="0"/>
        <c:axPos val="l"/>
        <c:majorGridlines>
          <c:spPr>
            <a:ln>
              <a:solidFill>
                <a:srgbClr val="FFFFFF"/>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none"/>
        <c:minorTickMark val="none"/>
        <c:tickLblPos val="nextTo"/>
        <c:spPr>
          <a:ln/>
        </c:spPr>
        <c:txPr>
          <a:bodyPr/>
          <a:lstStyle/>
          <a:p>
            <a:pPr lvl="0">
              <a:defRPr b="1" sz="1400">
                <a:solidFill>
                  <a:srgbClr val="000000"/>
                </a:solidFill>
                <a:latin typeface="+mn-lt"/>
              </a:defRPr>
            </a:pPr>
          </a:p>
        </c:txPr>
        <c:crossAx val="1906211164"/>
      </c:valAx>
    </c:plotArea>
    <c:legend>
      <c:legendPos val="r"/>
      <c:overlay val="0"/>
      <c:txPr>
        <a:bodyPr/>
        <a:lstStyle/>
        <a:p>
          <a:pPr lvl="0">
            <a:defRPr b="0">
              <a:solidFill>
                <a:srgbClr val="0000FF"/>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00FF00"/>
                </a:solidFill>
                <a:latin typeface="Georgia"/>
              </a:defRPr>
            </a:pPr>
            <a:r>
              <a:rPr b="1" i="1">
                <a:solidFill>
                  <a:srgbClr val="00FF00"/>
                </a:solidFill>
                <a:latin typeface="Georgia"/>
              </a:rPr>
              <a:t>MTPI/ LTPI BACKTEST</a:t>
            </a:r>
          </a:p>
        </c:rich>
      </c:tx>
      <c:overlay val="0"/>
    </c:title>
    <c:plotArea>
      <c:layout/>
      <c:lineChart>
        <c:ser>
          <c:idx val="0"/>
          <c:order val="0"/>
          <c:tx>
            <c:strRef>
              <c:f>MTPI!$B$38</c:f>
            </c:strRef>
          </c:tx>
          <c:spPr>
            <a:ln cmpd="sng" w="19050">
              <a:solidFill>
                <a:srgbClr val="00FF00">
                  <a:alpha val="100000"/>
                </a:srgbClr>
              </a:solidFill>
              <a:prstDash val="solid"/>
            </a:ln>
          </c:spPr>
          <c:marker>
            <c:symbol val="none"/>
          </c:marker>
          <c:cat>
            <c:strRef>
              <c:f>MTPI!$A$39:$A$1004</c:f>
            </c:strRef>
          </c:cat>
          <c:val>
            <c:numRef>
              <c:f>MTPI!$B$39:$B$1004</c:f>
              <c:numCache/>
            </c:numRef>
          </c:val>
          <c:smooth val="0"/>
        </c:ser>
        <c:ser>
          <c:idx val="1"/>
          <c:order val="1"/>
          <c:tx>
            <c:strRef>
              <c:f>MTPI!$D$38</c:f>
            </c:strRef>
          </c:tx>
          <c:spPr>
            <a:ln cmpd="sng" w="19050">
              <a:solidFill>
                <a:srgbClr val="0000FF">
                  <a:alpha val="100000"/>
                </a:srgbClr>
              </a:solidFill>
              <a:prstDash val="solid"/>
            </a:ln>
          </c:spPr>
          <c:marker>
            <c:symbol val="none"/>
          </c:marker>
          <c:cat>
            <c:strRef>
              <c:f>MTPI!$A$39:$A$1004</c:f>
            </c:strRef>
          </c:cat>
          <c:val>
            <c:numRef>
              <c:f>MTPI!$D$39:$D$1001</c:f>
              <c:numCache/>
            </c:numRef>
          </c:val>
          <c:smooth val="0"/>
        </c:ser>
        <c:ser>
          <c:idx val="2"/>
          <c:order val="2"/>
          <c:tx>
            <c:strRef>
              <c:f>MTPI!$F$38</c:f>
            </c:strRef>
          </c:tx>
          <c:spPr>
            <a:ln cmpd="sng">
              <a:solidFill>
                <a:srgbClr val="FF0000">
                  <a:alpha val="100000"/>
                </a:srgbClr>
              </a:solidFill>
            </a:ln>
          </c:spPr>
          <c:marker>
            <c:symbol val="none"/>
          </c:marker>
          <c:cat>
            <c:strRef>
              <c:f>MTPI!$A$39:$A$1004</c:f>
            </c:strRef>
          </c:cat>
          <c:val>
            <c:numRef>
              <c:f>MTPI!$F$39:$F$1002</c:f>
              <c:numCache/>
            </c:numRef>
          </c:val>
          <c:smooth val="0"/>
        </c:ser>
        <c:ser>
          <c:idx val="3"/>
          <c:order val="3"/>
          <c:tx>
            <c:strRef>
              <c:f>'BTCETH Chart'!$K$1</c:f>
            </c:strRef>
          </c:tx>
          <c:spPr>
            <a:ln cmpd="sng">
              <a:solidFill>
                <a:srgbClr val="FF9900">
                  <a:alpha val="100000"/>
                </a:srgbClr>
              </a:solidFill>
            </a:ln>
          </c:spPr>
          <c:marker>
            <c:symbol val="none"/>
          </c:marker>
          <c:cat>
            <c:strRef>
              <c:f>MTPI!$A$39:$A$1004</c:f>
            </c:strRef>
          </c:cat>
          <c:val>
            <c:numRef>
              <c:f>'BTCETH Chart'!$K$2:$K$7</c:f>
              <c:numCache/>
            </c:numRef>
          </c:val>
          <c:smooth val="0"/>
        </c:ser>
        <c:axId val="999167245"/>
        <c:axId val="370910891"/>
      </c:lineChart>
      <c:catAx>
        <c:axId val="9991672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rot="-1800000"/>
          <a:lstStyle/>
          <a:p>
            <a:pPr lvl="0">
              <a:defRPr b="0" i="1">
                <a:solidFill>
                  <a:srgbClr val="00FF00"/>
                </a:solidFill>
                <a:latin typeface="+mn-lt"/>
              </a:defRPr>
            </a:pPr>
          </a:p>
        </c:txPr>
        <c:crossAx val="370910891"/>
      </c:catAx>
      <c:valAx>
        <c:axId val="370910891"/>
        <c:scaling>
          <c:orientation val="minMax"/>
          <c:max val="1.0"/>
        </c:scaling>
        <c:delete val="0"/>
        <c:axPos val="l"/>
        <c:title>
          <c:tx>
            <c:rich>
              <a:bodyPr/>
              <a:lstStyle/>
              <a:p>
                <a:pPr lvl="0">
                  <a:defRPr b="0">
                    <a:solidFill>
                      <a:srgbClr val="000000"/>
                    </a:solidFill>
                    <a:latin typeface="+mn-lt"/>
                  </a:defRPr>
                </a:pPr>
                <a:r>
                  <a:rPr b="0">
                    <a:solidFill>
                      <a:srgbClr val="000000"/>
                    </a:solidFill>
                    <a:latin typeface="+mn-lt"/>
                  </a:rPr>
                  <a:t>TPI Score</a:t>
                </a:r>
              </a:p>
            </c:rich>
          </c:tx>
          <c:overlay val="0"/>
        </c:title>
        <c:numFmt formatCode="General" sourceLinked="1"/>
        <c:majorTickMark val="none"/>
        <c:minorTickMark val="none"/>
        <c:tickLblPos val="nextTo"/>
        <c:spPr>
          <a:ln/>
        </c:spPr>
        <c:txPr>
          <a:bodyPr/>
          <a:lstStyle/>
          <a:p>
            <a:pPr lvl="0">
              <a:defRPr b="0" i="1">
                <a:solidFill>
                  <a:srgbClr val="FFFFFF"/>
                </a:solidFill>
                <a:latin typeface="+mn-lt"/>
              </a:defRPr>
            </a:pPr>
          </a:p>
        </c:txPr>
        <c:crossAx val="999167245"/>
      </c:valAx>
    </c:plotArea>
    <c:legend>
      <c:legendPos val="r"/>
      <c:overlay val="0"/>
      <c:txPr>
        <a:bodyPr/>
        <a:lstStyle/>
        <a:p>
          <a:pPr lvl="0">
            <a:defRPr b="0">
              <a:solidFill>
                <a:srgbClr val="00FF00"/>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FFFFFF"/>
                </a:solidFill>
                <a:latin typeface="Georgia"/>
              </a:defRPr>
            </a:pPr>
            <a:r>
              <a:rPr b="1" i="1">
                <a:solidFill>
                  <a:srgbClr val="FFFFFF"/>
                </a:solidFill>
                <a:latin typeface="Georgia"/>
              </a:rPr>
              <a:t>DAILY BTC CHART</a:t>
            </a:r>
          </a:p>
        </c:rich>
      </c:tx>
      <c:overlay val="0"/>
    </c:title>
    <c:plotArea>
      <c:layout/>
      <c:lineChart>
        <c:varyColors val="0"/>
        <c:ser>
          <c:idx val="0"/>
          <c:order val="0"/>
          <c:spPr>
            <a:ln cmpd="sng">
              <a:solidFill>
                <a:srgbClr val="FF9900">
                  <a:alpha val="100000"/>
                </a:srgbClr>
              </a:solidFill>
            </a:ln>
          </c:spPr>
          <c:marker>
            <c:symbol val="none"/>
          </c:marker>
          <c:cat>
            <c:strRef>
              <c:f>'BTCETH Chart'!$F$2:$F$2000</c:f>
            </c:strRef>
          </c:cat>
          <c:val>
            <c:numRef>
              <c:f>'BTCETH Chart'!$G$2:$G$2000</c:f>
              <c:numCache/>
            </c:numRef>
          </c:val>
          <c:smooth val="0"/>
        </c:ser>
        <c:axId val="709852043"/>
        <c:axId val="226990594"/>
      </c:lineChart>
      <c:catAx>
        <c:axId val="7098520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1800000"/>
          <a:lstStyle/>
          <a:p>
            <a:pPr lvl="0">
              <a:defRPr b="0" i="1">
                <a:solidFill>
                  <a:srgbClr val="FFFFFF"/>
                </a:solidFill>
                <a:latin typeface="+mn-lt"/>
              </a:defRPr>
            </a:pPr>
          </a:p>
        </c:txPr>
        <c:crossAx val="226990594"/>
      </c:catAx>
      <c:valAx>
        <c:axId val="22699059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1">
                <a:solidFill>
                  <a:srgbClr val="FFFFFF"/>
                </a:solidFill>
                <a:latin typeface="+mn-lt"/>
              </a:defRPr>
            </a:pPr>
          </a:p>
        </c:txPr>
        <c:crossAx val="709852043"/>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FFFFFF"/>
                </a:solidFill>
                <a:latin typeface="Georgia"/>
              </a:defRPr>
            </a:pPr>
            <a:r>
              <a:rPr b="1" i="1">
                <a:solidFill>
                  <a:srgbClr val="FFFFFF"/>
                </a:solidFill>
                <a:latin typeface="Georgia"/>
              </a:rPr>
              <a:t>DAILY ETH CHART</a:t>
            </a:r>
          </a:p>
        </c:rich>
      </c:tx>
      <c:overlay val="0"/>
    </c:title>
    <c:plotArea>
      <c:layout/>
      <c:lineChart>
        <c:varyColors val="0"/>
        <c:ser>
          <c:idx val="0"/>
          <c:order val="0"/>
          <c:tx>
            <c:strRef>
              <c:f>'BTCETH Chart'!$I$2</c:f>
            </c:strRef>
          </c:tx>
          <c:spPr>
            <a:ln cmpd="sng">
              <a:solidFill>
                <a:srgbClr val="3C78D8">
                  <a:alpha val="100000"/>
                </a:srgbClr>
              </a:solidFill>
              <a:prstDash val="solid"/>
            </a:ln>
          </c:spPr>
          <c:marker>
            <c:symbol val="none"/>
          </c:marker>
          <c:cat>
            <c:strRef>
              <c:f>'BTCETH Chart'!$H$3:$H$2000</c:f>
            </c:strRef>
          </c:cat>
          <c:val>
            <c:numRef>
              <c:f>'BTCETH Chart'!$I$3:$I$2000</c:f>
              <c:numCache/>
            </c:numRef>
          </c:val>
          <c:smooth val="0"/>
        </c:ser>
        <c:axId val="1729508259"/>
        <c:axId val="1851064926"/>
      </c:lineChart>
      <c:catAx>
        <c:axId val="17295082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1">
                <a:solidFill>
                  <a:srgbClr val="FFFFFF"/>
                </a:solidFill>
                <a:latin typeface="+mn-lt"/>
              </a:defRPr>
            </a:pPr>
          </a:p>
        </c:txPr>
        <c:crossAx val="1851064926"/>
      </c:catAx>
      <c:valAx>
        <c:axId val="185106492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i="0">
                <a:solidFill>
                  <a:srgbClr val="FFFFFF"/>
                </a:solidFill>
                <a:latin typeface="Arial"/>
              </a:defRPr>
            </a:pPr>
          </a:p>
        </c:txPr>
        <c:crossAx val="1729508259"/>
      </c:valAx>
    </c:plotArea>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0714285714285712"/>
          <c:y val="0.06472081218274112"/>
          <c:w val="0.8502164502164501"/>
          <c:h val="0.8756345177664975"/>
        </c:manualLayout>
      </c:layout>
      <c:scatterChart>
        <c:scatterStyle val="lineMarker"/>
        <c:varyColors val="0"/>
        <c:ser>
          <c:idx val="0"/>
          <c:order val="0"/>
          <c:spPr>
            <a:ln>
              <a:noFill/>
            </a:ln>
          </c:spPr>
          <c:marker>
            <c:symbol val="star"/>
            <c:size val="14"/>
            <c:spPr>
              <a:solidFill>
                <a:srgbClr val="FFFFFF"/>
              </a:solidFill>
              <a:ln cmpd="sng">
                <a:solidFill>
                  <a:srgbClr val="FFFFFF"/>
                </a:solidFill>
              </a:ln>
            </c:spPr>
          </c:marker>
          <c:dPt>
            <c:idx val="0"/>
            <c:marker>
              <c:symbol val="none"/>
            </c:marker>
          </c:dPt>
          <c:dPt>
            <c:idx val="1"/>
            <c:marker>
              <c:symbol val="x"/>
              <c:size val="2"/>
              <c:spPr>
                <a:solidFill>
                  <a:srgbClr val="000000"/>
                </a:solidFill>
                <a:ln cmpd="sng">
                  <a:solidFill>
                    <a:srgbClr val="000000"/>
                  </a:solidFill>
                </a:ln>
              </c:spPr>
            </c:marker>
          </c:dPt>
          <c:dPt>
            <c:idx val="2"/>
            <c:marker>
              <c:symbol val="x"/>
              <c:size val="2"/>
              <c:spPr>
                <a:solidFill>
                  <a:srgbClr val="000000"/>
                </a:solidFill>
                <a:ln cmpd="sng">
                  <a:solidFill>
                    <a:srgbClr val="000000"/>
                  </a:solidFill>
                </a:ln>
              </c:spPr>
            </c:marker>
          </c:dPt>
          <c:dPt>
            <c:idx val="3"/>
            <c:marker>
              <c:symbol val="none"/>
            </c:marker>
          </c:dPt>
          <c:xVal>
            <c:numRef>
              <c:f>'Ternary Diagram'!$I$2:$I$5</c:f>
            </c:numRef>
          </c:xVal>
          <c:yVal>
            <c:numRef>
              <c:f>'Ternary Diagram'!$J$2:$J$5</c:f>
              <c:numCache/>
            </c:numRef>
          </c:yVal>
        </c:ser>
        <c:dLbls>
          <c:showLegendKey val="0"/>
          <c:showVal val="0"/>
          <c:showCatName val="0"/>
          <c:showSerName val="0"/>
          <c:showPercent val="0"/>
          <c:showBubbleSize val="0"/>
        </c:dLbls>
        <c:axId val="1664546534"/>
        <c:axId val="217869597"/>
      </c:scatterChart>
      <c:valAx>
        <c:axId val="1664546534"/>
        <c:scaling>
          <c:orientation val="minMax"/>
          <c:max val="17.32"/>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217869597"/>
      </c:valAx>
      <c:valAx>
        <c:axId val="217869597"/>
        <c:scaling>
          <c:orientation val="minMax"/>
          <c:max val="15.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664546534"/>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1" Type="http://schemas.openxmlformats.org/officeDocument/2006/relationships/image" Target="../media/Chart11.png"/><Relationship Id="rId10" Type="http://schemas.openxmlformats.org/officeDocument/2006/relationships/chart" Target="../charts/chart4.xml"/><Relationship Id="rId13" Type="http://schemas.openxmlformats.org/officeDocument/2006/relationships/image" Target="../media/Chart13.png"/><Relationship Id="rId12" Type="http://schemas.openxmlformats.org/officeDocument/2006/relationships/image" Target="../media/Chart12.png"/><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9" Type="http://schemas.openxmlformats.org/officeDocument/2006/relationships/chart" Target="../charts/chart3.xml"/><Relationship Id="rId15" Type="http://schemas.openxmlformats.org/officeDocument/2006/relationships/image" Target="../media/Chart15.png"/><Relationship Id="rId14" Type="http://schemas.openxmlformats.org/officeDocument/2006/relationships/image" Target="../media/Chart14.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chart" Target="../charts/chart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676275</xdr:colOff>
      <xdr:row>8</xdr:row>
      <xdr:rowOff>142875</xdr:rowOff>
    </xdr:from>
    <xdr:ext cx="2505075" cy="40862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942975</xdr:colOff>
      <xdr:row>3</xdr:row>
      <xdr:rowOff>180975</xdr:rowOff>
    </xdr:from>
    <xdr:ext cx="1733550" cy="2057400"/>
    <xdr:pic>
      <xdr:nvPicPr>
        <xdr:cNvPr id="183284993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752475</xdr:colOff>
      <xdr:row>31</xdr:row>
      <xdr:rowOff>28575</xdr:rowOff>
    </xdr:from>
    <xdr:ext cx="1657350" cy="1962150"/>
    <xdr:pic>
      <xdr:nvPicPr>
        <xdr:cNvPr id="206148567"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742950</xdr:colOff>
      <xdr:row>31</xdr:row>
      <xdr:rowOff>28575</xdr:rowOff>
    </xdr:from>
    <xdr:ext cx="1733550" cy="1771650"/>
    <xdr:pic>
      <xdr:nvPicPr>
        <xdr:cNvPr id="1518514234"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571500</xdr:colOff>
      <xdr:row>31</xdr:row>
      <xdr:rowOff>28575</xdr:rowOff>
    </xdr:from>
    <xdr:ext cx="1657350" cy="1647825"/>
    <xdr:pic>
      <xdr:nvPicPr>
        <xdr:cNvPr id="1506352404"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85725</xdr:colOff>
      <xdr:row>3</xdr:row>
      <xdr:rowOff>180975</xdr:rowOff>
    </xdr:from>
    <xdr:ext cx="1733550" cy="1857375"/>
    <xdr:pic>
      <xdr:nvPicPr>
        <xdr:cNvPr id="1206965282"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800100</xdr:colOff>
      <xdr:row>31</xdr:row>
      <xdr:rowOff>28575</xdr:rowOff>
    </xdr:from>
    <xdr:ext cx="1733550" cy="1771650"/>
    <xdr:pic>
      <xdr:nvPicPr>
        <xdr:cNvPr id="846657585"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752475</xdr:colOff>
      <xdr:row>12</xdr:row>
      <xdr:rowOff>76200</xdr:rowOff>
    </xdr:from>
    <xdr:ext cx="10420350" cy="46767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xdr:col>
      <xdr:colOff>85725</xdr:colOff>
      <xdr:row>4</xdr:row>
      <xdr:rowOff>85725</xdr:rowOff>
    </xdr:from>
    <xdr:ext cx="6067425" cy="2019300"/>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xdr:col>
      <xdr:colOff>0</xdr:colOff>
      <xdr:row>15</xdr:row>
      <xdr:rowOff>114300</xdr:rowOff>
    </xdr:from>
    <xdr:ext cx="6257925" cy="2019300"/>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10</xdr:col>
      <xdr:colOff>200025</xdr:colOff>
      <xdr:row>4</xdr:row>
      <xdr:rowOff>85725</xdr:rowOff>
    </xdr:from>
    <xdr:ext cx="1657350" cy="1647825"/>
    <xdr:pic>
      <xdr:nvPicPr>
        <xdr:cNvPr id="886159808" name="Chart11"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323850</xdr:colOff>
      <xdr:row>4</xdr:row>
      <xdr:rowOff>85725</xdr:rowOff>
    </xdr:from>
    <xdr:ext cx="1733550" cy="1647825"/>
    <xdr:pic>
      <xdr:nvPicPr>
        <xdr:cNvPr id="1689423772" name="Chart12" title="Chart">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142875</xdr:colOff>
      <xdr:row>4</xdr:row>
      <xdr:rowOff>57150</xdr:rowOff>
    </xdr:from>
    <xdr:ext cx="1876425" cy="1704975"/>
    <xdr:pic>
      <xdr:nvPicPr>
        <xdr:cNvPr id="358347473" name="Chart13"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495300</xdr:colOff>
      <xdr:row>42</xdr:row>
      <xdr:rowOff>200025</xdr:rowOff>
    </xdr:from>
    <xdr:ext cx="6905625" cy="3638550"/>
    <xdr:pic>
      <xdr:nvPicPr>
        <xdr:cNvPr id="319071658" name="Chart14" title="Chart">
          <a:extLst>
            <a:ext uri="GoogleSheetsCustomDataVersion1">
              <go:sheetsCustomData xmlns:go="http://customooxmlschemas.google.com/" pictureOfChart="1"/>
            </a:ext>
          </a:extLst>
        </xdr:cNvPr>
        <xdr:cNvPicPr preferRelativeResize="0"/>
      </xdr:nvPicPr>
      <xdr:blipFill>
        <a:blip cstate="print" r:embed="rId14"/>
        <a:stretch>
          <a:fillRect/>
        </a:stretch>
      </xdr:blipFill>
      <xdr:spPr>
        <a:prstGeom prst="rect">
          <a:avLst/>
        </a:prstGeom>
        <a:noFill/>
      </xdr:spPr>
    </xdr:pic>
    <xdr:clientData fLocksWithSheet="0"/>
  </xdr:oneCellAnchor>
  <xdr:oneCellAnchor>
    <xdr:from>
      <xdr:col>16</xdr:col>
      <xdr:colOff>9525</xdr:colOff>
      <xdr:row>31</xdr:row>
      <xdr:rowOff>28575</xdr:rowOff>
    </xdr:from>
    <xdr:ext cx="1847850" cy="1771650"/>
    <xdr:pic>
      <xdr:nvPicPr>
        <xdr:cNvPr id="1579784524" name="Chart15" title="Chart">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oneCellAnchor>
    <xdr:from>
      <xdr:col>20</xdr:col>
      <xdr:colOff>152400</xdr:colOff>
      <xdr:row>79</xdr:row>
      <xdr:rowOff>76200</xdr:rowOff>
    </xdr:from>
    <xdr:ext cx="5838825" cy="28575"/>
    <xdr:grpSp>
      <xdr:nvGrpSpPr>
        <xdr:cNvPr id="2" name="Shape 2" title="Drawing"/>
        <xdr:cNvGrpSpPr/>
      </xdr:nvGrpSpPr>
      <xdr:grpSpPr>
        <a:xfrm>
          <a:off x="1466825" y="1577275"/>
          <a:ext cx="5823900" cy="10200"/>
          <a:chOff x="1466825" y="1577275"/>
          <a:chExt cx="5823900" cy="10200"/>
        </a:xfrm>
      </xdr:grpSpPr>
      <xdr:cxnSp>
        <xdr:nvCxnSpPr>
          <xdr:cNvPr id="3" name="Shape 3"/>
          <xdr:cNvCxnSpPr/>
        </xdr:nvCxnSpPr>
        <xdr:spPr>
          <a:xfrm>
            <a:off x="1466825" y="1577275"/>
            <a:ext cx="5823900" cy="10200"/>
          </a:xfrm>
          <a:prstGeom prst="straightConnector1">
            <a:avLst/>
          </a:prstGeom>
          <a:noFill/>
          <a:ln cap="flat" cmpd="sng" w="9525">
            <a:solidFill>
              <a:srgbClr val="000000"/>
            </a:solidFill>
            <a:prstDash val="solid"/>
            <a:round/>
            <a:headEnd len="med" w="med" type="none"/>
            <a:tailEnd len="med" w="med" type="none"/>
          </a:ln>
        </xdr:spPr>
      </xdr:cxn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762000</xdr:colOff>
      <xdr:row>6</xdr:row>
      <xdr:rowOff>85725</xdr:rowOff>
    </xdr:from>
    <xdr:ext cx="3486150" cy="3219450"/>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66675</xdr:colOff>
      <xdr:row>8</xdr:row>
      <xdr:rowOff>47625</xdr:rowOff>
    </xdr:from>
    <xdr:ext cx="3333750" cy="2600325"/>
    <xdr:grpSp>
      <xdr:nvGrpSpPr>
        <xdr:cNvPr id="2" name="Shape 2" title="Drawing"/>
        <xdr:cNvGrpSpPr/>
      </xdr:nvGrpSpPr>
      <xdr:grpSpPr>
        <a:xfrm>
          <a:off x="1724100" y="214275"/>
          <a:ext cx="4607200" cy="3569975"/>
          <a:chOff x="1724100" y="214275"/>
          <a:chExt cx="4607200" cy="3569975"/>
        </a:xfrm>
      </xdr:grpSpPr>
      <xdr:sp>
        <xdr:nvSpPr>
          <xdr:cNvPr id="4" name="Shape 4"/>
          <xdr:cNvSpPr txBox="1"/>
        </xdr:nvSpPr>
        <xdr:spPr>
          <a:xfrm>
            <a:off x="1724100" y="3384050"/>
            <a:ext cx="545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SUI</a:t>
            </a:r>
            <a:endParaRPr sz="1400"/>
          </a:p>
        </xdr:txBody>
      </xdr:sp>
      <xdr:sp>
        <xdr:nvSpPr>
          <xdr:cNvPr id="5" name="Shape 5"/>
          <xdr:cNvSpPr txBox="1"/>
        </xdr:nvSpPr>
        <xdr:spPr>
          <a:xfrm>
            <a:off x="3779375" y="214275"/>
            <a:ext cx="623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ETH</a:t>
            </a:r>
            <a:endParaRPr sz="1400"/>
          </a:p>
        </xdr:txBody>
      </xdr:sp>
      <xdr:sp>
        <xdr:nvSpPr>
          <xdr:cNvPr id="6" name="Shape 6"/>
          <xdr:cNvSpPr txBox="1"/>
        </xdr:nvSpPr>
        <xdr:spPr>
          <a:xfrm>
            <a:off x="5785900" y="3384050"/>
            <a:ext cx="545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SOL</a:t>
            </a:r>
            <a:endParaRPr sz="1400"/>
          </a:p>
        </xdr:txBody>
      </xdr:sp>
    </xdr:grpSp>
    <xdr:clientData fLocksWithSheet="0"/>
  </xdr:oneCellAnchor>
  <xdr:oneCellAnchor>
    <xdr:from>
      <xdr:col>6</xdr:col>
      <xdr:colOff>762000</xdr:colOff>
      <xdr:row>5</xdr:row>
      <xdr:rowOff>180975</xdr:rowOff>
    </xdr:from>
    <xdr:ext cx="3705225" cy="32194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4:K11"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rash Table-style" showColumnStripes="0" showFirstColumn="1" showLastColumn="1" showRowStripes="1"/>
</table>
</file>

<file path=xl/tables/table2.xml><?xml version="1.0" encoding="utf-8"?>
<table xmlns="http://schemas.openxmlformats.org/spreadsheetml/2006/main" headerRowCount="0" ref="A19" displayName="Table_2" name="Table_2" id="2">
  <tableColumns count="1">
    <tableColumn name="Column1" id="1"/>
  </tableColumns>
  <tableStyleInfo name="Trash Table-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000000"/>
      </a:lt1>
      <a:dk2>
        <a:srgbClr val="000000"/>
      </a:dk2>
      <a:lt2>
        <a:srgbClr val="000000"/>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ryptoquant.com/community/dashboard/6721acfd1336e76f6a8ea9fb" TargetMode="External"/><Relationship Id="rId2" Type="http://schemas.openxmlformats.org/officeDocument/2006/relationships/hyperlink" Target="https://charts.researchbitcoin.net/" TargetMode="External"/><Relationship Id="rId3" Type="http://schemas.openxmlformats.org/officeDocument/2006/relationships/hyperlink" Target="https://charts.researchbitcoin.net/"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1" Type="http://schemas.openxmlformats.org/officeDocument/2006/relationships/hyperlink" Target="https://charts.bitbo.io/power-law-oscillator/" TargetMode="External"/><Relationship Id="rId10" Type="http://schemas.openxmlformats.org/officeDocument/2006/relationships/hyperlink" Target="https://charts.bitbo.io/monthly-rsi/" TargetMode="External"/><Relationship Id="rId13" Type="http://schemas.openxmlformats.org/officeDocument/2006/relationships/hyperlink" Target="https://charts.bitbo.io/sharpe-ratio/" TargetMode="External"/><Relationship Id="rId12" Type="http://schemas.openxmlformats.org/officeDocument/2006/relationships/hyperlink" Target="https://charts.bitbo.io/beam/" TargetMode="External"/><Relationship Id="rId1" Type="http://schemas.openxmlformats.org/officeDocument/2006/relationships/hyperlink" Target="https://www.lookintobitcoin.com/charts/mvrv-zscore/" TargetMode="External"/><Relationship Id="rId2" Type="http://schemas.openxmlformats.org/officeDocument/2006/relationships/hyperlink" Target="https://colintalkscrypto.com/cbbi/" TargetMode="External"/><Relationship Id="rId3" Type="http://schemas.openxmlformats.org/officeDocument/2006/relationships/hyperlink" Target="https://charts.checkonchain.com/btconchain/unrealised/nupl/nupl_light.html" TargetMode="External"/><Relationship Id="rId4" Type="http://schemas.openxmlformats.org/officeDocument/2006/relationships/hyperlink" Target="https://charts.bitbo.io/realized-price/" TargetMode="External"/><Relationship Id="rId9" Type="http://schemas.openxmlformats.org/officeDocument/2006/relationships/hyperlink" Target="https://www.lookintobitcoin.com/charts/pi-cycle-top-bottom-indicator/" TargetMode="External"/><Relationship Id="rId15" Type="http://schemas.openxmlformats.org/officeDocument/2006/relationships/hyperlink" Target="https://alternative.me/crypto/fear-and-greed-index/" TargetMode="External"/><Relationship Id="rId14" Type="http://schemas.openxmlformats.org/officeDocument/2006/relationships/hyperlink" Target="https://www.crypto-sentiment.com/bitcoin-sentiment" TargetMode="External"/><Relationship Id="rId17" Type="http://schemas.openxmlformats.org/officeDocument/2006/relationships/hyperlink" Target="https://woocharts.com/bitcoin-macro-oscillator/" TargetMode="External"/><Relationship Id="rId16" Type="http://schemas.openxmlformats.org/officeDocument/2006/relationships/hyperlink" Target="https://www.bitcoinmagazinepro.com/charts/mvrv-zscore/" TargetMode="External"/><Relationship Id="rId5" Type="http://schemas.openxmlformats.org/officeDocument/2006/relationships/hyperlink" Target="https://www.lookintobitcoin.com/charts/value-days-destroyed-multiple/" TargetMode="External"/><Relationship Id="rId19" Type="http://schemas.openxmlformats.org/officeDocument/2006/relationships/drawing" Target="../drawings/drawing12.xml"/><Relationship Id="rId6" Type="http://schemas.openxmlformats.org/officeDocument/2006/relationships/hyperlink" Target="https://www.lookintobitcoin.com/charts/rhodl-ratio/" TargetMode="External"/><Relationship Id="rId18" Type="http://schemas.openxmlformats.org/officeDocument/2006/relationships/hyperlink" Target="https://charts.bitbo.io/beam/" TargetMode="External"/><Relationship Id="rId7" Type="http://schemas.openxmlformats.org/officeDocument/2006/relationships/hyperlink" Target="https://woocharts.com/bitcoin-macro-oscillator/" TargetMode="External"/><Relationship Id="rId8" Type="http://schemas.openxmlformats.org/officeDocument/2006/relationships/hyperlink" Target="https://www.lookintobitcoin.com/charts/bitcoin-investor-too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1.xml"/><Relationship Id="rId5"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4" max="4" width="13.5"/>
    <col customWidth="1" min="9" max="9" width="17.25"/>
    <col customWidth="1" min="12" max="12" width="13.63"/>
    <col customWidth="1" min="13" max="13" width="14.13"/>
    <col customWidth="1" min="21" max="21" width="12.13"/>
    <col customWidth="1" min="22" max="22" width="10.25"/>
    <col customWidth="1" min="23" max="23" width="13.25"/>
    <col customWidth="1" min="24" max="29" width="10.25"/>
    <col customWidth="1" min="30" max="30" width="32.2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c r="A2" s="1"/>
      <c r="B2" s="1"/>
      <c r="C2" s="1"/>
      <c r="D2" s="1"/>
      <c r="E2" s="1"/>
      <c r="F2" s="1"/>
      <c r="G2" s="1"/>
      <c r="H2" s="1"/>
      <c r="I2" s="2"/>
      <c r="J2" s="3" t="s">
        <v>0</v>
      </c>
      <c r="K2" s="4"/>
      <c r="L2" s="4"/>
      <c r="M2" s="4"/>
      <c r="N2" s="4"/>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row>
    <row r="6">
      <c r="A6" s="1"/>
      <c r="B6" s="1"/>
      <c r="C6" s="1"/>
      <c r="D6" s="1"/>
      <c r="E6" s="1"/>
      <c r="F6" s="1"/>
      <c r="G6" s="1"/>
      <c r="H6" s="1"/>
      <c r="I6" s="1"/>
      <c r="J6" s="1"/>
      <c r="K6" s="1"/>
      <c r="L6" s="1"/>
      <c r="M6" s="1"/>
      <c r="N6" s="1"/>
      <c r="O6" s="1"/>
      <c r="P6" s="1"/>
      <c r="Q6" s="1"/>
      <c r="R6" s="1"/>
      <c r="S6" s="1"/>
      <c r="T6" s="1"/>
      <c r="U6" s="5"/>
      <c r="V6" s="1"/>
      <c r="W6" s="1"/>
      <c r="X6" s="1"/>
      <c r="Y6" s="1"/>
      <c r="Z6" s="1"/>
      <c r="AA6" s="1"/>
      <c r="AB6" s="1"/>
      <c r="AC6" s="1"/>
      <c r="AD6" s="1"/>
      <c r="AE6" s="1"/>
      <c r="AF6" s="1"/>
      <c r="AG6" s="1"/>
      <c r="AH6" s="1"/>
      <c r="AI6" s="1"/>
      <c r="AJ6" s="1"/>
      <c r="AK6" s="1"/>
      <c r="AL6" s="1"/>
      <c r="AM6" s="1"/>
      <c r="AN6" s="1"/>
      <c r="AO6" s="1"/>
      <c r="AP6" s="1"/>
      <c r="AQ6" s="1"/>
    </row>
    <row r="7">
      <c r="A7" s="1"/>
      <c r="B7" s="1"/>
      <c r="C7" s="1"/>
      <c r="D7" s="1"/>
      <c r="E7" s="1"/>
      <c r="F7" s="1"/>
      <c r="G7" s="1"/>
      <c r="H7" s="1"/>
      <c r="I7" s="1"/>
      <c r="J7" s="1"/>
      <c r="K7" s="1"/>
      <c r="L7" s="1"/>
      <c r="M7" s="1"/>
      <c r="N7" s="1"/>
      <c r="O7" s="1"/>
      <c r="P7" s="1"/>
      <c r="Q7" s="1"/>
      <c r="R7" s="1"/>
      <c r="S7" s="1"/>
      <c r="T7" s="1"/>
      <c r="U7" s="6"/>
      <c r="V7" s="1"/>
      <c r="W7" s="1"/>
      <c r="X7" s="1"/>
      <c r="Y7" s="1"/>
      <c r="Z7" s="1"/>
      <c r="AA7" s="1"/>
      <c r="AB7" s="1"/>
      <c r="AC7" s="1"/>
      <c r="AD7" s="1"/>
      <c r="AE7" s="1"/>
      <c r="AF7" s="1"/>
      <c r="AG7" s="1"/>
      <c r="AH7" s="1"/>
      <c r="AI7" s="1"/>
      <c r="AJ7" s="1"/>
      <c r="AK7" s="1"/>
      <c r="AL7" s="1"/>
      <c r="AM7" s="1"/>
      <c r="AN7" s="1"/>
      <c r="AO7" s="1"/>
      <c r="AP7" s="1"/>
      <c r="AQ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7" t="s">
        <v>1</v>
      </c>
      <c r="AE8" s="1"/>
      <c r="AF8" s="1"/>
      <c r="AG8" s="1"/>
      <c r="AH8" s="1"/>
      <c r="AI8" s="1"/>
      <c r="AJ8" s="1"/>
      <c r="AK8" s="1"/>
      <c r="AL8" s="1"/>
      <c r="AM8" s="1"/>
      <c r="AN8" s="1"/>
      <c r="AO8" s="1"/>
      <c r="AP8" s="1"/>
      <c r="AQ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c r="AD9" s="8">
        <v>-2.0</v>
      </c>
      <c r="AE9" s="1"/>
      <c r="AF9" s="1"/>
      <c r="AG9" s="1"/>
      <c r="AH9" s="1"/>
      <c r="AI9" s="1"/>
      <c r="AJ9" s="1"/>
      <c r="AK9" s="1"/>
      <c r="AL9" s="1"/>
      <c r="AM9" s="1"/>
      <c r="AN9" s="1"/>
      <c r="AO9" s="1"/>
      <c r="AP9" s="1"/>
      <c r="AQ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9">
        <v>-1.8</v>
      </c>
      <c r="AE10" s="1"/>
      <c r="AF10" s="1"/>
      <c r="AG10" s="1"/>
      <c r="AH10" s="1"/>
      <c r="AI10" s="1"/>
      <c r="AJ10" s="1"/>
      <c r="AK10" s="1"/>
      <c r="AL10" s="1"/>
      <c r="AM10" s="1"/>
      <c r="AN10" s="1"/>
      <c r="AO10" s="1"/>
      <c r="AP10" s="1"/>
      <c r="AQ10" s="1"/>
    </row>
    <row r="11">
      <c r="A11" s="1"/>
      <c r="B11" s="1"/>
      <c r="C11" s="1"/>
      <c r="D11" s="1"/>
      <c r="E11" s="1"/>
      <c r="F11" s="1"/>
      <c r="G11" s="1"/>
      <c r="H11" s="1"/>
      <c r="I11" s="1"/>
      <c r="J11" s="1"/>
      <c r="K11" s="1"/>
      <c r="L11" s="1"/>
      <c r="M11" s="1"/>
      <c r="N11" s="1"/>
      <c r="O11" s="1"/>
      <c r="P11" s="1"/>
      <c r="Q11" s="1"/>
      <c r="R11" s="1"/>
      <c r="S11" s="1"/>
      <c r="T11" s="10" t="s">
        <v>2</v>
      </c>
      <c r="U11" s="11"/>
      <c r="V11" s="11"/>
      <c r="W11" s="11"/>
      <c r="X11" s="11"/>
      <c r="Y11" s="11"/>
      <c r="Z11" s="12"/>
      <c r="AA11" s="13"/>
      <c r="AB11" s="1"/>
      <c r="AC11" s="1"/>
      <c r="AD11" s="14">
        <v>-1.5</v>
      </c>
      <c r="AE11" s="1"/>
      <c r="AF11" s="1"/>
      <c r="AG11" s="1"/>
      <c r="AH11" s="1"/>
      <c r="AI11" s="1"/>
      <c r="AJ11" s="1"/>
      <c r="AK11" s="1"/>
      <c r="AL11" s="1"/>
      <c r="AM11" s="1"/>
      <c r="AN11" s="1"/>
      <c r="AO11" s="1"/>
      <c r="AP11" s="1"/>
      <c r="AQ11" s="1"/>
    </row>
    <row r="12">
      <c r="A12" s="1"/>
      <c r="B12" s="1"/>
      <c r="C12" s="1"/>
      <c r="D12" s="1"/>
      <c r="E12" s="1"/>
      <c r="F12" s="1"/>
      <c r="G12" s="1"/>
      <c r="H12" s="1"/>
      <c r="I12" s="1"/>
      <c r="J12" s="1"/>
      <c r="K12" s="1"/>
      <c r="L12" s="1"/>
      <c r="M12" s="1"/>
      <c r="N12" s="1"/>
      <c r="O12" s="1"/>
      <c r="P12" s="15"/>
      <c r="Q12" s="15"/>
      <c r="R12" s="15"/>
      <c r="S12" s="15"/>
      <c r="T12" s="16"/>
      <c r="U12" s="17"/>
      <c r="V12" s="17"/>
      <c r="W12" s="17"/>
      <c r="X12" s="17"/>
      <c r="Y12" s="17"/>
      <c r="Z12" s="17"/>
      <c r="AA12" s="17"/>
      <c r="AB12" s="1"/>
      <c r="AC12" s="1"/>
      <c r="AD12" s="18">
        <v>-1.4</v>
      </c>
      <c r="AE12" s="1"/>
      <c r="AF12" s="1"/>
      <c r="AG12" s="1"/>
      <c r="AH12" s="1"/>
      <c r="AI12" s="1"/>
      <c r="AJ12" s="1"/>
      <c r="AK12" s="1"/>
      <c r="AL12" s="1"/>
      <c r="AM12" s="1"/>
      <c r="AN12" s="1"/>
      <c r="AO12" s="1"/>
      <c r="AP12" s="1"/>
      <c r="AQ12" s="1"/>
    </row>
    <row r="13">
      <c r="A13" s="1"/>
      <c r="B13" s="1"/>
      <c r="C13" s="1"/>
      <c r="D13" s="5"/>
      <c r="E13" s="5"/>
      <c r="F13" s="5"/>
      <c r="G13" s="1"/>
      <c r="H13" s="1"/>
      <c r="I13" s="1"/>
      <c r="J13" s="1"/>
      <c r="K13" s="1"/>
      <c r="L13" s="1"/>
      <c r="M13" s="1"/>
      <c r="N13" s="1"/>
      <c r="O13" s="1"/>
      <c r="P13" s="16"/>
      <c r="Q13" s="16"/>
      <c r="R13" s="16"/>
      <c r="S13" s="16"/>
      <c r="T13" s="19"/>
      <c r="U13" s="20" t="s">
        <v>3</v>
      </c>
      <c r="V13" s="21" t="s">
        <v>4</v>
      </c>
      <c r="W13" s="22" t="s">
        <v>5</v>
      </c>
      <c r="X13" s="23" t="s">
        <v>6</v>
      </c>
      <c r="Y13" s="24" t="s">
        <v>7</v>
      </c>
      <c r="Z13" s="25" t="s">
        <v>8</v>
      </c>
      <c r="AA13" s="25" t="s">
        <v>9</v>
      </c>
      <c r="AB13" s="17"/>
      <c r="AC13" s="26"/>
      <c r="AD13" s="27">
        <v>-1.3</v>
      </c>
      <c r="AE13" s="1"/>
      <c r="AF13" s="1"/>
      <c r="AG13" s="1"/>
      <c r="AH13" s="1"/>
      <c r="AI13" s="1"/>
      <c r="AJ13" s="1"/>
      <c r="AK13" s="1"/>
      <c r="AL13" s="1"/>
      <c r="AM13" s="1"/>
      <c r="AN13" s="1"/>
      <c r="AO13" s="1"/>
      <c r="AP13" s="1"/>
      <c r="AQ13" s="1"/>
    </row>
    <row r="14">
      <c r="A14" s="1"/>
      <c r="B14" s="1"/>
      <c r="C14" s="1"/>
      <c r="D14" s="28"/>
      <c r="E14" s="29"/>
      <c r="F14" s="28"/>
      <c r="G14" s="1"/>
      <c r="H14" s="1"/>
      <c r="I14" s="1"/>
      <c r="J14" s="1"/>
      <c r="K14" s="1"/>
      <c r="L14" s="1"/>
      <c r="M14" s="1"/>
      <c r="N14" s="1"/>
      <c r="O14" s="1"/>
      <c r="P14" s="15"/>
      <c r="Q14" s="15"/>
      <c r="R14" s="15"/>
      <c r="S14" s="15"/>
      <c r="T14" s="20" t="s">
        <v>3</v>
      </c>
      <c r="U14" s="30"/>
      <c r="V14" s="31">
        <v>1.0</v>
      </c>
      <c r="W14" s="31">
        <v>1.0</v>
      </c>
      <c r="X14" s="31">
        <v>1.0</v>
      </c>
      <c r="Y14" s="31">
        <v>1.0</v>
      </c>
      <c r="Z14" s="31">
        <v>1.0</v>
      </c>
      <c r="AA14" s="31">
        <f t="shared" ref="AA14:AA19" si="1">SUM(U14:Z14)</f>
        <v>5</v>
      </c>
      <c r="AB14" s="32"/>
      <c r="AC14" s="26"/>
      <c r="AD14" s="33">
        <v>-1.0</v>
      </c>
      <c r="AE14" s="1"/>
      <c r="AF14" s="1"/>
      <c r="AG14" s="1"/>
      <c r="AH14" s="1"/>
      <c r="AI14" s="1"/>
      <c r="AJ14" s="1"/>
      <c r="AK14" s="1"/>
      <c r="AL14" s="1"/>
      <c r="AM14" s="1"/>
      <c r="AN14" s="1"/>
      <c r="AO14" s="1"/>
      <c r="AP14" s="1"/>
      <c r="AQ14" s="1"/>
    </row>
    <row r="15">
      <c r="A15" s="1"/>
      <c r="B15" s="1"/>
      <c r="C15" s="1"/>
      <c r="D15" s="1"/>
      <c r="E15" s="1"/>
      <c r="F15" s="1"/>
      <c r="G15" s="1"/>
      <c r="H15" s="1"/>
      <c r="I15" s="1"/>
      <c r="J15" s="1"/>
      <c r="K15" s="1"/>
      <c r="L15" s="1"/>
      <c r="M15" s="1"/>
      <c r="N15" s="1"/>
      <c r="O15" s="1"/>
      <c r="P15" s="34"/>
      <c r="Q15" s="34"/>
      <c r="R15" s="34"/>
      <c r="S15" s="34"/>
      <c r="T15" s="21" t="s">
        <v>4</v>
      </c>
      <c r="U15" s="31">
        <v>0.0</v>
      </c>
      <c r="V15" s="30"/>
      <c r="W15" s="31">
        <v>1.0</v>
      </c>
      <c r="X15" s="31">
        <v>0.0</v>
      </c>
      <c r="Y15" s="31">
        <v>0.0</v>
      </c>
      <c r="Z15" s="31">
        <v>0.0</v>
      </c>
      <c r="AA15" s="31">
        <f t="shared" si="1"/>
        <v>1</v>
      </c>
      <c r="AB15" s="35"/>
      <c r="AC15" s="26"/>
      <c r="AD15" s="36">
        <v>-0.8</v>
      </c>
      <c r="AE15" s="1"/>
      <c r="AF15" s="1"/>
      <c r="AG15" s="1"/>
      <c r="AH15" s="1"/>
      <c r="AI15" s="1"/>
      <c r="AJ15" s="1"/>
      <c r="AK15" s="1"/>
      <c r="AL15" s="1"/>
      <c r="AM15" s="1"/>
      <c r="AN15" s="1"/>
      <c r="AO15" s="1"/>
      <c r="AP15" s="1"/>
      <c r="AQ15" s="1"/>
    </row>
    <row r="16">
      <c r="A16" s="1"/>
      <c r="B16" s="1"/>
      <c r="C16" s="1"/>
      <c r="D16" s="1"/>
      <c r="E16" s="1"/>
      <c r="F16" s="1"/>
      <c r="G16" s="1"/>
      <c r="H16" s="1"/>
      <c r="I16" s="1"/>
      <c r="J16" s="1"/>
      <c r="K16" s="1"/>
      <c r="L16" s="1"/>
      <c r="M16" s="1"/>
      <c r="N16" s="1"/>
      <c r="O16" s="1"/>
      <c r="P16" s="37"/>
      <c r="Q16" s="37"/>
      <c r="R16" s="37"/>
      <c r="S16" s="37"/>
      <c r="T16" s="22" t="s">
        <v>5</v>
      </c>
      <c r="U16" s="31">
        <v>0.0</v>
      </c>
      <c r="V16" s="31">
        <v>0.0</v>
      </c>
      <c r="W16" s="30"/>
      <c r="X16" s="31">
        <v>0.0</v>
      </c>
      <c r="Y16" s="31">
        <v>0.0</v>
      </c>
      <c r="Z16" s="31">
        <v>0.0</v>
      </c>
      <c r="AA16" s="31">
        <f t="shared" si="1"/>
        <v>0</v>
      </c>
      <c r="AB16" s="32"/>
      <c r="AC16" s="26"/>
      <c r="AD16" s="38">
        <v>-0.7</v>
      </c>
      <c r="AE16" s="1"/>
      <c r="AF16" s="1"/>
      <c r="AG16" s="1"/>
      <c r="AH16" s="1"/>
      <c r="AI16" s="1"/>
      <c r="AJ16" s="1"/>
      <c r="AK16" s="1"/>
      <c r="AL16" s="1"/>
      <c r="AM16" s="1"/>
      <c r="AN16" s="1"/>
      <c r="AO16" s="1"/>
      <c r="AP16" s="1"/>
      <c r="AQ16" s="1"/>
    </row>
    <row r="17">
      <c r="A17" s="1"/>
      <c r="B17" s="1"/>
      <c r="C17" s="1"/>
      <c r="D17" s="1"/>
      <c r="E17" s="1"/>
      <c r="F17" s="1"/>
      <c r="G17" s="1"/>
      <c r="H17" s="1"/>
      <c r="I17" s="1"/>
      <c r="J17" s="1"/>
      <c r="K17" s="1"/>
      <c r="L17" s="1"/>
      <c r="M17" s="1"/>
      <c r="N17" s="1"/>
      <c r="O17" s="1"/>
      <c r="P17" s="39"/>
      <c r="Q17" s="39"/>
      <c r="R17" s="39"/>
      <c r="S17" s="39"/>
      <c r="T17" s="23" t="s">
        <v>6</v>
      </c>
      <c r="U17" s="31">
        <v>0.0</v>
      </c>
      <c r="V17" s="31">
        <v>1.0</v>
      </c>
      <c r="W17" s="31">
        <v>1.0</v>
      </c>
      <c r="X17" s="30"/>
      <c r="Y17" s="31">
        <v>0.0</v>
      </c>
      <c r="Z17" s="31">
        <v>0.0</v>
      </c>
      <c r="AA17" s="31">
        <f t="shared" si="1"/>
        <v>2</v>
      </c>
      <c r="AB17" s="32"/>
      <c r="AC17" s="26"/>
      <c r="AD17" s="40">
        <v>-0.5</v>
      </c>
      <c r="AE17" s="1"/>
      <c r="AF17" s="1"/>
      <c r="AG17" s="1"/>
      <c r="AH17" s="1"/>
      <c r="AI17" s="1"/>
      <c r="AJ17" s="1"/>
      <c r="AK17" s="1"/>
      <c r="AL17" s="1"/>
      <c r="AM17" s="1"/>
      <c r="AN17" s="1"/>
      <c r="AO17" s="1"/>
      <c r="AP17" s="1"/>
      <c r="AQ17" s="1"/>
    </row>
    <row r="18">
      <c r="A18" s="1"/>
      <c r="B18" s="1"/>
      <c r="C18" s="1"/>
      <c r="D18" s="1"/>
      <c r="E18" s="1"/>
      <c r="F18" s="1"/>
      <c r="G18" s="1"/>
      <c r="H18" s="1"/>
      <c r="I18" s="1"/>
      <c r="J18" s="1"/>
      <c r="K18" s="1"/>
      <c r="L18" s="1"/>
      <c r="M18" s="1"/>
      <c r="N18" s="1"/>
      <c r="O18" s="1"/>
      <c r="P18" s="41"/>
      <c r="Q18" s="41"/>
      <c r="R18" s="41"/>
      <c r="S18" s="41"/>
      <c r="T18" s="24" t="s">
        <v>7</v>
      </c>
      <c r="U18" s="31">
        <v>0.0</v>
      </c>
      <c r="V18" s="31">
        <v>1.0</v>
      </c>
      <c r="W18" s="31">
        <v>1.0</v>
      </c>
      <c r="X18" s="31">
        <v>0.0</v>
      </c>
      <c r="Y18" s="30"/>
      <c r="Z18" s="31">
        <v>1.0</v>
      </c>
      <c r="AA18" s="31">
        <f t="shared" si="1"/>
        <v>3</v>
      </c>
      <c r="AB18" s="17"/>
      <c r="AC18" s="26"/>
      <c r="AD18" s="42">
        <v>-0.3</v>
      </c>
      <c r="AE18" s="1"/>
      <c r="AF18" s="1"/>
      <c r="AG18" s="1"/>
      <c r="AH18" s="1"/>
      <c r="AI18" s="1"/>
      <c r="AJ18" s="1"/>
      <c r="AK18" s="1"/>
      <c r="AL18" s="1"/>
      <c r="AM18" s="1"/>
      <c r="AN18" s="1"/>
      <c r="AO18" s="1"/>
      <c r="AP18" s="1"/>
      <c r="AQ18" s="1"/>
    </row>
    <row r="19">
      <c r="A19" s="1"/>
      <c r="B19" s="1"/>
      <c r="C19" s="1"/>
      <c r="D19" s="1"/>
      <c r="E19" s="1"/>
      <c r="F19" s="1"/>
      <c r="G19" s="1"/>
      <c r="H19" s="1"/>
      <c r="I19" s="1"/>
      <c r="J19" s="1"/>
      <c r="K19" s="1"/>
      <c r="L19" s="1"/>
      <c r="M19" s="1"/>
      <c r="N19" s="1"/>
      <c r="O19" s="1"/>
      <c r="P19" s="43"/>
      <c r="Q19" s="43"/>
      <c r="R19" s="43"/>
      <c r="S19" s="43"/>
      <c r="T19" s="25" t="s">
        <v>8</v>
      </c>
      <c r="U19" s="31">
        <v>0.0</v>
      </c>
      <c r="V19" s="31">
        <v>1.0</v>
      </c>
      <c r="W19" s="31">
        <v>1.0</v>
      </c>
      <c r="X19" s="31">
        <v>1.0</v>
      </c>
      <c r="Y19" s="31">
        <v>0.0</v>
      </c>
      <c r="Z19" s="44"/>
      <c r="AA19" s="31">
        <f t="shared" si="1"/>
        <v>3</v>
      </c>
      <c r="AB19" s="17"/>
      <c r="AC19" s="26"/>
      <c r="AD19" s="45">
        <v>0.0</v>
      </c>
      <c r="AE19" s="1"/>
      <c r="AF19" s="1"/>
      <c r="AG19" s="1"/>
      <c r="AH19" s="1"/>
      <c r="AI19" s="1"/>
      <c r="AJ19" s="1"/>
      <c r="AK19" s="1"/>
      <c r="AL19" s="1"/>
      <c r="AM19" s="1"/>
      <c r="AN19" s="1"/>
      <c r="AO19" s="1"/>
      <c r="AP19" s="1"/>
      <c r="AQ19" s="1"/>
    </row>
    <row r="20">
      <c r="A20" s="1"/>
      <c r="B20" s="1"/>
      <c r="C20" s="1"/>
      <c r="D20" s="1"/>
      <c r="E20" s="1"/>
      <c r="F20" s="1"/>
      <c r="G20" s="1"/>
      <c r="H20" s="1"/>
      <c r="I20" s="1"/>
      <c r="J20" s="1"/>
      <c r="K20" s="1"/>
      <c r="L20" s="1"/>
      <c r="M20" s="1"/>
      <c r="N20" s="1"/>
      <c r="O20" s="1"/>
      <c r="P20" s="46"/>
      <c r="Q20" s="46"/>
      <c r="R20" s="46"/>
      <c r="S20" s="46"/>
      <c r="T20" s="47"/>
      <c r="U20" s="48"/>
      <c r="V20" s="48"/>
      <c r="W20" s="48"/>
      <c r="X20" s="48"/>
      <c r="Y20" s="49"/>
      <c r="Z20" s="46"/>
      <c r="AA20" s="26"/>
      <c r="AB20" s="26"/>
      <c r="AC20" s="26"/>
      <c r="AD20" s="45">
        <v>0.0</v>
      </c>
      <c r="AE20" s="1"/>
      <c r="AF20" s="1"/>
      <c r="AG20" s="1"/>
      <c r="AH20" s="1"/>
      <c r="AI20" s="1"/>
      <c r="AJ20" s="1"/>
      <c r="AK20" s="1"/>
      <c r="AL20" s="1"/>
      <c r="AM20" s="1"/>
      <c r="AN20" s="1"/>
      <c r="AO20" s="1"/>
      <c r="AP20" s="1"/>
      <c r="AQ20" s="1"/>
    </row>
    <row r="21">
      <c r="A21" s="1"/>
      <c r="B21" s="1"/>
      <c r="C21" s="1"/>
      <c r="D21" s="1"/>
      <c r="E21" s="1"/>
      <c r="F21" s="1"/>
      <c r="G21" s="1"/>
      <c r="H21" s="1"/>
      <c r="I21" s="1"/>
      <c r="J21" s="1"/>
      <c r="K21" s="1"/>
      <c r="L21" s="1"/>
      <c r="M21" s="1"/>
      <c r="N21" s="1"/>
      <c r="O21" s="1"/>
      <c r="P21" s="1"/>
      <c r="Q21" s="1"/>
      <c r="R21" s="1"/>
      <c r="S21" s="1"/>
      <c r="T21" s="1"/>
      <c r="U21" s="26"/>
      <c r="V21" s="26"/>
      <c r="W21" s="26"/>
      <c r="X21" s="26"/>
      <c r="Y21" s="26"/>
      <c r="Z21" s="26"/>
      <c r="AA21" s="26"/>
      <c r="AB21" s="26"/>
      <c r="AC21" s="26"/>
      <c r="AD21" s="50">
        <v>0.4</v>
      </c>
      <c r="AE21" s="1"/>
      <c r="AF21" s="1"/>
      <c r="AG21" s="1"/>
      <c r="AH21" s="1"/>
      <c r="AI21" s="1"/>
      <c r="AJ21" s="1"/>
      <c r="AK21" s="1"/>
      <c r="AL21" s="1"/>
      <c r="AM21" s="1"/>
      <c r="AN21" s="1"/>
      <c r="AO21" s="1"/>
      <c r="AP21" s="1"/>
      <c r="AQ21" s="1"/>
    </row>
    <row r="22">
      <c r="A22" s="1"/>
      <c r="B22" s="1"/>
      <c r="C22" s="1"/>
      <c r="D22" s="1"/>
      <c r="E22" s="1"/>
      <c r="F22" s="1"/>
      <c r="G22" s="1"/>
      <c r="H22" s="1"/>
      <c r="I22" s="1"/>
      <c r="J22" s="1"/>
      <c r="K22" s="1"/>
      <c r="L22" s="1"/>
      <c r="M22" s="1"/>
      <c r="N22" s="1"/>
      <c r="O22" s="1"/>
      <c r="P22" s="1"/>
      <c r="Q22" s="1"/>
      <c r="R22" s="1"/>
      <c r="S22" s="1"/>
      <c r="T22" s="1"/>
      <c r="U22" s="26"/>
      <c r="V22" s="17"/>
      <c r="W22" s="26"/>
      <c r="X22" s="26"/>
      <c r="Y22" s="26"/>
      <c r="Z22" s="26"/>
      <c r="AA22" s="26"/>
      <c r="AB22" s="26"/>
      <c r="AC22" s="26"/>
      <c r="AD22" s="50">
        <v>0.4</v>
      </c>
      <c r="AE22" s="1"/>
      <c r="AF22" s="1"/>
      <c r="AG22" s="1"/>
      <c r="AH22" s="1"/>
      <c r="AI22" s="1"/>
      <c r="AJ22" s="1"/>
      <c r="AK22" s="1"/>
      <c r="AL22" s="1"/>
      <c r="AM22" s="1"/>
      <c r="AN22" s="1"/>
      <c r="AO22" s="1"/>
      <c r="AP22" s="1"/>
      <c r="AQ22" s="1"/>
    </row>
    <row r="23">
      <c r="A23" s="1"/>
      <c r="B23" s="1"/>
      <c r="C23" s="1"/>
      <c r="D23" s="1"/>
      <c r="E23" s="1"/>
      <c r="F23" s="1"/>
      <c r="G23" s="1"/>
      <c r="H23" s="1"/>
      <c r="I23" s="1"/>
      <c r="J23" s="1"/>
      <c r="K23" s="1"/>
      <c r="L23" s="1"/>
      <c r="M23" s="1"/>
      <c r="N23" s="1"/>
      <c r="O23" s="1"/>
      <c r="P23" s="1"/>
      <c r="Q23" s="1"/>
      <c r="R23" s="1"/>
      <c r="S23" s="1"/>
      <c r="T23" s="2"/>
      <c r="U23" s="51"/>
      <c r="V23" s="51"/>
      <c r="W23" s="51"/>
      <c r="X23" s="51"/>
      <c r="Y23" s="26"/>
      <c r="Z23" s="52" t="s">
        <v>10</v>
      </c>
      <c r="AA23" s="26"/>
      <c r="AB23" s="26"/>
      <c r="AC23" s="26"/>
      <c r="AD23" s="53">
        <v>0.5</v>
      </c>
      <c r="AE23" s="1"/>
      <c r="AF23" s="1"/>
      <c r="AG23" s="1"/>
      <c r="AH23" s="1"/>
      <c r="AI23" s="1"/>
      <c r="AJ23" s="1"/>
      <c r="AK23" s="1"/>
      <c r="AL23" s="1"/>
      <c r="AM23" s="1"/>
      <c r="AN23" s="1"/>
      <c r="AO23" s="1"/>
      <c r="AP23" s="1"/>
      <c r="AQ23" s="1"/>
    </row>
    <row r="24">
      <c r="A24" s="1"/>
      <c r="B24" s="1"/>
      <c r="C24" s="1"/>
      <c r="D24" s="1"/>
      <c r="E24" s="1"/>
      <c r="F24" s="1"/>
      <c r="G24" s="1"/>
      <c r="H24" s="1"/>
      <c r="I24" s="1"/>
      <c r="J24" s="1"/>
      <c r="K24" s="1"/>
      <c r="L24" s="1"/>
      <c r="M24" s="1"/>
      <c r="N24" s="1"/>
      <c r="O24" s="1"/>
      <c r="P24" s="1"/>
      <c r="Q24" s="1"/>
      <c r="R24" s="1"/>
      <c r="S24" s="1"/>
      <c r="T24" s="2"/>
      <c r="U24" s="51"/>
      <c r="V24" s="54" t="s">
        <v>11</v>
      </c>
      <c r="W24" s="55"/>
      <c r="X24" s="51"/>
      <c r="Y24" s="56"/>
      <c r="Z24" s="26"/>
      <c r="AA24" s="26"/>
      <c r="AB24" s="26"/>
      <c r="AC24" s="26"/>
      <c r="AD24" s="57">
        <v>1.0</v>
      </c>
      <c r="AE24" s="1"/>
      <c r="AF24" s="1"/>
      <c r="AG24" s="1"/>
      <c r="AH24" s="1"/>
      <c r="AI24" s="1"/>
      <c r="AJ24" s="1"/>
      <c r="AK24" s="1"/>
      <c r="AL24" s="1"/>
      <c r="AM24" s="1"/>
      <c r="AN24" s="1"/>
      <c r="AO24" s="1"/>
      <c r="AP24" s="1"/>
      <c r="AQ24" s="1"/>
    </row>
    <row r="25">
      <c r="A25" s="1"/>
      <c r="B25" s="1"/>
      <c r="C25" s="1"/>
      <c r="D25" s="1"/>
      <c r="E25" s="1"/>
      <c r="F25" s="1"/>
      <c r="G25" s="1"/>
      <c r="H25" s="1"/>
      <c r="I25" s="1"/>
      <c r="J25" s="1"/>
      <c r="K25" s="1"/>
      <c r="L25" s="1"/>
      <c r="M25" s="1"/>
      <c r="N25" s="1"/>
      <c r="O25" s="1"/>
      <c r="P25" s="1"/>
      <c r="Q25" s="1"/>
      <c r="R25" s="1"/>
      <c r="S25" s="1"/>
      <c r="T25" s="2"/>
      <c r="U25" s="51"/>
      <c r="V25" s="2"/>
      <c r="W25" s="58" t="s">
        <v>12</v>
      </c>
      <c r="X25" s="51"/>
      <c r="Y25" s="26"/>
      <c r="Z25" s="26"/>
      <c r="AA25" s="26"/>
      <c r="AB25" s="26"/>
      <c r="AC25" s="26"/>
      <c r="AD25" s="57"/>
      <c r="AE25" s="1"/>
      <c r="AF25" s="1"/>
      <c r="AG25" s="1"/>
      <c r="AH25" s="1"/>
      <c r="AI25" s="1"/>
      <c r="AJ25" s="1"/>
      <c r="AK25" s="1"/>
      <c r="AL25" s="1"/>
      <c r="AM25" s="1"/>
      <c r="AN25" s="1"/>
      <c r="AO25" s="1"/>
      <c r="AP25" s="1"/>
      <c r="AQ25" s="1"/>
    </row>
    <row r="26">
      <c r="A26" s="1"/>
      <c r="B26" s="1"/>
      <c r="C26" s="1"/>
      <c r="D26" s="1"/>
      <c r="E26" s="1"/>
      <c r="F26" s="1"/>
      <c r="G26" s="1"/>
      <c r="H26" s="1"/>
      <c r="I26" s="1"/>
      <c r="J26" s="1"/>
      <c r="K26" s="1"/>
      <c r="L26" s="1"/>
      <c r="M26" s="1"/>
      <c r="N26" s="1"/>
      <c r="O26" s="1"/>
      <c r="P26" s="1"/>
      <c r="Q26" s="1"/>
      <c r="R26" s="1"/>
      <c r="S26" s="1"/>
      <c r="T26" s="2"/>
      <c r="U26" s="59" t="s">
        <v>13</v>
      </c>
      <c r="V26" s="60" t="s">
        <v>3</v>
      </c>
      <c r="W26" s="61">
        <v>0.5</v>
      </c>
      <c r="X26" s="51"/>
      <c r="Y26" s="62"/>
      <c r="Z26" s="63"/>
      <c r="AA26" s="26"/>
      <c r="AB26" s="26"/>
      <c r="AC26" s="26"/>
      <c r="AD26" s="57"/>
      <c r="AE26" s="1"/>
      <c r="AF26" s="1"/>
      <c r="AG26" s="1"/>
      <c r="AH26" s="1"/>
      <c r="AI26" s="1"/>
      <c r="AJ26" s="1"/>
      <c r="AK26" s="1"/>
      <c r="AL26" s="1"/>
      <c r="AM26" s="1"/>
      <c r="AN26" s="1"/>
      <c r="AO26" s="1"/>
      <c r="AP26" s="1"/>
      <c r="AQ26" s="1"/>
    </row>
    <row r="27">
      <c r="A27" s="1"/>
      <c r="B27" s="6"/>
      <c r="C27" s="6"/>
      <c r="D27" s="6"/>
      <c r="E27" s="6"/>
      <c r="F27" s="1"/>
      <c r="G27" s="1"/>
      <c r="H27" s="1"/>
      <c r="I27" s="1"/>
      <c r="J27" s="1"/>
      <c r="K27" s="64"/>
      <c r="L27" s="1"/>
      <c r="M27" s="1"/>
      <c r="N27" s="1"/>
      <c r="O27" s="1"/>
      <c r="P27" s="1"/>
      <c r="Q27" s="1"/>
      <c r="R27" s="1"/>
      <c r="S27" s="1"/>
      <c r="T27" s="2"/>
      <c r="U27" s="59" t="s">
        <v>14</v>
      </c>
      <c r="V27" s="60" t="s">
        <v>7</v>
      </c>
      <c r="W27" s="61">
        <v>0.5</v>
      </c>
      <c r="X27" s="65"/>
      <c r="Y27" s="66"/>
      <c r="Z27" s="63"/>
      <c r="AA27" s="26"/>
      <c r="AB27" s="26"/>
      <c r="AC27" s="26"/>
      <c r="AD27" s="67"/>
      <c r="AE27" s="1"/>
      <c r="AF27" s="1"/>
      <c r="AG27" s="1"/>
      <c r="AH27" s="1"/>
      <c r="AI27" s="1"/>
      <c r="AJ27" s="1"/>
      <c r="AK27" s="1"/>
      <c r="AL27" s="1"/>
      <c r="AM27" s="1"/>
      <c r="AN27" s="1"/>
      <c r="AO27" s="1"/>
      <c r="AP27" s="1"/>
      <c r="AQ27" s="1"/>
    </row>
    <row r="28">
      <c r="A28" s="1"/>
      <c r="B28" s="6"/>
      <c r="C28" s="68" t="s">
        <v>15</v>
      </c>
      <c r="D28" s="69"/>
      <c r="E28" s="6"/>
      <c r="F28" s="1"/>
      <c r="G28" s="1"/>
      <c r="H28" s="1"/>
      <c r="I28" s="1"/>
      <c r="J28" s="1"/>
      <c r="K28" s="1"/>
      <c r="L28" s="1"/>
      <c r="M28" s="1"/>
      <c r="N28" s="1"/>
      <c r="O28" s="1"/>
      <c r="P28" s="1"/>
      <c r="Q28" s="1"/>
      <c r="R28" s="1"/>
      <c r="S28" s="1"/>
      <c r="T28" s="2"/>
      <c r="U28" s="70"/>
      <c r="V28" s="60"/>
      <c r="W28" s="71"/>
      <c r="X28" s="2"/>
      <c r="Y28" s="1"/>
      <c r="Z28" s="1"/>
      <c r="AA28" s="1"/>
      <c r="AB28" s="1"/>
      <c r="AC28" s="1"/>
      <c r="AD28" s="72">
        <v>1.0</v>
      </c>
      <c r="AE28" s="73"/>
      <c r="AF28" s="1"/>
      <c r="AG28" s="1"/>
      <c r="AH28" s="1"/>
      <c r="AI28" s="1"/>
      <c r="AJ28" s="1"/>
      <c r="AK28" s="1"/>
      <c r="AL28" s="1"/>
      <c r="AM28" s="1"/>
      <c r="AN28" s="1"/>
      <c r="AO28" s="1"/>
      <c r="AP28" s="1"/>
      <c r="AQ28" s="1"/>
    </row>
    <row r="29">
      <c r="A29" s="1"/>
      <c r="B29" s="6"/>
      <c r="C29" s="74"/>
      <c r="D29" s="74"/>
      <c r="E29" s="6"/>
      <c r="F29" s="1"/>
      <c r="G29" s="1"/>
      <c r="H29" s="1"/>
      <c r="I29" s="1"/>
      <c r="J29" s="1"/>
      <c r="K29" s="1"/>
      <c r="L29" s="1"/>
      <c r="M29" s="1"/>
      <c r="N29" s="1"/>
      <c r="O29" s="1"/>
      <c r="P29" s="1"/>
      <c r="Q29" s="1"/>
      <c r="R29" s="1"/>
      <c r="S29" s="1"/>
      <c r="T29" s="2"/>
      <c r="U29" s="75"/>
      <c r="V29" s="76"/>
      <c r="W29" s="77"/>
      <c r="X29" s="2"/>
      <c r="Y29" s="1"/>
      <c r="Z29" s="1"/>
      <c r="AA29" s="1"/>
      <c r="AB29" s="1"/>
      <c r="AC29" s="1"/>
      <c r="AD29" s="72">
        <v>1.0</v>
      </c>
      <c r="AE29" s="73"/>
      <c r="AF29" s="1"/>
      <c r="AG29" s="1"/>
      <c r="AH29" s="1"/>
      <c r="AI29" s="1"/>
      <c r="AJ29" s="1"/>
      <c r="AK29" s="1"/>
      <c r="AL29" s="1"/>
      <c r="AM29" s="1"/>
      <c r="AN29" s="1"/>
      <c r="AO29" s="1"/>
      <c r="AP29" s="1"/>
      <c r="AQ29" s="1"/>
    </row>
    <row r="30">
      <c r="A30" s="1"/>
      <c r="B30" s="6"/>
      <c r="C30" s="78" t="str">
        <f>'Fear &amp; Greed'!A1</f>
        <v>16</v>
      </c>
      <c r="E30" s="6"/>
      <c r="F30" s="1"/>
      <c r="G30" s="1"/>
      <c r="H30" s="1"/>
      <c r="I30" s="1"/>
      <c r="J30" s="1"/>
      <c r="K30" s="1"/>
      <c r="L30" s="1"/>
      <c r="M30" s="1"/>
      <c r="N30" s="1"/>
      <c r="O30" s="1"/>
      <c r="P30" s="1"/>
      <c r="Q30" s="1"/>
      <c r="R30" s="1"/>
      <c r="S30" s="1"/>
      <c r="T30" s="1"/>
      <c r="U30" s="6"/>
      <c r="V30" s="1"/>
      <c r="W30" s="1"/>
      <c r="X30" s="1"/>
      <c r="Y30" s="1"/>
      <c r="Z30" s="1"/>
      <c r="AA30" s="1"/>
      <c r="AB30" s="1"/>
      <c r="AC30" s="1"/>
      <c r="AD30" s="72">
        <v>1.5</v>
      </c>
      <c r="AE30" s="73"/>
      <c r="AF30" s="1"/>
      <c r="AG30" s="1"/>
      <c r="AH30" s="1"/>
      <c r="AI30" s="1"/>
      <c r="AJ30" s="1"/>
      <c r="AK30" s="1"/>
      <c r="AL30" s="1"/>
      <c r="AM30" s="1"/>
      <c r="AN30" s="1"/>
      <c r="AO30" s="1"/>
      <c r="AP30" s="1"/>
      <c r="AQ30" s="1"/>
    </row>
    <row r="31">
      <c r="A31" s="1"/>
      <c r="B31" s="6"/>
      <c r="C31" s="74"/>
      <c r="D31" s="79"/>
      <c r="E31" s="5"/>
      <c r="F31" s="5"/>
      <c r="G31" s="1"/>
      <c r="H31" s="1"/>
      <c r="I31" s="1"/>
      <c r="J31" s="1"/>
      <c r="K31" s="1"/>
      <c r="L31" s="1"/>
      <c r="M31" s="1"/>
      <c r="N31" s="1"/>
      <c r="O31" s="1"/>
      <c r="P31" s="1"/>
      <c r="Q31" s="1"/>
      <c r="R31" s="1"/>
      <c r="S31" s="1"/>
      <c r="T31" s="1"/>
      <c r="U31" s="6"/>
      <c r="V31" s="1"/>
      <c r="W31" s="1"/>
      <c r="X31" s="1"/>
      <c r="Y31" s="1"/>
      <c r="Z31" s="1"/>
      <c r="AA31" s="1"/>
      <c r="AB31" s="1"/>
      <c r="AC31" s="1"/>
      <c r="AD31" s="72">
        <v>1.5</v>
      </c>
      <c r="AE31" s="73"/>
      <c r="AF31" s="1"/>
      <c r="AG31" s="1"/>
      <c r="AH31" s="1"/>
      <c r="AI31" s="1"/>
      <c r="AJ31" s="1"/>
      <c r="AK31" s="1"/>
      <c r="AL31" s="1"/>
      <c r="AM31" s="1"/>
      <c r="AN31" s="1"/>
      <c r="AO31" s="1"/>
      <c r="AP31" s="1"/>
      <c r="AQ31" s="1"/>
    </row>
    <row r="32">
      <c r="A32" s="1"/>
      <c r="B32" s="1"/>
      <c r="C32" s="80"/>
      <c r="D32" s="81"/>
      <c r="E32" s="82"/>
      <c r="F32" s="5"/>
      <c r="G32" s="1"/>
      <c r="H32" s="1"/>
      <c r="I32" s="1"/>
      <c r="J32" s="1"/>
      <c r="K32" s="1"/>
      <c r="L32" s="1"/>
      <c r="M32" s="1"/>
      <c r="N32" s="1"/>
      <c r="O32" s="1"/>
      <c r="P32" s="1"/>
      <c r="Q32" s="1"/>
      <c r="R32" s="1"/>
      <c r="S32" s="1"/>
      <c r="T32" s="1"/>
      <c r="U32" s="1"/>
      <c r="V32" s="1"/>
      <c r="W32" s="1"/>
      <c r="X32" s="1"/>
      <c r="Y32" s="1"/>
      <c r="Z32" s="1"/>
      <c r="AA32" s="1"/>
      <c r="AB32" s="1"/>
      <c r="AC32" s="1"/>
      <c r="AD32" s="72"/>
      <c r="AE32" s="73"/>
      <c r="AF32" s="1"/>
      <c r="AG32" s="1"/>
      <c r="AH32" s="1"/>
      <c r="AI32" s="1"/>
      <c r="AJ32" s="1"/>
      <c r="AK32" s="1"/>
      <c r="AL32" s="1"/>
      <c r="AM32" s="1"/>
      <c r="AN32" s="1"/>
      <c r="AO32" s="1"/>
      <c r="AP32" s="1"/>
      <c r="AQ32" s="1"/>
    </row>
    <row r="33">
      <c r="A33" s="1"/>
      <c r="B33" s="1"/>
      <c r="C33" s="80"/>
      <c r="D33" s="80"/>
      <c r="E33" s="1"/>
      <c r="F33" s="1"/>
      <c r="G33" s="1"/>
      <c r="H33" s="1"/>
      <c r="I33" s="1"/>
      <c r="J33" s="1"/>
      <c r="K33" s="1"/>
      <c r="L33" s="1"/>
      <c r="M33" s="1"/>
      <c r="N33" s="1"/>
      <c r="O33" s="1"/>
      <c r="P33" s="1"/>
      <c r="Q33" s="1"/>
      <c r="R33" s="1"/>
      <c r="S33" s="1"/>
      <c r="T33" s="1"/>
      <c r="U33" s="1"/>
      <c r="V33" s="1"/>
      <c r="W33" s="1"/>
      <c r="X33" s="1"/>
      <c r="Y33" s="1"/>
      <c r="Z33" s="1"/>
      <c r="AA33" s="1"/>
      <c r="AB33" s="1"/>
      <c r="AC33" s="1"/>
      <c r="AD33" s="72"/>
      <c r="AE33" s="73"/>
      <c r="AF33" s="1"/>
      <c r="AG33" s="1"/>
      <c r="AH33" s="1"/>
      <c r="AI33" s="1"/>
      <c r="AJ33" s="1"/>
      <c r="AK33" s="1"/>
      <c r="AL33" s="1"/>
      <c r="AM33" s="1"/>
      <c r="AN33" s="1"/>
      <c r="AO33" s="1"/>
      <c r="AP33" s="1"/>
      <c r="AQ33" s="1"/>
    </row>
    <row r="34">
      <c r="A34" s="1"/>
      <c r="B34" s="1"/>
      <c r="C34" s="1"/>
      <c r="D34" s="1"/>
      <c r="E34" s="1"/>
      <c r="F34" s="1"/>
      <c r="G34" s="1"/>
      <c r="H34" s="1"/>
      <c r="I34" s="1"/>
      <c r="J34" s="1"/>
      <c r="K34" s="1"/>
      <c r="L34" s="1"/>
      <c r="M34" s="1"/>
      <c r="N34" s="1"/>
      <c r="O34" s="1"/>
      <c r="P34" s="1"/>
      <c r="Q34" s="1"/>
      <c r="R34" s="1"/>
      <c r="S34" s="1"/>
      <c r="T34" s="1"/>
      <c r="U34" s="83"/>
      <c r="V34" s="1"/>
      <c r="W34" s="1"/>
      <c r="X34" s="1"/>
      <c r="Y34" s="1"/>
      <c r="Z34" s="1"/>
      <c r="AA34" s="1"/>
      <c r="AB34" s="1"/>
      <c r="AC34" s="1"/>
      <c r="AD34" s="72"/>
      <c r="AE34" s="73"/>
      <c r="AF34" s="1"/>
      <c r="AG34" s="1"/>
      <c r="AH34" s="1"/>
      <c r="AI34" s="1"/>
      <c r="AJ34" s="1"/>
      <c r="AK34" s="1"/>
      <c r="AL34" s="1"/>
      <c r="AM34" s="1"/>
      <c r="AN34" s="1"/>
      <c r="AO34" s="1"/>
      <c r="AP34" s="1"/>
      <c r="AQ34" s="1"/>
    </row>
    <row r="35">
      <c r="A35" s="1"/>
      <c r="B35" s="1"/>
      <c r="C35" s="1"/>
      <c r="D35" s="1"/>
      <c r="E35" s="1"/>
      <c r="F35" s="1"/>
      <c r="G35" s="1"/>
      <c r="H35" s="1"/>
      <c r="I35" s="1"/>
      <c r="J35" s="1"/>
      <c r="K35" s="1"/>
      <c r="L35" s="1"/>
      <c r="M35" s="1"/>
      <c r="N35" s="1"/>
      <c r="O35" s="1"/>
      <c r="P35" s="1"/>
      <c r="Q35" s="1"/>
      <c r="R35" s="1"/>
      <c r="S35" s="1"/>
      <c r="T35" s="1"/>
      <c r="U35" s="84"/>
      <c r="V35" s="1"/>
      <c r="W35" s="1"/>
      <c r="X35" s="1"/>
      <c r="Y35" s="1"/>
      <c r="Z35" s="1"/>
      <c r="AA35" s="1"/>
      <c r="AB35" s="1"/>
      <c r="AC35" s="1"/>
      <c r="AD35" s="72">
        <v>1.5</v>
      </c>
      <c r="AE35" s="73"/>
      <c r="AF35" s="1"/>
      <c r="AG35" s="1"/>
      <c r="AH35" s="1"/>
      <c r="AI35" s="1"/>
      <c r="AJ35" s="1"/>
      <c r="AK35" s="85" t="s">
        <v>16</v>
      </c>
      <c r="AL35" s="1"/>
      <c r="AM35" s="1"/>
      <c r="AN35" s="1"/>
      <c r="AO35" s="1"/>
      <c r="AP35" s="1"/>
      <c r="AQ35" s="1"/>
    </row>
    <row r="36">
      <c r="A36" s="1"/>
      <c r="B36" s="1"/>
      <c r="C36" s="1"/>
      <c r="D36" s="1"/>
      <c r="E36" s="1"/>
      <c r="F36" s="1"/>
      <c r="G36" s="1"/>
      <c r="H36" s="1"/>
      <c r="I36" s="86"/>
      <c r="J36" s="87"/>
      <c r="K36" s="88"/>
      <c r="L36" s="1"/>
      <c r="M36" s="1"/>
      <c r="N36" s="89"/>
      <c r="O36" s="1"/>
      <c r="P36" s="1"/>
      <c r="Q36" s="1"/>
      <c r="R36" s="1"/>
      <c r="S36" s="1"/>
      <c r="T36" s="1"/>
      <c r="U36" s="90"/>
      <c r="V36" s="1"/>
      <c r="W36" s="1"/>
      <c r="X36" s="1"/>
      <c r="Y36" s="1"/>
      <c r="Z36" s="1"/>
      <c r="AA36" s="1"/>
      <c r="AB36" s="1"/>
      <c r="AC36" s="1"/>
      <c r="AD36" s="91">
        <v>1.5</v>
      </c>
      <c r="AE36" s="73"/>
      <c r="AF36" s="1"/>
      <c r="AG36" s="1"/>
      <c r="AH36" s="1"/>
      <c r="AI36" s="1"/>
      <c r="AJ36" s="1"/>
      <c r="AK36" s="1"/>
      <c r="AL36" s="1"/>
      <c r="AM36" s="1"/>
      <c r="AN36" s="1"/>
      <c r="AO36" s="1"/>
      <c r="AP36" s="1"/>
      <c r="AQ36" s="1"/>
    </row>
    <row r="37">
      <c r="A37" s="1"/>
      <c r="B37" s="1"/>
      <c r="C37" s="1"/>
      <c r="D37" s="1"/>
      <c r="E37" s="1"/>
      <c r="F37" s="1"/>
      <c r="G37" s="1"/>
      <c r="H37" s="1"/>
      <c r="I37" s="89"/>
      <c r="J37" s="1"/>
      <c r="K37" s="84"/>
      <c r="L37" s="1"/>
      <c r="M37" s="1"/>
      <c r="N37" s="1"/>
      <c r="O37" s="1"/>
      <c r="P37" s="1"/>
      <c r="Q37" s="1"/>
      <c r="R37" s="1"/>
      <c r="S37" s="1"/>
      <c r="T37" s="1"/>
      <c r="U37" s="90"/>
      <c r="V37" s="1"/>
      <c r="W37" s="1"/>
      <c r="X37" s="1"/>
      <c r="Y37" s="1"/>
      <c r="Z37" s="1"/>
      <c r="AA37" s="1"/>
      <c r="AB37" s="1"/>
      <c r="AC37" s="1"/>
      <c r="AD37" s="1"/>
      <c r="AE37" s="1"/>
      <c r="AF37" s="1"/>
      <c r="AG37" s="1"/>
      <c r="AH37" s="1"/>
      <c r="AI37" s="1"/>
      <c r="AJ37" s="1"/>
      <c r="AK37" s="1"/>
      <c r="AL37" s="1"/>
      <c r="AM37" s="1"/>
      <c r="AN37" s="1"/>
      <c r="AO37" s="1"/>
      <c r="AP37" s="1"/>
      <c r="AQ37" s="1"/>
    </row>
    <row r="38">
      <c r="A38" s="1"/>
      <c r="B38" s="1"/>
      <c r="C38" s="1"/>
      <c r="D38" s="1"/>
      <c r="E38" s="1"/>
      <c r="F38" s="1"/>
      <c r="G38" s="1"/>
      <c r="H38" s="1"/>
      <c r="I38" s="92"/>
      <c r="J38" s="1"/>
      <c r="K38" s="93"/>
      <c r="L38" s="1"/>
      <c r="M38" s="1"/>
      <c r="N38" s="94"/>
      <c r="O38" s="1"/>
      <c r="P38" s="1"/>
      <c r="Q38" s="1"/>
      <c r="R38" s="1"/>
      <c r="S38" s="1"/>
      <c r="T38" s="1"/>
      <c r="U38" s="6"/>
      <c r="V38" s="1"/>
      <c r="W38" s="1"/>
      <c r="X38" s="1"/>
      <c r="Y38" s="1"/>
      <c r="Z38" s="1"/>
      <c r="AA38" s="1"/>
      <c r="AB38" s="1"/>
      <c r="AC38" s="1"/>
      <c r="AD38" s="1"/>
      <c r="AE38" s="1"/>
      <c r="AF38" s="1"/>
      <c r="AG38" s="1"/>
      <c r="AH38" s="1"/>
      <c r="AI38" s="1"/>
      <c r="AJ38" s="1"/>
      <c r="AK38" s="1"/>
      <c r="AL38" s="1"/>
      <c r="AM38" s="1"/>
      <c r="AN38" s="1"/>
      <c r="AO38" s="1"/>
      <c r="AP38" s="1"/>
      <c r="AQ38" s="1"/>
    </row>
    <row r="39" ht="24.0" customHeight="1">
      <c r="A39" s="1"/>
      <c r="B39" s="1"/>
      <c r="C39" s="1"/>
      <c r="D39" s="1"/>
      <c r="E39" s="1"/>
      <c r="F39" s="1"/>
      <c r="G39" s="1"/>
      <c r="H39" s="1"/>
      <c r="I39" s="1"/>
      <c r="J39" s="1"/>
      <c r="K39" s="90"/>
      <c r="L39" s="1"/>
      <c r="M39" s="1"/>
      <c r="N39" s="1"/>
      <c r="O39" s="1"/>
      <c r="P39" s="1"/>
      <c r="Q39" s="1"/>
      <c r="R39" s="1"/>
      <c r="S39" s="1"/>
      <c r="T39" s="1"/>
      <c r="U39" s="1"/>
      <c r="V39" s="1"/>
      <c r="W39" s="1"/>
      <c r="X39" s="1"/>
      <c r="Y39" s="1"/>
      <c r="Z39" s="1"/>
      <c r="AA39" s="1"/>
      <c r="AB39" s="1"/>
      <c r="AC39" s="1"/>
      <c r="AD39" s="17"/>
      <c r="AE39" s="1"/>
      <c r="AF39" s="1"/>
      <c r="AG39" s="1"/>
      <c r="AH39" s="1"/>
      <c r="AI39" s="1"/>
      <c r="AJ39" s="1"/>
      <c r="AK39" s="1"/>
      <c r="AL39" s="1"/>
      <c r="AM39" s="1"/>
      <c r="AN39" s="1"/>
      <c r="AO39" s="1"/>
      <c r="AP39" s="1"/>
      <c r="AQ39" s="1"/>
    </row>
    <row r="40">
      <c r="A40" s="1"/>
      <c r="B40" s="1"/>
      <c r="C40" s="1"/>
      <c r="D40" s="1"/>
      <c r="E40" s="1"/>
      <c r="F40" s="1"/>
      <c r="G40" s="1"/>
      <c r="H40" s="1"/>
      <c r="I40" s="1"/>
      <c r="J40" s="1"/>
      <c r="K40" s="1"/>
      <c r="L40" s="1"/>
      <c r="M40" s="1"/>
      <c r="N40" s="95"/>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96"/>
      <c r="AI42" s="97"/>
      <c r="AJ42" s="1"/>
      <c r="AK42" s="1"/>
      <c r="AL42" s="1"/>
      <c r="AM42" s="1"/>
      <c r="AN42" s="1"/>
      <c r="AO42" s="1"/>
      <c r="AP42" s="1"/>
      <c r="AQ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row>
    <row r="45">
      <c r="A45" s="1"/>
      <c r="B45" s="1"/>
      <c r="C45" s="1"/>
      <c r="D45" s="1"/>
      <c r="E45" s="1"/>
      <c r="F45" s="1"/>
      <c r="G45" s="1"/>
      <c r="H45" s="1"/>
      <c r="I45" s="1"/>
      <c r="J45" s="1"/>
      <c r="K45" s="1"/>
      <c r="L45" s="1"/>
      <c r="M45" s="98"/>
      <c r="N45" s="98"/>
      <c r="O45" s="98"/>
      <c r="P45" s="98"/>
      <c r="Q45" s="98"/>
      <c r="R45" s="98"/>
      <c r="S45" s="98"/>
      <c r="T45" s="98"/>
      <c r="U45" s="1"/>
      <c r="V45" s="1"/>
      <c r="W45" s="1"/>
      <c r="X45" s="1"/>
      <c r="Y45" s="1"/>
      <c r="Z45" s="1"/>
      <c r="AA45" s="1"/>
      <c r="AB45" s="1"/>
      <c r="AC45" s="1"/>
      <c r="AD45" s="1"/>
      <c r="AE45" s="1"/>
      <c r="AF45" s="1"/>
      <c r="AG45" s="1"/>
      <c r="AH45" s="1"/>
      <c r="AI45" s="1"/>
      <c r="AJ45" s="1"/>
      <c r="AK45" s="1"/>
      <c r="AL45" s="1"/>
      <c r="AM45" s="1"/>
      <c r="AN45" s="1"/>
      <c r="AO45" s="1"/>
      <c r="AP45" s="1"/>
      <c r="AQ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c r="A67" s="99" t="s">
        <v>17</v>
      </c>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c r="A69" s="6"/>
      <c r="B69" s="6"/>
      <c r="C69" s="6"/>
      <c r="D69" s="100"/>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row>
  </sheetData>
  <mergeCells count="4">
    <mergeCell ref="J2:N2"/>
    <mergeCell ref="T11:Z11"/>
    <mergeCell ref="C30:D30"/>
    <mergeCell ref="A67:C6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63"/>
    <col customWidth="1" min="5" max="5" width="20.88"/>
    <col customWidth="1" min="10" max="10" width="10.0"/>
    <col customWidth="1" min="11" max="11" width="44.63"/>
    <col customWidth="1" min="12" max="12" width="11.13"/>
    <col customWidth="1" min="13" max="13" width="20.88"/>
  </cols>
  <sheetData>
    <row r="1">
      <c r="A1" s="80"/>
      <c r="B1" s="101"/>
      <c r="C1" s="102" t="s">
        <v>18</v>
      </c>
      <c r="D1" s="101"/>
      <c r="E1" s="101"/>
      <c r="F1" s="101"/>
      <c r="G1" s="101"/>
      <c r="H1" s="80"/>
      <c r="I1" s="80"/>
      <c r="J1" s="101"/>
      <c r="K1" s="102" t="s">
        <v>19</v>
      </c>
      <c r="L1" s="101"/>
      <c r="M1" s="101"/>
      <c r="N1" s="101"/>
      <c r="O1" s="101"/>
      <c r="P1" s="80"/>
      <c r="Q1" s="80"/>
      <c r="R1" s="80"/>
      <c r="S1" s="80"/>
      <c r="T1" s="80"/>
      <c r="U1" s="80"/>
      <c r="V1" s="80"/>
      <c r="W1" s="80"/>
      <c r="X1" s="80"/>
      <c r="Y1" s="80"/>
      <c r="Z1" s="80"/>
    </row>
    <row r="2">
      <c r="A2" s="80"/>
      <c r="B2" s="101"/>
      <c r="C2" s="101"/>
      <c r="D2" s="101"/>
      <c r="E2" s="101"/>
      <c r="F2" s="101"/>
      <c r="G2" s="101"/>
      <c r="H2" s="80"/>
      <c r="I2" s="80"/>
      <c r="J2" s="101"/>
      <c r="K2" s="101"/>
      <c r="L2" s="101"/>
      <c r="M2" s="101"/>
      <c r="N2" s="101"/>
      <c r="O2" s="101"/>
      <c r="P2" s="80"/>
      <c r="Q2" s="80"/>
      <c r="R2" s="80"/>
      <c r="S2" s="80"/>
      <c r="T2" s="80"/>
      <c r="U2" s="80"/>
      <c r="V2" s="80"/>
      <c r="W2" s="80"/>
      <c r="X2" s="80"/>
      <c r="Y2" s="80"/>
      <c r="Z2" s="80"/>
    </row>
    <row r="3">
      <c r="A3" s="80"/>
      <c r="B3" s="103" t="s">
        <v>20</v>
      </c>
      <c r="C3" s="103" t="s">
        <v>21</v>
      </c>
      <c r="D3" s="103" t="s">
        <v>22</v>
      </c>
      <c r="E3" s="103" t="s">
        <v>23</v>
      </c>
      <c r="F3" s="103" t="s">
        <v>24</v>
      </c>
      <c r="G3" s="103" t="s">
        <v>25</v>
      </c>
      <c r="H3" s="80"/>
      <c r="I3" s="80"/>
      <c r="J3" s="103" t="s">
        <v>20</v>
      </c>
      <c r="K3" s="103" t="s">
        <v>21</v>
      </c>
      <c r="L3" s="103" t="s">
        <v>22</v>
      </c>
      <c r="M3" s="103" t="s">
        <v>23</v>
      </c>
      <c r="N3" s="103" t="s">
        <v>24</v>
      </c>
      <c r="O3" s="103" t="s">
        <v>25</v>
      </c>
      <c r="P3" s="80"/>
      <c r="Q3" s="80"/>
      <c r="R3" s="80"/>
      <c r="S3" s="80"/>
      <c r="T3" s="80"/>
      <c r="U3" s="80"/>
      <c r="V3" s="80"/>
      <c r="W3" s="80"/>
      <c r="X3" s="80"/>
      <c r="Y3" s="80"/>
      <c r="Z3" s="80"/>
    </row>
    <row r="4">
      <c r="A4" s="80"/>
      <c r="B4" s="80"/>
      <c r="C4" s="80"/>
      <c r="D4" s="80"/>
      <c r="E4" s="80"/>
      <c r="F4" s="80"/>
      <c r="G4" s="80"/>
      <c r="H4" s="80"/>
      <c r="I4" s="80"/>
      <c r="J4" s="80"/>
      <c r="K4" s="80"/>
      <c r="L4" s="80"/>
      <c r="M4" s="80"/>
      <c r="N4" s="80"/>
      <c r="O4" s="80"/>
      <c r="P4" s="80"/>
      <c r="Q4" s="80"/>
      <c r="R4" s="80"/>
      <c r="S4" s="80"/>
      <c r="T4" s="80"/>
      <c r="U4" s="80"/>
      <c r="V4" s="80"/>
      <c r="W4" s="80"/>
      <c r="X4" s="80"/>
      <c r="Y4" s="80"/>
      <c r="Z4" s="80"/>
    </row>
    <row r="5">
      <c r="A5" s="80"/>
      <c r="B5" s="104" t="s">
        <v>26</v>
      </c>
      <c r="C5" s="105" t="s">
        <v>27</v>
      </c>
      <c r="D5" s="106" t="s">
        <v>28</v>
      </c>
      <c r="E5" s="105" t="s">
        <v>29</v>
      </c>
      <c r="F5" s="107">
        <v>-1.0</v>
      </c>
      <c r="G5" s="106" t="str">
        <f t="shared" ref="G5:G11" si="1">IF(F5=1, "Bullish", IF(F5=-1, "Bearish", ""))</f>
        <v>Bearish</v>
      </c>
      <c r="H5" s="80"/>
      <c r="I5" s="80"/>
      <c r="J5" s="104" t="s">
        <v>26</v>
      </c>
      <c r="K5" s="105" t="s">
        <v>27</v>
      </c>
      <c r="L5" s="106" t="s">
        <v>28</v>
      </c>
      <c r="M5" s="105" t="s">
        <v>29</v>
      </c>
      <c r="N5" s="107">
        <v>-1.0</v>
      </c>
      <c r="O5" s="106" t="str">
        <f t="shared" ref="O5:O9" si="2">IF(N5=1, "Bullish", IF(N5=-1, "Bearish", ""))</f>
        <v>Bearish</v>
      </c>
      <c r="P5" s="80"/>
      <c r="Q5" s="80"/>
      <c r="R5" s="80"/>
      <c r="S5" s="80"/>
      <c r="T5" s="80"/>
      <c r="U5" s="80"/>
      <c r="V5" s="80"/>
      <c r="W5" s="80"/>
      <c r="X5" s="80"/>
      <c r="Y5" s="80"/>
      <c r="Z5" s="80"/>
    </row>
    <row r="6">
      <c r="A6" s="80"/>
      <c r="B6" s="104" t="s">
        <v>26</v>
      </c>
      <c r="C6" s="105" t="s">
        <v>30</v>
      </c>
      <c r="D6" s="106" t="s">
        <v>28</v>
      </c>
      <c r="E6" s="105" t="s">
        <v>31</v>
      </c>
      <c r="F6" s="107">
        <v>-1.0</v>
      </c>
      <c r="G6" s="106" t="str">
        <f t="shared" si="1"/>
        <v>Bearish</v>
      </c>
      <c r="H6" s="80"/>
      <c r="I6" s="80"/>
      <c r="J6" s="104" t="s">
        <v>26</v>
      </c>
      <c r="K6" s="105" t="s">
        <v>30</v>
      </c>
      <c r="L6" s="106" t="s">
        <v>28</v>
      </c>
      <c r="M6" s="105" t="s">
        <v>31</v>
      </c>
      <c r="N6" s="107">
        <v>-1.0</v>
      </c>
      <c r="O6" s="106" t="str">
        <f t="shared" si="2"/>
        <v>Bearish</v>
      </c>
      <c r="P6" s="80"/>
      <c r="Q6" s="80"/>
      <c r="R6" s="80"/>
      <c r="S6" s="80"/>
      <c r="T6" s="80"/>
      <c r="U6" s="80"/>
      <c r="V6" s="80"/>
      <c r="W6" s="80"/>
      <c r="X6" s="80"/>
      <c r="Y6" s="80"/>
      <c r="Z6" s="80"/>
    </row>
    <row r="7">
      <c r="A7" s="80"/>
      <c r="B7" s="104" t="s">
        <v>26</v>
      </c>
      <c r="C7" s="108" t="s">
        <v>32</v>
      </c>
      <c r="D7" s="106" t="s">
        <v>28</v>
      </c>
      <c r="E7" s="109" t="s">
        <v>33</v>
      </c>
      <c r="F7" s="107">
        <v>1.0</v>
      </c>
      <c r="G7" s="106" t="str">
        <f t="shared" si="1"/>
        <v>Bullish</v>
      </c>
      <c r="H7" s="80"/>
      <c r="I7" s="80"/>
      <c r="J7" s="104" t="s">
        <v>26</v>
      </c>
      <c r="K7" s="108" t="s">
        <v>32</v>
      </c>
      <c r="L7" s="106" t="s">
        <v>28</v>
      </c>
      <c r="M7" s="109" t="s">
        <v>33</v>
      </c>
      <c r="N7" s="107">
        <v>-1.0</v>
      </c>
      <c r="O7" s="106" t="str">
        <f t="shared" si="2"/>
        <v>Bearish</v>
      </c>
      <c r="P7" s="80"/>
      <c r="Q7" s="80"/>
      <c r="R7" s="80"/>
      <c r="S7" s="80"/>
      <c r="T7" s="80"/>
      <c r="U7" s="80"/>
      <c r="V7" s="80"/>
      <c r="W7" s="80"/>
      <c r="X7" s="80"/>
      <c r="Y7" s="80"/>
      <c r="Z7" s="80"/>
    </row>
    <row r="8">
      <c r="A8" s="80"/>
      <c r="B8" s="104" t="s">
        <v>26</v>
      </c>
      <c r="C8" s="105" t="s">
        <v>34</v>
      </c>
      <c r="D8" s="106" t="s">
        <v>28</v>
      </c>
      <c r="E8" s="105" t="s">
        <v>35</v>
      </c>
      <c r="F8" s="107">
        <v>-1.0</v>
      </c>
      <c r="G8" s="106" t="str">
        <f t="shared" si="1"/>
        <v>Bearish</v>
      </c>
      <c r="H8" s="80"/>
      <c r="I8" s="80"/>
      <c r="J8" s="104" t="s">
        <v>26</v>
      </c>
      <c r="K8" s="105" t="s">
        <v>34</v>
      </c>
      <c r="L8" s="106" t="s">
        <v>28</v>
      </c>
      <c r="M8" s="105" t="s">
        <v>35</v>
      </c>
      <c r="N8" s="107">
        <v>-1.0</v>
      </c>
      <c r="O8" s="106" t="str">
        <f t="shared" si="2"/>
        <v>Bearish</v>
      </c>
      <c r="P8" s="80"/>
      <c r="Q8" s="80"/>
      <c r="R8" s="80"/>
      <c r="S8" s="80"/>
      <c r="T8" s="80"/>
      <c r="U8" s="80"/>
      <c r="V8" s="80"/>
      <c r="W8" s="80"/>
      <c r="X8" s="80"/>
      <c r="Y8" s="80"/>
      <c r="Z8" s="80"/>
    </row>
    <row r="9">
      <c r="A9" s="80"/>
      <c r="B9" s="104" t="s">
        <v>26</v>
      </c>
      <c r="C9" s="109" t="s">
        <v>36</v>
      </c>
      <c r="D9" s="110" t="s">
        <v>28</v>
      </c>
      <c r="E9" s="109" t="s">
        <v>33</v>
      </c>
      <c r="F9" s="107">
        <v>-1.0</v>
      </c>
      <c r="G9" s="106" t="str">
        <f t="shared" si="1"/>
        <v>Bearish</v>
      </c>
      <c r="H9" s="80"/>
      <c r="I9" s="80"/>
      <c r="J9" s="104" t="s">
        <v>26</v>
      </c>
      <c r="K9" s="109" t="s">
        <v>36</v>
      </c>
      <c r="L9" s="110" t="s">
        <v>28</v>
      </c>
      <c r="M9" s="109" t="s">
        <v>33</v>
      </c>
      <c r="N9" s="107">
        <v>-1.0</v>
      </c>
      <c r="O9" s="106" t="str">
        <f t="shared" si="2"/>
        <v>Bearish</v>
      </c>
      <c r="P9" s="80"/>
      <c r="Q9" s="80"/>
      <c r="R9" s="80"/>
      <c r="S9" s="80"/>
      <c r="T9" s="80"/>
      <c r="U9" s="80"/>
      <c r="V9" s="80"/>
      <c r="W9" s="80"/>
      <c r="X9" s="80"/>
      <c r="Y9" s="80"/>
      <c r="Z9" s="80"/>
    </row>
    <row r="10">
      <c r="A10" s="80"/>
      <c r="B10" s="104" t="s">
        <v>26</v>
      </c>
      <c r="C10" s="111" t="s">
        <v>37</v>
      </c>
      <c r="D10" s="110" t="s">
        <v>28</v>
      </c>
      <c r="E10" s="109" t="s">
        <v>33</v>
      </c>
      <c r="F10" s="107">
        <v>1.0</v>
      </c>
      <c r="G10" s="106" t="str">
        <f t="shared" si="1"/>
        <v>Bullish</v>
      </c>
      <c r="H10" s="80"/>
      <c r="I10" s="80"/>
      <c r="J10" s="104" t="s">
        <v>26</v>
      </c>
      <c r="K10" s="111" t="s">
        <v>37</v>
      </c>
      <c r="L10" s="110" t="s">
        <v>28</v>
      </c>
      <c r="M10" s="109" t="s">
        <v>33</v>
      </c>
      <c r="N10" s="107">
        <v>1.0</v>
      </c>
      <c r="O10" s="106" t="str">
        <f>IF(F10=1, "Bullish", IF(F10=-1, "Bearish", ""))</f>
        <v>Bullish</v>
      </c>
      <c r="P10" s="80"/>
      <c r="Q10" s="80"/>
      <c r="R10" s="80"/>
      <c r="S10" s="80"/>
      <c r="T10" s="80"/>
      <c r="U10" s="80"/>
      <c r="V10" s="80"/>
      <c r="W10" s="80"/>
      <c r="X10" s="80"/>
      <c r="Y10" s="80"/>
      <c r="Z10" s="80"/>
    </row>
    <row r="11">
      <c r="A11" s="80"/>
      <c r="B11" s="104" t="s">
        <v>26</v>
      </c>
      <c r="C11" s="112" t="s">
        <v>38</v>
      </c>
      <c r="D11" s="110" t="s">
        <v>28</v>
      </c>
      <c r="E11" s="109" t="s">
        <v>39</v>
      </c>
      <c r="F11" s="107">
        <v>-1.0</v>
      </c>
      <c r="G11" s="106" t="str">
        <f t="shared" si="1"/>
        <v>Bearish</v>
      </c>
      <c r="H11" s="80"/>
      <c r="I11" s="80"/>
      <c r="J11" s="104" t="s">
        <v>26</v>
      </c>
      <c r="K11" s="112" t="s">
        <v>38</v>
      </c>
      <c r="L11" s="110" t="s">
        <v>28</v>
      </c>
      <c r="M11" s="109" t="s">
        <v>39</v>
      </c>
      <c r="N11" s="107">
        <v>-1.0</v>
      </c>
      <c r="O11" s="106" t="str">
        <f>IF(N11=1, "Bullish", IF(N11=-1, "Bearish", ""))</f>
        <v>Bearish</v>
      </c>
      <c r="P11" s="80"/>
      <c r="Q11" s="80"/>
      <c r="R11" s="80"/>
      <c r="S11" s="80"/>
      <c r="T11" s="80"/>
      <c r="U11" s="80"/>
      <c r="V11" s="80"/>
      <c r="W11" s="80"/>
      <c r="X11" s="80"/>
      <c r="Y11" s="80"/>
      <c r="Z11" s="80"/>
    </row>
    <row r="12">
      <c r="A12" s="80"/>
      <c r="B12" s="105"/>
      <c r="C12" s="105"/>
      <c r="D12" s="110"/>
      <c r="E12" s="105"/>
      <c r="F12" s="107"/>
      <c r="G12" s="106"/>
      <c r="H12" s="80"/>
      <c r="I12" s="80"/>
      <c r="J12" s="105"/>
      <c r="K12" s="105"/>
      <c r="L12" s="110"/>
      <c r="M12" s="105"/>
      <c r="N12" s="107"/>
      <c r="O12" s="106"/>
      <c r="P12" s="80"/>
      <c r="Q12" s="80"/>
      <c r="R12" s="80"/>
      <c r="S12" s="80"/>
      <c r="T12" s="80"/>
      <c r="U12" s="80"/>
      <c r="V12" s="80"/>
      <c r="W12" s="80"/>
      <c r="X12" s="80"/>
      <c r="Y12" s="80"/>
      <c r="Z12" s="80"/>
    </row>
    <row r="13">
      <c r="A13" s="80"/>
      <c r="B13" s="105" t="s">
        <v>40</v>
      </c>
      <c r="C13" s="113" t="s">
        <v>41</v>
      </c>
      <c r="D13" s="110" t="s">
        <v>42</v>
      </c>
      <c r="E13" s="109" t="s">
        <v>43</v>
      </c>
      <c r="F13" s="107">
        <v>-1.0</v>
      </c>
      <c r="G13" s="106" t="str">
        <f t="shared" ref="G13:G19" si="3">IF(F13=1, "Bullish", IF(F13=-1, "Bearish", ""))</f>
        <v>Bearish</v>
      </c>
      <c r="H13" s="80"/>
      <c r="I13" s="80"/>
      <c r="J13" s="105" t="s">
        <v>40</v>
      </c>
      <c r="K13" s="113" t="s">
        <v>41</v>
      </c>
      <c r="L13" s="110" t="s">
        <v>42</v>
      </c>
      <c r="M13" s="109" t="s">
        <v>43</v>
      </c>
      <c r="N13" s="107">
        <v>-1.0</v>
      </c>
      <c r="O13" s="106" t="str">
        <f t="shared" ref="O13:O19" si="4">IF(N13=1, "Bullish", IF(N13=-1, "Bearish", ""))</f>
        <v>Bearish</v>
      </c>
      <c r="P13" s="80"/>
      <c r="Q13" s="80"/>
      <c r="R13" s="80"/>
      <c r="S13" s="80"/>
      <c r="T13" s="80"/>
      <c r="U13" s="80"/>
      <c r="V13" s="80"/>
      <c r="W13" s="80"/>
      <c r="X13" s="80"/>
      <c r="Y13" s="80"/>
      <c r="Z13" s="80"/>
    </row>
    <row r="14">
      <c r="A14" s="80"/>
      <c r="B14" s="105" t="s">
        <v>40</v>
      </c>
      <c r="C14" s="105" t="s">
        <v>44</v>
      </c>
      <c r="D14" s="110" t="s">
        <v>42</v>
      </c>
      <c r="E14" s="105" t="s">
        <v>45</v>
      </c>
      <c r="F14" s="107">
        <v>-1.0</v>
      </c>
      <c r="G14" s="106" t="str">
        <f t="shared" si="3"/>
        <v>Bearish</v>
      </c>
      <c r="H14" s="80"/>
      <c r="I14" s="80"/>
      <c r="J14" s="105" t="s">
        <v>40</v>
      </c>
      <c r="K14" s="105" t="s">
        <v>44</v>
      </c>
      <c r="L14" s="110" t="s">
        <v>42</v>
      </c>
      <c r="M14" s="105" t="s">
        <v>45</v>
      </c>
      <c r="N14" s="107">
        <v>-1.0</v>
      </c>
      <c r="O14" s="106" t="str">
        <f t="shared" si="4"/>
        <v>Bearish</v>
      </c>
      <c r="P14" s="80"/>
      <c r="Q14" s="80"/>
      <c r="R14" s="80"/>
      <c r="S14" s="80"/>
      <c r="T14" s="80"/>
      <c r="U14" s="80"/>
      <c r="V14" s="80"/>
      <c r="W14" s="80"/>
      <c r="X14" s="80"/>
      <c r="Y14" s="80"/>
      <c r="Z14" s="80"/>
    </row>
    <row r="15">
      <c r="A15" s="80"/>
      <c r="B15" s="105" t="s">
        <v>40</v>
      </c>
      <c r="C15" s="105" t="s">
        <v>46</v>
      </c>
      <c r="D15" s="110" t="s">
        <v>42</v>
      </c>
      <c r="E15" s="105" t="s">
        <v>47</v>
      </c>
      <c r="F15" s="107">
        <v>-1.0</v>
      </c>
      <c r="G15" s="106" t="str">
        <f t="shared" si="3"/>
        <v>Bearish</v>
      </c>
      <c r="H15" s="80"/>
      <c r="I15" s="80"/>
      <c r="J15" s="105" t="s">
        <v>40</v>
      </c>
      <c r="K15" s="105" t="s">
        <v>46</v>
      </c>
      <c r="L15" s="110" t="s">
        <v>42</v>
      </c>
      <c r="M15" s="105" t="s">
        <v>47</v>
      </c>
      <c r="N15" s="107">
        <v>-1.0</v>
      </c>
      <c r="O15" s="106" t="str">
        <f t="shared" si="4"/>
        <v>Bearish</v>
      </c>
      <c r="P15" s="80"/>
      <c r="Q15" s="80"/>
      <c r="R15" s="80"/>
      <c r="S15" s="80"/>
      <c r="T15" s="80"/>
      <c r="U15" s="80"/>
      <c r="V15" s="80"/>
      <c r="W15" s="80"/>
      <c r="X15" s="80"/>
      <c r="Y15" s="80"/>
      <c r="Z15" s="80"/>
    </row>
    <row r="16">
      <c r="A16" s="80"/>
      <c r="B16" s="105" t="s">
        <v>40</v>
      </c>
      <c r="C16" s="105" t="s">
        <v>48</v>
      </c>
      <c r="D16" s="110" t="s">
        <v>42</v>
      </c>
      <c r="E16" s="105" t="s">
        <v>49</v>
      </c>
      <c r="F16" s="107">
        <v>-1.0</v>
      </c>
      <c r="G16" s="106" t="str">
        <f t="shared" si="3"/>
        <v>Bearish</v>
      </c>
      <c r="H16" s="80"/>
      <c r="I16" s="80"/>
      <c r="J16" s="105" t="s">
        <v>40</v>
      </c>
      <c r="K16" s="105" t="s">
        <v>48</v>
      </c>
      <c r="L16" s="110" t="s">
        <v>42</v>
      </c>
      <c r="M16" s="105" t="s">
        <v>49</v>
      </c>
      <c r="N16" s="107">
        <v>-1.0</v>
      </c>
      <c r="O16" s="106" t="str">
        <f t="shared" si="4"/>
        <v>Bearish</v>
      </c>
      <c r="P16" s="80"/>
      <c r="Q16" s="80"/>
      <c r="R16" s="80"/>
      <c r="S16" s="80"/>
      <c r="T16" s="80"/>
      <c r="U16" s="80"/>
      <c r="V16" s="80"/>
      <c r="W16" s="80"/>
      <c r="X16" s="80"/>
      <c r="Y16" s="80"/>
      <c r="Z16" s="80"/>
    </row>
    <row r="17">
      <c r="A17" s="80"/>
      <c r="B17" s="105" t="s">
        <v>40</v>
      </c>
      <c r="C17" s="109" t="s">
        <v>50</v>
      </c>
      <c r="D17" s="110" t="s">
        <v>42</v>
      </c>
      <c r="E17" s="109" t="s">
        <v>43</v>
      </c>
      <c r="F17" s="107">
        <v>-1.0</v>
      </c>
      <c r="G17" s="106" t="str">
        <f t="shared" si="3"/>
        <v>Bearish</v>
      </c>
      <c r="H17" s="80"/>
      <c r="I17" s="80"/>
      <c r="J17" s="105" t="s">
        <v>40</v>
      </c>
      <c r="K17" s="109" t="s">
        <v>50</v>
      </c>
      <c r="L17" s="110" t="s">
        <v>42</v>
      </c>
      <c r="M17" s="109" t="s">
        <v>43</v>
      </c>
      <c r="N17" s="107">
        <v>-1.0</v>
      </c>
      <c r="O17" s="106" t="str">
        <f t="shared" si="4"/>
        <v>Bearish</v>
      </c>
      <c r="P17" s="80"/>
      <c r="Q17" s="80"/>
      <c r="R17" s="17"/>
      <c r="S17" s="80"/>
      <c r="T17" s="80"/>
      <c r="U17" s="80"/>
      <c r="V17" s="80"/>
      <c r="W17" s="80"/>
      <c r="X17" s="80"/>
      <c r="Y17" s="80"/>
      <c r="Z17" s="80"/>
    </row>
    <row r="18">
      <c r="A18" s="80"/>
      <c r="B18" s="105" t="s">
        <v>40</v>
      </c>
      <c r="C18" s="105" t="s">
        <v>51</v>
      </c>
      <c r="D18" s="110" t="s">
        <v>42</v>
      </c>
      <c r="E18" s="105" t="s">
        <v>52</v>
      </c>
      <c r="F18" s="107">
        <v>-1.0</v>
      </c>
      <c r="G18" s="106" t="str">
        <f t="shared" si="3"/>
        <v>Bearish</v>
      </c>
      <c r="H18" s="80"/>
      <c r="I18" s="80"/>
      <c r="J18" s="105" t="s">
        <v>40</v>
      </c>
      <c r="K18" s="105" t="s">
        <v>51</v>
      </c>
      <c r="L18" s="110" t="s">
        <v>42</v>
      </c>
      <c r="M18" s="105" t="s">
        <v>52</v>
      </c>
      <c r="N18" s="107">
        <v>-1.0</v>
      </c>
      <c r="O18" s="106" t="str">
        <f t="shared" si="4"/>
        <v>Bearish</v>
      </c>
      <c r="P18" s="80"/>
      <c r="Q18" s="80"/>
      <c r="R18" s="17"/>
      <c r="S18" s="80"/>
      <c r="T18" s="80"/>
      <c r="U18" s="80"/>
      <c r="V18" s="80"/>
      <c r="W18" s="80"/>
      <c r="X18" s="80"/>
      <c r="Y18" s="80"/>
      <c r="Z18" s="80"/>
    </row>
    <row r="19">
      <c r="A19" s="80"/>
      <c r="B19" s="105" t="s">
        <v>40</v>
      </c>
      <c r="C19" s="112" t="s">
        <v>53</v>
      </c>
      <c r="D19" s="110" t="s">
        <v>42</v>
      </c>
      <c r="E19" s="109" t="s">
        <v>54</v>
      </c>
      <c r="F19" s="107">
        <v>-1.0</v>
      </c>
      <c r="G19" s="106" t="str">
        <f t="shared" si="3"/>
        <v>Bearish</v>
      </c>
      <c r="H19" s="80"/>
      <c r="I19" s="80"/>
      <c r="J19" s="105" t="s">
        <v>40</v>
      </c>
      <c r="K19" s="112" t="s">
        <v>53</v>
      </c>
      <c r="L19" s="110" t="s">
        <v>42</v>
      </c>
      <c r="M19" s="109" t="s">
        <v>54</v>
      </c>
      <c r="N19" s="107">
        <v>-1.0</v>
      </c>
      <c r="O19" s="106" t="str">
        <f t="shared" si="4"/>
        <v>Bearish</v>
      </c>
      <c r="P19" s="80"/>
      <c r="Q19" s="80"/>
      <c r="R19" s="17"/>
      <c r="S19" s="80"/>
      <c r="T19" s="80"/>
      <c r="U19" s="80"/>
      <c r="V19" s="80"/>
      <c r="W19" s="80"/>
      <c r="X19" s="80"/>
      <c r="Y19" s="80"/>
      <c r="Z19" s="80"/>
    </row>
    <row r="20">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c r="A21" s="80"/>
      <c r="B21" s="80"/>
      <c r="C21" s="80"/>
      <c r="D21" s="80"/>
      <c r="E21" s="80"/>
      <c r="F21" s="114" t="s">
        <v>55</v>
      </c>
      <c r="G21" s="115">
        <f>AVERAGE(F5:F19)</f>
        <v>-0.7142857143</v>
      </c>
      <c r="H21" s="80"/>
      <c r="I21" s="80"/>
      <c r="J21" s="80"/>
      <c r="K21" s="80"/>
      <c r="L21" s="80"/>
      <c r="M21" s="80"/>
      <c r="N21" s="114" t="s">
        <v>55</v>
      </c>
      <c r="O21" s="115">
        <f>AVERAGE(N5:N19)</f>
        <v>-0.8571428571</v>
      </c>
      <c r="P21" s="80"/>
      <c r="Q21" s="80"/>
      <c r="R21" s="80"/>
      <c r="S21" s="80"/>
      <c r="T21" s="80"/>
      <c r="U21" s="80"/>
      <c r="V21" s="80"/>
      <c r="W21" s="80"/>
      <c r="X21" s="80"/>
      <c r="Y21" s="80"/>
      <c r="Z21" s="80"/>
    </row>
    <row r="22">
      <c r="A22" s="80"/>
      <c r="B22" s="80"/>
      <c r="C22" s="80"/>
      <c r="D22" s="80"/>
      <c r="E22" s="80"/>
      <c r="F22" s="80"/>
      <c r="G22" s="80"/>
      <c r="H22" s="80"/>
      <c r="I22" s="80"/>
      <c r="J22" s="80"/>
      <c r="K22" s="80"/>
      <c r="L22" s="80"/>
      <c r="M22" s="80"/>
      <c r="N22" s="80"/>
      <c r="O22" s="80"/>
      <c r="P22" s="80"/>
      <c r="Q22" s="80"/>
      <c r="R22" s="80"/>
      <c r="S22" s="80"/>
      <c r="T22" s="80"/>
      <c r="U22" s="80"/>
      <c r="V22" s="80"/>
      <c r="W22" s="80"/>
      <c r="X22" s="80"/>
      <c r="Y22" s="80"/>
      <c r="Z22" s="80"/>
    </row>
    <row r="23">
      <c r="A23" s="80"/>
      <c r="B23" s="105" t="s">
        <v>56</v>
      </c>
      <c r="C23" s="116" t="s">
        <v>57</v>
      </c>
      <c r="D23" s="11"/>
      <c r="E23" s="12"/>
      <c r="F23" s="80"/>
      <c r="G23" s="80"/>
      <c r="H23" s="80"/>
      <c r="I23" s="80"/>
      <c r="J23" s="80"/>
      <c r="K23" s="80"/>
      <c r="L23" s="80"/>
      <c r="M23" s="80"/>
      <c r="N23" s="80"/>
      <c r="O23" s="80"/>
      <c r="P23" s="80"/>
      <c r="Q23" s="80"/>
      <c r="R23" s="80"/>
      <c r="S23" s="80"/>
      <c r="T23" s="80"/>
      <c r="U23" s="80"/>
      <c r="V23" s="80"/>
      <c r="W23" s="80"/>
      <c r="X23" s="80"/>
      <c r="Y23" s="80"/>
      <c r="Z23" s="80"/>
    </row>
    <row r="24">
      <c r="A24" s="80"/>
      <c r="B24" s="105" t="s">
        <v>58</v>
      </c>
      <c r="C24" s="106" t="s">
        <v>59</v>
      </c>
      <c r="D24" s="106" t="s">
        <v>60</v>
      </c>
      <c r="E24" s="106" t="s">
        <v>61</v>
      </c>
      <c r="F24" s="80"/>
      <c r="G24" s="80"/>
      <c r="H24" s="80"/>
      <c r="I24" s="80"/>
      <c r="J24" s="80"/>
      <c r="K24" s="80"/>
      <c r="L24" s="80"/>
      <c r="M24" s="80"/>
      <c r="N24" s="80"/>
      <c r="O24" s="80"/>
      <c r="P24" s="80"/>
      <c r="Q24" s="80"/>
      <c r="R24" s="80"/>
      <c r="S24" s="80"/>
      <c r="T24" s="80"/>
      <c r="U24" s="80"/>
      <c r="V24" s="80"/>
      <c r="W24" s="80"/>
      <c r="X24" s="80"/>
      <c r="Y24" s="80"/>
      <c r="Z24" s="80"/>
    </row>
    <row r="25">
      <c r="A25" s="80"/>
      <c r="B25" s="80"/>
      <c r="C25" s="117" t="s">
        <v>62</v>
      </c>
      <c r="D25" s="118" t="s">
        <v>63</v>
      </c>
      <c r="E25" s="119" t="s">
        <v>64</v>
      </c>
      <c r="F25" s="80"/>
      <c r="G25" s="80"/>
      <c r="H25" s="80"/>
      <c r="I25" s="80"/>
      <c r="J25" s="80"/>
      <c r="K25" s="80"/>
      <c r="L25" s="80"/>
      <c r="M25" s="80"/>
      <c r="N25" s="80"/>
      <c r="O25" s="80"/>
      <c r="P25" s="80"/>
      <c r="Q25" s="80"/>
      <c r="R25" s="80"/>
      <c r="S25" s="80"/>
      <c r="T25" s="80"/>
      <c r="U25" s="80"/>
      <c r="V25" s="80"/>
      <c r="W25" s="80"/>
      <c r="X25" s="80"/>
      <c r="Y25" s="80"/>
      <c r="Z25" s="80"/>
    </row>
    <row r="26">
      <c r="A26" s="80"/>
      <c r="B26" s="80"/>
      <c r="C26" s="117" t="s">
        <v>65</v>
      </c>
      <c r="D26" s="120" t="s">
        <v>66</v>
      </c>
      <c r="E26" s="119" t="s">
        <v>67</v>
      </c>
      <c r="F26" s="80"/>
      <c r="G26" s="121" t="s">
        <v>68</v>
      </c>
      <c r="H26" s="12"/>
      <c r="I26" s="80"/>
      <c r="J26" s="80"/>
      <c r="K26" s="80"/>
      <c r="L26" s="80"/>
      <c r="M26" s="80"/>
      <c r="N26" s="80"/>
      <c r="O26" s="80"/>
      <c r="P26" s="80"/>
      <c r="Q26" s="80"/>
      <c r="R26" s="80"/>
      <c r="S26" s="80"/>
      <c r="T26" s="80"/>
      <c r="U26" s="80"/>
      <c r="V26" s="80"/>
      <c r="W26" s="80"/>
      <c r="X26" s="80"/>
      <c r="Y26" s="80"/>
      <c r="Z26" s="80"/>
    </row>
    <row r="27">
      <c r="A27" s="80"/>
      <c r="B27" s="80"/>
      <c r="C27" s="80"/>
      <c r="D27" s="122" t="s">
        <v>69</v>
      </c>
      <c r="E27" s="119" t="s">
        <v>70</v>
      </c>
      <c r="F27" s="80"/>
      <c r="G27" s="123">
        <f>AVERAGE(G21,O21)</f>
        <v>-0.7857142857</v>
      </c>
      <c r="H27" s="80"/>
      <c r="I27" s="80"/>
      <c r="J27" s="80"/>
      <c r="K27" s="80"/>
      <c r="L27" s="80"/>
      <c r="M27" s="80"/>
      <c r="N27" s="80"/>
      <c r="O27" s="80"/>
      <c r="P27" s="80"/>
      <c r="Q27" s="80"/>
      <c r="R27" s="80"/>
      <c r="S27" s="80"/>
      <c r="T27" s="80"/>
      <c r="U27" s="80"/>
      <c r="V27" s="80"/>
      <c r="W27" s="80"/>
      <c r="X27" s="80"/>
      <c r="Y27" s="80"/>
      <c r="Z27" s="80"/>
    </row>
    <row r="28">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row>
    <row r="29">
      <c r="A29" s="80"/>
      <c r="B29" s="80"/>
      <c r="C29" s="80"/>
      <c r="D29" s="80"/>
      <c r="E29" s="80"/>
      <c r="F29" s="80"/>
      <c r="G29" s="80"/>
      <c r="H29" s="80"/>
      <c r="I29" s="80"/>
      <c r="J29" s="80"/>
      <c r="K29" s="80"/>
      <c r="L29" s="80"/>
      <c r="M29" s="80"/>
      <c r="N29" s="80"/>
      <c r="O29" s="80"/>
      <c r="P29" s="80"/>
      <c r="Q29" s="80"/>
      <c r="R29" s="80"/>
      <c r="S29" s="80"/>
      <c r="T29" s="80"/>
      <c r="U29" s="80"/>
      <c r="V29" s="80"/>
      <c r="W29" s="80"/>
      <c r="X29" s="80"/>
      <c r="Y29" s="80"/>
      <c r="Z29" s="80"/>
    </row>
    <row r="30">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c r="A32" s="80"/>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c r="A35" s="80"/>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c r="A38" s="124" t="s">
        <v>71</v>
      </c>
      <c r="B38" s="125" t="s">
        <v>72</v>
      </c>
      <c r="C38" s="126"/>
      <c r="D38" s="127" t="s">
        <v>73</v>
      </c>
      <c r="E38" s="126"/>
      <c r="F38" s="127" t="s">
        <v>74</v>
      </c>
      <c r="G38" s="80"/>
      <c r="H38" s="80"/>
      <c r="I38" s="80"/>
      <c r="J38" s="80"/>
      <c r="K38" s="80"/>
      <c r="L38" s="80"/>
      <c r="M38" s="80"/>
      <c r="N38" s="80"/>
      <c r="O38" s="80"/>
      <c r="P38" s="80"/>
      <c r="Q38" s="80"/>
      <c r="R38" s="80"/>
      <c r="S38" s="80"/>
      <c r="T38" s="80"/>
      <c r="U38" s="80"/>
      <c r="V38" s="80"/>
      <c r="W38" s="80"/>
      <c r="X38" s="80"/>
      <c r="Y38" s="80"/>
      <c r="Z38" s="80"/>
    </row>
    <row r="39">
      <c r="A39" s="128">
        <v>45512.0</v>
      </c>
      <c r="B39" s="129">
        <v>-1.0</v>
      </c>
      <c r="C39" s="127"/>
      <c r="D39" s="126"/>
      <c r="E39" s="126"/>
      <c r="F39" s="126"/>
      <c r="G39" s="80"/>
      <c r="H39" s="80"/>
      <c r="I39" s="80"/>
      <c r="J39" s="80"/>
      <c r="K39" s="80"/>
      <c r="L39" s="80"/>
      <c r="M39" s="80"/>
      <c r="N39" s="80"/>
      <c r="O39" s="80"/>
      <c r="P39" s="80"/>
      <c r="Q39" s="80"/>
      <c r="R39" s="80"/>
      <c r="S39" s="80"/>
      <c r="T39" s="80"/>
      <c r="U39" s="80"/>
      <c r="V39" s="80"/>
      <c r="W39" s="80"/>
      <c r="X39" s="80"/>
      <c r="Y39" s="80"/>
      <c r="Z39" s="80"/>
    </row>
    <row r="40">
      <c r="A40" s="130">
        <v>45543.0</v>
      </c>
      <c r="B40" s="129">
        <v>-1.0</v>
      </c>
      <c r="C40" s="127"/>
      <c r="D40" s="126"/>
      <c r="E40" s="126"/>
      <c r="F40" s="126"/>
      <c r="G40" s="80"/>
      <c r="H40" s="80"/>
      <c r="I40" s="80"/>
      <c r="J40" s="80"/>
      <c r="K40" s="80"/>
      <c r="L40" s="80"/>
      <c r="M40" s="80"/>
      <c r="N40" s="80"/>
      <c r="O40" s="80"/>
      <c r="P40" s="80"/>
      <c r="Q40" s="80"/>
      <c r="R40" s="80"/>
      <c r="S40" s="80"/>
      <c r="T40" s="80"/>
      <c r="U40" s="80"/>
      <c r="V40" s="80"/>
      <c r="W40" s="80"/>
      <c r="X40" s="80"/>
      <c r="Y40" s="80"/>
      <c r="Z40" s="80"/>
    </row>
    <row r="41">
      <c r="A41" s="128">
        <v>45604.0</v>
      </c>
      <c r="B41" s="129">
        <v>-1.0</v>
      </c>
      <c r="C41" s="127"/>
      <c r="D41" s="126"/>
      <c r="E41" s="126"/>
      <c r="F41" s="126"/>
      <c r="G41" s="80"/>
      <c r="H41" s="80"/>
      <c r="I41" s="80"/>
      <c r="J41" s="80"/>
      <c r="K41" s="80"/>
      <c r="L41" s="80"/>
      <c r="M41" s="80"/>
      <c r="N41" s="80"/>
      <c r="O41" s="80"/>
      <c r="P41" s="80"/>
      <c r="Q41" s="80"/>
      <c r="R41" s="80"/>
      <c r="S41" s="80"/>
      <c r="T41" s="80"/>
      <c r="U41" s="80"/>
      <c r="V41" s="80"/>
      <c r="W41" s="80"/>
      <c r="X41" s="80"/>
      <c r="Y41" s="80"/>
      <c r="Z41" s="80"/>
    </row>
    <row r="42">
      <c r="A42" s="124" t="s">
        <v>75</v>
      </c>
      <c r="B42" s="129">
        <v>-1.0</v>
      </c>
      <c r="C42" s="127"/>
      <c r="D42" s="126"/>
      <c r="E42" s="126"/>
      <c r="F42" s="126"/>
      <c r="G42" s="80"/>
      <c r="H42" s="80"/>
      <c r="I42" s="80"/>
      <c r="J42" s="80"/>
      <c r="K42" s="80"/>
      <c r="L42" s="80"/>
      <c r="M42" s="80"/>
      <c r="N42" s="80"/>
      <c r="O42" s="80"/>
      <c r="P42" s="80"/>
      <c r="Q42" s="80"/>
      <c r="R42" s="80"/>
      <c r="S42" s="80"/>
      <c r="T42" s="80"/>
      <c r="U42" s="80"/>
      <c r="V42" s="80"/>
      <c r="W42" s="80"/>
      <c r="X42" s="80"/>
      <c r="Y42" s="80"/>
      <c r="Z42" s="80"/>
    </row>
    <row r="43">
      <c r="A43" s="124" t="s">
        <v>76</v>
      </c>
      <c r="B43" s="129">
        <v>-1.0</v>
      </c>
      <c r="C43" s="127"/>
      <c r="D43" s="126"/>
      <c r="E43" s="126"/>
      <c r="F43" s="126"/>
      <c r="G43" s="80"/>
      <c r="H43" s="80"/>
      <c r="I43" s="80"/>
      <c r="J43" s="80"/>
      <c r="K43" s="80"/>
      <c r="L43" s="80"/>
      <c r="M43" s="80"/>
      <c r="N43" s="80"/>
      <c r="O43" s="80"/>
      <c r="P43" s="80"/>
      <c r="Q43" s="80"/>
      <c r="R43" s="80"/>
      <c r="S43" s="80"/>
      <c r="T43" s="80"/>
      <c r="U43" s="80"/>
      <c r="V43" s="80"/>
      <c r="W43" s="80"/>
      <c r="X43" s="80"/>
      <c r="Y43" s="80"/>
      <c r="Z43" s="80"/>
    </row>
    <row r="44">
      <c r="A44" s="124" t="s">
        <v>77</v>
      </c>
      <c r="B44" s="129">
        <v>-1.0</v>
      </c>
      <c r="C44" s="127"/>
      <c r="D44" s="126"/>
      <c r="E44" s="126"/>
      <c r="F44" s="126"/>
      <c r="G44" s="80"/>
      <c r="H44" s="80"/>
      <c r="I44" s="80"/>
      <c r="J44" s="80"/>
      <c r="K44" s="80"/>
      <c r="L44" s="80"/>
      <c r="M44" s="80"/>
      <c r="N44" s="80"/>
      <c r="O44" s="80"/>
      <c r="P44" s="80"/>
      <c r="Q44" s="80"/>
      <c r="R44" s="80"/>
      <c r="S44" s="80"/>
      <c r="T44" s="80"/>
      <c r="U44" s="80"/>
      <c r="V44" s="80"/>
      <c r="W44" s="80"/>
      <c r="X44" s="80"/>
      <c r="Y44" s="80"/>
      <c r="Z44" s="80"/>
    </row>
    <row r="45">
      <c r="A45" s="124" t="s">
        <v>78</v>
      </c>
      <c r="B45" s="129">
        <v>-1.0</v>
      </c>
      <c r="C45" s="127"/>
      <c r="D45" s="126"/>
      <c r="E45" s="126"/>
      <c r="F45" s="126"/>
      <c r="G45" s="80"/>
      <c r="H45" s="80"/>
      <c r="I45" s="80"/>
      <c r="J45" s="80"/>
      <c r="K45" s="80"/>
      <c r="L45" s="80"/>
      <c r="M45" s="80"/>
      <c r="N45" s="80"/>
      <c r="O45" s="80"/>
      <c r="P45" s="80"/>
      <c r="Q45" s="80"/>
      <c r="R45" s="80"/>
      <c r="S45" s="80"/>
      <c r="T45" s="80"/>
      <c r="U45" s="80"/>
      <c r="V45" s="80"/>
      <c r="W45" s="80"/>
      <c r="X45" s="80"/>
      <c r="Y45" s="80"/>
      <c r="Z45" s="80"/>
    </row>
    <row r="46">
      <c r="A46" s="124" t="s">
        <v>79</v>
      </c>
      <c r="B46" s="129">
        <v>-1.0</v>
      </c>
      <c r="C46" s="127"/>
      <c r="D46" s="126"/>
      <c r="E46" s="126"/>
      <c r="F46" s="126"/>
      <c r="G46" s="80"/>
      <c r="H46" s="80"/>
      <c r="I46" s="80"/>
      <c r="J46" s="80"/>
      <c r="K46" s="80"/>
      <c r="L46" s="80"/>
      <c r="M46" s="80"/>
      <c r="N46" s="80"/>
      <c r="O46" s="80"/>
      <c r="P46" s="80"/>
      <c r="Q46" s="80"/>
      <c r="R46" s="80"/>
      <c r="S46" s="80"/>
      <c r="T46" s="80"/>
      <c r="U46" s="80"/>
      <c r="V46" s="80"/>
      <c r="W46" s="80"/>
      <c r="X46" s="80"/>
      <c r="Y46" s="80"/>
      <c r="Z46" s="80"/>
    </row>
    <row r="47">
      <c r="A47" s="124" t="s">
        <v>80</v>
      </c>
      <c r="B47" s="129">
        <v>-1.0</v>
      </c>
      <c r="C47" s="127"/>
      <c r="D47" s="126"/>
      <c r="E47" s="126"/>
      <c r="F47" s="126"/>
      <c r="G47" s="80"/>
      <c r="H47" s="80"/>
      <c r="I47" s="80"/>
      <c r="J47" s="80"/>
      <c r="K47" s="80"/>
      <c r="L47" s="80"/>
      <c r="M47" s="80"/>
      <c r="N47" s="80"/>
      <c r="O47" s="80"/>
      <c r="P47" s="80"/>
      <c r="Q47" s="80"/>
      <c r="R47" s="80"/>
      <c r="S47" s="80"/>
      <c r="T47" s="80"/>
      <c r="U47" s="80"/>
      <c r="V47" s="80"/>
      <c r="W47" s="80"/>
      <c r="X47" s="80"/>
      <c r="Y47" s="80"/>
      <c r="Z47" s="80"/>
    </row>
    <row r="48">
      <c r="A48" s="124" t="s">
        <v>81</v>
      </c>
      <c r="B48" s="129">
        <v>-1.0</v>
      </c>
      <c r="C48" s="127"/>
      <c r="D48" s="126"/>
      <c r="E48" s="126"/>
      <c r="F48" s="126"/>
      <c r="G48" s="80"/>
      <c r="H48" s="80"/>
      <c r="I48" s="80"/>
      <c r="J48" s="80"/>
      <c r="K48" s="80"/>
      <c r="L48" s="80"/>
      <c r="M48" s="80"/>
      <c r="N48" s="80"/>
      <c r="O48" s="80"/>
      <c r="P48" s="80"/>
      <c r="Q48" s="80"/>
      <c r="R48" s="80"/>
      <c r="S48" s="80"/>
      <c r="T48" s="80"/>
      <c r="U48" s="80"/>
      <c r="V48" s="80"/>
      <c r="W48" s="80"/>
      <c r="X48" s="80"/>
      <c r="Y48" s="80"/>
      <c r="Z48" s="80"/>
    </row>
    <row r="49">
      <c r="A49" s="124" t="s">
        <v>82</v>
      </c>
      <c r="B49" s="129">
        <v>-1.0</v>
      </c>
      <c r="C49" s="127"/>
      <c r="D49" s="126"/>
      <c r="E49" s="126"/>
      <c r="F49" s="126"/>
      <c r="G49" s="80"/>
      <c r="H49" s="80"/>
      <c r="I49" s="80"/>
      <c r="J49" s="80"/>
      <c r="K49" s="80"/>
      <c r="L49" s="80"/>
      <c r="M49" s="80"/>
      <c r="N49" s="80"/>
      <c r="O49" s="80"/>
      <c r="P49" s="80"/>
      <c r="Q49" s="80"/>
      <c r="R49" s="80"/>
      <c r="S49" s="80"/>
      <c r="T49" s="80"/>
      <c r="U49" s="80"/>
      <c r="V49" s="80"/>
      <c r="W49" s="80"/>
      <c r="X49" s="80"/>
      <c r="Y49" s="80"/>
      <c r="Z49" s="80"/>
    </row>
    <row r="50">
      <c r="A50" s="124" t="s">
        <v>83</v>
      </c>
      <c r="B50" s="129">
        <v>-1.0</v>
      </c>
      <c r="C50" s="127"/>
      <c r="D50" s="126"/>
      <c r="E50" s="126"/>
      <c r="F50" s="126"/>
      <c r="G50" s="80"/>
      <c r="H50" s="80"/>
      <c r="I50" s="80"/>
      <c r="J50" s="80"/>
      <c r="K50" s="80"/>
      <c r="L50" s="80"/>
      <c r="M50" s="80"/>
      <c r="N50" s="80"/>
      <c r="O50" s="80"/>
      <c r="P50" s="80"/>
      <c r="Q50" s="80"/>
      <c r="R50" s="80"/>
      <c r="S50" s="80"/>
      <c r="T50" s="80"/>
      <c r="U50" s="80"/>
      <c r="V50" s="80"/>
      <c r="W50" s="80"/>
      <c r="X50" s="80"/>
      <c r="Y50" s="80"/>
      <c r="Z50" s="80"/>
    </row>
    <row r="51">
      <c r="A51" s="124" t="s">
        <v>84</v>
      </c>
      <c r="B51" s="129">
        <v>-1.0</v>
      </c>
      <c r="C51" s="127"/>
      <c r="D51" s="126"/>
      <c r="E51" s="126"/>
      <c r="F51" s="126"/>
      <c r="G51" s="80"/>
      <c r="H51" s="80"/>
      <c r="I51" s="80"/>
      <c r="J51" s="80"/>
      <c r="K51" s="80"/>
      <c r="L51" s="80"/>
      <c r="M51" s="80"/>
      <c r="N51" s="80"/>
      <c r="O51" s="80"/>
      <c r="P51" s="80"/>
      <c r="Q51" s="80"/>
      <c r="R51" s="80"/>
      <c r="S51" s="80"/>
      <c r="T51" s="80"/>
      <c r="U51" s="80"/>
      <c r="V51" s="80"/>
      <c r="W51" s="80"/>
      <c r="X51" s="80"/>
      <c r="Y51" s="80"/>
      <c r="Z51" s="80"/>
    </row>
    <row r="52">
      <c r="A52" s="124" t="s">
        <v>85</v>
      </c>
      <c r="B52" s="129">
        <v>-0.8</v>
      </c>
      <c r="C52" s="127"/>
      <c r="D52" s="126"/>
      <c r="E52" s="126"/>
      <c r="F52" s="126"/>
      <c r="G52" s="80"/>
      <c r="H52" s="80"/>
      <c r="I52" s="80"/>
      <c r="J52" s="80"/>
      <c r="K52" s="80"/>
      <c r="L52" s="80"/>
      <c r="M52" s="80"/>
      <c r="N52" s="80"/>
      <c r="O52" s="80"/>
      <c r="P52" s="80"/>
      <c r="Q52" s="80"/>
      <c r="R52" s="80"/>
      <c r="S52" s="80"/>
      <c r="T52" s="80"/>
      <c r="U52" s="80"/>
      <c r="V52" s="80"/>
      <c r="W52" s="80"/>
      <c r="X52" s="80"/>
      <c r="Y52" s="80"/>
      <c r="Z52" s="80"/>
    </row>
    <row r="53">
      <c r="A53" s="124" t="s">
        <v>86</v>
      </c>
      <c r="B53" s="129">
        <v>-0.4</v>
      </c>
      <c r="C53" s="127"/>
      <c r="D53" s="126"/>
      <c r="E53" s="126"/>
      <c r="F53" s="126"/>
      <c r="G53" s="80"/>
      <c r="H53" s="80"/>
      <c r="I53" s="80"/>
      <c r="J53" s="80"/>
      <c r="K53" s="80"/>
      <c r="L53" s="80"/>
      <c r="M53" s="80"/>
      <c r="N53" s="80"/>
      <c r="O53" s="80"/>
      <c r="P53" s="80"/>
      <c r="Q53" s="80"/>
      <c r="R53" s="80"/>
      <c r="S53" s="80"/>
      <c r="T53" s="80"/>
      <c r="U53" s="80"/>
      <c r="V53" s="80"/>
      <c r="W53" s="80"/>
      <c r="X53" s="80"/>
      <c r="Y53" s="80"/>
      <c r="Z53" s="80"/>
    </row>
    <row r="54">
      <c r="A54" s="124" t="s">
        <v>87</v>
      </c>
      <c r="B54" s="129">
        <v>-1.0</v>
      </c>
      <c r="C54" s="127"/>
      <c r="D54" s="126"/>
      <c r="E54" s="126"/>
      <c r="F54" s="126"/>
      <c r="G54" s="80"/>
      <c r="H54" s="80"/>
      <c r="I54" s="80"/>
      <c r="J54" s="80"/>
      <c r="K54" s="80"/>
      <c r="L54" s="80"/>
      <c r="M54" s="80"/>
      <c r="N54" s="80"/>
      <c r="O54" s="80"/>
      <c r="P54" s="80"/>
      <c r="Q54" s="80"/>
      <c r="R54" s="80"/>
      <c r="S54" s="80"/>
      <c r="T54" s="80"/>
      <c r="U54" s="80"/>
      <c r="V54" s="80"/>
      <c r="W54" s="80"/>
      <c r="X54" s="80"/>
      <c r="Y54" s="80"/>
      <c r="Z54" s="80"/>
    </row>
    <row r="55">
      <c r="A55" s="124" t="s">
        <v>88</v>
      </c>
      <c r="B55" s="129">
        <v>-1.0</v>
      </c>
      <c r="C55" s="127"/>
      <c r="D55" s="126"/>
      <c r="E55" s="126"/>
      <c r="F55" s="126"/>
      <c r="G55" s="80"/>
      <c r="H55" s="80"/>
      <c r="I55" s="80"/>
      <c r="J55" s="80"/>
      <c r="K55" s="80"/>
      <c r="L55" s="80"/>
      <c r="M55" s="80"/>
      <c r="N55" s="80"/>
      <c r="O55" s="80"/>
      <c r="P55" s="80"/>
      <c r="Q55" s="80"/>
      <c r="R55" s="80"/>
      <c r="S55" s="80"/>
      <c r="T55" s="80"/>
      <c r="U55" s="80"/>
      <c r="V55" s="80"/>
      <c r="W55" s="80"/>
      <c r="X55" s="80"/>
      <c r="Y55" s="80"/>
      <c r="Z55" s="80"/>
    </row>
    <row r="56">
      <c r="A56" s="124" t="s">
        <v>89</v>
      </c>
      <c r="B56" s="129">
        <v>-1.0</v>
      </c>
      <c r="C56" s="127"/>
      <c r="D56" s="126"/>
      <c r="E56" s="126"/>
      <c r="F56" s="126"/>
      <c r="G56" s="80"/>
      <c r="H56" s="80"/>
      <c r="I56" s="80"/>
      <c r="J56" s="80"/>
      <c r="K56" s="80"/>
      <c r="L56" s="80"/>
      <c r="M56" s="80"/>
      <c r="N56" s="80"/>
      <c r="O56" s="80"/>
      <c r="P56" s="80"/>
      <c r="Q56" s="80"/>
      <c r="R56" s="80"/>
      <c r="S56" s="80"/>
      <c r="T56" s="80"/>
      <c r="U56" s="80"/>
      <c r="V56" s="80"/>
      <c r="W56" s="80"/>
      <c r="X56" s="80"/>
      <c r="Y56" s="80"/>
      <c r="Z56" s="80"/>
    </row>
    <row r="57">
      <c r="A57" s="128">
        <v>45300.0</v>
      </c>
      <c r="B57" s="129">
        <v>-1.0</v>
      </c>
      <c r="C57" s="127"/>
      <c r="D57" s="126"/>
      <c r="E57" s="126"/>
      <c r="F57" s="126"/>
      <c r="G57" s="80"/>
      <c r="H57" s="80"/>
      <c r="I57" s="80"/>
      <c r="J57" s="80"/>
      <c r="K57" s="80"/>
      <c r="L57" s="80"/>
      <c r="M57" s="80"/>
      <c r="N57" s="80"/>
      <c r="O57" s="80"/>
      <c r="P57" s="80"/>
      <c r="Q57" s="80"/>
      <c r="R57" s="80"/>
      <c r="S57" s="80"/>
      <c r="T57" s="80"/>
      <c r="U57" s="80"/>
      <c r="V57" s="80"/>
      <c r="W57" s="80"/>
      <c r="X57" s="80"/>
      <c r="Y57" s="80"/>
      <c r="Z57" s="80"/>
    </row>
    <row r="58">
      <c r="A58" s="128">
        <v>45331.0</v>
      </c>
      <c r="B58" s="129">
        <v>-1.0</v>
      </c>
      <c r="C58" s="127"/>
      <c r="D58" s="126"/>
      <c r="E58" s="126"/>
      <c r="F58" s="126"/>
      <c r="G58" s="80"/>
      <c r="H58" s="80"/>
      <c r="I58" s="80"/>
      <c r="J58" s="80"/>
      <c r="K58" s="80"/>
      <c r="L58" s="80"/>
      <c r="M58" s="80"/>
      <c r="N58" s="80"/>
      <c r="O58" s="80"/>
      <c r="P58" s="80"/>
      <c r="Q58" s="80"/>
      <c r="R58" s="80"/>
      <c r="S58" s="80"/>
      <c r="T58" s="80"/>
      <c r="U58" s="80"/>
      <c r="V58" s="80"/>
      <c r="W58" s="80"/>
      <c r="X58" s="80"/>
      <c r="Y58" s="80"/>
      <c r="Z58" s="80"/>
    </row>
    <row r="59">
      <c r="A59" s="128">
        <v>45360.0</v>
      </c>
      <c r="B59" s="129">
        <v>-1.0</v>
      </c>
      <c r="C59" s="127"/>
      <c r="D59" s="126"/>
      <c r="E59" s="126"/>
      <c r="F59" s="126"/>
      <c r="G59" s="80"/>
      <c r="H59" s="80"/>
      <c r="I59" s="80"/>
      <c r="J59" s="80"/>
      <c r="K59" s="80"/>
      <c r="L59" s="80"/>
      <c r="M59" s="80"/>
      <c r="N59" s="80"/>
      <c r="O59" s="80"/>
      <c r="P59" s="80"/>
      <c r="Q59" s="80"/>
      <c r="R59" s="80"/>
      <c r="S59" s="80"/>
      <c r="T59" s="80"/>
      <c r="U59" s="80"/>
      <c r="V59" s="80"/>
      <c r="W59" s="80"/>
      <c r="X59" s="80"/>
      <c r="Y59" s="80"/>
      <c r="Z59" s="80"/>
    </row>
    <row r="60">
      <c r="A60" s="128">
        <v>45391.0</v>
      </c>
      <c r="B60" s="129">
        <v>-1.0</v>
      </c>
      <c r="C60" s="127"/>
      <c r="D60" s="126"/>
      <c r="E60" s="126"/>
      <c r="F60" s="126"/>
      <c r="G60" s="80"/>
      <c r="H60" s="80"/>
      <c r="I60" s="80"/>
      <c r="J60" s="80"/>
      <c r="K60" s="80"/>
      <c r="L60" s="80"/>
      <c r="M60" s="80"/>
      <c r="N60" s="80"/>
      <c r="O60" s="80"/>
      <c r="P60" s="80"/>
      <c r="Q60" s="80"/>
      <c r="R60" s="80"/>
      <c r="S60" s="80"/>
      <c r="T60" s="80"/>
      <c r="U60" s="80"/>
      <c r="V60" s="80"/>
      <c r="W60" s="80"/>
      <c r="X60" s="80"/>
      <c r="Y60" s="80"/>
      <c r="Z60" s="80"/>
    </row>
    <row r="61">
      <c r="A61" s="128">
        <v>45421.0</v>
      </c>
      <c r="B61" s="129">
        <v>-1.0</v>
      </c>
      <c r="C61" s="127"/>
      <c r="D61" s="126"/>
      <c r="E61" s="126"/>
      <c r="F61" s="126"/>
      <c r="G61" s="80"/>
      <c r="H61" s="80"/>
      <c r="I61" s="80"/>
      <c r="J61" s="80"/>
      <c r="K61" s="80"/>
      <c r="L61" s="80"/>
      <c r="M61" s="80"/>
      <c r="N61" s="80"/>
      <c r="O61" s="80"/>
      <c r="P61" s="80"/>
      <c r="Q61" s="80"/>
      <c r="R61" s="80"/>
      <c r="S61" s="80"/>
      <c r="T61" s="80"/>
      <c r="U61" s="80"/>
      <c r="V61" s="80"/>
      <c r="W61" s="80"/>
      <c r="X61" s="80"/>
      <c r="Y61" s="80"/>
      <c r="Z61" s="80"/>
    </row>
    <row r="62">
      <c r="A62" s="128">
        <v>45452.0</v>
      </c>
      <c r="B62" s="129">
        <v>-1.0</v>
      </c>
      <c r="C62" s="127"/>
      <c r="D62" s="126"/>
      <c r="E62" s="126"/>
      <c r="F62" s="126"/>
      <c r="G62" s="80"/>
      <c r="H62" s="80"/>
      <c r="I62" s="80"/>
      <c r="J62" s="80"/>
      <c r="K62" s="80"/>
      <c r="L62" s="80"/>
      <c r="M62" s="80"/>
      <c r="N62" s="80"/>
      <c r="O62" s="80"/>
      <c r="P62" s="80"/>
      <c r="Q62" s="80"/>
      <c r="R62" s="80"/>
      <c r="S62" s="80"/>
      <c r="T62" s="80"/>
      <c r="U62" s="80"/>
      <c r="V62" s="80"/>
      <c r="W62" s="80"/>
      <c r="X62" s="80"/>
      <c r="Y62" s="80"/>
      <c r="Z62" s="80"/>
    </row>
    <row r="63">
      <c r="A63" s="128">
        <v>45482.0</v>
      </c>
      <c r="B63" s="129">
        <v>-1.0</v>
      </c>
      <c r="C63" s="127"/>
      <c r="D63" s="126"/>
      <c r="E63" s="126"/>
      <c r="F63" s="126"/>
      <c r="G63" s="80"/>
      <c r="H63" s="80"/>
      <c r="I63" s="80"/>
      <c r="J63" s="80"/>
      <c r="K63" s="80"/>
      <c r="L63" s="80"/>
      <c r="M63" s="80"/>
      <c r="N63" s="80"/>
      <c r="O63" s="80"/>
      <c r="P63" s="80"/>
      <c r="Q63" s="80"/>
      <c r="R63" s="80"/>
      <c r="S63" s="80"/>
      <c r="T63" s="80"/>
      <c r="U63" s="80"/>
      <c r="V63" s="80"/>
      <c r="W63" s="80"/>
      <c r="X63" s="80"/>
      <c r="Y63" s="80"/>
      <c r="Z63" s="80"/>
    </row>
    <row r="64">
      <c r="A64" s="128">
        <v>45513.0</v>
      </c>
      <c r="B64" s="129">
        <v>-1.0</v>
      </c>
      <c r="C64" s="127"/>
      <c r="D64" s="126"/>
      <c r="E64" s="126"/>
      <c r="F64" s="126"/>
      <c r="G64" s="80"/>
      <c r="H64" s="80"/>
      <c r="I64" s="80"/>
      <c r="J64" s="80"/>
      <c r="K64" s="80"/>
      <c r="L64" s="80"/>
      <c r="M64" s="80"/>
      <c r="N64" s="80"/>
      <c r="O64" s="80"/>
      <c r="P64" s="80"/>
      <c r="Q64" s="80"/>
      <c r="R64" s="80"/>
      <c r="S64" s="80"/>
      <c r="T64" s="80"/>
      <c r="U64" s="80"/>
      <c r="V64" s="80"/>
      <c r="W64" s="80"/>
      <c r="X64" s="80"/>
      <c r="Y64" s="80"/>
      <c r="Z64" s="80"/>
    </row>
    <row r="65">
      <c r="A65" s="128">
        <v>45544.0</v>
      </c>
      <c r="B65" s="129">
        <v>-1.0</v>
      </c>
      <c r="C65" s="127"/>
      <c r="D65" s="126"/>
      <c r="E65" s="126"/>
      <c r="F65" s="126"/>
      <c r="G65" s="80"/>
      <c r="H65" s="80"/>
      <c r="I65" s="80"/>
      <c r="J65" s="80"/>
      <c r="K65" s="80"/>
      <c r="L65" s="80"/>
      <c r="M65" s="80"/>
      <c r="N65" s="80"/>
      <c r="O65" s="80"/>
      <c r="P65" s="80"/>
      <c r="Q65" s="80"/>
      <c r="R65" s="80"/>
      <c r="S65" s="80"/>
      <c r="T65" s="80"/>
      <c r="U65" s="80"/>
      <c r="V65" s="80"/>
      <c r="W65" s="80"/>
      <c r="X65" s="80"/>
      <c r="Y65" s="80"/>
      <c r="Z65" s="80"/>
    </row>
    <row r="66">
      <c r="A66" s="128">
        <v>45574.0</v>
      </c>
      <c r="B66" s="129">
        <v>-1.0</v>
      </c>
      <c r="C66" s="127"/>
      <c r="D66" s="126"/>
      <c r="E66" s="126"/>
      <c r="F66" s="126"/>
      <c r="G66" s="80"/>
      <c r="H66" s="80"/>
      <c r="I66" s="80"/>
      <c r="J66" s="80"/>
      <c r="K66" s="80"/>
      <c r="L66" s="80"/>
      <c r="M66" s="80"/>
      <c r="N66" s="80"/>
      <c r="O66" s="80"/>
      <c r="P66" s="80"/>
      <c r="Q66" s="80"/>
      <c r="R66" s="80"/>
      <c r="S66" s="80"/>
      <c r="T66" s="80"/>
      <c r="U66" s="80"/>
      <c r="V66" s="80"/>
      <c r="W66" s="80"/>
      <c r="X66" s="80"/>
      <c r="Y66" s="80"/>
      <c r="Z66" s="80"/>
    </row>
    <row r="67">
      <c r="A67" s="128">
        <v>45635.0</v>
      </c>
      <c r="B67" s="129">
        <v>-1.0</v>
      </c>
      <c r="C67" s="127"/>
      <c r="D67" s="126"/>
      <c r="E67" s="126"/>
      <c r="F67" s="126"/>
      <c r="G67" s="80"/>
      <c r="H67" s="80"/>
      <c r="I67" s="80"/>
      <c r="J67" s="80"/>
      <c r="K67" s="80"/>
      <c r="L67" s="80"/>
      <c r="M67" s="80"/>
      <c r="N67" s="80"/>
      <c r="O67" s="80"/>
      <c r="P67" s="80"/>
      <c r="Q67" s="80"/>
      <c r="R67" s="80"/>
      <c r="S67" s="80"/>
      <c r="T67" s="80"/>
      <c r="U67" s="80"/>
      <c r="V67" s="80"/>
      <c r="W67" s="80"/>
      <c r="X67" s="80"/>
      <c r="Y67" s="80"/>
      <c r="Z67" s="80"/>
    </row>
    <row r="68">
      <c r="A68" s="124" t="s">
        <v>90</v>
      </c>
      <c r="B68" s="129">
        <v>-1.0</v>
      </c>
      <c r="C68" s="127"/>
      <c r="D68" s="126"/>
      <c r="E68" s="126"/>
      <c r="F68" s="126"/>
      <c r="G68" s="80"/>
      <c r="H68" s="80"/>
      <c r="I68" s="80"/>
      <c r="J68" s="80"/>
      <c r="K68" s="80"/>
      <c r="L68" s="80"/>
      <c r="M68" s="80"/>
      <c r="N68" s="80"/>
      <c r="O68" s="80"/>
      <c r="P68" s="80"/>
      <c r="Q68" s="80"/>
      <c r="R68" s="80"/>
      <c r="S68" s="80"/>
      <c r="T68" s="80"/>
      <c r="U68" s="80"/>
      <c r="V68" s="80"/>
      <c r="W68" s="80"/>
      <c r="X68" s="80"/>
      <c r="Y68" s="80"/>
      <c r="Z68" s="80"/>
    </row>
    <row r="69">
      <c r="A69" s="124" t="s">
        <v>91</v>
      </c>
      <c r="B69" s="129">
        <v>-1.0</v>
      </c>
      <c r="C69" s="127"/>
      <c r="D69" s="126"/>
      <c r="E69" s="126"/>
      <c r="F69" s="126"/>
      <c r="G69" s="80"/>
      <c r="H69" s="80"/>
      <c r="I69" s="80"/>
      <c r="J69" s="80"/>
      <c r="K69" s="80"/>
      <c r="L69" s="80"/>
      <c r="M69" s="80"/>
      <c r="N69" s="80"/>
      <c r="O69" s="80"/>
      <c r="P69" s="80"/>
      <c r="Q69" s="80"/>
      <c r="R69" s="80"/>
      <c r="S69" s="80"/>
      <c r="T69" s="80"/>
      <c r="U69" s="80"/>
      <c r="V69" s="80"/>
      <c r="W69" s="80"/>
      <c r="X69" s="80"/>
      <c r="Y69" s="80"/>
      <c r="Z69" s="80"/>
    </row>
    <row r="70">
      <c r="A70" s="124" t="s">
        <v>92</v>
      </c>
      <c r="B70" s="129">
        <v>-1.0</v>
      </c>
      <c r="C70" s="127"/>
      <c r="D70" s="126"/>
      <c r="E70" s="126"/>
      <c r="F70" s="126"/>
      <c r="G70" s="80"/>
      <c r="H70" s="80"/>
      <c r="I70" s="80"/>
      <c r="J70" s="80"/>
      <c r="K70" s="80"/>
      <c r="L70" s="80"/>
      <c r="M70" s="80"/>
      <c r="N70" s="80"/>
      <c r="O70" s="80"/>
      <c r="P70" s="80"/>
      <c r="Q70" s="80"/>
      <c r="R70" s="80"/>
      <c r="S70" s="80"/>
      <c r="T70" s="80"/>
      <c r="U70" s="80"/>
      <c r="V70" s="80"/>
      <c r="W70" s="80"/>
      <c r="X70" s="80"/>
      <c r="Y70" s="80"/>
      <c r="Z70" s="80"/>
    </row>
    <row r="71">
      <c r="A71" s="124" t="s">
        <v>93</v>
      </c>
      <c r="B71" s="129">
        <v>-1.0</v>
      </c>
      <c r="C71" s="127"/>
      <c r="D71" s="126"/>
      <c r="E71" s="126"/>
      <c r="F71" s="126"/>
      <c r="G71" s="80"/>
      <c r="H71" s="80"/>
      <c r="I71" s="80"/>
      <c r="J71" s="80"/>
      <c r="K71" s="80"/>
      <c r="L71" s="80"/>
      <c r="M71" s="80"/>
      <c r="N71" s="80"/>
      <c r="O71" s="80"/>
      <c r="P71" s="80"/>
      <c r="Q71" s="80"/>
      <c r="R71" s="80"/>
      <c r="S71" s="80"/>
      <c r="T71" s="80"/>
      <c r="U71" s="80"/>
      <c r="V71" s="80"/>
      <c r="W71" s="80"/>
      <c r="X71" s="80"/>
      <c r="Y71" s="80"/>
      <c r="Z71" s="80"/>
    </row>
    <row r="72">
      <c r="A72" s="124" t="s">
        <v>94</v>
      </c>
      <c r="B72" s="129">
        <v>-1.0</v>
      </c>
      <c r="C72" s="127"/>
      <c r="D72" s="126"/>
      <c r="E72" s="126"/>
      <c r="F72" s="126"/>
      <c r="G72" s="80"/>
      <c r="H72" s="80"/>
      <c r="I72" s="80"/>
      <c r="J72" s="80"/>
      <c r="K72" s="80"/>
      <c r="L72" s="80"/>
      <c r="M72" s="80"/>
      <c r="N72" s="80"/>
      <c r="O72" s="80"/>
      <c r="P72" s="80"/>
      <c r="Q72" s="80"/>
      <c r="R72" s="80"/>
      <c r="S72" s="80"/>
      <c r="T72" s="80"/>
      <c r="U72" s="80"/>
      <c r="V72" s="80"/>
      <c r="W72" s="80"/>
      <c r="X72" s="80"/>
      <c r="Y72" s="80"/>
      <c r="Z72" s="80"/>
    </row>
    <row r="73">
      <c r="A73" s="124" t="s">
        <v>95</v>
      </c>
      <c r="B73" s="129">
        <v>-0.8</v>
      </c>
      <c r="C73" s="127"/>
      <c r="D73" s="126"/>
      <c r="E73" s="126"/>
      <c r="F73" s="126"/>
      <c r="G73" s="80"/>
      <c r="H73" s="80"/>
      <c r="I73" s="80"/>
      <c r="J73" s="80"/>
      <c r="K73" s="80"/>
      <c r="L73" s="80"/>
      <c r="M73" s="80"/>
      <c r="N73" s="80"/>
      <c r="O73" s="80"/>
      <c r="P73" s="80"/>
      <c r="Q73" s="80"/>
      <c r="R73" s="80"/>
      <c r="S73" s="80"/>
      <c r="T73" s="80"/>
      <c r="U73" s="80"/>
      <c r="V73" s="80"/>
      <c r="W73" s="80"/>
      <c r="X73" s="80"/>
      <c r="Y73" s="80"/>
      <c r="Z73" s="80"/>
    </row>
    <row r="74">
      <c r="A74" s="124" t="s">
        <v>96</v>
      </c>
      <c r="B74" s="129">
        <v>0.6</v>
      </c>
      <c r="C74" s="127"/>
      <c r="D74" s="126"/>
      <c r="E74" s="126"/>
      <c r="F74" s="126"/>
      <c r="G74" s="80"/>
      <c r="H74" s="80"/>
      <c r="I74" s="80"/>
      <c r="J74" s="80"/>
      <c r="K74" s="80"/>
      <c r="L74" s="80"/>
      <c r="M74" s="80"/>
      <c r="N74" s="80"/>
      <c r="O74" s="80"/>
      <c r="P74" s="80"/>
      <c r="Q74" s="80"/>
      <c r="R74" s="80"/>
      <c r="S74" s="80"/>
      <c r="T74" s="80"/>
      <c r="U74" s="80"/>
      <c r="V74" s="80"/>
      <c r="W74" s="80"/>
      <c r="X74" s="80"/>
      <c r="Y74" s="80"/>
      <c r="Z74" s="80"/>
    </row>
    <row r="75">
      <c r="A75" s="124" t="s">
        <v>97</v>
      </c>
      <c r="B75" s="129">
        <v>0.2</v>
      </c>
      <c r="C75" s="127"/>
      <c r="D75" s="126"/>
      <c r="E75" s="126"/>
      <c r="F75" s="126"/>
      <c r="G75" s="80"/>
      <c r="H75" s="80"/>
      <c r="I75" s="80"/>
      <c r="J75" s="80"/>
      <c r="K75" s="80"/>
      <c r="L75" s="80"/>
      <c r="M75" s="80"/>
      <c r="N75" s="80"/>
      <c r="O75" s="80"/>
      <c r="P75" s="80"/>
      <c r="Q75" s="80"/>
      <c r="R75" s="80"/>
      <c r="S75" s="80"/>
      <c r="T75" s="80"/>
      <c r="U75" s="80"/>
      <c r="V75" s="80"/>
      <c r="W75" s="80"/>
      <c r="X75" s="80"/>
      <c r="Y75" s="80"/>
      <c r="Z75" s="80"/>
    </row>
    <row r="76">
      <c r="A76" s="124" t="s">
        <v>98</v>
      </c>
      <c r="B76" s="129">
        <v>0.2</v>
      </c>
      <c r="C76" s="127"/>
      <c r="D76" s="126"/>
      <c r="E76" s="126"/>
      <c r="F76" s="126"/>
      <c r="G76" s="80"/>
      <c r="H76" s="80"/>
      <c r="I76" s="80"/>
      <c r="J76" s="80"/>
      <c r="K76" s="80"/>
      <c r="L76" s="80"/>
      <c r="M76" s="80"/>
      <c r="N76" s="80"/>
      <c r="O76" s="80"/>
      <c r="P76" s="80"/>
      <c r="Q76" s="80"/>
      <c r="R76" s="80"/>
      <c r="S76" s="80"/>
      <c r="T76" s="80"/>
      <c r="U76" s="80"/>
      <c r="V76" s="80"/>
      <c r="W76" s="80"/>
      <c r="X76" s="80"/>
      <c r="Y76" s="80"/>
      <c r="Z76" s="80"/>
    </row>
    <row r="77">
      <c r="A77" s="124" t="s">
        <v>99</v>
      </c>
      <c r="B77" s="129">
        <v>0.4</v>
      </c>
      <c r="C77" s="127"/>
      <c r="D77" s="126"/>
      <c r="E77" s="126"/>
      <c r="F77" s="126"/>
      <c r="G77" s="80"/>
      <c r="H77" s="80"/>
      <c r="I77" s="80"/>
      <c r="J77" s="80"/>
      <c r="K77" s="80"/>
      <c r="L77" s="80"/>
      <c r="M77" s="80"/>
      <c r="N77" s="80"/>
      <c r="O77" s="80"/>
      <c r="P77" s="80"/>
      <c r="Q77" s="80"/>
      <c r="R77" s="80"/>
      <c r="S77" s="80"/>
      <c r="T77" s="80"/>
      <c r="U77" s="80"/>
      <c r="V77" s="80"/>
      <c r="W77" s="80"/>
      <c r="X77" s="80"/>
      <c r="Y77" s="80"/>
      <c r="Z77" s="80"/>
    </row>
    <row r="78">
      <c r="A78" s="124" t="s">
        <v>100</v>
      </c>
      <c r="B78" s="129">
        <v>0.4</v>
      </c>
      <c r="C78" s="127"/>
      <c r="D78" s="126"/>
      <c r="E78" s="126"/>
      <c r="F78" s="126"/>
      <c r="G78" s="80"/>
      <c r="H78" s="80"/>
      <c r="I78" s="80"/>
      <c r="J78" s="80"/>
      <c r="K78" s="80"/>
      <c r="L78" s="80"/>
      <c r="M78" s="80"/>
      <c r="N78" s="80"/>
      <c r="O78" s="80"/>
      <c r="P78" s="80"/>
      <c r="Q78" s="80"/>
      <c r="R78" s="80"/>
      <c r="S78" s="80"/>
      <c r="T78" s="80"/>
      <c r="U78" s="80"/>
      <c r="V78" s="80"/>
      <c r="W78" s="80"/>
      <c r="X78" s="80"/>
      <c r="Y78" s="80"/>
      <c r="Z78" s="80"/>
    </row>
    <row r="79">
      <c r="A79" s="124" t="s">
        <v>101</v>
      </c>
      <c r="B79" s="129">
        <v>1.0</v>
      </c>
      <c r="C79" s="127"/>
      <c r="D79" s="126"/>
      <c r="E79" s="126"/>
      <c r="F79" s="126"/>
      <c r="G79" s="80"/>
      <c r="H79" s="80"/>
      <c r="I79" s="80"/>
      <c r="J79" s="80"/>
      <c r="K79" s="80"/>
      <c r="L79" s="80"/>
      <c r="M79" s="80"/>
      <c r="N79" s="80"/>
      <c r="O79" s="80"/>
      <c r="P79" s="80"/>
      <c r="Q79" s="80"/>
      <c r="R79" s="80"/>
      <c r="S79" s="80"/>
      <c r="T79" s="80"/>
      <c r="U79" s="80"/>
      <c r="V79" s="80"/>
      <c r="W79" s="80"/>
      <c r="X79" s="80"/>
      <c r="Y79" s="80"/>
      <c r="Z79" s="80"/>
    </row>
    <row r="80">
      <c r="A80" s="124" t="s">
        <v>102</v>
      </c>
      <c r="B80" s="129">
        <v>1.0</v>
      </c>
      <c r="C80" s="127"/>
      <c r="D80" s="126"/>
      <c r="E80" s="126"/>
      <c r="F80" s="126"/>
      <c r="G80" s="80"/>
      <c r="H80" s="80"/>
      <c r="I80" s="80"/>
      <c r="J80" s="80"/>
      <c r="K80" s="80"/>
      <c r="L80" s="80"/>
      <c r="M80" s="80"/>
      <c r="N80" s="80"/>
      <c r="O80" s="80"/>
      <c r="P80" s="80"/>
      <c r="Q80" s="80"/>
      <c r="R80" s="80"/>
      <c r="S80" s="80"/>
      <c r="T80" s="80"/>
      <c r="U80" s="80"/>
      <c r="V80" s="80"/>
      <c r="W80" s="80"/>
      <c r="X80" s="80"/>
      <c r="Y80" s="80"/>
      <c r="Z80" s="80"/>
    </row>
    <row r="81">
      <c r="A81" s="124" t="s">
        <v>103</v>
      </c>
      <c r="B81" s="129">
        <v>1.0</v>
      </c>
      <c r="C81" s="127"/>
      <c r="D81" s="126"/>
      <c r="E81" s="126"/>
      <c r="F81" s="126"/>
      <c r="G81" s="80"/>
      <c r="H81" s="80"/>
      <c r="I81" s="80"/>
      <c r="J81" s="80"/>
      <c r="K81" s="80"/>
      <c r="L81" s="80"/>
      <c r="M81" s="80"/>
      <c r="N81" s="80"/>
      <c r="O81" s="80"/>
      <c r="P81" s="80"/>
      <c r="Q81" s="80"/>
      <c r="R81" s="80"/>
      <c r="S81" s="80"/>
      <c r="T81" s="80"/>
      <c r="U81" s="80"/>
      <c r="V81" s="80"/>
      <c r="W81" s="80"/>
      <c r="X81" s="80"/>
      <c r="Y81" s="80"/>
      <c r="Z81" s="80"/>
    </row>
    <row r="82">
      <c r="A82" s="124" t="s">
        <v>104</v>
      </c>
      <c r="B82" s="129">
        <v>1.0</v>
      </c>
      <c r="C82" s="127"/>
      <c r="D82" s="126"/>
      <c r="E82" s="126"/>
      <c r="F82" s="126"/>
      <c r="G82" s="80"/>
      <c r="H82" s="80"/>
      <c r="I82" s="80"/>
      <c r="J82" s="80"/>
      <c r="K82" s="80"/>
      <c r="L82" s="80"/>
      <c r="M82" s="80"/>
      <c r="N82" s="80"/>
      <c r="O82" s="80"/>
      <c r="P82" s="80"/>
      <c r="Q82" s="80"/>
      <c r="R82" s="80"/>
      <c r="S82" s="80"/>
      <c r="T82" s="80"/>
      <c r="U82" s="80"/>
      <c r="V82" s="80"/>
      <c r="W82" s="80"/>
      <c r="X82" s="80"/>
      <c r="Y82" s="80"/>
      <c r="Z82" s="80"/>
    </row>
    <row r="83">
      <c r="A83" s="124" t="s">
        <v>105</v>
      </c>
      <c r="B83" s="129">
        <v>1.0</v>
      </c>
      <c r="C83" s="127"/>
      <c r="D83" s="126"/>
      <c r="E83" s="126"/>
      <c r="F83" s="126"/>
      <c r="G83" s="80"/>
      <c r="H83" s="80"/>
      <c r="I83" s="80"/>
      <c r="J83" s="80"/>
      <c r="K83" s="80"/>
      <c r="L83" s="80"/>
      <c r="M83" s="80"/>
      <c r="N83" s="80"/>
      <c r="O83" s="80"/>
      <c r="P83" s="80"/>
      <c r="Q83" s="80"/>
      <c r="R83" s="80"/>
      <c r="S83" s="80"/>
      <c r="T83" s="80"/>
      <c r="U83" s="80"/>
      <c r="V83" s="80"/>
      <c r="W83" s="80"/>
      <c r="X83" s="80"/>
      <c r="Y83" s="80"/>
      <c r="Z83" s="80"/>
    </row>
    <row r="84">
      <c r="A84" s="124" t="s">
        <v>106</v>
      </c>
      <c r="B84" s="129">
        <v>1.0</v>
      </c>
      <c r="C84" s="127"/>
      <c r="D84" s="126"/>
      <c r="E84" s="126"/>
      <c r="F84" s="126"/>
      <c r="G84" s="80"/>
      <c r="H84" s="80"/>
      <c r="I84" s="80"/>
      <c r="J84" s="80"/>
      <c r="K84" s="80"/>
      <c r="L84" s="80"/>
      <c r="M84" s="80"/>
      <c r="N84" s="80"/>
      <c r="O84" s="80"/>
      <c r="P84" s="80"/>
      <c r="Q84" s="80"/>
      <c r="R84" s="80"/>
      <c r="S84" s="80"/>
      <c r="T84" s="80"/>
      <c r="U84" s="80"/>
      <c r="V84" s="80"/>
      <c r="W84" s="80"/>
      <c r="X84" s="80"/>
      <c r="Y84" s="80"/>
      <c r="Z84" s="80"/>
    </row>
    <row r="85">
      <c r="A85" s="124" t="s">
        <v>107</v>
      </c>
      <c r="B85" s="129">
        <v>1.0</v>
      </c>
      <c r="C85" s="127"/>
      <c r="D85" s="126"/>
      <c r="E85" s="126"/>
      <c r="F85" s="126"/>
      <c r="G85" s="80"/>
      <c r="H85" s="80"/>
      <c r="I85" s="80"/>
      <c r="J85" s="80"/>
      <c r="K85" s="80"/>
      <c r="L85" s="80"/>
      <c r="M85" s="80"/>
      <c r="N85" s="80"/>
      <c r="O85" s="80"/>
      <c r="P85" s="80"/>
      <c r="Q85" s="80"/>
      <c r="R85" s="80"/>
      <c r="S85" s="80"/>
      <c r="T85" s="80"/>
      <c r="U85" s="80"/>
      <c r="V85" s="80"/>
      <c r="W85" s="80"/>
      <c r="X85" s="80"/>
      <c r="Y85" s="80"/>
      <c r="Z85" s="80"/>
    </row>
    <row r="86">
      <c r="A86" s="128">
        <v>45301.0</v>
      </c>
      <c r="B86" s="129">
        <v>1.0</v>
      </c>
      <c r="C86" s="127"/>
      <c r="D86" s="126"/>
      <c r="E86" s="126"/>
      <c r="F86" s="126"/>
      <c r="G86" s="80"/>
      <c r="H86" s="80"/>
      <c r="I86" s="80"/>
      <c r="J86" s="80"/>
      <c r="K86" s="80"/>
      <c r="L86" s="80"/>
      <c r="M86" s="80"/>
      <c r="N86" s="80"/>
      <c r="O86" s="80"/>
      <c r="P86" s="80"/>
      <c r="Q86" s="80"/>
      <c r="R86" s="80"/>
      <c r="S86" s="80"/>
      <c r="T86" s="80"/>
      <c r="U86" s="80"/>
      <c r="V86" s="80"/>
      <c r="W86" s="80"/>
      <c r="X86" s="80"/>
      <c r="Y86" s="80"/>
      <c r="Z86" s="80"/>
    </row>
    <row r="87">
      <c r="A87" s="128">
        <v>45332.0</v>
      </c>
      <c r="B87" s="129">
        <v>0.8</v>
      </c>
      <c r="C87" s="127"/>
      <c r="D87" s="126"/>
      <c r="E87" s="126"/>
      <c r="F87" s="126"/>
      <c r="G87" s="80"/>
      <c r="H87" s="80"/>
      <c r="I87" s="80"/>
      <c r="J87" s="80"/>
      <c r="K87" s="80"/>
      <c r="L87" s="80"/>
      <c r="M87" s="80"/>
      <c r="N87" s="80"/>
      <c r="O87" s="80"/>
      <c r="P87" s="80"/>
      <c r="Q87" s="80"/>
      <c r="R87" s="80"/>
      <c r="S87" s="80"/>
      <c r="T87" s="80"/>
      <c r="U87" s="80"/>
      <c r="V87" s="80"/>
      <c r="W87" s="80"/>
      <c r="X87" s="80"/>
      <c r="Y87" s="80"/>
      <c r="Z87" s="80"/>
    </row>
    <row r="88">
      <c r="A88" s="128">
        <v>45361.0</v>
      </c>
      <c r="B88" s="129">
        <v>0.8</v>
      </c>
      <c r="C88" s="127"/>
      <c r="D88" s="126"/>
      <c r="E88" s="126"/>
      <c r="F88" s="126"/>
      <c r="G88" s="80"/>
      <c r="H88" s="80"/>
      <c r="I88" s="80"/>
      <c r="J88" s="80"/>
      <c r="K88" s="80"/>
      <c r="L88" s="80"/>
      <c r="M88" s="80"/>
      <c r="N88" s="80"/>
      <c r="O88" s="80"/>
      <c r="P88" s="80"/>
      <c r="Q88" s="80"/>
      <c r="R88" s="80"/>
      <c r="S88" s="80"/>
      <c r="T88" s="80"/>
      <c r="U88" s="80"/>
      <c r="V88" s="80"/>
      <c r="W88" s="80"/>
      <c r="X88" s="80"/>
      <c r="Y88" s="80"/>
      <c r="Z88" s="80"/>
    </row>
    <row r="89">
      <c r="A89" s="128">
        <v>45392.0</v>
      </c>
      <c r="B89" s="129">
        <v>1.0</v>
      </c>
      <c r="C89" s="127"/>
      <c r="D89" s="126"/>
      <c r="E89" s="126"/>
      <c r="F89" s="126"/>
      <c r="G89" s="80"/>
      <c r="H89" s="80"/>
      <c r="I89" s="80"/>
      <c r="J89" s="80"/>
      <c r="K89" s="80"/>
      <c r="L89" s="80"/>
      <c r="M89" s="80"/>
      <c r="N89" s="80"/>
      <c r="O89" s="80"/>
      <c r="P89" s="80"/>
      <c r="Q89" s="80"/>
      <c r="R89" s="80"/>
      <c r="S89" s="80"/>
      <c r="T89" s="80"/>
      <c r="U89" s="80"/>
      <c r="V89" s="80"/>
      <c r="W89" s="80"/>
      <c r="X89" s="80"/>
      <c r="Y89" s="80"/>
      <c r="Z89" s="80"/>
    </row>
    <row r="90">
      <c r="A90" s="128">
        <v>45422.0</v>
      </c>
      <c r="B90" s="129">
        <v>1.0</v>
      </c>
      <c r="C90" s="127"/>
      <c r="D90" s="126"/>
      <c r="E90" s="126"/>
      <c r="F90" s="126"/>
      <c r="G90" s="80"/>
      <c r="H90" s="80"/>
      <c r="I90" s="80"/>
      <c r="J90" s="80"/>
      <c r="K90" s="80"/>
      <c r="L90" s="80"/>
      <c r="M90" s="80"/>
      <c r="N90" s="80"/>
      <c r="O90" s="80"/>
      <c r="P90" s="80"/>
      <c r="Q90" s="80"/>
      <c r="R90" s="80"/>
      <c r="S90" s="80"/>
      <c r="T90" s="80"/>
      <c r="U90" s="80"/>
      <c r="V90" s="80"/>
      <c r="W90" s="80"/>
      <c r="X90" s="80"/>
      <c r="Y90" s="80"/>
      <c r="Z90" s="80"/>
    </row>
    <row r="91">
      <c r="A91" s="128">
        <v>45453.0</v>
      </c>
      <c r="B91" s="129">
        <v>1.0</v>
      </c>
      <c r="C91" s="127"/>
      <c r="D91" s="126"/>
      <c r="E91" s="126"/>
      <c r="F91" s="126"/>
      <c r="G91" s="80"/>
      <c r="H91" s="80"/>
      <c r="I91" s="80"/>
      <c r="J91" s="80"/>
      <c r="K91" s="80"/>
      <c r="L91" s="80"/>
      <c r="M91" s="80"/>
      <c r="N91" s="80"/>
      <c r="O91" s="80"/>
      <c r="P91" s="80"/>
      <c r="Q91" s="80"/>
      <c r="R91" s="80"/>
      <c r="S91" s="80"/>
      <c r="T91" s="80"/>
      <c r="U91" s="80"/>
      <c r="V91" s="80"/>
      <c r="W91" s="80"/>
      <c r="X91" s="80"/>
      <c r="Y91" s="80"/>
      <c r="Z91" s="80"/>
    </row>
    <row r="92">
      <c r="A92" s="128">
        <v>45483.0</v>
      </c>
      <c r="B92" s="129">
        <v>1.0</v>
      </c>
      <c r="C92" s="127"/>
      <c r="D92" s="126"/>
      <c r="E92" s="126"/>
      <c r="F92" s="126"/>
      <c r="G92" s="80"/>
      <c r="H92" s="80"/>
      <c r="I92" s="80"/>
      <c r="J92" s="80"/>
      <c r="K92" s="80"/>
      <c r="L92" s="80"/>
      <c r="M92" s="80"/>
      <c r="N92" s="80"/>
      <c r="O92" s="80"/>
      <c r="P92" s="80"/>
      <c r="Q92" s="80"/>
      <c r="R92" s="80"/>
      <c r="S92" s="80"/>
      <c r="T92" s="80"/>
      <c r="U92" s="80"/>
      <c r="V92" s="80"/>
      <c r="W92" s="80"/>
      <c r="X92" s="80"/>
      <c r="Y92" s="80"/>
      <c r="Z92" s="80"/>
    </row>
    <row r="93">
      <c r="A93" s="128">
        <v>45514.0</v>
      </c>
      <c r="B93" s="129">
        <v>1.0</v>
      </c>
      <c r="C93" s="127"/>
      <c r="D93" s="126"/>
      <c r="E93" s="126"/>
      <c r="F93" s="126"/>
      <c r="G93" s="80"/>
      <c r="H93" s="80"/>
      <c r="I93" s="80"/>
      <c r="J93" s="80"/>
      <c r="K93" s="80"/>
      <c r="L93" s="80"/>
      <c r="M93" s="80"/>
      <c r="N93" s="80"/>
      <c r="O93" s="80"/>
      <c r="P93" s="80"/>
      <c r="Q93" s="80"/>
      <c r="R93" s="80"/>
      <c r="S93" s="80"/>
      <c r="T93" s="80"/>
      <c r="U93" s="80"/>
      <c r="V93" s="80"/>
      <c r="W93" s="80"/>
      <c r="X93" s="80"/>
      <c r="Y93" s="80"/>
      <c r="Z93" s="80"/>
    </row>
    <row r="94">
      <c r="A94" s="128">
        <v>45545.0</v>
      </c>
      <c r="B94" s="129">
        <v>0.6</v>
      </c>
      <c r="C94" s="127"/>
      <c r="D94" s="126"/>
      <c r="E94" s="126"/>
      <c r="F94" s="126"/>
      <c r="G94" s="80"/>
      <c r="H94" s="80"/>
      <c r="I94" s="80"/>
      <c r="J94" s="80"/>
      <c r="K94" s="80"/>
      <c r="L94" s="80"/>
      <c r="M94" s="80"/>
      <c r="N94" s="80"/>
      <c r="O94" s="80"/>
      <c r="P94" s="80"/>
      <c r="Q94" s="80"/>
      <c r="R94" s="80"/>
      <c r="S94" s="80"/>
      <c r="T94" s="80"/>
      <c r="U94" s="80"/>
      <c r="V94" s="80"/>
      <c r="W94" s="80"/>
      <c r="X94" s="80"/>
      <c r="Y94" s="80"/>
      <c r="Z94" s="80"/>
    </row>
    <row r="95">
      <c r="A95" s="131">
        <v>45575.0</v>
      </c>
      <c r="B95" s="129">
        <v>0.4</v>
      </c>
      <c r="C95" s="127"/>
      <c r="D95" s="126"/>
      <c r="E95" s="126"/>
      <c r="F95" s="126"/>
      <c r="G95" s="80"/>
      <c r="H95" s="80"/>
      <c r="I95" s="80"/>
      <c r="J95" s="80"/>
      <c r="K95" s="80"/>
      <c r="L95" s="80"/>
      <c r="M95" s="80"/>
      <c r="N95" s="80"/>
      <c r="O95" s="80"/>
      <c r="P95" s="80"/>
      <c r="Q95" s="80"/>
      <c r="R95" s="80"/>
      <c r="S95" s="80"/>
      <c r="T95" s="80"/>
      <c r="U95" s="80"/>
      <c r="V95" s="80"/>
      <c r="W95" s="80"/>
      <c r="X95" s="80"/>
      <c r="Y95" s="80"/>
      <c r="Z95" s="80"/>
    </row>
    <row r="96">
      <c r="A96" s="131">
        <v>45606.0</v>
      </c>
      <c r="B96" s="129">
        <v>0.8</v>
      </c>
      <c r="C96" s="127"/>
      <c r="D96" s="126"/>
      <c r="E96" s="126"/>
      <c r="F96" s="126"/>
      <c r="G96" s="80"/>
      <c r="H96" s="80"/>
      <c r="I96" s="80"/>
      <c r="J96" s="80"/>
      <c r="K96" s="80"/>
      <c r="L96" s="80"/>
      <c r="M96" s="80"/>
      <c r="N96" s="80"/>
      <c r="O96" s="80"/>
      <c r="P96" s="80"/>
      <c r="Q96" s="80"/>
      <c r="R96" s="80"/>
      <c r="S96" s="80"/>
      <c r="T96" s="80"/>
      <c r="U96" s="80"/>
      <c r="V96" s="80"/>
      <c r="W96" s="80"/>
      <c r="X96" s="80"/>
      <c r="Y96" s="80"/>
      <c r="Z96" s="80"/>
    </row>
    <row r="97">
      <c r="A97" s="131">
        <v>45636.0</v>
      </c>
      <c r="B97" s="129">
        <v>1.0</v>
      </c>
      <c r="C97" s="127"/>
      <c r="D97" s="126"/>
      <c r="E97" s="126"/>
      <c r="F97" s="126"/>
      <c r="G97" s="80"/>
      <c r="H97" s="80"/>
      <c r="I97" s="80"/>
      <c r="J97" s="80"/>
      <c r="K97" s="80"/>
      <c r="L97" s="80"/>
      <c r="M97" s="80"/>
      <c r="N97" s="80"/>
      <c r="O97" s="80"/>
      <c r="P97" s="80"/>
      <c r="Q97" s="80"/>
      <c r="R97" s="80"/>
      <c r="S97" s="80"/>
      <c r="T97" s="80"/>
      <c r="U97" s="80"/>
      <c r="V97" s="80"/>
      <c r="W97" s="80"/>
      <c r="X97" s="80"/>
      <c r="Y97" s="80"/>
      <c r="Z97" s="80"/>
    </row>
    <row r="98">
      <c r="A98" s="124" t="s">
        <v>108</v>
      </c>
      <c r="B98" s="129">
        <v>1.0</v>
      </c>
      <c r="C98" s="127"/>
      <c r="D98" s="126"/>
      <c r="E98" s="126"/>
      <c r="F98" s="126"/>
      <c r="G98" s="80"/>
      <c r="H98" s="80"/>
      <c r="I98" s="80"/>
      <c r="J98" s="80"/>
      <c r="K98" s="80"/>
      <c r="L98" s="80"/>
      <c r="M98" s="80"/>
      <c r="N98" s="80"/>
      <c r="O98" s="80"/>
      <c r="P98" s="80"/>
      <c r="Q98" s="80"/>
      <c r="R98" s="80"/>
      <c r="S98" s="80"/>
      <c r="T98" s="80"/>
      <c r="U98" s="80"/>
      <c r="V98" s="80"/>
      <c r="W98" s="80"/>
      <c r="X98" s="80"/>
      <c r="Y98" s="80"/>
      <c r="Z98" s="80"/>
    </row>
    <row r="99">
      <c r="A99" s="124" t="s">
        <v>109</v>
      </c>
      <c r="B99" s="129">
        <v>1.0</v>
      </c>
      <c r="C99" s="127"/>
      <c r="D99" s="126"/>
      <c r="E99" s="126"/>
      <c r="F99" s="126"/>
      <c r="G99" s="80"/>
      <c r="H99" s="80"/>
      <c r="I99" s="80"/>
      <c r="J99" s="80"/>
      <c r="K99" s="80"/>
      <c r="L99" s="80"/>
      <c r="M99" s="80"/>
      <c r="N99" s="80"/>
      <c r="O99" s="80"/>
      <c r="P99" s="80"/>
      <c r="Q99" s="80"/>
      <c r="R99" s="80"/>
      <c r="S99" s="80"/>
      <c r="T99" s="80"/>
      <c r="U99" s="80"/>
      <c r="V99" s="80"/>
      <c r="W99" s="80"/>
      <c r="X99" s="80"/>
      <c r="Y99" s="80"/>
      <c r="Z99" s="80"/>
    </row>
    <row r="100">
      <c r="A100" s="124" t="s">
        <v>110</v>
      </c>
      <c r="B100" s="129">
        <v>1.0</v>
      </c>
      <c r="C100" s="127"/>
      <c r="D100" s="126"/>
      <c r="E100" s="126"/>
      <c r="F100" s="126"/>
      <c r="G100" s="80"/>
      <c r="H100" s="80"/>
      <c r="I100" s="80"/>
      <c r="J100" s="80"/>
      <c r="K100" s="80"/>
      <c r="L100" s="80"/>
      <c r="M100" s="80"/>
      <c r="N100" s="80"/>
      <c r="O100" s="80"/>
      <c r="P100" s="80"/>
      <c r="Q100" s="80"/>
      <c r="R100" s="80"/>
      <c r="S100" s="80"/>
      <c r="T100" s="80"/>
      <c r="U100" s="80"/>
      <c r="V100" s="80"/>
      <c r="W100" s="80"/>
      <c r="X100" s="80"/>
      <c r="Y100" s="80"/>
      <c r="Z100" s="80"/>
    </row>
    <row r="101">
      <c r="A101" s="124" t="s">
        <v>111</v>
      </c>
      <c r="B101" s="129">
        <v>1.0</v>
      </c>
      <c r="C101" s="127"/>
      <c r="D101" s="126"/>
      <c r="E101" s="126"/>
      <c r="F101" s="126"/>
      <c r="G101" s="80"/>
      <c r="H101" s="80"/>
      <c r="I101" s="80"/>
      <c r="J101" s="80"/>
      <c r="K101" s="80"/>
      <c r="L101" s="80"/>
      <c r="M101" s="80"/>
      <c r="N101" s="80"/>
      <c r="O101" s="80"/>
      <c r="P101" s="80"/>
      <c r="Q101" s="80"/>
      <c r="R101" s="80"/>
      <c r="S101" s="80"/>
      <c r="T101" s="80"/>
      <c r="U101" s="80"/>
      <c r="V101" s="80"/>
      <c r="W101" s="80"/>
      <c r="X101" s="80"/>
      <c r="Y101" s="80"/>
      <c r="Z101" s="80"/>
    </row>
    <row r="102">
      <c r="A102" s="124" t="s">
        <v>112</v>
      </c>
      <c r="B102" s="129">
        <v>1.0</v>
      </c>
      <c r="C102" s="127"/>
      <c r="D102" s="126"/>
      <c r="E102" s="126"/>
      <c r="F102" s="126"/>
      <c r="G102" s="80"/>
      <c r="H102" s="80"/>
      <c r="I102" s="80"/>
      <c r="J102" s="80"/>
      <c r="K102" s="80"/>
      <c r="L102" s="80"/>
      <c r="M102" s="80"/>
      <c r="N102" s="80"/>
      <c r="O102" s="80"/>
      <c r="P102" s="80"/>
      <c r="Q102" s="80"/>
      <c r="R102" s="80"/>
      <c r="S102" s="80"/>
      <c r="T102" s="80"/>
      <c r="U102" s="80"/>
      <c r="V102" s="80"/>
      <c r="W102" s="80"/>
      <c r="X102" s="80"/>
      <c r="Y102" s="80"/>
      <c r="Z102" s="80"/>
    </row>
    <row r="103">
      <c r="A103" s="124" t="s">
        <v>113</v>
      </c>
      <c r="B103" s="129">
        <v>1.0</v>
      </c>
      <c r="C103" s="127"/>
      <c r="D103" s="126"/>
      <c r="E103" s="126"/>
      <c r="F103" s="126"/>
      <c r="G103" s="80"/>
      <c r="H103" s="80"/>
      <c r="I103" s="80"/>
      <c r="J103" s="80"/>
      <c r="K103" s="80"/>
      <c r="L103" s="80"/>
      <c r="M103" s="80"/>
      <c r="N103" s="80"/>
      <c r="O103" s="80"/>
      <c r="P103" s="80"/>
      <c r="Q103" s="80"/>
      <c r="R103" s="80"/>
      <c r="S103" s="80"/>
      <c r="T103" s="80"/>
      <c r="U103" s="80"/>
      <c r="V103" s="80"/>
      <c r="W103" s="80"/>
      <c r="X103" s="80"/>
      <c r="Y103" s="80"/>
      <c r="Z103" s="80"/>
    </row>
    <row r="104">
      <c r="A104" s="124" t="s">
        <v>114</v>
      </c>
      <c r="B104" s="129">
        <v>1.0</v>
      </c>
      <c r="C104" s="127"/>
      <c r="D104" s="126"/>
      <c r="E104" s="126"/>
      <c r="F104" s="126"/>
      <c r="G104" s="80"/>
      <c r="H104" s="80"/>
      <c r="I104" s="80"/>
      <c r="J104" s="80"/>
      <c r="K104" s="80"/>
      <c r="L104" s="80"/>
      <c r="M104" s="80"/>
      <c r="N104" s="80"/>
      <c r="O104" s="80"/>
      <c r="P104" s="80"/>
      <c r="Q104" s="80"/>
      <c r="R104" s="80"/>
      <c r="S104" s="80"/>
      <c r="T104" s="80"/>
      <c r="U104" s="80"/>
      <c r="V104" s="80"/>
      <c r="W104" s="80"/>
      <c r="X104" s="80"/>
      <c r="Y104" s="80"/>
      <c r="Z104" s="80"/>
    </row>
    <row r="105">
      <c r="A105" s="124" t="s">
        <v>114</v>
      </c>
      <c r="B105" s="129">
        <v>1.0</v>
      </c>
      <c r="C105" s="127"/>
      <c r="D105" s="126"/>
      <c r="E105" s="126"/>
      <c r="F105" s="126"/>
      <c r="G105" s="80"/>
      <c r="H105" s="80"/>
      <c r="I105" s="80"/>
      <c r="J105" s="80"/>
      <c r="K105" s="80"/>
      <c r="L105" s="80"/>
      <c r="M105" s="80"/>
      <c r="N105" s="80"/>
      <c r="O105" s="80"/>
      <c r="P105" s="80"/>
      <c r="Q105" s="80"/>
      <c r="R105" s="80"/>
      <c r="S105" s="80"/>
      <c r="T105" s="80"/>
      <c r="U105" s="80"/>
      <c r="V105" s="80"/>
      <c r="W105" s="80"/>
      <c r="X105" s="80"/>
      <c r="Y105" s="80"/>
      <c r="Z105" s="80"/>
    </row>
    <row r="106">
      <c r="A106" s="124" t="s">
        <v>115</v>
      </c>
      <c r="B106" s="129">
        <v>1.0</v>
      </c>
      <c r="C106" s="127"/>
      <c r="D106" s="126"/>
      <c r="E106" s="126"/>
      <c r="F106" s="126"/>
      <c r="G106" s="80"/>
      <c r="H106" s="80"/>
      <c r="I106" s="80"/>
      <c r="J106" s="80"/>
      <c r="K106" s="80"/>
      <c r="L106" s="80"/>
      <c r="M106" s="80"/>
      <c r="N106" s="80"/>
      <c r="O106" s="80"/>
      <c r="P106" s="80"/>
      <c r="Q106" s="80"/>
      <c r="R106" s="80"/>
      <c r="S106" s="80"/>
      <c r="T106" s="80"/>
      <c r="U106" s="80"/>
      <c r="V106" s="80"/>
      <c r="W106" s="80"/>
      <c r="X106" s="80"/>
      <c r="Y106" s="80"/>
      <c r="Z106" s="80"/>
    </row>
    <row r="107">
      <c r="A107" s="124" t="s">
        <v>116</v>
      </c>
      <c r="B107" s="129">
        <v>1.0</v>
      </c>
      <c r="C107" s="127"/>
      <c r="D107" s="126"/>
      <c r="E107" s="126"/>
      <c r="F107" s="126"/>
      <c r="G107" s="80"/>
      <c r="H107" s="80"/>
      <c r="I107" s="80"/>
      <c r="J107" s="80"/>
      <c r="K107" s="80"/>
      <c r="L107" s="80"/>
      <c r="M107" s="80"/>
      <c r="N107" s="80"/>
      <c r="O107" s="80"/>
      <c r="P107" s="80"/>
      <c r="Q107" s="80"/>
      <c r="R107" s="80"/>
      <c r="S107" s="80"/>
      <c r="T107" s="80"/>
      <c r="U107" s="80"/>
      <c r="V107" s="80"/>
      <c r="W107" s="80"/>
      <c r="X107" s="80"/>
      <c r="Y107" s="80"/>
      <c r="Z107" s="80"/>
    </row>
    <row r="108">
      <c r="A108" s="124" t="s">
        <v>117</v>
      </c>
      <c r="B108" s="129">
        <v>1.0</v>
      </c>
      <c r="C108" s="127"/>
      <c r="D108" s="126"/>
      <c r="E108" s="126"/>
      <c r="F108" s="126"/>
      <c r="G108" s="80"/>
      <c r="H108" s="80"/>
      <c r="I108" s="80"/>
      <c r="J108" s="80"/>
      <c r="K108" s="80"/>
      <c r="L108" s="80"/>
      <c r="M108" s="80"/>
      <c r="N108" s="80"/>
      <c r="O108" s="80"/>
      <c r="P108" s="80"/>
      <c r="Q108" s="80"/>
      <c r="R108" s="80"/>
      <c r="S108" s="80"/>
      <c r="T108" s="80"/>
      <c r="U108" s="80"/>
      <c r="V108" s="80"/>
      <c r="W108" s="80"/>
      <c r="X108" s="80"/>
      <c r="Y108" s="80"/>
      <c r="Z108" s="80"/>
    </row>
    <row r="109">
      <c r="A109" s="124" t="s">
        <v>118</v>
      </c>
      <c r="B109" s="129">
        <v>1.0</v>
      </c>
      <c r="C109" s="127"/>
      <c r="D109" s="126"/>
      <c r="E109" s="126"/>
      <c r="F109" s="126"/>
      <c r="G109" s="80"/>
      <c r="H109" s="80"/>
      <c r="I109" s="80"/>
      <c r="J109" s="80"/>
      <c r="K109" s="80"/>
      <c r="L109" s="80"/>
      <c r="M109" s="80"/>
      <c r="N109" s="80"/>
      <c r="O109" s="80"/>
      <c r="P109" s="80"/>
      <c r="Q109" s="80"/>
      <c r="R109" s="80"/>
      <c r="S109" s="80"/>
      <c r="T109" s="80"/>
      <c r="U109" s="80"/>
      <c r="V109" s="80"/>
      <c r="W109" s="80"/>
      <c r="X109" s="80"/>
      <c r="Y109" s="80"/>
      <c r="Z109" s="80"/>
    </row>
    <row r="110">
      <c r="A110" s="124" t="s">
        <v>119</v>
      </c>
      <c r="B110" s="129">
        <v>1.0</v>
      </c>
      <c r="C110" s="127"/>
      <c r="D110" s="126"/>
      <c r="E110" s="126"/>
      <c r="F110" s="126"/>
      <c r="G110" s="80"/>
      <c r="H110" s="80"/>
      <c r="I110" s="80"/>
      <c r="J110" s="80"/>
      <c r="K110" s="80"/>
      <c r="L110" s="80"/>
      <c r="M110" s="80"/>
      <c r="N110" s="80"/>
      <c r="O110" s="80"/>
      <c r="P110" s="80"/>
      <c r="Q110" s="80"/>
      <c r="R110" s="80"/>
      <c r="S110" s="80"/>
      <c r="T110" s="80"/>
      <c r="U110" s="80"/>
      <c r="V110" s="80"/>
      <c r="W110" s="80"/>
      <c r="X110" s="80"/>
      <c r="Y110" s="80"/>
      <c r="Z110" s="80"/>
    </row>
    <row r="111">
      <c r="A111" s="124" t="s">
        <v>120</v>
      </c>
      <c r="B111" s="129">
        <v>1.0</v>
      </c>
      <c r="C111" s="127"/>
      <c r="D111" s="126"/>
      <c r="E111" s="126"/>
      <c r="F111" s="126"/>
      <c r="G111" s="80"/>
      <c r="H111" s="80"/>
      <c r="I111" s="80"/>
      <c r="J111" s="80"/>
      <c r="K111" s="80"/>
      <c r="L111" s="80"/>
      <c r="M111" s="80"/>
      <c r="N111" s="80"/>
      <c r="O111" s="80"/>
      <c r="P111" s="80"/>
      <c r="Q111" s="80"/>
      <c r="R111" s="80"/>
      <c r="S111" s="80"/>
      <c r="T111" s="80"/>
      <c r="U111" s="80"/>
      <c r="V111" s="80"/>
      <c r="W111" s="80"/>
      <c r="X111" s="80"/>
      <c r="Y111" s="80"/>
      <c r="Z111" s="80"/>
    </row>
    <row r="112">
      <c r="A112" s="124" t="s">
        <v>121</v>
      </c>
      <c r="B112" s="129">
        <v>1.0</v>
      </c>
      <c r="C112" s="127"/>
      <c r="D112" s="126"/>
      <c r="E112" s="126"/>
      <c r="F112" s="126"/>
      <c r="G112" s="80"/>
      <c r="H112" s="80"/>
      <c r="I112" s="80"/>
      <c r="J112" s="80"/>
      <c r="K112" s="80"/>
      <c r="L112" s="80"/>
      <c r="M112" s="80"/>
      <c r="N112" s="80"/>
      <c r="O112" s="80"/>
      <c r="P112" s="80"/>
      <c r="Q112" s="80"/>
      <c r="R112" s="80"/>
      <c r="S112" s="80"/>
      <c r="T112" s="80"/>
      <c r="U112" s="80"/>
      <c r="V112" s="80"/>
      <c r="W112" s="80"/>
      <c r="X112" s="80"/>
      <c r="Y112" s="80"/>
      <c r="Z112" s="80"/>
    </row>
    <row r="113">
      <c r="A113" s="124" t="s">
        <v>122</v>
      </c>
      <c r="B113" s="129">
        <v>1.0</v>
      </c>
      <c r="C113" s="127"/>
      <c r="D113" s="126"/>
      <c r="E113" s="126"/>
      <c r="F113" s="126"/>
      <c r="G113" s="80"/>
      <c r="H113" s="80"/>
      <c r="I113" s="80"/>
      <c r="J113" s="80"/>
      <c r="K113" s="80"/>
      <c r="L113" s="80"/>
      <c r="M113" s="80"/>
      <c r="N113" s="80"/>
      <c r="O113" s="80"/>
      <c r="P113" s="80"/>
      <c r="Q113" s="80"/>
      <c r="R113" s="80"/>
      <c r="S113" s="80"/>
      <c r="T113" s="80"/>
      <c r="U113" s="80"/>
      <c r="V113" s="80"/>
      <c r="W113" s="80"/>
      <c r="X113" s="80"/>
      <c r="Y113" s="80"/>
      <c r="Z113" s="80"/>
    </row>
    <row r="114">
      <c r="A114" s="124" t="s">
        <v>123</v>
      </c>
      <c r="B114" s="129">
        <v>1.0</v>
      </c>
      <c r="C114" s="127"/>
      <c r="D114" s="126"/>
      <c r="E114" s="126"/>
      <c r="F114" s="126"/>
      <c r="G114" s="80"/>
      <c r="H114" s="80"/>
      <c r="I114" s="80"/>
      <c r="J114" s="80"/>
      <c r="K114" s="80"/>
      <c r="L114" s="80"/>
      <c r="M114" s="80"/>
      <c r="N114" s="80"/>
      <c r="O114" s="80"/>
      <c r="P114" s="80"/>
      <c r="Q114" s="80"/>
      <c r="R114" s="80"/>
      <c r="S114" s="80"/>
      <c r="T114" s="80"/>
      <c r="U114" s="80"/>
      <c r="V114" s="80"/>
      <c r="W114" s="80"/>
      <c r="X114" s="80"/>
      <c r="Y114" s="80"/>
      <c r="Z114" s="80"/>
    </row>
    <row r="115">
      <c r="A115" s="124" t="s">
        <v>124</v>
      </c>
      <c r="B115" s="129">
        <v>1.0</v>
      </c>
      <c r="C115" s="127"/>
      <c r="D115" s="126"/>
      <c r="E115" s="126"/>
      <c r="F115" s="126"/>
      <c r="G115" s="80"/>
      <c r="H115" s="80"/>
      <c r="I115" s="80"/>
      <c r="J115" s="80"/>
      <c r="K115" s="80"/>
      <c r="L115" s="80"/>
      <c r="M115" s="80"/>
      <c r="N115" s="80"/>
      <c r="O115" s="80"/>
      <c r="P115" s="80"/>
      <c r="Q115" s="80"/>
      <c r="R115" s="80"/>
      <c r="S115" s="80"/>
      <c r="T115" s="80"/>
      <c r="U115" s="80"/>
      <c r="V115" s="80"/>
      <c r="W115" s="80"/>
      <c r="X115" s="80"/>
      <c r="Y115" s="80"/>
      <c r="Z115" s="80"/>
    </row>
    <row r="116">
      <c r="A116" s="124" t="s">
        <v>125</v>
      </c>
      <c r="B116" s="129">
        <v>1.0</v>
      </c>
      <c r="C116" s="127"/>
      <c r="D116" s="126"/>
      <c r="E116" s="126"/>
      <c r="F116" s="126"/>
      <c r="G116" s="80"/>
      <c r="H116" s="80"/>
      <c r="I116" s="80"/>
      <c r="J116" s="80"/>
      <c r="K116" s="80"/>
      <c r="L116" s="80"/>
      <c r="M116" s="80"/>
      <c r="N116" s="80"/>
      <c r="O116" s="80"/>
      <c r="P116" s="80"/>
      <c r="Q116" s="80"/>
      <c r="R116" s="80"/>
      <c r="S116" s="80"/>
      <c r="T116" s="80"/>
      <c r="U116" s="80"/>
      <c r="V116" s="80"/>
      <c r="W116" s="80"/>
      <c r="X116" s="80"/>
      <c r="Y116" s="80"/>
      <c r="Z116" s="80"/>
    </row>
    <row r="117">
      <c r="A117" s="124" t="s">
        <v>126</v>
      </c>
      <c r="B117" s="129">
        <v>1.0</v>
      </c>
      <c r="C117" s="127"/>
      <c r="D117" s="126"/>
      <c r="E117" s="126"/>
      <c r="F117" s="126"/>
      <c r="G117" s="80"/>
      <c r="H117" s="80"/>
      <c r="I117" s="80"/>
      <c r="J117" s="80"/>
      <c r="K117" s="80"/>
      <c r="L117" s="80"/>
      <c r="M117" s="80"/>
      <c r="N117" s="80"/>
      <c r="O117" s="80"/>
      <c r="P117" s="80"/>
      <c r="Q117" s="80"/>
      <c r="R117" s="80"/>
      <c r="S117" s="80"/>
      <c r="T117" s="80"/>
      <c r="U117" s="80"/>
      <c r="V117" s="80"/>
      <c r="W117" s="80"/>
      <c r="X117" s="80"/>
      <c r="Y117" s="80"/>
      <c r="Z117" s="80"/>
    </row>
    <row r="118">
      <c r="A118" s="128">
        <v>45302.0</v>
      </c>
      <c r="B118" s="129">
        <v>0.8</v>
      </c>
      <c r="C118" s="127"/>
      <c r="D118" s="126"/>
      <c r="E118" s="126"/>
      <c r="F118" s="126"/>
      <c r="G118" s="80"/>
      <c r="H118" s="80"/>
      <c r="I118" s="80"/>
      <c r="J118" s="80"/>
      <c r="K118" s="80"/>
      <c r="L118" s="80"/>
      <c r="M118" s="80"/>
      <c r="N118" s="80"/>
      <c r="O118" s="80"/>
      <c r="P118" s="80"/>
      <c r="Q118" s="80"/>
      <c r="R118" s="80"/>
      <c r="S118" s="80"/>
      <c r="T118" s="80"/>
      <c r="U118" s="80"/>
      <c r="V118" s="80"/>
      <c r="W118" s="80"/>
      <c r="X118" s="80"/>
      <c r="Y118" s="80"/>
      <c r="Z118" s="80"/>
    </row>
    <row r="119">
      <c r="A119" s="128">
        <v>45333.0</v>
      </c>
      <c r="B119" s="129">
        <v>0.8</v>
      </c>
      <c r="C119" s="127"/>
      <c r="D119" s="126"/>
      <c r="E119" s="126"/>
      <c r="F119" s="126"/>
      <c r="G119" s="80"/>
      <c r="H119" s="80"/>
      <c r="I119" s="80"/>
      <c r="J119" s="80"/>
      <c r="K119" s="80"/>
      <c r="L119" s="80"/>
      <c r="M119" s="80"/>
      <c r="N119" s="80"/>
      <c r="O119" s="80"/>
      <c r="P119" s="80"/>
      <c r="Q119" s="80"/>
      <c r="R119" s="80"/>
      <c r="S119" s="80"/>
      <c r="T119" s="80"/>
      <c r="U119" s="80"/>
      <c r="V119" s="80"/>
      <c r="W119" s="80"/>
      <c r="X119" s="80"/>
      <c r="Y119" s="80"/>
      <c r="Z119" s="80"/>
    </row>
    <row r="120">
      <c r="A120" s="128">
        <v>45362.0</v>
      </c>
      <c r="B120" s="129">
        <v>0.8</v>
      </c>
      <c r="C120" s="127"/>
      <c r="D120" s="126"/>
      <c r="E120" s="126"/>
      <c r="F120" s="126"/>
      <c r="G120" s="80"/>
      <c r="H120" s="80"/>
      <c r="I120" s="80"/>
      <c r="J120" s="80"/>
      <c r="K120" s="80"/>
      <c r="L120" s="80"/>
      <c r="M120" s="80"/>
      <c r="N120" s="80"/>
      <c r="O120" s="80"/>
      <c r="P120" s="80"/>
      <c r="Q120" s="80"/>
      <c r="R120" s="80"/>
      <c r="S120" s="80"/>
      <c r="T120" s="80"/>
      <c r="U120" s="80"/>
      <c r="V120" s="80"/>
      <c r="W120" s="80"/>
      <c r="X120" s="80"/>
      <c r="Y120" s="80"/>
      <c r="Z120" s="80"/>
    </row>
    <row r="121">
      <c r="A121" s="128">
        <v>45393.0</v>
      </c>
      <c r="B121" s="129">
        <v>0.8</v>
      </c>
      <c r="C121" s="127"/>
      <c r="D121" s="126"/>
      <c r="E121" s="126"/>
      <c r="F121" s="126"/>
      <c r="G121" s="80"/>
      <c r="H121" s="80"/>
      <c r="I121" s="80"/>
      <c r="J121" s="80"/>
      <c r="K121" s="80"/>
      <c r="L121" s="80"/>
      <c r="M121" s="80"/>
      <c r="N121" s="80"/>
      <c r="O121" s="80"/>
      <c r="P121" s="80"/>
      <c r="Q121" s="80"/>
      <c r="R121" s="80"/>
      <c r="S121" s="80"/>
      <c r="T121" s="80"/>
      <c r="U121" s="80"/>
      <c r="V121" s="80"/>
      <c r="W121" s="80"/>
      <c r="X121" s="80"/>
      <c r="Y121" s="80"/>
      <c r="Z121" s="80"/>
    </row>
    <row r="122">
      <c r="A122" s="128">
        <v>45423.0</v>
      </c>
      <c r="B122" s="129">
        <v>0.8</v>
      </c>
      <c r="C122" s="127"/>
      <c r="D122" s="126"/>
      <c r="E122" s="126"/>
      <c r="F122" s="126"/>
      <c r="G122" s="80"/>
      <c r="H122" s="80"/>
      <c r="I122" s="80"/>
      <c r="J122" s="80"/>
      <c r="K122" s="80"/>
      <c r="L122" s="80"/>
      <c r="M122" s="80"/>
      <c r="N122" s="80"/>
      <c r="O122" s="80"/>
      <c r="P122" s="80"/>
      <c r="Q122" s="80"/>
      <c r="R122" s="80"/>
      <c r="S122" s="80"/>
      <c r="T122" s="80"/>
      <c r="U122" s="80"/>
      <c r="V122" s="80"/>
      <c r="W122" s="80"/>
      <c r="X122" s="80"/>
      <c r="Y122" s="80"/>
      <c r="Z122" s="80"/>
    </row>
    <row r="123">
      <c r="A123" s="128">
        <v>45454.0</v>
      </c>
      <c r="B123" s="129">
        <v>1.0</v>
      </c>
      <c r="C123" s="127"/>
      <c r="D123" s="126"/>
      <c r="E123" s="126"/>
      <c r="F123" s="126"/>
      <c r="G123" s="80"/>
      <c r="H123" s="80"/>
      <c r="I123" s="80"/>
      <c r="J123" s="80"/>
      <c r="K123" s="80"/>
      <c r="L123" s="80"/>
      <c r="M123" s="80"/>
      <c r="N123" s="80"/>
      <c r="O123" s="80"/>
      <c r="P123" s="80"/>
      <c r="Q123" s="80"/>
      <c r="R123" s="80"/>
      <c r="S123" s="80"/>
      <c r="T123" s="80"/>
      <c r="U123" s="80"/>
      <c r="V123" s="80"/>
      <c r="W123" s="80"/>
      <c r="X123" s="80"/>
      <c r="Y123" s="80"/>
      <c r="Z123" s="80"/>
    </row>
    <row r="124">
      <c r="A124" s="128">
        <v>45484.0</v>
      </c>
      <c r="B124" s="129">
        <v>1.0</v>
      </c>
      <c r="C124" s="127"/>
      <c r="D124" s="126"/>
      <c r="E124" s="126"/>
      <c r="F124" s="126"/>
      <c r="G124" s="80"/>
      <c r="H124" s="80"/>
      <c r="I124" s="80"/>
      <c r="J124" s="80"/>
      <c r="K124" s="80"/>
      <c r="L124" s="80"/>
      <c r="M124" s="80"/>
      <c r="N124" s="80"/>
      <c r="O124" s="80"/>
      <c r="P124" s="80"/>
      <c r="Q124" s="80"/>
      <c r="R124" s="80"/>
      <c r="S124" s="80"/>
      <c r="T124" s="80"/>
      <c r="U124" s="80"/>
      <c r="V124" s="80"/>
      <c r="W124" s="80"/>
      <c r="X124" s="80"/>
      <c r="Y124" s="80"/>
      <c r="Z124" s="80"/>
    </row>
    <row r="125">
      <c r="A125" s="128">
        <v>45515.0</v>
      </c>
      <c r="B125" s="129">
        <v>1.0</v>
      </c>
      <c r="C125" s="127"/>
      <c r="D125" s="126"/>
      <c r="E125" s="126"/>
      <c r="F125" s="126"/>
      <c r="G125" s="80"/>
      <c r="H125" s="80"/>
      <c r="I125" s="80"/>
      <c r="J125" s="80"/>
      <c r="K125" s="80"/>
      <c r="L125" s="80"/>
      <c r="M125" s="80"/>
      <c r="N125" s="80"/>
      <c r="O125" s="80"/>
      <c r="P125" s="80"/>
      <c r="Q125" s="80"/>
      <c r="R125" s="80"/>
      <c r="S125" s="80"/>
      <c r="T125" s="80"/>
      <c r="U125" s="80"/>
      <c r="V125" s="80"/>
      <c r="W125" s="80"/>
      <c r="X125" s="80"/>
      <c r="Y125" s="80"/>
      <c r="Z125" s="80"/>
    </row>
    <row r="126">
      <c r="A126" s="128">
        <v>45546.0</v>
      </c>
      <c r="B126" s="129">
        <v>1.0</v>
      </c>
      <c r="C126" s="127"/>
      <c r="D126" s="126"/>
      <c r="E126" s="126"/>
      <c r="F126" s="126"/>
      <c r="G126" s="80"/>
      <c r="H126" s="80"/>
      <c r="I126" s="80"/>
      <c r="J126" s="80"/>
      <c r="K126" s="80"/>
      <c r="L126" s="80"/>
      <c r="M126" s="80"/>
      <c r="N126" s="80"/>
      <c r="O126" s="80"/>
      <c r="P126" s="80"/>
      <c r="Q126" s="80"/>
      <c r="R126" s="80"/>
      <c r="S126" s="80"/>
      <c r="T126" s="80"/>
      <c r="U126" s="80"/>
      <c r="V126" s="80"/>
      <c r="W126" s="80"/>
      <c r="X126" s="80"/>
      <c r="Y126" s="80"/>
      <c r="Z126" s="80"/>
    </row>
    <row r="127">
      <c r="A127" s="131">
        <v>45576.0</v>
      </c>
      <c r="B127" s="129">
        <v>1.0</v>
      </c>
      <c r="C127" s="127"/>
      <c r="D127" s="126"/>
      <c r="E127" s="126"/>
      <c r="F127" s="126"/>
      <c r="G127" s="80"/>
      <c r="H127" s="80"/>
      <c r="I127" s="80"/>
      <c r="J127" s="80"/>
      <c r="K127" s="80"/>
      <c r="L127" s="80"/>
      <c r="M127" s="80"/>
      <c r="N127" s="80"/>
      <c r="O127" s="80"/>
      <c r="P127" s="80"/>
      <c r="Q127" s="80"/>
      <c r="R127" s="80"/>
      <c r="S127" s="80"/>
      <c r="T127" s="80"/>
      <c r="U127" s="80"/>
      <c r="V127" s="80"/>
      <c r="W127" s="80"/>
      <c r="X127" s="80"/>
      <c r="Y127" s="80"/>
      <c r="Z127" s="80"/>
    </row>
    <row r="128">
      <c r="A128" s="131">
        <v>45607.0</v>
      </c>
      <c r="B128" s="129">
        <v>1.0</v>
      </c>
      <c r="C128" s="127"/>
      <c r="D128" s="126"/>
      <c r="E128" s="126"/>
      <c r="F128" s="126"/>
      <c r="G128" s="80"/>
      <c r="H128" s="80"/>
      <c r="I128" s="80"/>
      <c r="J128" s="80"/>
      <c r="K128" s="80"/>
      <c r="L128" s="80"/>
      <c r="M128" s="80"/>
      <c r="N128" s="80"/>
      <c r="O128" s="80"/>
      <c r="P128" s="80"/>
      <c r="Q128" s="80"/>
      <c r="R128" s="80"/>
      <c r="S128" s="80"/>
      <c r="T128" s="80"/>
      <c r="U128" s="80"/>
      <c r="V128" s="80"/>
      <c r="W128" s="80"/>
      <c r="X128" s="80"/>
      <c r="Y128" s="80"/>
      <c r="Z128" s="80"/>
    </row>
    <row r="129">
      <c r="A129" s="132">
        <v>45637.0</v>
      </c>
      <c r="B129" s="133">
        <v>1.0</v>
      </c>
      <c r="C129" s="127"/>
      <c r="D129" s="126"/>
      <c r="E129" s="126"/>
      <c r="F129" s="126"/>
      <c r="G129" s="80"/>
      <c r="H129" s="80"/>
      <c r="I129" s="80"/>
      <c r="J129" s="80"/>
      <c r="K129" s="80"/>
      <c r="L129" s="80"/>
      <c r="M129" s="80"/>
      <c r="N129" s="80"/>
      <c r="O129" s="80"/>
      <c r="P129" s="80"/>
      <c r="Q129" s="80"/>
      <c r="R129" s="80"/>
      <c r="S129" s="80"/>
      <c r="T129" s="80"/>
      <c r="U129" s="80"/>
      <c r="V129" s="80"/>
      <c r="W129" s="80"/>
      <c r="X129" s="80"/>
      <c r="Y129" s="80"/>
      <c r="Z129" s="80"/>
    </row>
    <row r="130">
      <c r="A130" s="134" t="s">
        <v>127</v>
      </c>
      <c r="B130" s="133">
        <v>1.0</v>
      </c>
      <c r="C130" s="127"/>
      <c r="D130" s="126"/>
      <c r="E130" s="126"/>
      <c r="F130" s="126"/>
      <c r="G130" s="80"/>
      <c r="H130" s="80"/>
      <c r="I130" s="80"/>
      <c r="J130" s="80"/>
      <c r="K130" s="80"/>
      <c r="L130" s="80"/>
      <c r="M130" s="80"/>
      <c r="N130" s="80"/>
      <c r="O130" s="80"/>
      <c r="P130" s="80"/>
      <c r="Q130" s="80"/>
      <c r="R130" s="80"/>
      <c r="S130" s="80"/>
      <c r="T130" s="80"/>
      <c r="U130" s="80"/>
      <c r="V130" s="80"/>
      <c r="W130" s="80"/>
      <c r="X130" s="80"/>
      <c r="Y130" s="80"/>
      <c r="Z130" s="80"/>
    </row>
    <row r="131">
      <c r="A131" s="134" t="s">
        <v>128</v>
      </c>
      <c r="B131" s="133">
        <v>1.0</v>
      </c>
      <c r="C131" s="127"/>
      <c r="D131" s="126"/>
      <c r="E131" s="126"/>
      <c r="F131" s="126"/>
      <c r="G131" s="80"/>
      <c r="H131" s="80"/>
      <c r="I131" s="80"/>
      <c r="J131" s="80"/>
      <c r="K131" s="80"/>
      <c r="L131" s="80"/>
      <c r="M131" s="80"/>
      <c r="N131" s="80"/>
      <c r="O131" s="80"/>
      <c r="P131" s="80"/>
      <c r="Q131" s="80"/>
      <c r="R131" s="80"/>
      <c r="S131" s="80"/>
      <c r="T131" s="80"/>
      <c r="U131" s="80"/>
      <c r="V131" s="80"/>
      <c r="W131" s="80"/>
      <c r="X131" s="80"/>
      <c r="Y131" s="80"/>
      <c r="Z131" s="80"/>
    </row>
    <row r="132">
      <c r="A132" s="134" t="s">
        <v>129</v>
      </c>
      <c r="B132" s="133">
        <v>1.0</v>
      </c>
      <c r="C132" s="127"/>
      <c r="D132" s="126"/>
      <c r="E132" s="126"/>
      <c r="F132" s="126"/>
      <c r="G132" s="80"/>
      <c r="H132" s="80"/>
      <c r="I132" s="80"/>
      <c r="J132" s="80"/>
      <c r="K132" s="80"/>
      <c r="L132" s="80"/>
      <c r="M132" s="80"/>
      <c r="N132" s="80"/>
      <c r="O132" s="80"/>
      <c r="P132" s="80"/>
      <c r="Q132" s="80"/>
      <c r="R132" s="80"/>
      <c r="S132" s="80"/>
      <c r="T132" s="80"/>
      <c r="U132" s="80"/>
      <c r="V132" s="80"/>
      <c r="W132" s="80"/>
      <c r="X132" s="80"/>
      <c r="Y132" s="80"/>
      <c r="Z132" s="80"/>
    </row>
    <row r="133">
      <c r="A133" s="134" t="s">
        <v>130</v>
      </c>
      <c r="B133" s="133">
        <v>1.0</v>
      </c>
      <c r="C133" s="127"/>
      <c r="D133" s="126"/>
      <c r="E133" s="126"/>
      <c r="F133" s="126"/>
      <c r="G133" s="80"/>
      <c r="H133" s="80"/>
      <c r="I133" s="80"/>
      <c r="J133" s="80"/>
      <c r="K133" s="80"/>
      <c r="L133" s="80"/>
      <c r="M133" s="80"/>
      <c r="N133" s="80"/>
      <c r="O133" s="80"/>
      <c r="P133" s="80"/>
      <c r="Q133" s="80"/>
      <c r="R133" s="80"/>
      <c r="S133" s="80"/>
      <c r="T133" s="80"/>
      <c r="U133" s="80"/>
      <c r="V133" s="80"/>
      <c r="W133" s="80"/>
      <c r="X133" s="80"/>
      <c r="Y133" s="80"/>
      <c r="Z133" s="80"/>
    </row>
    <row r="134">
      <c r="A134" s="134" t="s">
        <v>131</v>
      </c>
      <c r="B134" s="134">
        <v>1.0</v>
      </c>
      <c r="C134" s="127"/>
      <c r="D134" s="126"/>
      <c r="E134" s="126"/>
      <c r="F134" s="126"/>
      <c r="G134" s="80"/>
      <c r="H134" s="80"/>
      <c r="I134" s="80"/>
      <c r="J134" s="80"/>
      <c r="K134" s="80"/>
      <c r="L134" s="80"/>
      <c r="M134" s="80"/>
      <c r="N134" s="80"/>
      <c r="O134" s="80"/>
      <c r="P134" s="80"/>
      <c r="Q134" s="80"/>
      <c r="R134" s="80"/>
      <c r="S134" s="80"/>
      <c r="T134" s="80"/>
      <c r="U134" s="80"/>
      <c r="V134" s="80"/>
      <c r="W134" s="80"/>
      <c r="X134" s="80"/>
      <c r="Y134" s="80"/>
      <c r="Z134" s="80"/>
    </row>
    <row r="135">
      <c r="A135" s="134" t="s">
        <v>132</v>
      </c>
      <c r="B135" s="134">
        <v>1.0</v>
      </c>
      <c r="C135" s="127"/>
      <c r="D135" s="126"/>
      <c r="E135" s="126"/>
      <c r="F135" s="126"/>
      <c r="G135" s="80"/>
      <c r="H135" s="80"/>
      <c r="I135" s="80"/>
      <c r="J135" s="80"/>
      <c r="K135" s="80"/>
      <c r="L135" s="80"/>
      <c r="M135" s="80"/>
      <c r="N135" s="80"/>
      <c r="O135" s="80"/>
      <c r="P135" s="80"/>
      <c r="Q135" s="80"/>
      <c r="R135" s="80"/>
      <c r="S135" s="80"/>
      <c r="T135" s="80"/>
      <c r="U135" s="80"/>
      <c r="V135" s="80"/>
      <c r="W135" s="80"/>
      <c r="X135" s="80"/>
      <c r="Y135" s="80"/>
      <c r="Z135" s="80"/>
    </row>
    <row r="136">
      <c r="A136" s="134" t="s">
        <v>133</v>
      </c>
      <c r="B136" s="134">
        <v>1.0</v>
      </c>
      <c r="C136" s="127"/>
      <c r="D136" s="126"/>
      <c r="E136" s="126"/>
      <c r="F136" s="126"/>
      <c r="G136" s="80"/>
      <c r="H136" s="80"/>
      <c r="I136" s="80"/>
      <c r="J136" s="80"/>
      <c r="K136" s="80"/>
      <c r="L136" s="80"/>
      <c r="M136" s="80"/>
      <c r="N136" s="80"/>
      <c r="O136" s="80"/>
      <c r="P136" s="80"/>
      <c r="Q136" s="80"/>
      <c r="R136" s="80"/>
      <c r="S136" s="80"/>
      <c r="T136" s="80"/>
      <c r="U136" s="80"/>
      <c r="V136" s="80"/>
      <c r="W136" s="80"/>
      <c r="X136" s="80"/>
      <c r="Y136" s="80"/>
      <c r="Z136" s="80"/>
    </row>
    <row r="137">
      <c r="A137" s="134" t="s">
        <v>134</v>
      </c>
      <c r="B137" s="134">
        <v>1.0</v>
      </c>
      <c r="C137" s="127"/>
      <c r="D137" s="126"/>
      <c r="E137" s="126"/>
      <c r="F137" s="126"/>
      <c r="G137" s="80"/>
      <c r="H137" s="80"/>
      <c r="I137" s="80"/>
      <c r="J137" s="80"/>
      <c r="K137" s="80"/>
      <c r="L137" s="80"/>
      <c r="M137" s="80"/>
      <c r="N137" s="80"/>
      <c r="O137" s="80"/>
      <c r="P137" s="80"/>
      <c r="Q137" s="80"/>
      <c r="R137" s="80"/>
      <c r="S137" s="80"/>
      <c r="T137" s="80"/>
      <c r="U137" s="80"/>
      <c r="V137" s="80"/>
      <c r="W137" s="80"/>
      <c r="X137" s="80"/>
      <c r="Y137" s="80"/>
      <c r="Z137" s="80"/>
    </row>
    <row r="138">
      <c r="A138" s="134" t="s">
        <v>135</v>
      </c>
      <c r="B138" s="134">
        <v>1.0</v>
      </c>
      <c r="C138" s="127"/>
      <c r="D138" s="126"/>
      <c r="E138" s="126"/>
      <c r="F138" s="126"/>
      <c r="G138" s="80"/>
      <c r="H138" s="80"/>
      <c r="I138" s="80"/>
      <c r="J138" s="80"/>
      <c r="K138" s="80"/>
      <c r="L138" s="80"/>
      <c r="M138" s="80"/>
      <c r="N138" s="80"/>
      <c r="O138" s="80"/>
      <c r="P138" s="80"/>
      <c r="Q138" s="80"/>
      <c r="R138" s="80"/>
      <c r="S138" s="80"/>
      <c r="T138" s="80"/>
      <c r="U138" s="80"/>
      <c r="V138" s="80"/>
      <c r="W138" s="80"/>
      <c r="X138" s="80"/>
      <c r="Y138" s="80"/>
      <c r="Z138" s="80"/>
    </row>
    <row r="139">
      <c r="A139" s="134" t="s">
        <v>136</v>
      </c>
      <c r="B139" s="134">
        <v>1.0</v>
      </c>
      <c r="C139" s="127"/>
      <c r="D139" s="126"/>
      <c r="E139" s="126"/>
      <c r="F139" s="126"/>
      <c r="G139" s="80"/>
      <c r="H139" s="80"/>
      <c r="I139" s="80"/>
      <c r="J139" s="80"/>
      <c r="K139" s="80"/>
      <c r="L139" s="80"/>
      <c r="M139" s="80"/>
      <c r="N139" s="80"/>
      <c r="O139" s="80"/>
      <c r="P139" s="80"/>
      <c r="Q139" s="80"/>
      <c r="R139" s="80"/>
      <c r="S139" s="80"/>
      <c r="T139" s="80"/>
      <c r="U139" s="80"/>
      <c r="V139" s="80"/>
      <c r="W139" s="80"/>
      <c r="X139" s="80"/>
      <c r="Y139" s="80"/>
      <c r="Z139" s="80"/>
    </row>
    <row r="140">
      <c r="A140" s="134" t="s">
        <v>137</v>
      </c>
      <c r="B140" s="134">
        <v>1.0</v>
      </c>
      <c r="C140" s="127"/>
      <c r="D140" s="126"/>
      <c r="E140" s="126"/>
      <c r="F140" s="126"/>
      <c r="G140" s="80"/>
      <c r="H140" s="80"/>
      <c r="I140" s="80"/>
      <c r="J140" s="80"/>
      <c r="K140" s="80"/>
      <c r="L140" s="80"/>
      <c r="M140" s="80"/>
      <c r="N140" s="80"/>
      <c r="O140" s="80"/>
      <c r="P140" s="80"/>
      <c r="Q140" s="80"/>
      <c r="R140" s="80"/>
      <c r="S140" s="80"/>
      <c r="T140" s="80"/>
      <c r="U140" s="80"/>
      <c r="V140" s="80"/>
      <c r="W140" s="80"/>
      <c r="X140" s="80"/>
      <c r="Y140" s="80"/>
      <c r="Z140" s="80"/>
    </row>
    <row r="141">
      <c r="A141" s="134" t="s">
        <v>138</v>
      </c>
      <c r="B141" s="134">
        <v>1.0</v>
      </c>
      <c r="C141" s="127"/>
      <c r="D141" s="126"/>
      <c r="E141" s="126"/>
      <c r="F141" s="126"/>
      <c r="G141" s="80"/>
      <c r="H141" s="80"/>
      <c r="I141" s="80"/>
      <c r="J141" s="80"/>
      <c r="K141" s="80"/>
      <c r="L141" s="80"/>
      <c r="M141" s="80"/>
      <c r="N141" s="80"/>
      <c r="O141" s="80"/>
      <c r="P141" s="80"/>
      <c r="Q141" s="80"/>
      <c r="R141" s="80"/>
      <c r="S141" s="80"/>
      <c r="T141" s="80"/>
      <c r="U141" s="80"/>
      <c r="V141" s="80"/>
      <c r="W141" s="80"/>
      <c r="X141" s="80"/>
      <c r="Y141" s="80"/>
      <c r="Z141" s="80"/>
    </row>
    <row r="142">
      <c r="A142" s="135">
        <v>45424.0</v>
      </c>
      <c r="B142" s="136">
        <v>1.0</v>
      </c>
      <c r="C142" s="127"/>
      <c r="D142" s="126"/>
      <c r="E142" s="126"/>
      <c r="F142" s="126"/>
      <c r="G142" s="80"/>
      <c r="H142" s="80"/>
      <c r="I142" s="80"/>
      <c r="J142" s="80"/>
      <c r="K142" s="80"/>
      <c r="L142" s="80"/>
      <c r="M142" s="80"/>
      <c r="N142" s="80"/>
      <c r="O142" s="80"/>
      <c r="P142" s="80"/>
      <c r="Q142" s="80"/>
      <c r="R142" s="80"/>
      <c r="S142" s="80"/>
      <c r="T142" s="80"/>
      <c r="U142" s="80"/>
      <c r="V142" s="80"/>
      <c r="W142" s="80"/>
      <c r="X142" s="80"/>
      <c r="Y142" s="80"/>
      <c r="Z142" s="80"/>
    </row>
    <row r="143">
      <c r="A143" s="137">
        <v>45577.0</v>
      </c>
      <c r="B143" s="136">
        <v>1.0</v>
      </c>
      <c r="C143" s="127"/>
      <c r="D143" s="126"/>
      <c r="E143" s="126"/>
      <c r="F143" s="126"/>
      <c r="G143" s="80"/>
      <c r="H143" s="80"/>
      <c r="I143" s="80"/>
      <c r="J143" s="80"/>
      <c r="K143" s="80"/>
      <c r="L143" s="80"/>
      <c r="M143" s="80"/>
      <c r="N143" s="80"/>
      <c r="O143" s="80"/>
      <c r="P143" s="80"/>
      <c r="Q143" s="80"/>
      <c r="R143" s="80"/>
      <c r="S143" s="80"/>
      <c r="T143" s="80"/>
      <c r="U143" s="80"/>
      <c r="V143" s="80"/>
      <c r="W143" s="80"/>
      <c r="X143" s="80"/>
      <c r="Y143" s="80"/>
      <c r="Z143" s="80"/>
    </row>
    <row r="144">
      <c r="A144" s="137">
        <v>45608.0</v>
      </c>
      <c r="B144" s="136">
        <v>1.0</v>
      </c>
      <c r="C144" s="127"/>
      <c r="D144" s="126"/>
      <c r="E144" s="126"/>
      <c r="F144" s="126"/>
      <c r="G144" s="80"/>
      <c r="H144" s="80"/>
      <c r="I144" s="80"/>
      <c r="J144" s="80"/>
      <c r="K144" s="80"/>
      <c r="L144" s="80"/>
      <c r="M144" s="80"/>
      <c r="N144" s="80"/>
      <c r="O144" s="80"/>
      <c r="P144" s="80"/>
      <c r="Q144" s="80"/>
      <c r="R144" s="80"/>
      <c r="S144" s="80"/>
      <c r="T144" s="80"/>
      <c r="U144" s="80"/>
      <c r="V144" s="80"/>
      <c r="W144" s="80"/>
      <c r="X144" s="80"/>
      <c r="Y144" s="80"/>
      <c r="Z144" s="80"/>
    </row>
    <row r="145">
      <c r="A145" s="136" t="s">
        <v>139</v>
      </c>
      <c r="B145" s="136">
        <v>1.0</v>
      </c>
      <c r="C145" s="127"/>
      <c r="D145" s="126"/>
      <c r="E145" s="126"/>
      <c r="F145" s="126"/>
      <c r="G145" s="80"/>
      <c r="H145" s="80"/>
      <c r="I145" s="80"/>
      <c r="J145" s="80"/>
      <c r="K145" s="80"/>
      <c r="L145" s="80"/>
      <c r="M145" s="80"/>
      <c r="N145" s="80"/>
      <c r="O145" s="80"/>
      <c r="P145" s="80"/>
      <c r="Q145" s="80"/>
      <c r="R145" s="80"/>
      <c r="S145" s="80"/>
      <c r="T145" s="80"/>
      <c r="U145" s="80"/>
      <c r="V145" s="80"/>
      <c r="W145" s="80"/>
      <c r="X145" s="80"/>
      <c r="Y145" s="80"/>
      <c r="Z145" s="80"/>
    </row>
    <row r="146">
      <c r="A146" s="136" t="s">
        <v>140</v>
      </c>
      <c r="B146" s="136">
        <v>1.0</v>
      </c>
      <c r="C146" s="127"/>
      <c r="D146" s="126"/>
      <c r="E146" s="126"/>
      <c r="F146" s="126"/>
      <c r="G146" s="80"/>
      <c r="H146" s="80"/>
      <c r="I146" s="80"/>
      <c r="J146" s="80"/>
      <c r="K146" s="80"/>
      <c r="L146" s="80"/>
      <c r="M146" s="80"/>
      <c r="N146" s="80"/>
      <c r="O146" s="80"/>
      <c r="P146" s="80"/>
      <c r="Q146" s="80"/>
      <c r="R146" s="80"/>
      <c r="S146" s="80"/>
      <c r="T146" s="80"/>
      <c r="U146" s="80"/>
      <c r="V146" s="80"/>
      <c r="W146" s="80"/>
      <c r="X146" s="80"/>
      <c r="Y146" s="80"/>
      <c r="Z146" s="80"/>
    </row>
    <row r="147">
      <c r="A147" s="136" t="s">
        <v>141</v>
      </c>
      <c r="B147" s="136">
        <v>1.0</v>
      </c>
      <c r="C147" s="127"/>
      <c r="D147" s="126"/>
      <c r="E147" s="126"/>
      <c r="F147" s="126"/>
      <c r="G147" s="80"/>
      <c r="H147" s="80"/>
      <c r="I147" s="80"/>
      <c r="J147" s="80"/>
      <c r="K147" s="80"/>
      <c r="L147" s="80"/>
      <c r="M147" s="80"/>
      <c r="N147" s="80"/>
      <c r="O147" s="80"/>
      <c r="P147" s="80"/>
      <c r="Q147" s="80"/>
      <c r="R147" s="80"/>
      <c r="S147" s="80"/>
      <c r="T147" s="80"/>
      <c r="U147" s="80"/>
      <c r="V147" s="80"/>
      <c r="W147" s="80"/>
      <c r="X147" s="80"/>
      <c r="Y147" s="80"/>
      <c r="Z147" s="80"/>
    </row>
    <row r="148">
      <c r="A148" s="136" t="s">
        <v>142</v>
      </c>
      <c r="B148" s="136">
        <v>1.0</v>
      </c>
      <c r="C148" s="127"/>
      <c r="D148" s="126"/>
      <c r="E148" s="126"/>
      <c r="F148" s="126"/>
      <c r="G148" s="80"/>
      <c r="H148" s="80"/>
      <c r="I148" s="80"/>
      <c r="J148" s="80"/>
      <c r="K148" s="80"/>
      <c r="L148" s="80"/>
      <c r="M148" s="80"/>
      <c r="N148" s="80"/>
      <c r="O148" s="80"/>
      <c r="P148" s="80"/>
      <c r="Q148" s="80"/>
      <c r="R148" s="80"/>
      <c r="S148" s="80"/>
      <c r="T148" s="80"/>
      <c r="U148" s="80"/>
      <c r="V148" s="80"/>
      <c r="W148" s="80"/>
      <c r="X148" s="80"/>
      <c r="Y148" s="80"/>
      <c r="Z148" s="80"/>
    </row>
    <row r="149">
      <c r="A149" s="136" t="s">
        <v>143</v>
      </c>
      <c r="B149" s="136">
        <v>0.8</v>
      </c>
      <c r="C149" s="127"/>
      <c r="D149" s="126"/>
      <c r="E149" s="126"/>
      <c r="F149" s="126"/>
      <c r="G149" s="80"/>
      <c r="H149" s="80"/>
      <c r="I149" s="80"/>
      <c r="J149" s="80"/>
      <c r="K149" s="80"/>
      <c r="L149" s="80"/>
      <c r="M149" s="80"/>
      <c r="N149" s="80"/>
      <c r="O149" s="80"/>
      <c r="P149" s="80"/>
      <c r="Q149" s="80"/>
      <c r="R149" s="80"/>
      <c r="S149" s="80"/>
      <c r="T149" s="80"/>
      <c r="U149" s="80"/>
      <c r="V149" s="80"/>
      <c r="W149" s="80"/>
      <c r="X149" s="80"/>
      <c r="Y149" s="80"/>
      <c r="Z149" s="80"/>
    </row>
    <row r="150">
      <c r="A150" s="136" t="s">
        <v>144</v>
      </c>
      <c r="B150" s="136">
        <v>0.6</v>
      </c>
      <c r="C150" s="127"/>
      <c r="D150" s="126"/>
      <c r="E150" s="126"/>
      <c r="F150" s="126"/>
      <c r="G150" s="80"/>
      <c r="H150" s="80"/>
      <c r="I150" s="80"/>
      <c r="J150" s="80"/>
      <c r="K150" s="80"/>
      <c r="L150" s="80"/>
      <c r="M150" s="80"/>
      <c r="N150" s="80"/>
      <c r="O150" s="80"/>
      <c r="P150" s="80"/>
      <c r="Q150" s="80"/>
      <c r="R150" s="80"/>
      <c r="S150" s="80"/>
      <c r="T150" s="80"/>
      <c r="U150" s="80"/>
      <c r="V150" s="80"/>
      <c r="W150" s="80"/>
      <c r="X150" s="80"/>
      <c r="Y150" s="80"/>
      <c r="Z150" s="80"/>
    </row>
    <row r="151">
      <c r="A151" s="135">
        <v>45293.0</v>
      </c>
      <c r="B151" s="136">
        <v>0.6</v>
      </c>
      <c r="C151" s="127"/>
      <c r="D151" s="126"/>
      <c r="E151" s="126"/>
      <c r="F151" s="126"/>
      <c r="G151" s="80"/>
      <c r="H151" s="80"/>
      <c r="I151" s="80"/>
      <c r="J151" s="80"/>
      <c r="K151" s="80"/>
      <c r="L151" s="80"/>
      <c r="M151" s="80"/>
      <c r="N151" s="80"/>
      <c r="O151" s="80"/>
      <c r="P151" s="80"/>
      <c r="Q151" s="80"/>
      <c r="R151" s="80"/>
      <c r="S151" s="80"/>
      <c r="T151" s="80"/>
      <c r="U151" s="80"/>
      <c r="V151" s="80"/>
      <c r="W151" s="80"/>
      <c r="X151" s="80"/>
      <c r="Y151" s="80"/>
      <c r="Z151" s="80"/>
    </row>
    <row r="152">
      <c r="A152" s="135">
        <v>45662.0</v>
      </c>
      <c r="B152" s="136">
        <v>0.6</v>
      </c>
      <c r="C152" s="127"/>
      <c r="D152" s="126"/>
      <c r="E152" s="126"/>
      <c r="F152" s="126"/>
      <c r="G152" s="80"/>
      <c r="H152" s="80"/>
      <c r="I152" s="80"/>
      <c r="J152" s="80"/>
      <c r="K152" s="80"/>
      <c r="L152" s="80"/>
      <c r="M152" s="80"/>
      <c r="N152" s="80"/>
      <c r="O152" s="80"/>
      <c r="P152" s="80"/>
      <c r="Q152" s="80"/>
      <c r="R152" s="80"/>
      <c r="S152" s="80"/>
      <c r="T152" s="80"/>
      <c r="U152" s="80"/>
      <c r="V152" s="80"/>
      <c r="W152" s="80"/>
      <c r="X152" s="80"/>
      <c r="Y152" s="80"/>
      <c r="Z152" s="80"/>
    </row>
    <row r="153">
      <c r="A153" s="135">
        <v>45662.0</v>
      </c>
      <c r="B153" s="136">
        <v>0.6</v>
      </c>
      <c r="C153" s="127"/>
      <c r="D153" s="126"/>
      <c r="E153" s="126"/>
      <c r="F153" s="126"/>
      <c r="G153" s="80"/>
      <c r="H153" s="80"/>
      <c r="I153" s="80"/>
      <c r="J153" s="80"/>
      <c r="K153" s="80"/>
      <c r="L153" s="80"/>
      <c r="M153" s="80"/>
      <c r="N153" s="80"/>
      <c r="O153" s="80"/>
      <c r="P153" s="80"/>
      <c r="Q153" s="80"/>
      <c r="R153" s="80"/>
      <c r="S153" s="80"/>
      <c r="T153" s="80"/>
      <c r="U153" s="80"/>
      <c r="V153" s="80"/>
      <c r="W153" s="80"/>
      <c r="X153" s="80"/>
      <c r="Y153" s="80"/>
      <c r="Z153" s="80"/>
    </row>
    <row r="154">
      <c r="A154" s="135">
        <v>45663.0</v>
      </c>
      <c r="B154" s="136">
        <v>0.6</v>
      </c>
      <c r="C154" s="127"/>
      <c r="D154" s="126"/>
      <c r="E154" s="126"/>
      <c r="F154" s="126"/>
      <c r="G154" s="80"/>
      <c r="H154" s="80"/>
      <c r="I154" s="80"/>
      <c r="J154" s="80"/>
      <c r="K154" s="80"/>
      <c r="L154" s="80"/>
      <c r="M154" s="80"/>
      <c r="N154" s="80"/>
      <c r="O154" s="80"/>
      <c r="P154" s="80"/>
      <c r="Q154" s="80"/>
      <c r="R154" s="80"/>
      <c r="S154" s="80"/>
      <c r="T154" s="80"/>
      <c r="U154" s="80"/>
      <c r="V154" s="80"/>
      <c r="W154" s="80"/>
      <c r="X154" s="80"/>
      <c r="Y154" s="80"/>
      <c r="Z154" s="80"/>
    </row>
    <row r="155">
      <c r="A155" s="135">
        <v>45665.0</v>
      </c>
      <c r="B155" s="136">
        <v>0.4</v>
      </c>
      <c r="C155" s="127"/>
      <c r="D155" s="126"/>
      <c r="E155" s="126"/>
      <c r="F155" s="126"/>
      <c r="G155" s="80"/>
      <c r="H155" s="80"/>
      <c r="I155" s="80"/>
      <c r="J155" s="80"/>
      <c r="K155" s="80"/>
      <c r="L155" s="80"/>
      <c r="M155" s="80"/>
      <c r="N155" s="80"/>
      <c r="O155" s="80"/>
      <c r="P155" s="80"/>
      <c r="Q155" s="80"/>
      <c r="R155" s="80"/>
      <c r="S155" s="80"/>
      <c r="T155" s="80"/>
      <c r="U155" s="80"/>
      <c r="V155" s="80"/>
      <c r="W155" s="80"/>
      <c r="X155" s="80"/>
      <c r="Y155" s="80"/>
      <c r="Z155" s="80"/>
    </row>
    <row r="156">
      <c r="A156" s="135">
        <v>45669.0</v>
      </c>
      <c r="B156" s="136">
        <v>0.0</v>
      </c>
      <c r="C156" s="127"/>
      <c r="D156" s="126"/>
      <c r="E156" s="126"/>
      <c r="F156" s="126"/>
      <c r="G156" s="80"/>
      <c r="H156" s="80"/>
      <c r="I156" s="80"/>
      <c r="J156" s="80"/>
      <c r="K156" s="80"/>
      <c r="L156" s="80"/>
      <c r="M156" s="80"/>
      <c r="N156" s="80"/>
      <c r="O156" s="80"/>
      <c r="P156" s="80"/>
      <c r="Q156" s="80"/>
      <c r="R156" s="80"/>
      <c r="S156" s="80"/>
      <c r="T156" s="80"/>
      <c r="U156" s="80"/>
      <c r="V156" s="80"/>
      <c r="W156" s="80"/>
      <c r="X156" s="80"/>
      <c r="Y156" s="80"/>
      <c r="Z156" s="80"/>
    </row>
    <row r="157">
      <c r="A157" s="135">
        <v>45670.0</v>
      </c>
      <c r="B157" s="136">
        <v>0.2</v>
      </c>
      <c r="C157" s="127"/>
      <c r="D157" s="126"/>
      <c r="E157" s="126"/>
      <c r="F157" s="126"/>
      <c r="G157" s="80"/>
      <c r="H157" s="80"/>
      <c r="I157" s="80"/>
      <c r="J157" s="80"/>
      <c r="K157" s="80"/>
      <c r="L157" s="80"/>
      <c r="M157" s="80"/>
      <c r="N157" s="80"/>
      <c r="O157" s="80"/>
      <c r="P157" s="80"/>
      <c r="Q157" s="80"/>
      <c r="R157" s="80"/>
      <c r="S157" s="80"/>
      <c r="T157" s="80"/>
      <c r="U157" s="80"/>
      <c r="V157" s="80"/>
      <c r="W157" s="80"/>
      <c r="X157" s="80"/>
      <c r="Y157" s="80"/>
      <c r="Z157" s="80"/>
    </row>
    <row r="158">
      <c r="A158" s="135">
        <v>45671.0</v>
      </c>
      <c r="B158" s="136">
        <v>0.2</v>
      </c>
      <c r="C158" s="127"/>
      <c r="D158" s="126"/>
      <c r="E158" s="126"/>
      <c r="F158" s="126"/>
      <c r="G158" s="80"/>
      <c r="H158" s="80"/>
      <c r="I158" s="80"/>
      <c r="J158" s="80"/>
      <c r="K158" s="80"/>
      <c r="L158" s="80"/>
      <c r="M158" s="80"/>
      <c r="N158" s="80"/>
      <c r="O158" s="80"/>
      <c r="P158" s="80"/>
      <c r="Q158" s="80"/>
      <c r="R158" s="80"/>
      <c r="S158" s="80"/>
      <c r="T158" s="80"/>
      <c r="U158" s="80"/>
      <c r="V158" s="80"/>
      <c r="W158" s="80"/>
      <c r="X158" s="80"/>
      <c r="Y158" s="80"/>
      <c r="Z158" s="80"/>
    </row>
    <row r="159">
      <c r="A159" s="135">
        <v>45672.0</v>
      </c>
      <c r="B159" s="136">
        <v>0.2</v>
      </c>
      <c r="C159" s="127"/>
      <c r="D159" s="126"/>
      <c r="E159" s="126"/>
      <c r="F159" s="126"/>
      <c r="G159" s="80"/>
      <c r="H159" s="80"/>
      <c r="I159" s="80"/>
      <c r="J159" s="80"/>
      <c r="K159" s="80"/>
      <c r="L159" s="80"/>
      <c r="M159" s="80"/>
      <c r="N159" s="80"/>
      <c r="O159" s="80"/>
      <c r="P159" s="80"/>
      <c r="Q159" s="80"/>
      <c r="R159" s="80"/>
      <c r="S159" s="80"/>
      <c r="T159" s="80"/>
      <c r="U159" s="80"/>
      <c r="V159" s="80"/>
      <c r="W159" s="80"/>
      <c r="X159" s="80"/>
      <c r="Y159" s="80"/>
      <c r="Z159" s="80"/>
    </row>
    <row r="160">
      <c r="A160" s="135">
        <v>45673.0</v>
      </c>
      <c r="B160" s="136">
        <v>0.2</v>
      </c>
      <c r="C160" s="127"/>
      <c r="D160" s="126"/>
      <c r="E160" s="126"/>
      <c r="F160" s="126"/>
      <c r="G160" s="80"/>
      <c r="H160" s="80"/>
      <c r="I160" s="80"/>
      <c r="J160" s="80"/>
      <c r="K160" s="80"/>
      <c r="L160" s="80"/>
      <c r="M160" s="80"/>
      <c r="N160" s="80"/>
      <c r="O160" s="80"/>
      <c r="P160" s="80"/>
      <c r="Q160" s="80"/>
      <c r="R160" s="80"/>
      <c r="S160" s="80"/>
      <c r="T160" s="80"/>
      <c r="U160" s="80"/>
      <c r="V160" s="80"/>
      <c r="W160" s="80"/>
      <c r="X160" s="80"/>
      <c r="Y160" s="80"/>
      <c r="Z160" s="80"/>
    </row>
    <row r="161">
      <c r="A161" s="135">
        <v>45674.0</v>
      </c>
      <c r="B161" s="136">
        <v>0.6</v>
      </c>
      <c r="C161" s="127"/>
      <c r="D161" s="126"/>
      <c r="E161" s="126"/>
      <c r="F161" s="127" t="s">
        <v>74</v>
      </c>
      <c r="G161" s="80"/>
      <c r="H161" s="80"/>
      <c r="I161" s="80"/>
      <c r="J161" s="80"/>
      <c r="K161" s="80"/>
      <c r="L161" s="80"/>
      <c r="M161" s="80"/>
      <c r="N161" s="80"/>
      <c r="O161" s="80"/>
      <c r="P161" s="80"/>
      <c r="Q161" s="80"/>
      <c r="R161" s="80"/>
      <c r="S161" s="80"/>
      <c r="T161" s="80"/>
      <c r="U161" s="80"/>
      <c r="V161" s="80"/>
      <c r="W161" s="80"/>
      <c r="X161" s="80"/>
      <c r="Y161" s="80"/>
      <c r="Z161" s="80"/>
    </row>
    <row r="162">
      <c r="A162" s="135">
        <v>45676.0</v>
      </c>
      <c r="B162" s="136">
        <v>0.6</v>
      </c>
      <c r="C162" s="127"/>
      <c r="D162" s="126"/>
      <c r="E162" s="126"/>
      <c r="F162" s="127"/>
      <c r="G162" s="80"/>
      <c r="H162" s="80"/>
      <c r="I162" s="80"/>
      <c r="J162" s="80"/>
      <c r="K162" s="80"/>
      <c r="L162" s="80"/>
      <c r="M162" s="80"/>
      <c r="N162" s="80"/>
      <c r="O162" s="80"/>
      <c r="P162" s="80"/>
      <c r="Q162" s="80"/>
      <c r="R162" s="80"/>
      <c r="S162" s="80"/>
      <c r="T162" s="80"/>
      <c r="U162" s="80"/>
      <c r="V162" s="80"/>
      <c r="W162" s="80"/>
      <c r="X162" s="80"/>
      <c r="Y162" s="80"/>
      <c r="Z162" s="80"/>
    </row>
    <row r="163">
      <c r="A163" s="135">
        <v>45677.0</v>
      </c>
      <c r="B163" s="136">
        <v>0.4</v>
      </c>
      <c r="C163" s="127"/>
      <c r="D163" s="126"/>
      <c r="E163" s="126"/>
      <c r="F163" s="127">
        <v>0.07</v>
      </c>
      <c r="G163" s="80"/>
      <c r="H163" s="80"/>
      <c r="I163" s="80"/>
      <c r="J163" s="80"/>
      <c r="K163" s="80"/>
      <c r="L163" s="80"/>
      <c r="M163" s="80"/>
      <c r="N163" s="80"/>
      <c r="O163" s="80"/>
      <c r="P163" s="80"/>
      <c r="Q163" s="80"/>
      <c r="R163" s="80"/>
      <c r="S163" s="80"/>
      <c r="T163" s="80"/>
      <c r="U163" s="80"/>
      <c r="V163" s="80"/>
      <c r="W163" s="80"/>
      <c r="X163" s="80"/>
      <c r="Y163" s="80"/>
      <c r="Z163" s="80"/>
    </row>
    <row r="164">
      <c r="A164" s="135">
        <v>45678.0</v>
      </c>
      <c r="B164" s="136">
        <v>0.8</v>
      </c>
      <c r="C164" s="127"/>
      <c r="D164" s="126"/>
      <c r="E164" s="126"/>
      <c r="F164" s="127">
        <v>0.07</v>
      </c>
      <c r="G164" s="80"/>
      <c r="H164" s="80"/>
      <c r="I164" s="80"/>
      <c r="J164" s="80"/>
      <c r="K164" s="80"/>
      <c r="L164" s="80"/>
      <c r="M164" s="80"/>
      <c r="N164" s="80"/>
      <c r="O164" s="80"/>
      <c r="P164" s="80"/>
      <c r="Q164" s="80"/>
      <c r="R164" s="80"/>
      <c r="S164" s="80"/>
      <c r="T164" s="80"/>
      <c r="U164" s="80"/>
      <c r="V164" s="80"/>
      <c r="W164" s="80"/>
      <c r="X164" s="80"/>
      <c r="Y164" s="80"/>
      <c r="Z164" s="80"/>
    </row>
    <row r="165">
      <c r="A165" s="135">
        <v>45679.0</v>
      </c>
      <c r="B165" s="136">
        <v>0.8</v>
      </c>
      <c r="C165" s="127"/>
      <c r="D165" s="126"/>
      <c r="E165" s="126"/>
      <c r="F165" s="127">
        <v>0.07</v>
      </c>
      <c r="G165" s="80"/>
      <c r="H165" s="80"/>
      <c r="I165" s="80"/>
      <c r="J165" s="80"/>
      <c r="K165" s="80"/>
      <c r="L165" s="80"/>
      <c r="M165" s="80"/>
      <c r="N165" s="80"/>
      <c r="O165" s="80"/>
      <c r="P165" s="80"/>
      <c r="Q165" s="80"/>
      <c r="R165" s="80"/>
      <c r="S165" s="80"/>
      <c r="T165" s="80"/>
      <c r="U165" s="80"/>
      <c r="V165" s="80"/>
      <c r="W165" s="80"/>
      <c r="X165" s="80"/>
      <c r="Y165" s="80"/>
      <c r="Z165" s="80"/>
    </row>
    <row r="166">
      <c r="A166" s="135">
        <v>45680.0</v>
      </c>
      <c r="B166" s="136">
        <v>0.8</v>
      </c>
      <c r="C166" s="127"/>
      <c r="D166" s="126"/>
      <c r="E166" s="126"/>
      <c r="F166" s="127">
        <v>0.07</v>
      </c>
      <c r="G166" s="80"/>
      <c r="H166" s="80"/>
      <c r="I166" s="80"/>
      <c r="J166" s="80"/>
      <c r="K166" s="80"/>
      <c r="L166" s="80"/>
      <c r="M166" s="80"/>
      <c r="N166" s="80"/>
      <c r="O166" s="80"/>
      <c r="P166" s="80"/>
      <c r="Q166" s="80"/>
      <c r="R166" s="80"/>
      <c r="S166" s="80"/>
      <c r="T166" s="80"/>
      <c r="U166" s="80"/>
      <c r="V166" s="80"/>
      <c r="W166" s="80"/>
      <c r="X166" s="80"/>
      <c r="Y166" s="80"/>
      <c r="Z166" s="80"/>
    </row>
    <row r="167">
      <c r="A167" s="135">
        <v>45681.0</v>
      </c>
      <c r="B167" s="136">
        <v>0.82</v>
      </c>
      <c r="C167" s="127"/>
      <c r="D167" s="126"/>
      <c r="E167" s="126"/>
      <c r="F167" s="127">
        <v>0.07</v>
      </c>
      <c r="G167" s="80"/>
      <c r="H167" s="80"/>
      <c r="I167" s="80"/>
      <c r="J167" s="80"/>
      <c r="K167" s="80"/>
      <c r="L167" s="80"/>
      <c r="M167" s="80"/>
      <c r="N167" s="80"/>
      <c r="O167" s="80"/>
      <c r="P167" s="80"/>
      <c r="Q167" s="80"/>
      <c r="R167" s="80"/>
      <c r="S167" s="80"/>
      <c r="T167" s="80"/>
      <c r="U167" s="80"/>
      <c r="V167" s="80"/>
      <c r="W167" s="80"/>
      <c r="X167" s="80"/>
      <c r="Y167" s="80"/>
      <c r="Z167" s="80"/>
    </row>
    <row r="168">
      <c r="A168" s="135">
        <v>45683.0</v>
      </c>
      <c r="B168" s="136">
        <v>0.82</v>
      </c>
      <c r="C168" s="127"/>
      <c r="D168" s="126"/>
      <c r="E168" s="126"/>
      <c r="F168" s="127">
        <v>0.07</v>
      </c>
      <c r="G168" s="80"/>
      <c r="H168" s="80"/>
      <c r="I168" s="80"/>
      <c r="J168" s="80"/>
      <c r="K168" s="80"/>
      <c r="L168" s="80"/>
      <c r="M168" s="80"/>
      <c r="N168" s="80"/>
      <c r="O168" s="80"/>
      <c r="P168" s="80"/>
      <c r="Q168" s="80"/>
      <c r="R168" s="80"/>
      <c r="S168" s="80"/>
      <c r="T168" s="80"/>
      <c r="U168" s="80"/>
      <c r="V168" s="80"/>
      <c r="W168" s="80"/>
      <c r="X168" s="80"/>
      <c r="Y168" s="80"/>
      <c r="Z168" s="80"/>
    </row>
    <row r="169">
      <c r="A169" s="135">
        <v>45684.0</v>
      </c>
      <c r="B169" s="136">
        <v>0.82</v>
      </c>
      <c r="C169" s="127"/>
      <c r="D169" s="126"/>
      <c r="E169" s="126"/>
      <c r="F169" s="127">
        <v>0.07</v>
      </c>
      <c r="G169" s="80"/>
      <c r="H169" s="80"/>
      <c r="I169" s="80"/>
      <c r="J169" s="80"/>
      <c r="K169" s="80"/>
      <c r="L169" s="80"/>
      <c r="M169" s="80"/>
      <c r="N169" s="80"/>
      <c r="O169" s="80"/>
      <c r="P169" s="80"/>
      <c r="Q169" s="80"/>
      <c r="R169" s="80"/>
      <c r="S169" s="80"/>
      <c r="T169" s="80"/>
      <c r="U169" s="80"/>
      <c r="V169" s="80"/>
      <c r="W169" s="80"/>
      <c r="X169" s="80"/>
      <c r="Y169" s="80"/>
      <c r="Z169" s="80"/>
    </row>
    <row r="170">
      <c r="A170" s="135">
        <v>45685.0</v>
      </c>
      <c r="B170" s="136">
        <v>0.45</v>
      </c>
      <c r="C170" s="127"/>
      <c r="D170" s="126"/>
      <c r="E170" s="126"/>
      <c r="F170" s="127">
        <v>0.07</v>
      </c>
      <c r="G170" s="80"/>
      <c r="H170" s="80"/>
      <c r="I170" s="80"/>
      <c r="J170" s="80"/>
      <c r="K170" s="80"/>
      <c r="L170" s="80"/>
      <c r="M170" s="80"/>
      <c r="N170" s="80"/>
      <c r="O170" s="80"/>
      <c r="P170" s="80"/>
      <c r="Q170" s="80"/>
      <c r="R170" s="80"/>
      <c r="S170" s="80"/>
      <c r="T170" s="80"/>
      <c r="U170" s="80"/>
      <c r="V170" s="80"/>
      <c r="W170" s="80"/>
      <c r="X170" s="80"/>
      <c r="Y170" s="80"/>
      <c r="Z170" s="80"/>
    </row>
    <row r="171">
      <c r="A171" s="135">
        <v>45686.0</v>
      </c>
      <c r="B171" s="136">
        <v>0.45</v>
      </c>
      <c r="C171" s="127"/>
      <c r="D171" s="126"/>
      <c r="E171" s="126"/>
      <c r="F171" s="127">
        <v>0.07</v>
      </c>
      <c r="G171" s="80"/>
      <c r="H171" s="80"/>
      <c r="I171" s="80"/>
      <c r="J171" s="80"/>
      <c r="K171" s="80"/>
      <c r="L171" s="80"/>
      <c r="M171" s="80"/>
      <c r="N171" s="80"/>
      <c r="O171" s="80"/>
      <c r="P171" s="80"/>
      <c r="Q171" s="80"/>
      <c r="R171" s="80"/>
      <c r="S171" s="80"/>
      <c r="T171" s="80"/>
      <c r="U171" s="80"/>
      <c r="V171" s="80"/>
      <c r="W171" s="80"/>
      <c r="X171" s="80"/>
      <c r="Y171" s="80"/>
      <c r="Z171" s="80"/>
    </row>
    <row r="172">
      <c r="A172" s="135">
        <v>45687.0</v>
      </c>
      <c r="B172" s="136">
        <v>0.45</v>
      </c>
      <c r="C172" s="127"/>
      <c r="D172" s="126"/>
      <c r="E172" s="126"/>
      <c r="F172" s="127">
        <v>0.07</v>
      </c>
      <c r="G172" s="80"/>
      <c r="H172" s="80"/>
      <c r="I172" s="80"/>
      <c r="J172" s="80"/>
      <c r="K172" s="80"/>
      <c r="L172" s="80"/>
      <c r="M172" s="80"/>
      <c r="N172" s="80"/>
      <c r="O172" s="80"/>
      <c r="P172" s="80"/>
      <c r="Q172" s="80"/>
      <c r="R172" s="80"/>
      <c r="S172" s="80"/>
      <c r="T172" s="80"/>
      <c r="U172" s="80"/>
      <c r="V172" s="80"/>
      <c r="W172" s="80"/>
      <c r="X172" s="80"/>
      <c r="Y172" s="80"/>
      <c r="Z172" s="80"/>
    </row>
    <row r="173">
      <c r="A173" s="135">
        <v>45688.0</v>
      </c>
      <c r="B173" s="136">
        <v>0.6</v>
      </c>
      <c r="C173" s="127"/>
      <c r="D173" s="126"/>
      <c r="E173" s="126"/>
      <c r="F173" s="127">
        <v>0.07</v>
      </c>
      <c r="G173" s="80"/>
      <c r="H173" s="80"/>
      <c r="I173" s="80"/>
      <c r="J173" s="80"/>
      <c r="K173" s="80"/>
      <c r="L173" s="80"/>
      <c r="M173" s="80"/>
      <c r="N173" s="80"/>
      <c r="O173" s="80"/>
      <c r="P173" s="80"/>
      <c r="Q173" s="80"/>
      <c r="R173" s="80"/>
      <c r="S173" s="80"/>
      <c r="T173" s="80"/>
      <c r="U173" s="80"/>
      <c r="V173" s="80"/>
      <c r="W173" s="80"/>
      <c r="X173" s="80"/>
      <c r="Y173" s="80"/>
      <c r="Z173" s="80"/>
    </row>
    <row r="174">
      <c r="A174" s="135">
        <v>45690.0</v>
      </c>
      <c r="B174" s="136">
        <v>-1.0</v>
      </c>
      <c r="C174" s="127"/>
      <c r="D174" s="126"/>
      <c r="E174" s="126"/>
      <c r="F174" s="127">
        <v>0.07</v>
      </c>
      <c r="G174" s="80"/>
      <c r="H174" s="80"/>
      <c r="I174" s="80"/>
      <c r="J174" s="80"/>
      <c r="K174" s="80"/>
      <c r="L174" s="80"/>
      <c r="M174" s="80"/>
      <c r="N174" s="80"/>
      <c r="O174" s="80"/>
      <c r="P174" s="80"/>
      <c r="Q174" s="80"/>
      <c r="R174" s="80"/>
      <c r="S174" s="80"/>
      <c r="T174" s="80"/>
      <c r="U174" s="80"/>
      <c r="V174" s="80"/>
      <c r="W174" s="80"/>
      <c r="X174" s="80"/>
      <c r="Y174" s="80"/>
      <c r="Z174" s="80"/>
    </row>
    <row r="175">
      <c r="A175" s="135">
        <v>45691.0</v>
      </c>
      <c r="B175" s="136">
        <v>-1.0</v>
      </c>
      <c r="C175" s="127"/>
      <c r="D175" s="126"/>
      <c r="E175" s="126"/>
      <c r="F175" s="127">
        <v>0.07</v>
      </c>
      <c r="G175" s="80"/>
      <c r="H175" s="80"/>
      <c r="I175" s="80"/>
      <c r="J175" s="80"/>
      <c r="K175" s="80"/>
      <c r="L175" s="80"/>
      <c r="M175" s="80"/>
      <c r="N175" s="80"/>
      <c r="O175" s="80"/>
      <c r="P175" s="80"/>
      <c r="Q175" s="80"/>
      <c r="R175" s="80"/>
      <c r="S175" s="80"/>
      <c r="T175" s="80"/>
      <c r="U175" s="80"/>
      <c r="V175" s="80"/>
      <c r="W175" s="80"/>
      <c r="X175" s="80"/>
      <c r="Y175" s="80"/>
      <c r="Z175" s="80"/>
    </row>
    <row r="176">
      <c r="A176" s="135">
        <v>45692.0</v>
      </c>
      <c r="B176" s="136">
        <v>-1.0</v>
      </c>
      <c r="C176" s="127"/>
      <c r="D176" s="126"/>
      <c r="E176" s="126"/>
      <c r="F176" s="127">
        <v>0.07</v>
      </c>
      <c r="G176" s="80"/>
      <c r="H176" s="80"/>
      <c r="I176" s="80"/>
      <c r="J176" s="80"/>
      <c r="K176" s="80"/>
      <c r="L176" s="80"/>
      <c r="M176" s="80"/>
      <c r="N176" s="80"/>
      <c r="O176" s="80"/>
      <c r="P176" s="80"/>
      <c r="Q176" s="80"/>
      <c r="R176" s="80"/>
      <c r="S176" s="80"/>
      <c r="T176" s="80"/>
      <c r="U176" s="80"/>
      <c r="V176" s="80"/>
      <c r="W176" s="80"/>
      <c r="X176" s="80"/>
      <c r="Y176" s="80"/>
      <c r="Z176" s="80"/>
    </row>
    <row r="177">
      <c r="A177" s="135">
        <v>45693.0</v>
      </c>
      <c r="B177" s="136">
        <v>-1.0</v>
      </c>
      <c r="C177" s="127"/>
      <c r="D177" s="126"/>
      <c r="E177" s="126"/>
      <c r="F177" s="127">
        <v>0.07</v>
      </c>
      <c r="G177" s="80"/>
      <c r="H177" s="80"/>
      <c r="I177" s="80"/>
      <c r="J177" s="80"/>
      <c r="K177" s="80"/>
      <c r="L177" s="80"/>
      <c r="M177" s="80"/>
      <c r="N177" s="80"/>
      <c r="O177" s="80"/>
      <c r="P177" s="80"/>
      <c r="Q177" s="80"/>
      <c r="R177" s="80"/>
      <c r="S177" s="80"/>
      <c r="T177" s="80"/>
      <c r="U177" s="80"/>
      <c r="V177" s="80"/>
      <c r="W177" s="80"/>
      <c r="X177" s="80"/>
      <c r="Y177" s="80"/>
      <c r="Z177" s="80"/>
    </row>
    <row r="178">
      <c r="A178" s="135">
        <v>45694.0</v>
      </c>
      <c r="B178" s="136">
        <v>-1.0</v>
      </c>
      <c r="C178" s="127"/>
      <c r="D178" s="126"/>
      <c r="E178" s="126"/>
      <c r="F178" s="127">
        <v>0.07</v>
      </c>
      <c r="G178" s="80"/>
      <c r="H178" s="80"/>
      <c r="I178" s="80"/>
      <c r="J178" s="80"/>
      <c r="K178" s="80"/>
      <c r="L178" s="80"/>
      <c r="M178" s="80"/>
      <c r="N178" s="80"/>
      <c r="O178" s="80"/>
      <c r="P178" s="80"/>
      <c r="Q178" s="80"/>
      <c r="R178" s="80"/>
      <c r="S178" s="80"/>
      <c r="T178" s="80"/>
      <c r="U178" s="80"/>
      <c r="V178" s="80"/>
      <c r="W178" s="80"/>
      <c r="X178" s="80"/>
      <c r="Y178" s="80"/>
      <c r="Z178" s="80"/>
    </row>
    <row r="179">
      <c r="A179" s="135">
        <v>45695.0</v>
      </c>
      <c r="B179" s="136">
        <v>-1.0</v>
      </c>
      <c r="C179" s="127"/>
      <c r="D179" s="126"/>
      <c r="E179" s="126"/>
      <c r="F179" s="127">
        <v>0.07</v>
      </c>
      <c r="G179" s="80"/>
      <c r="H179" s="80"/>
      <c r="I179" s="80"/>
      <c r="J179" s="80"/>
      <c r="K179" s="80"/>
      <c r="L179" s="80"/>
      <c r="M179" s="80"/>
      <c r="N179" s="80"/>
      <c r="O179" s="80"/>
      <c r="P179" s="80"/>
      <c r="Q179" s="80"/>
      <c r="R179" s="80"/>
      <c r="S179" s="80"/>
      <c r="T179" s="80"/>
      <c r="U179" s="80"/>
      <c r="V179" s="80"/>
      <c r="W179" s="80"/>
      <c r="X179" s="80"/>
      <c r="Y179" s="80"/>
      <c r="Z179" s="80"/>
    </row>
    <row r="180">
      <c r="A180" s="135">
        <v>45696.0</v>
      </c>
      <c r="B180" s="136">
        <v>-1.0</v>
      </c>
      <c r="C180" s="127"/>
      <c r="D180" s="126"/>
      <c r="E180" s="126"/>
      <c r="F180" s="127">
        <v>0.07</v>
      </c>
      <c r="G180" s="80"/>
      <c r="H180" s="80"/>
      <c r="I180" s="80"/>
      <c r="J180" s="80"/>
      <c r="K180" s="80"/>
      <c r="L180" s="80"/>
      <c r="M180" s="80"/>
      <c r="N180" s="80"/>
      <c r="O180" s="80"/>
      <c r="P180" s="80"/>
      <c r="Q180" s="80"/>
      <c r="R180" s="80"/>
      <c r="S180" s="80"/>
      <c r="T180" s="80"/>
      <c r="U180" s="80"/>
      <c r="V180" s="80"/>
      <c r="W180" s="80"/>
      <c r="X180" s="80"/>
      <c r="Y180" s="80"/>
      <c r="Z180" s="80"/>
    </row>
    <row r="181">
      <c r="A181" s="135">
        <v>45697.0</v>
      </c>
      <c r="B181" s="136">
        <v>-1.0</v>
      </c>
      <c r="C181" s="127"/>
      <c r="D181" s="126"/>
      <c r="E181" s="126"/>
      <c r="F181" s="127">
        <v>0.13</v>
      </c>
      <c r="G181" s="80"/>
      <c r="H181" s="80"/>
      <c r="I181" s="80"/>
      <c r="J181" s="80"/>
      <c r="K181" s="80"/>
      <c r="L181" s="80"/>
      <c r="M181" s="80"/>
      <c r="N181" s="80"/>
      <c r="O181" s="80"/>
      <c r="P181" s="80"/>
      <c r="Q181" s="80"/>
      <c r="R181" s="80"/>
      <c r="S181" s="80"/>
      <c r="T181" s="80"/>
      <c r="U181" s="80"/>
      <c r="V181" s="80"/>
      <c r="W181" s="80"/>
      <c r="X181" s="80"/>
      <c r="Y181" s="80"/>
      <c r="Z181" s="80"/>
    </row>
    <row r="182">
      <c r="A182" s="135">
        <v>45698.0</v>
      </c>
      <c r="B182" s="136">
        <v>-1.0</v>
      </c>
      <c r="C182" s="127"/>
      <c r="D182" s="126"/>
      <c r="E182" s="126"/>
      <c r="F182" s="127">
        <v>0.13</v>
      </c>
      <c r="G182" s="80"/>
      <c r="H182" s="80"/>
      <c r="I182" s="80"/>
      <c r="J182" s="80"/>
      <c r="K182" s="80"/>
      <c r="L182" s="80"/>
      <c r="M182" s="80"/>
      <c r="N182" s="80"/>
      <c r="O182" s="80"/>
      <c r="P182" s="80"/>
      <c r="Q182" s="80"/>
      <c r="R182" s="80"/>
      <c r="S182" s="80"/>
      <c r="T182" s="80"/>
      <c r="U182" s="80"/>
      <c r="V182" s="80"/>
      <c r="W182" s="80"/>
      <c r="X182" s="80"/>
      <c r="Y182" s="80"/>
      <c r="Z182" s="80"/>
    </row>
    <row r="183">
      <c r="A183" s="135">
        <v>45699.0</v>
      </c>
      <c r="B183" s="136">
        <v>-1.0</v>
      </c>
      <c r="C183" s="127"/>
      <c r="D183" s="126"/>
      <c r="E183" s="126"/>
      <c r="F183" s="127">
        <v>0.13</v>
      </c>
      <c r="G183" s="80"/>
      <c r="H183" s="80"/>
      <c r="I183" s="80"/>
      <c r="J183" s="80"/>
      <c r="K183" s="80"/>
      <c r="L183" s="80"/>
      <c r="M183" s="80"/>
      <c r="N183" s="80"/>
      <c r="O183" s="80"/>
      <c r="P183" s="80"/>
      <c r="Q183" s="80"/>
      <c r="R183" s="80"/>
      <c r="S183" s="80"/>
      <c r="T183" s="80"/>
      <c r="U183" s="80"/>
      <c r="V183" s="80"/>
      <c r="W183" s="80"/>
      <c r="X183" s="80"/>
      <c r="Y183" s="80"/>
      <c r="Z183" s="80"/>
    </row>
    <row r="184">
      <c r="A184" s="135">
        <v>45700.0</v>
      </c>
      <c r="B184" s="136">
        <v>-1.0</v>
      </c>
      <c r="C184" s="127"/>
      <c r="D184" s="126"/>
      <c r="E184" s="126"/>
      <c r="F184" s="127">
        <v>0.13</v>
      </c>
      <c r="G184" s="80"/>
      <c r="H184" s="80"/>
      <c r="I184" s="80"/>
      <c r="J184" s="80"/>
      <c r="K184" s="80"/>
      <c r="L184" s="80"/>
      <c r="M184" s="80"/>
      <c r="N184" s="80"/>
      <c r="O184" s="80"/>
      <c r="P184" s="80"/>
      <c r="Q184" s="80"/>
      <c r="R184" s="80"/>
      <c r="S184" s="80"/>
      <c r="T184" s="80"/>
      <c r="U184" s="80"/>
      <c r="V184" s="80"/>
      <c r="W184" s="80"/>
      <c r="X184" s="80"/>
      <c r="Y184" s="80"/>
      <c r="Z184" s="80"/>
    </row>
    <row r="185">
      <c r="A185" s="135">
        <v>45701.0</v>
      </c>
      <c r="B185" s="136">
        <v>-1.0</v>
      </c>
      <c r="C185" s="127"/>
      <c r="D185" s="126"/>
      <c r="E185" s="126"/>
      <c r="F185" s="127">
        <v>0.13</v>
      </c>
      <c r="G185" s="80"/>
      <c r="H185" s="80"/>
      <c r="I185" s="80"/>
      <c r="J185" s="80"/>
      <c r="K185" s="80"/>
      <c r="L185" s="80"/>
      <c r="M185" s="80"/>
      <c r="N185" s="80"/>
      <c r="O185" s="80"/>
      <c r="P185" s="80"/>
      <c r="Q185" s="80"/>
      <c r="R185" s="80"/>
      <c r="S185" s="80"/>
      <c r="T185" s="80"/>
      <c r="U185" s="80"/>
      <c r="V185" s="80"/>
      <c r="W185" s="80"/>
      <c r="X185" s="80"/>
      <c r="Y185" s="80"/>
      <c r="Z185" s="80"/>
    </row>
    <row r="186">
      <c r="A186" s="135">
        <v>45702.0</v>
      </c>
      <c r="B186" s="136">
        <v>-1.0</v>
      </c>
      <c r="C186" s="127"/>
      <c r="D186" s="126"/>
      <c r="E186" s="126"/>
      <c r="F186" s="127">
        <v>0.22</v>
      </c>
      <c r="G186" s="80"/>
      <c r="H186" s="80"/>
      <c r="I186" s="80"/>
      <c r="J186" s="80"/>
      <c r="K186" s="80"/>
      <c r="L186" s="80"/>
      <c r="M186" s="80"/>
      <c r="N186" s="80"/>
      <c r="O186" s="80"/>
      <c r="P186" s="80"/>
      <c r="Q186" s="80"/>
      <c r="R186" s="80"/>
      <c r="S186" s="80"/>
      <c r="T186" s="80"/>
      <c r="U186" s="80"/>
      <c r="V186" s="80"/>
      <c r="W186" s="80"/>
      <c r="X186" s="80"/>
      <c r="Y186" s="80"/>
      <c r="Z186" s="80"/>
    </row>
    <row r="187">
      <c r="A187" s="135">
        <v>45703.0</v>
      </c>
      <c r="B187" s="136">
        <v>-1.0</v>
      </c>
      <c r="C187" s="127"/>
      <c r="D187" s="126"/>
      <c r="E187" s="126"/>
      <c r="F187" s="127">
        <v>0.22</v>
      </c>
      <c r="G187" s="80"/>
      <c r="H187" s="80"/>
      <c r="I187" s="80"/>
      <c r="J187" s="80"/>
      <c r="K187" s="80"/>
      <c r="L187" s="80"/>
      <c r="M187" s="80"/>
      <c r="N187" s="80"/>
      <c r="O187" s="80"/>
      <c r="P187" s="80"/>
      <c r="Q187" s="80"/>
      <c r="R187" s="80"/>
      <c r="S187" s="80"/>
      <c r="T187" s="80"/>
      <c r="U187" s="80"/>
      <c r="V187" s="80"/>
      <c r="W187" s="80"/>
      <c r="X187" s="80"/>
      <c r="Y187" s="80"/>
      <c r="Z187" s="80"/>
    </row>
    <row r="188">
      <c r="A188" s="135">
        <v>45704.0</v>
      </c>
      <c r="B188" s="136">
        <v>-1.0</v>
      </c>
      <c r="C188" s="127"/>
      <c r="D188" s="126"/>
      <c r="E188" s="126"/>
      <c r="F188" s="127">
        <v>0.22</v>
      </c>
      <c r="G188" s="80"/>
      <c r="H188" s="80"/>
      <c r="I188" s="80"/>
      <c r="J188" s="80"/>
      <c r="K188" s="80"/>
      <c r="L188" s="80"/>
      <c r="M188" s="80"/>
      <c r="N188" s="80"/>
      <c r="O188" s="80"/>
      <c r="P188" s="80"/>
      <c r="Q188" s="80"/>
      <c r="R188" s="80"/>
      <c r="S188" s="80"/>
      <c r="T188" s="80"/>
      <c r="U188" s="80"/>
      <c r="V188" s="80"/>
      <c r="W188" s="80"/>
      <c r="X188" s="80"/>
      <c r="Y188" s="80"/>
      <c r="Z188" s="80"/>
    </row>
    <row r="189">
      <c r="A189" s="135">
        <v>45705.0</v>
      </c>
      <c r="B189" s="136">
        <v>-1.0</v>
      </c>
      <c r="C189" s="127"/>
      <c r="D189" s="126"/>
      <c r="E189" s="126"/>
      <c r="F189" s="127">
        <v>0.22</v>
      </c>
      <c r="G189" s="80"/>
      <c r="H189" s="80"/>
      <c r="I189" s="80"/>
      <c r="J189" s="80"/>
      <c r="K189" s="80"/>
      <c r="L189" s="80"/>
      <c r="M189" s="80"/>
      <c r="N189" s="80"/>
      <c r="O189" s="80"/>
      <c r="P189" s="80"/>
      <c r="Q189" s="80"/>
      <c r="R189" s="80"/>
      <c r="S189" s="80"/>
      <c r="T189" s="80"/>
      <c r="U189" s="80"/>
      <c r="V189" s="80"/>
      <c r="W189" s="80"/>
      <c r="X189" s="80"/>
      <c r="Y189" s="80"/>
      <c r="Z189" s="80"/>
    </row>
    <row r="190">
      <c r="A190" s="135">
        <v>45706.0</v>
      </c>
      <c r="B190" s="136">
        <v>-1.0</v>
      </c>
      <c r="C190" s="127"/>
      <c r="D190" s="126"/>
      <c r="E190" s="126"/>
      <c r="F190" s="127">
        <v>0.22</v>
      </c>
      <c r="G190" s="80"/>
      <c r="H190" s="80"/>
      <c r="I190" s="80"/>
      <c r="J190" s="80"/>
      <c r="K190" s="80"/>
      <c r="L190" s="80"/>
      <c r="M190" s="80"/>
      <c r="N190" s="80"/>
      <c r="O190" s="80"/>
      <c r="P190" s="80"/>
      <c r="Q190" s="80"/>
      <c r="R190" s="80"/>
      <c r="S190" s="80"/>
      <c r="T190" s="80"/>
      <c r="U190" s="80"/>
      <c r="V190" s="80"/>
      <c r="W190" s="80"/>
      <c r="X190" s="80"/>
      <c r="Y190" s="80"/>
      <c r="Z190" s="80"/>
    </row>
    <row r="191">
      <c r="A191" s="135">
        <v>45707.0</v>
      </c>
      <c r="B191" s="136">
        <v>-1.0</v>
      </c>
      <c r="C191" s="127"/>
      <c r="D191" s="126"/>
      <c r="E191" s="126"/>
      <c r="F191" s="127">
        <v>0.22</v>
      </c>
      <c r="G191" s="80"/>
      <c r="H191" s="80"/>
      <c r="I191" s="80"/>
      <c r="J191" s="80"/>
      <c r="K191" s="80"/>
      <c r="L191" s="80"/>
      <c r="M191" s="80"/>
      <c r="N191" s="80"/>
      <c r="O191" s="80"/>
      <c r="P191" s="80"/>
      <c r="Q191" s="80"/>
      <c r="R191" s="80"/>
      <c r="S191" s="80"/>
      <c r="T191" s="80"/>
      <c r="U191" s="80"/>
      <c r="V191" s="80"/>
      <c r="W191" s="80"/>
      <c r="X191" s="80"/>
      <c r="Y191" s="80"/>
      <c r="Z191" s="80"/>
    </row>
    <row r="192">
      <c r="A192" s="135">
        <v>45708.0</v>
      </c>
      <c r="B192" s="136">
        <v>-1.0</v>
      </c>
      <c r="C192" s="127"/>
      <c r="D192" s="126"/>
      <c r="E192" s="126"/>
      <c r="F192" s="127">
        <v>0.34</v>
      </c>
      <c r="G192" s="80"/>
      <c r="H192" s="80"/>
      <c r="I192" s="80"/>
      <c r="J192" s="80"/>
      <c r="K192" s="80"/>
      <c r="L192" s="80"/>
      <c r="M192" s="80"/>
      <c r="N192" s="80"/>
      <c r="O192" s="80"/>
      <c r="P192" s="80"/>
      <c r="Q192" s="80"/>
      <c r="R192" s="80"/>
      <c r="S192" s="80"/>
      <c r="T192" s="80"/>
      <c r="U192" s="80"/>
      <c r="V192" s="80"/>
      <c r="W192" s="80"/>
      <c r="X192" s="80"/>
      <c r="Y192" s="80"/>
      <c r="Z192" s="80"/>
    </row>
    <row r="193">
      <c r="A193" s="135">
        <v>45709.0</v>
      </c>
      <c r="B193" s="136">
        <v>-1.0</v>
      </c>
      <c r="C193" s="127"/>
      <c r="D193" s="126"/>
      <c r="E193" s="126"/>
      <c r="F193" s="127">
        <v>0.22</v>
      </c>
      <c r="G193" s="80"/>
      <c r="H193" s="80"/>
      <c r="I193" s="80"/>
      <c r="J193" s="80"/>
      <c r="K193" s="80"/>
      <c r="L193" s="80"/>
      <c r="M193" s="80"/>
      <c r="N193" s="80"/>
      <c r="O193" s="80"/>
      <c r="P193" s="80"/>
      <c r="Q193" s="80"/>
      <c r="R193" s="80"/>
      <c r="S193" s="80"/>
      <c r="T193" s="80"/>
      <c r="U193" s="80"/>
      <c r="V193" s="80"/>
      <c r="W193" s="80"/>
      <c r="X193" s="80"/>
      <c r="Y193" s="80"/>
      <c r="Z193" s="80"/>
    </row>
    <row r="194">
      <c r="A194" s="135">
        <v>45710.0</v>
      </c>
      <c r="B194" s="136">
        <v>-1.0</v>
      </c>
      <c r="C194" s="127"/>
      <c r="D194" s="126"/>
      <c r="E194" s="126"/>
      <c r="F194" s="127">
        <v>0.22</v>
      </c>
      <c r="G194" s="80"/>
      <c r="H194" s="80"/>
      <c r="I194" s="80"/>
      <c r="J194" s="80"/>
      <c r="K194" s="80"/>
      <c r="L194" s="80"/>
      <c r="M194" s="80"/>
      <c r="N194" s="80"/>
      <c r="O194" s="80"/>
      <c r="P194" s="80"/>
      <c r="Q194" s="80"/>
      <c r="R194" s="80"/>
      <c r="S194" s="80"/>
      <c r="T194" s="80"/>
      <c r="U194" s="80"/>
      <c r="V194" s="80"/>
      <c r="W194" s="80"/>
      <c r="X194" s="80"/>
      <c r="Y194" s="80"/>
      <c r="Z194" s="80"/>
    </row>
    <row r="195">
      <c r="A195" s="135">
        <v>45711.0</v>
      </c>
      <c r="B195" s="136">
        <v>-1.0</v>
      </c>
      <c r="C195" s="127"/>
      <c r="D195" s="126"/>
      <c r="E195" s="126"/>
      <c r="F195" s="127">
        <v>0.22</v>
      </c>
      <c r="G195" s="80"/>
      <c r="H195" s="80"/>
      <c r="I195" s="80"/>
      <c r="J195" s="80"/>
      <c r="K195" s="80"/>
      <c r="L195" s="80"/>
      <c r="M195" s="80"/>
      <c r="N195" s="80"/>
      <c r="O195" s="80"/>
      <c r="P195" s="80"/>
      <c r="Q195" s="80"/>
      <c r="R195" s="80"/>
      <c r="S195" s="80"/>
      <c r="T195" s="80"/>
      <c r="U195" s="80"/>
      <c r="V195" s="80"/>
      <c r="W195" s="80"/>
      <c r="X195" s="80"/>
      <c r="Y195" s="80"/>
      <c r="Z195" s="80"/>
    </row>
    <row r="196">
      <c r="A196" s="135">
        <v>45712.0</v>
      </c>
      <c r="B196" s="136">
        <v>-1.0</v>
      </c>
      <c r="C196" s="127"/>
      <c r="D196" s="126"/>
      <c r="E196" s="126"/>
      <c r="F196" s="127">
        <v>0.34</v>
      </c>
      <c r="G196" s="80"/>
      <c r="H196" s="80"/>
      <c r="I196" s="80"/>
      <c r="J196" s="80"/>
      <c r="K196" s="80"/>
      <c r="L196" s="80"/>
      <c r="M196" s="80"/>
      <c r="N196" s="80"/>
      <c r="O196" s="80"/>
      <c r="P196" s="80"/>
      <c r="Q196" s="80"/>
      <c r="R196" s="80"/>
      <c r="S196" s="80"/>
      <c r="T196" s="80"/>
      <c r="U196" s="80"/>
      <c r="V196" s="80"/>
      <c r="W196" s="80"/>
      <c r="X196" s="80"/>
      <c r="Y196" s="80"/>
      <c r="Z196" s="80"/>
    </row>
    <row r="197">
      <c r="A197" s="135">
        <v>45713.0</v>
      </c>
      <c r="B197" s="136">
        <v>-1.0</v>
      </c>
      <c r="C197" s="127"/>
      <c r="D197" s="126"/>
      <c r="E197" s="126"/>
      <c r="F197" s="127">
        <v>0.34</v>
      </c>
      <c r="G197" s="80"/>
      <c r="H197" s="80"/>
      <c r="I197" s="80"/>
      <c r="J197" s="80"/>
      <c r="K197" s="80"/>
      <c r="L197" s="80"/>
      <c r="M197" s="80"/>
      <c r="N197" s="80"/>
      <c r="O197" s="80"/>
      <c r="P197" s="80"/>
      <c r="Q197" s="80"/>
      <c r="R197" s="80"/>
      <c r="S197" s="80"/>
      <c r="T197" s="80"/>
      <c r="U197" s="80"/>
      <c r="V197" s="80"/>
      <c r="W197" s="80"/>
      <c r="X197" s="80"/>
      <c r="Y197" s="80"/>
      <c r="Z197" s="80"/>
    </row>
    <row r="198">
      <c r="A198" s="135">
        <v>45714.0</v>
      </c>
      <c r="B198" s="136">
        <v>-1.0</v>
      </c>
      <c r="C198" s="127"/>
      <c r="D198" s="126"/>
      <c r="E198" s="126"/>
      <c r="F198" s="127">
        <v>0.09</v>
      </c>
      <c r="G198" s="80"/>
      <c r="H198" s="80"/>
      <c r="I198" s="80"/>
      <c r="J198" s="80"/>
      <c r="K198" s="80"/>
      <c r="L198" s="80"/>
      <c r="M198" s="80"/>
      <c r="N198" s="80"/>
      <c r="O198" s="80"/>
      <c r="P198" s="80"/>
      <c r="Q198" s="80"/>
      <c r="R198" s="80"/>
      <c r="S198" s="80"/>
      <c r="T198" s="80"/>
      <c r="U198" s="80"/>
      <c r="V198" s="80"/>
      <c r="W198" s="80"/>
      <c r="X198" s="80"/>
      <c r="Y198" s="80"/>
      <c r="Z198" s="80"/>
    </row>
    <row r="199">
      <c r="A199" s="135">
        <v>45715.0</v>
      </c>
      <c r="B199" s="136">
        <v>-1.0</v>
      </c>
      <c r="C199" s="127"/>
      <c r="D199" s="126"/>
      <c r="E199" s="126"/>
      <c r="F199" s="127">
        <v>-0.28</v>
      </c>
      <c r="G199" s="80"/>
      <c r="H199" s="80"/>
      <c r="I199" s="80"/>
      <c r="J199" s="80"/>
      <c r="K199" s="80"/>
      <c r="L199" s="80"/>
      <c r="M199" s="80"/>
      <c r="N199" s="80"/>
      <c r="O199" s="80"/>
      <c r="P199" s="80"/>
      <c r="Q199" s="80"/>
      <c r="R199" s="80"/>
      <c r="S199" s="80"/>
      <c r="T199" s="80"/>
      <c r="U199" s="80"/>
      <c r="V199" s="80"/>
      <c r="W199" s="80"/>
      <c r="X199" s="80"/>
      <c r="Y199" s="80"/>
      <c r="Z199" s="80"/>
    </row>
    <row r="200">
      <c r="A200" s="135">
        <v>45716.0</v>
      </c>
      <c r="B200" s="136">
        <v>-1.0</v>
      </c>
      <c r="C200" s="127"/>
      <c r="D200" s="126"/>
      <c r="E200" s="126"/>
      <c r="F200" s="127">
        <v>-0.41</v>
      </c>
      <c r="G200" s="80"/>
      <c r="H200" s="80"/>
      <c r="I200" s="80"/>
      <c r="J200" s="80"/>
      <c r="K200" s="80"/>
      <c r="L200" s="80"/>
      <c r="M200" s="80"/>
      <c r="N200" s="80"/>
      <c r="O200" s="80"/>
      <c r="P200" s="80"/>
      <c r="Q200" s="80"/>
      <c r="R200" s="80"/>
      <c r="S200" s="80"/>
      <c r="T200" s="80"/>
      <c r="U200" s="80"/>
      <c r="V200" s="80"/>
      <c r="W200" s="80"/>
      <c r="X200" s="80"/>
      <c r="Y200" s="80"/>
      <c r="Z200" s="80"/>
    </row>
    <row r="201">
      <c r="A201" s="135">
        <v>45717.0</v>
      </c>
      <c r="B201" s="136">
        <v>-1.0</v>
      </c>
      <c r="C201" s="126"/>
      <c r="D201" s="126"/>
      <c r="E201" s="126"/>
      <c r="F201" s="127">
        <v>-0.41</v>
      </c>
      <c r="G201" s="80"/>
      <c r="H201" s="80"/>
      <c r="I201" s="80"/>
      <c r="J201" s="80"/>
      <c r="K201" s="80"/>
      <c r="L201" s="80"/>
      <c r="M201" s="80"/>
      <c r="N201" s="80"/>
      <c r="O201" s="80"/>
      <c r="P201" s="80"/>
      <c r="Q201" s="80"/>
      <c r="R201" s="80"/>
      <c r="S201" s="80"/>
      <c r="T201" s="80"/>
      <c r="U201" s="80"/>
      <c r="V201" s="80"/>
      <c r="W201" s="80"/>
      <c r="X201" s="80"/>
      <c r="Y201" s="80"/>
      <c r="Z201" s="80"/>
    </row>
    <row r="202">
      <c r="A202" s="135">
        <v>45718.0</v>
      </c>
      <c r="B202" s="136">
        <v>-1.0</v>
      </c>
      <c r="C202" s="126"/>
      <c r="D202" s="126"/>
      <c r="E202" s="126"/>
      <c r="F202" s="127">
        <v>-0.41</v>
      </c>
      <c r="G202" s="80"/>
      <c r="H202" s="80"/>
      <c r="I202" s="80"/>
      <c r="J202" s="80"/>
      <c r="K202" s="80"/>
      <c r="L202" s="80"/>
      <c r="M202" s="80"/>
      <c r="N202" s="80"/>
      <c r="O202" s="80"/>
      <c r="P202" s="80"/>
      <c r="Q202" s="80"/>
      <c r="R202" s="80"/>
      <c r="S202" s="80"/>
      <c r="T202" s="80"/>
      <c r="U202" s="80"/>
      <c r="V202" s="80"/>
      <c r="W202" s="80"/>
      <c r="X202" s="80"/>
      <c r="Y202" s="80"/>
      <c r="Z202" s="80"/>
    </row>
    <row r="203">
      <c r="A203" s="135">
        <v>45719.0</v>
      </c>
      <c r="B203" s="136">
        <v>-1.0</v>
      </c>
      <c r="C203" s="126"/>
      <c r="D203" s="126"/>
      <c r="E203" s="126"/>
      <c r="F203" s="127">
        <v>-0.41</v>
      </c>
      <c r="G203" s="80"/>
      <c r="H203" s="80"/>
      <c r="I203" s="80"/>
      <c r="J203" s="80"/>
      <c r="K203" s="80"/>
      <c r="L203" s="80"/>
      <c r="M203" s="80"/>
      <c r="N203" s="80"/>
      <c r="O203" s="80"/>
      <c r="P203" s="80"/>
      <c r="Q203" s="80"/>
      <c r="R203" s="80"/>
      <c r="S203" s="80"/>
      <c r="T203" s="80"/>
      <c r="U203" s="80"/>
      <c r="V203" s="80"/>
      <c r="W203" s="80"/>
      <c r="X203" s="80"/>
      <c r="Y203" s="80"/>
      <c r="Z203" s="80"/>
    </row>
    <row r="204">
      <c r="A204" s="135">
        <v>45720.0</v>
      </c>
      <c r="B204" s="136">
        <v>-1.0</v>
      </c>
      <c r="C204" s="126"/>
      <c r="D204" s="126"/>
      <c r="E204" s="126"/>
      <c r="F204" s="127">
        <v>-0.41</v>
      </c>
      <c r="G204" s="80"/>
      <c r="H204" s="80"/>
      <c r="I204" s="80"/>
      <c r="J204" s="80"/>
      <c r="K204" s="80"/>
      <c r="L204" s="80"/>
      <c r="M204" s="80"/>
      <c r="N204" s="80"/>
      <c r="O204" s="80"/>
      <c r="P204" s="80"/>
      <c r="Q204" s="80"/>
      <c r="R204" s="80"/>
      <c r="S204" s="80"/>
      <c r="T204" s="80"/>
      <c r="U204" s="80"/>
      <c r="V204" s="80"/>
      <c r="W204" s="80"/>
      <c r="X204" s="80"/>
      <c r="Y204" s="80"/>
      <c r="Z204" s="80"/>
    </row>
    <row r="205">
      <c r="A205" s="135">
        <v>45721.0</v>
      </c>
      <c r="B205" s="136">
        <v>-1.0</v>
      </c>
      <c r="C205" s="126"/>
      <c r="D205" s="126"/>
      <c r="E205" s="126"/>
      <c r="F205" s="127">
        <v>-0.41</v>
      </c>
      <c r="G205" s="80"/>
      <c r="H205" s="80"/>
      <c r="I205" s="80"/>
      <c r="J205" s="80"/>
      <c r="K205" s="80"/>
      <c r="L205" s="80"/>
      <c r="M205" s="80"/>
      <c r="N205" s="80"/>
      <c r="O205" s="80"/>
      <c r="P205" s="80"/>
      <c r="Q205" s="80"/>
      <c r="R205" s="80"/>
      <c r="S205" s="80"/>
      <c r="T205" s="80"/>
      <c r="U205" s="80"/>
      <c r="V205" s="80"/>
      <c r="W205" s="80"/>
      <c r="X205" s="80"/>
      <c r="Y205" s="80"/>
      <c r="Z205" s="80"/>
    </row>
    <row r="206">
      <c r="A206" s="135">
        <v>45722.0</v>
      </c>
      <c r="B206" s="136">
        <v>-1.0</v>
      </c>
      <c r="C206" s="126"/>
      <c r="D206" s="126"/>
      <c r="E206" s="126"/>
      <c r="F206" s="127">
        <v>-0.41</v>
      </c>
      <c r="G206" s="80"/>
      <c r="H206" s="80"/>
      <c r="I206" s="80"/>
      <c r="J206" s="80"/>
      <c r="K206" s="80"/>
      <c r="L206" s="80"/>
      <c r="M206" s="80"/>
      <c r="N206" s="80"/>
      <c r="O206" s="80"/>
      <c r="P206" s="80"/>
      <c r="Q206" s="80"/>
      <c r="R206" s="80"/>
      <c r="S206" s="80"/>
      <c r="T206" s="80"/>
      <c r="U206" s="80"/>
      <c r="V206" s="80"/>
      <c r="W206" s="80"/>
      <c r="X206" s="80"/>
      <c r="Y206" s="80"/>
      <c r="Z206" s="80"/>
    </row>
    <row r="207">
      <c r="A207" s="135">
        <v>45723.0</v>
      </c>
      <c r="B207" s="136">
        <v>-1.0</v>
      </c>
      <c r="C207" s="126"/>
      <c r="D207" s="126"/>
      <c r="E207" s="126"/>
      <c r="F207" s="127">
        <v>-0.41</v>
      </c>
      <c r="G207" s="80"/>
      <c r="H207" s="80"/>
      <c r="I207" s="80"/>
      <c r="J207" s="80"/>
      <c r="K207" s="80"/>
      <c r="L207" s="80"/>
      <c r="M207" s="80"/>
      <c r="N207" s="80"/>
      <c r="O207" s="80"/>
      <c r="P207" s="80"/>
      <c r="Q207" s="80"/>
      <c r="R207" s="80"/>
      <c r="S207" s="80"/>
      <c r="T207" s="80"/>
      <c r="U207" s="80"/>
      <c r="V207" s="80"/>
      <c r="W207" s="80"/>
      <c r="X207" s="80"/>
      <c r="Y207" s="80"/>
      <c r="Z207" s="80"/>
    </row>
    <row r="208">
      <c r="A208" s="135">
        <v>45724.0</v>
      </c>
      <c r="B208" s="136">
        <v>-1.0</v>
      </c>
      <c r="C208" s="126"/>
      <c r="D208" s="126"/>
      <c r="E208" s="126"/>
      <c r="F208" s="127">
        <v>-0.41</v>
      </c>
      <c r="G208" s="80"/>
      <c r="H208" s="80"/>
      <c r="I208" s="80"/>
      <c r="J208" s="80"/>
      <c r="K208" s="80"/>
      <c r="L208" s="80"/>
      <c r="M208" s="80"/>
      <c r="N208" s="80"/>
      <c r="O208" s="80"/>
      <c r="P208" s="80"/>
      <c r="Q208" s="80"/>
      <c r="R208" s="80"/>
      <c r="S208" s="80"/>
      <c r="T208" s="80"/>
      <c r="U208" s="80"/>
      <c r="V208" s="80"/>
      <c r="W208" s="80"/>
      <c r="X208" s="80"/>
      <c r="Y208" s="80"/>
      <c r="Z208" s="80"/>
    </row>
    <row r="209">
      <c r="A209" s="135">
        <v>45725.0</v>
      </c>
      <c r="B209" s="136">
        <v>-1.0</v>
      </c>
      <c r="C209" s="126"/>
      <c r="D209" s="126"/>
      <c r="E209" s="126"/>
      <c r="F209" s="127">
        <v>-0.53</v>
      </c>
      <c r="G209" s="80"/>
      <c r="H209" s="80"/>
      <c r="I209" s="80"/>
      <c r="J209" s="80"/>
      <c r="K209" s="80"/>
      <c r="L209" s="80"/>
      <c r="M209" s="80"/>
      <c r="N209" s="80"/>
      <c r="O209" s="80"/>
      <c r="P209" s="80"/>
      <c r="Q209" s="80"/>
      <c r="R209" s="80"/>
      <c r="S209" s="80"/>
      <c r="T209" s="80"/>
      <c r="U209" s="80"/>
      <c r="V209" s="80"/>
      <c r="W209" s="80"/>
      <c r="X209" s="80"/>
      <c r="Y209" s="80"/>
      <c r="Z209" s="80"/>
    </row>
    <row r="210">
      <c r="A210" s="135">
        <v>45726.0</v>
      </c>
      <c r="B210" s="136">
        <v>-1.0</v>
      </c>
      <c r="C210" s="126"/>
      <c r="D210" s="126"/>
      <c r="E210" s="126"/>
      <c r="F210" s="127">
        <v>-0.53</v>
      </c>
      <c r="G210" s="80"/>
      <c r="H210" s="80"/>
      <c r="I210" s="80"/>
      <c r="J210" s="80"/>
      <c r="K210" s="80"/>
      <c r="L210" s="80"/>
      <c r="M210" s="80"/>
      <c r="N210" s="80"/>
      <c r="O210" s="80"/>
      <c r="P210" s="80"/>
      <c r="Q210" s="80"/>
      <c r="R210" s="80"/>
      <c r="S210" s="80"/>
      <c r="T210" s="80"/>
      <c r="U210" s="80"/>
      <c r="V210" s="80"/>
      <c r="W210" s="80"/>
      <c r="X210" s="80"/>
      <c r="Y210" s="80"/>
      <c r="Z210" s="80"/>
    </row>
    <row r="211">
      <c r="A211" s="135">
        <v>45727.0</v>
      </c>
      <c r="B211" s="136">
        <v>-1.0</v>
      </c>
      <c r="C211" s="126"/>
      <c r="D211" s="126"/>
      <c r="E211" s="126"/>
      <c r="F211" s="127">
        <v>-0.66</v>
      </c>
      <c r="G211" s="80"/>
      <c r="H211" s="80"/>
      <c r="I211" s="80"/>
      <c r="J211" s="80"/>
      <c r="K211" s="80"/>
      <c r="L211" s="80"/>
      <c r="M211" s="80"/>
      <c r="N211" s="80"/>
      <c r="O211" s="80"/>
      <c r="P211" s="80"/>
      <c r="Q211" s="80"/>
      <c r="R211" s="80"/>
      <c r="S211" s="80"/>
      <c r="T211" s="80"/>
      <c r="U211" s="80"/>
      <c r="V211" s="80"/>
      <c r="W211" s="80"/>
      <c r="X211" s="80"/>
      <c r="Y211" s="80"/>
      <c r="Z211" s="80"/>
    </row>
    <row r="212">
      <c r="A212" s="135">
        <v>45728.0</v>
      </c>
      <c r="B212" s="136">
        <v>-1.0</v>
      </c>
      <c r="C212" s="126"/>
      <c r="D212" s="126"/>
      <c r="E212" s="126"/>
      <c r="F212" s="127">
        <v>-0.66</v>
      </c>
      <c r="G212" s="80"/>
      <c r="H212" s="80"/>
      <c r="I212" s="80"/>
      <c r="J212" s="80"/>
      <c r="K212" s="80"/>
      <c r="L212" s="80"/>
      <c r="M212" s="80"/>
      <c r="N212" s="80"/>
      <c r="O212" s="80"/>
      <c r="P212" s="80"/>
      <c r="Q212" s="80"/>
      <c r="R212" s="80"/>
      <c r="S212" s="80"/>
      <c r="T212" s="80"/>
      <c r="U212" s="80"/>
      <c r="V212" s="80"/>
      <c r="W212" s="80"/>
      <c r="X212" s="80"/>
      <c r="Y212" s="80"/>
      <c r="Z212" s="80"/>
    </row>
    <row r="213">
      <c r="A213" s="135">
        <v>45729.0</v>
      </c>
      <c r="B213" s="136">
        <v>-1.0</v>
      </c>
      <c r="C213" s="126"/>
      <c r="D213" s="126"/>
      <c r="E213" s="126"/>
      <c r="F213" s="127">
        <v>-0.66</v>
      </c>
      <c r="G213" s="80"/>
      <c r="H213" s="80"/>
      <c r="I213" s="80"/>
      <c r="J213" s="80"/>
      <c r="K213" s="80"/>
      <c r="L213" s="80"/>
      <c r="M213" s="80"/>
      <c r="N213" s="80"/>
      <c r="O213" s="80"/>
      <c r="P213" s="80"/>
      <c r="Q213" s="80"/>
      <c r="R213" s="80"/>
      <c r="S213" s="80"/>
      <c r="T213" s="80"/>
      <c r="U213" s="80"/>
      <c r="V213" s="80"/>
      <c r="W213" s="80"/>
      <c r="X213" s="80"/>
      <c r="Y213" s="80"/>
      <c r="Z213" s="80"/>
    </row>
    <row r="214">
      <c r="A214" s="135">
        <v>45730.0</v>
      </c>
      <c r="B214" s="136">
        <v>-1.0</v>
      </c>
      <c r="C214" s="126"/>
      <c r="D214" s="126"/>
      <c r="E214" s="126"/>
      <c r="F214" s="127">
        <v>-0.66</v>
      </c>
      <c r="G214" s="80"/>
      <c r="H214" s="80"/>
      <c r="I214" s="80"/>
      <c r="J214" s="80"/>
      <c r="K214" s="80"/>
      <c r="L214" s="80"/>
      <c r="M214" s="80"/>
      <c r="N214" s="80"/>
      <c r="O214" s="80"/>
      <c r="P214" s="80"/>
      <c r="Q214" s="80"/>
      <c r="R214" s="80"/>
      <c r="S214" s="80"/>
      <c r="T214" s="80"/>
      <c r="U214" s="80"/>
      <c r="V214" s="80"/>
      <c r="W214" s="80"/>
      <c r="X214" s="80"/>
      <c r="Y214" s="80"/>
      <c r="Z214" s="80"/>
    </row>
    <row r="215">
      <c r="A215" s="135">
        <v>45731.0</v>
      </c>
      <c r="B215" s="136">
        <v>-1.0</v>
      </c>
      <c r="C215" s="126"/>
      <c r="D215" s="126"/>
      <c r="E215" s="126"/>
      <c r="F215" s="127">
        <v>-0.66</v>
      </c>
      <c r="G215" s="80"/>
      <c r="H215" s="80"/>
      <c r="I215" s="80"/>
      <c r="J215" s="80"/>
      <c r="K215" s="80"/>
      <c r="L215" s="80"/>
      <c r="M215" s="80"/>
      <c r="N215" s="80"/>
      <c r="O215" s="80"/>
      <c r="P215" s="80"/>
      <c r="Q215" s="80"/>
      <c r="R215" s="80"/>
      <c r="S215" s="80"/>
      <c r="T215" s="80"/>
      <c r="U215" s="80"/>
      <c r="V215" s="80"/>
      <c r="W215" s="80"/>
      <c r="X215" s="80"/>
      <c r="Y215" s="80"/>
      <c r="Z215" s="80"/>
    </row>
    <row r="216">
      <c r="A216" s="135">
        <v>45732.0</v>
      </c>
      <c r="B216" s="136">
        <v>-1.0</v>
      </c>
      <c r="C216" s="126"/>
      <c r="D216" s="126"/>
      <c r="E216" s="126"/>
      <c r="F216" s="127">
        <v>-0.66</v>
      </c>
      <c r="G216" s="80"/>
      <c r="H216" s="80"/>
      <c r="I216" s="80"/>
      <c r="J216" s="80"/>
      <c r="K216" s="80"/>
      <c r="L216" s="80"/>
      <c r="M216" s="80"/>
      <c r="N216" s="80"/>
      <c r="O216" s="80"/>
      <c r="P216" s="80"/>
      <c r="Q216" s="80"/>
      <c r="R216" s="80"/>
      <c r="S216" s="80"/>
      <c r="T216" s="80"/>
      <c r="U216" s="80"/>
      <c r="V216" s="80"/>
      <c r="W216" s="80"/>
      <c r="X216" s="80"/>
      <c r="Y216" s="80"/>
      <c r="Z216" s="80"/>
    </row>
    <row r="217">
      <c r="A217" s="135">
        <v>45733.0</v>
      </c>
      <c r="B217" s="136">
        <v>-1.0</v>
      </c>
      <c r="C217" s="126"/>
      <c r="D217" s="126"/>
      <c r="E217" s="126"/>
      <c r="F217" s="127">
        <v>-0.66</v>
      </c>
      <c r="G217" s="80"/>
      <c r="H217" s="80"/>
      <c r="I217" s="80"/>
      <c r="J217" s="80"/>
      <c r="K217" s="80"/>
      <c r="L217" s="80"/>
      <c r="M217" s="80"/>
      <c r="N217" s="80"/>
      <c r="O217" s="80"/>
      <c r="P217" s="80"/>
      <c r="Q217" s="80"/>
      <c r="R217" s="80"/>
      <c r="S217" s="80"/>
      <c r="T217" s="80"/>
      <c r="U217" s="80"/>
      <c r="V217" s="80"/>
      <c r="W217" s="80"/>
      <c r="X217" s="80"/>
      <c r="Y217" s="80"/>
      <c r="Z217" s="80"/>
    </row>
    <row r="218">
      <c r="A218" s="135">
        <v>45734.0</v>
      </c>
      <c r="B218" s="136">
        <v>-1.0</v>
      </c>
      <c r="C218" s="126"/>
      <c r="D218" s="126"/>
      <c r="E218" s="126"/>
      <c r="F218" s="127">
        <v>-0.66</v>
      </c>
      <c r="G218" s="80"/>
      <c r="H218" s="80"/>
      <c r="I218" s="80"/>
      <c r="J218" s="80"/>
      <c r="K218" s="80"/>
      <c r="L218" s="80"/>
      <c r="M218" s="80"/>
      <c r="N218" s="80"/>
      <c r="O218" s="80"/>
      <c r="P218" s="80"/>
      <c r="Q218" s="80"/>
      <c r="R218" s="80"/>
      <c r="S218" s="80"/>
      <c r="T218" s="80"/>
      <c r="U218" s="80"/>
      <c r="V218" s="80"/>
      <c r="W218" s="80"/>
      <c r="X218" s="80"/>
      <c r="Y218" s="80"/>
      <c r="Z218" s="80"/>
    </row>
    <row r="219">
      <c r="A219" s="135">
        <v>45735.0</v>
      </c>
      <c r="B219" s="136">
        <v>-1.0</v>
      </c>
      <c r="C219" s="126"/>
      <c r="D219" s="126"/>
      <c r="E219" s="126"/>
      <c r="F219" s="127">
        <v>-0.28</v>
      </c>
      <c r="G219" s="80"/>
      <c r="H219" s="80"/>
      <c r="I219" s="80"/>
      <c r="J219" s="80"/>
      <c r="K219" s="80"/>
      <c r="L219" s="80"/>
      <c r="M219" s="80"/>
      <c r="N219" s="80"/>
      <c r="O219" s="80"/>
      <c r="P219" s="80"/>
      <c r="Q219" s="80"/>
      <c r="R219" s="80"/>
      <c r="S219" s="80"/>
      <c r="T219" s="80"/>
      <c r="U219" s="80"/>
      <c r="V219" s="80"/>
      <c r="W219" s="80"/>
      <c r="X219" s="80"/>
      <c r="Y219" s="80"/>
      <c r="Z219" s="80"/>
    </row>
    <row r="220">
      <c r="A220" s="135">
        <v>45736.0</v>
      </c>
      <c r="B220" s="136">
        <v>-1.0</v>
      </c>
      <c r="C220" s="126"/>
      <c r="D220" s="126"/>
      <c r="E220" s="126"/>
      <c r="F220" s="127">
        <v>-0.53</v>
      </c>
      <c r="G220" s="80"/>
      <c r="H220" s="80"/>
      <c r="I220" s="80"/>
      <c r="J220" s="80"/>
      <c r="K220" s="80"/>
      <c r="L220" s="80"/>
      <c r="M220" s="80"/>
      <c r="N220" s="80"/>
      <c r="O220" s="80"/>
      <c r="P220" s="80"/>
      <c r="Q220" s="80"/>
      <c r="R220" s="80"/>
      <c r="S220" s="80"/>
      <c r="T220" s="80"/>
      <c r="U220" s="80"/>
      <c r="V220" s="80"/>
      <c r="W220" s="80"/>
      <c r="X220" s="80"/>
      <c r="Y220" s="80"/>
      <c r="Z220" s="80"/>
    </row>
    <row r="221">
      <c r="A221" s="135">
        <v>45737.0</v>
      </c>
      <c r="B221" s="136">
        <v>-1.0</v>
      </c>
      <c r="C221" s="126"/>
      <c r="D221" s="126"/>
      <c r="E221" s="126"/>
      <c r="F221" s="127">
        <v>-0.78</v>
      </c>
      <c r="G221" s="80"/>
      <c r="H221" s="80"/>
      <c r="I221" s="80"/>
      <c r="J221" s="80"/>
      <c r="K221" s="80"/>
      <c r="L221" s="80"/>
      <c r="M221" s="80"/>
      <c r="N221" s="80"/>
      <c r="O221" s="80"/>
      <c r="P221" s="80"/>
      <c r="Q221" s="80"/>
      <c r="R221" s="80"/>
      <c r="S221" s="80"/>
      <c r="T221" s="80"/>
      <c r="U221" s="80"/>
      <c r="V221" s="80"/>
      <c r="W221" s="80"/>
      <c r="X221" s="80"/>
      <c r="Y221" s="80"/>
      <c r="Z221" s="80"/>
    </row>
    <row r="222">
      <c r="A222" s="135">
        <v>45738.0</v>
      </c>
      <c r="B222" s="136">
        <v>-1.0</v>
      </c>
      <c r="C222" s="126"/>
      <c r="D222" s="126"/>
      <c r="E222" s="126"/>
      <c r="F222" s="127">
        <v>-0.78</v>
      </c>
      <c r="G222" s="80"/>
      <c r="H222" s="80"/>
      <c r="I222" s="80"/>
      <c r="J222" s="80"/>
      <c r="K222" s="80"/>
      <c r="L222" s="80"/>
      <c r="M222" s="80"/>
      <c r="N222" s="80"/>
      <c r="O222" s="80"/>
      <c r="P222" s="80"/>
      <c r="Q222" s="80"/>
      <c r="R222" s="80"/>
      <c r="S222" s="80"/>
      <c r="T222" s="80"/>
      <c r="U222" s="80"/>
      <c r="V222" s="80"/>
      <c r="W222" s="80"/>
      <c r="X222" s="80"/>
      <c r="Y222" s="80"/>
      <c r="Z222" s="80"/>
    </row>
    <row r="223">
      <c r="A223" s="135">
        <v>45739.0</v>
      </c>
      <c r="B223" s="136">
        <v>-1.0</v>
      </c>
      <c r="C223" s="126"/>
      <c r="D223" s="126"/>
      <c r="E223" s="126"/>
      <c r="F223" s="127">
        <v>-0.78</v>
      </c>
      <c r="G223" s="80"/>
      <c r="H223" s="80"/>
      <c r="I223" s="80"/>
      <c r="J223" s="80"/>
      <c r="K223" s="80"/>
      <c r="L223" s="80"/>
      <c r="M223" s="80"/>
      <c r="N223" s="80"/>
      <c r="O223" s="80"/>
      <c r="P223" s="80"/>
      <c r="Q223" s="80"/>
      <c r="R223" s="80"/>
      <c r="S223" s="80"/>
      <c r="T223" s="80"/>
      <c r="U223" s="80"/>
      <c r="V223" s="80"/>
      <c r="W223" s="80"/>
      <c r="X223" s="80"/>
      <c r="Y223" s="80"/>
      <c r="Z223" s="80"/>
    </row>
    <row r="224">
      <c r="A224" s="135">
        <v>45740.0</v>
      </c>
      <c r="B224" s="136">
        <v>-1.0</v>
      </c>
      <c r="C224" s="126"/>
      <c r="D224" s="126"/>
      <c r="E224" s="126"/>
      <c r="F224" s="127">
        <v>-0.78</v>
      </c>
      <c r="G224" s="80"/>
      <c r="H224" s="80"/>
      <c r="I224" s="80"/>
      <c r="J224" s="80"/>
      <c r="K224" s="80"/>
      <c r="L224" s="80"/>
      <c r="M224" s="80"/>
      <c r="N224" s="80"/>
      <c r="O224" s="80"/>
      <c r="P224" s="80"/>
      <c r="Q224" s="80"/>
      <c r="R224" s="80"/>
      <c r="S224" s="80"/>
      <c r="T224" s="80"/>
      <c r="U224" s="80"/>
      <c r="V224" s="80"/>
      <c r="W224" s="80"/>
      <c r="X224" s="80"/>
      <c r="Y224" s="80"/>
      <c r="Z224" s="80"/>
    </row>
    <row r="225">
      <c r="A225" s="135">
        <v>45741.0</v>
      </c>
      <c r="B225" s="136">
        <v>-1.0</v>
      </c>
      <c r="C225" s="126"/>
      <c r="D225" s="126"/>
      <c r="E225" s="126"/>
      <c r="F225" s="127">
        <v>-0.78</v>
      </c>
      <c r="G225" s="80"/>
      <c r="H225" s="80"/>
      <c r="I225" s="80"/>
      <c r="J225" s="80"/>
      <c r="K225" s="80"/>
      <c r="L225" s="80"/>
      <c r="M225" s="80"/>
      <c r="N225" s="80"/>
      <c r="O225" s="80"/>
      <c r="P225" s="80"/>
      <c r="Q225" s="80"/>
      <c r="R225" s="80"/>
      <c r="S225" s="80"/>
      <c r="T225" s="80"/>
      <c r="U225" s="80"/>
      <c r="V225" s="80"/>
      <c r="W225" s="80"/>
      <c r="X225" s="80"/>
      <c r="Y225" s="80"/>
      <c r="Z225" s="80"/>
    </row>
    <row r="226">
      <c r="A226" s="135">
        <v>45742.0</v>
      </c>
      <c r="B226" s="136">
        <v>-1.0</v>
      </c>
      <c r="C226" s="126"/>
      <c r="D226" s="126"/>
      <c r="E226" s="126"/>
      <c r="F226" s="127">
        <v>-0.78</v>
      </c>
      <c r="G226" s="80"/>
      <c r="H226" s="80"/>
      <c r="I226" s="80"/>
      <c r="J226" s="80"/>
      <c r="K226" s="80"/>
      <c r="L226" s="80"/>
      <c r="M226" s="80"/>
      <c r="N226" s="80"/>
      <c r="O226" s="80"/>
      <c r="P226" s="80"/>
      <c r="Q226" s="80"/>
      <c r="R226" s="80"/>
      <c r="S226" s="80"/>
      <c r="T226" s="80"/>
      <c r="U226" s="80"/>
      <c r="V226" s="80"/>
      <c r="W226" s="80"/>
      <c r="X226" s="80"/>
      <c r="Y226" s="80"/>
      <c r="Z226" s="80"/>
    </row>
    <row r="227">
      <c r="A227" s="135">
        <v>45743.0</v>
      </c>
      <c r="B227" s="136">
        <v>-1.0</v>
      </c>
      <c r="C227" s="126"/>
      <c r="D227" s="126"/>
      <c r="E227" s="126"/>
      <c r="F227" s="127">
        <v>-0.78</v>
      </c>
      <c r="G227" s="80"/>
      <c r="H227" s="80"/>
      <c r="I227" s="80"/>
      <c r="J227" s="80"/>
      <c r="K227" s="80"/>
      <c r="L227" s="80"/>
      <c r="M227" s="80"/>
      <c r="N227" s="80"/>
      <c r="O227" s="80"/>
      <c r="P227" s="80"/>
      <c r="Q227" s="80"/>
      <c r="R227" s="80"/>
      <c r="S227" s="80"/>
      <c r="T227" s="80"/>
      <c r="U227" s="80"/>
      <c r="V227" s="80"/>
      <c r="W227" s="80"/>
      <c r="X227" s="80"/>
      <c r="Y227" s="80"/>
      <c r="Z227" s="80"/>
    </row>
    <row r="228">
      <c r="A228" s="135">
        <v>45744.0</v>
      </c>
      <c r="B228" s="136">
        <v>-1.0</v>
      </c>
      <c r="C228" s="126"/>
      <c r="D228" s="126"/>
      <c r="E228" s="126"/>
      <c r="F228" s="127">
        <v>-0.78</v>
      </c>
      <c r="G228" s="80"/>
      <c r="H228" s="80"/>
      <c r="I228" s="80"/>
      <c r="J228" s="80"/>
      <c r="K228" s="80"/>
      <c r="L228" s="80"/>
      <c r="M228" s="80"/>
      <c r="N228" s="80"/>
      <c r="O228" s="80"/>
      <c r="P228" s="80"/>
      <c r="Q228" s="80"/>
      <c r="R228" s="80"/>
      <c r="S228" s="80"/>
      <c r="T228" s="80"/>
      <c r="U228" s="80"/>
      <c r="V228" s="80"/>
      <c r="W228" s="80"/>
      <c r="X228" s="80"/>
      <c r="Y228" s="80"/>
      <c r="Z228" s="80"/>
    </row>
    <row r="229">
      <c r="A229" s="135">
        <v>45745.0</v>
      </c>
      <c r="B229" s="136">
        <v>-1.0</v>
      </c>
      <c r="C229" s="126"/>
      <c r="D229" s="126"/>
      <c r="E229" s="126"/>
      <c r="F229" s="127">
        <v>-0.78</v>
      </c>
      <c r="G229" s="80"/>
      <c r="H229" s="80"/>
      <c r="I229" s="80"/>
      <c r="J229" s="80"/>
      <c r="K229" s="80"/>
      <c r="L229" s="80"/>
      <c r="M229" s="80"/>
      <c r="N229" s="80"/>
      <c r="O229" s="80"/>
      <c r="P229" s="80"/>
      <c r="Q229" s="80"/>
      <c r="R229" s="80"/>
      <c r="S229" s="80"/>
      <c r="T229" s="80"/>
      <c r="U229" s="80"/>
      <c r="V229" s="80"/>
      <c r="W229" s="80"/>
      <c r="X229" s="80"/>
      <c r="Y229" s="80"/>
      <c r="Z229" s="80"/>
    </row>
    <row r="230">
      <c r="A230" s="135">
        <v>45746.0</v>
      </c>
      <c r="B230" s="136">
        <v>-1.0</v>
      </c>
      <c r="C230" s="126"/>
      <c r="D230" s="126"/>
      <c r="E230" s="126"/>
      <c r="F230" s="127">
        <v>-0.78</v>
      </c>
      <c r="G230" s="80"/>
      <c r="H230" s="80"/>
      <c r="I230" s="80"/>
      <c r="J230" s="80"/>
      <c r="K230" s="80"/>
      <c r="L230" s="80"/>
      <c r="M230" s="80"/>
      <c r="N230" s="80"/>
      <c r="O230" s="80"/>
      <c r="P230" s="80"/>
      <c r="Q230" s="80"/>
      <c r="R230" s="80"/>
      <c r="S230" s="80"/>
      <c r="T230" s="80"/>
      <c r="U230" s="80"/>
      <c r="V230" s="80"/>
      <c r="W230" s="80"/>
      <c r="X230" s="80"/>
      <c r="Y230" s="80"/>
      <c r="Z230" s="80"/>
    </row>
    <row r="231">
      <c r="A231" s="135">
        <v>45747.0</v>
      </c>
      <c r="B231" s="136">
        <v>-1.0</v>
      </c>
      <c r="C231" s="126"/>
      <c r="D231" s="126"/>
      <c r="E231" s="126"/>
      <c r="F231" s="127">
        <v>-0.78</v>
      </c>
      <c r="G231" s="80"/>
      <c r="H231" s="80"/>
      <c r="I231" s="80"/>
      <c r="J231" s="80"/>
      <c r="K231" s="80"/>
      <c r="L231" s="80"/>
      <c r="M231" s="80"/>
      <c r="N231" s="80"/>
      <c r="O231" s="80"/>
      <c r="P231" s="80"/>
      <c r="Q231" s="80"/>
      <c r="R231" s="80"/>
      <c r="S231" s="80"/>
      <c r="T231" s="80"/>
      <c r="U231" s="80"/>
      <c r="V231" s="80"/>
      <c r="W231" s="80"/>
      <c r="X231" s="80"/>
      <c r="Y231" s="80"/>
      <c r="Z231" s="80"/>
    </row>
    <row r="232">
      <c r="A232" s="135">
        <v>45748.0</v>
      </c>
      <c r="B232" s="136">
        <v>-1.0</v>
      </c>
      <c r="C232" s="126"/>
      <c r="D232" s="126"/>
      <c r="E232" s="126"/>
      <c r="F232" s="127">
        <v>-0.78</v>
      </c>
      <c r="G232" s="80"/>
      <c r="H232" s="80"/>
      <c r="I232" s="80"/>
      <c r="J232" s="80"/>
      <c r="K232" s="80"/>
      <c r="L232" s="80"/>
      <c r="M232" s="80"/>
      <c r="N232" s="80"/>
      <c r="O232" s="80"/>
      <c r="P232" s="80"/>
      <c r="Q232" s="80"/>
      <c r="R232" s="80"/>
      <c r="S232" s="80"/>
      <c r="T232" s="80"/>
      <c r="U232" s="80"/>
      <c r="V232" s="80"/>
      <c r="W232" s="80"/>
      <c r="X232" s="80"/>
      <c r="Y232" s="80"/>
      <c r="Z232" s="80"/>
    </row>
    <row r="233">
      <c r="A233" s="135">
        <v>45749.0</v>
      </c>
      <c r="B233" s="136">
        <v>-1.0</v>
      </c>
      <c r="C233" s="126"/>
      <c r="D233" s="126"/>
      <c r="E233" s="126"/>
      <c r="F233" s="127">
        <v>-0.91</v>
      </c>
      <c r="G233" s="80"/>
      <c r="H233" s="80"/>
      <c r="I233" s="80"/>
      <c r="J233" s="80"/>
      <c r="K233" s="80"/>
      <c r="L233" s="80"/>
      <c r="M233" s="80"/>
      <c r="N233" s="80"/>
      <c r="O233" s="80"/>
      <c r="P233" s="80"/>
      <c r="Q233" s="80"/>
      <c r="R233" s="80"/>
      <c r="S233" s="80"/>
      <c r="T233" s="80"/>
      <c r="U233" s="80"/>
      <c r="V233" s="80"/>
      <c r="W233" s="80"/>
      <c r="X233" s="80"/>
      <c r="Y233" s="80"/>
      <c r="Z233" s="80"/>
    </row>
    <row r="234">
      <c r="A234" s="135">
        <v>45750.0</v>
      </c>
      <c r="B234" s="136">
        <v>-1.0</v>
      </c>
      <c r="C234" s="126"/>
      <c r="D234" s="126"/>
      <c r="E234" s="126"/>
      <c r="F234" s="127">
        <v>-0.91</v>
      </c>
      <c r="G234" s="80"/>
      <c r="H234" s="80"/>
      <c r="I234" s="80"/>
      <c r="J234" s="80"/>
      <c r="K234" s="80"/>
      <c r="L234" s="80"/>
      <c r="M234" s="80"/>
      <c r="N234" s="80"/>
      <c r="O234" s="80"/>
      <c r="P234" s="80"/>
      <c r="Q234" s="80"/>
      <c r="R234" s="80"/>
      <c r="S234" s="80"/>
      <c r="T234" s="80"/>
      <c r="U234" s="80"/>
      <c r="V234" s="80"/>
      <c r="W234" s="80"/>
      <c r="X234" s="80"/>
      <c r="Y234" s="80"/>
      <c r="Z234" s="80"/>
    </row>
    <row r="235">
      <c r="A235" s="135">
        <v>45751.0</v>
      </c>
      <c r="B235" s="136">
        <v>-1.0</v>
      </c>
      <c r="C235" s="126"/>
      <c r="D235" s="126"/>
      <c r="E235" s="126"/>
      <c r="F235" s="127">
        <v>-0.91</v>
      </c>
      <c r="G235" s="80"/>
      <c r="H235" s="80"/>
      <c r="I235" s="80"/>
      <c r="J235" s="80"/>
      <c r="K235" s="80"/>
      <c r="L235" s="80"/>
      <c r="M235" s="80"/>
      <c r="N235" s="80"/>
      <c r="O235" s="80"/>
      <c r="P235" s="80"/>
      <c r="Q235" s="80"/>
      <c r="R235" s="80"/>
      <c r="S235" s="80"/>
      <c r="T235" s="80"/>
      <c r="U235" s="80"/>
      <c r="V235" s="80"/>
      <c r="W235" s="80"/>
      <c r="X235" s="80"/>
      <c r="Y235" s="80"/>
      <c r="Z235" s="80"/>
    </row>
    <row r="236">
      <c r="A236" s="135">
        <v>45752.0</v>
      </c>
      <c r="B236" s="136">
        <v>-1.0</v>
      </c>
      <c r="C236" s="126"/>
      <c r="D236" s="126"/>
      <c r="E236" s="126"/>
      <c r="F236" s="127">
        <v>-0.91</v>
      </c>
      <c r="G236" s="80"/>
      <c r="H236" s="80"/>
      <c r="I236" s="80"/>
      <c r="J236" s="80"/>
      <c r="K236" s="80"/>
      <c r="L236" s="80"/>
      <c r="M236" s="80"/>
      <c r="N236" s="80"/>
      <c r="O236" s="80"/>
      <c r="P236" s="80"/>
      <c r="Q236" s="80"/>
      <c r="R236" s="80"/>
      <c r="S236" s="80"/>
      <c r="T236" s="80"/>
      <c r="U236" s="80"/>
      <c r="V236" s="80"/>
      <c r="W236" s="80"/>
      <c r="X236" s="80"/>
      <c r="Y236" s="80"/>
      <c r="Z236" s="80"/>
    </row>
    <row r="237">
      <c r="A237" s="135">
        <v>45753.0</v>
      </c>
      <c r="B237" s="136">
        <v>-1.0</v>
      </c>
      <c r="C237" s="126"/>
      <c r="D237" s="126"/>
      <c r="E237" s="126"/>
      <c r="F237" s="127">
        <v>-0.91</v>
      </c>
      <c r="G237" s="80"/>
      <c r="H237" s="80"/>
      <c r="I237" s="80"/>
      <c r="J237" s="80"/>
      <c r="K237" s="80"/>
      <c r="L237" s="80"/>
      <c r="M237" s="80"/>
      <c r="N237" s="80"/>
      <c r="O237" s="80"/>
      <c r="P237" s="80"/>
      <c r="Q237" s="80"/>
      <c r="R237" s="80"/>
      <c r="S237" s="80"/>
      <c r="T237" s="80"/>
      <c r="U237" s="80"/>
      <c r="V237" s="80"/>
      <c r="W237" s="80"/>
      <c r="X237" s="80"/>
      <c r="Y237" s="80"/>
      <c r="Z237" s="80"/>
    </row>
    <row r="238">
      <c r="A238" s="135">
        <v>45754.0</v>
      </c>
      <c r="B238" s="136">
        <v>-1.0</v>
      </c>
      <c r="C238" s="126"/>
      <c r="D238" s="126"/>
      <c r="E238" s="126"/>
      <c r="F238" s="127">
        <v>-0.91</v>
      </c>
      <c r="G238" s="80"/>
      <c r="H238" s="80"/>
      <c r="I238" s="80"/>
      <c r="J238" s="80"/>
      <c r="K238" s="80"/>
      <c r="L238" s="80"/>
      <c r="M238" s="80"/>
      <c r="N238" s="80"/>
      <c r="O238" s="80"/>
      <c r="P238" s="80"/>
      <c r="Q238" s="80"/>
      <c r="R238" s="80"/>
      <c r="S238" s="80"/>
      <c r="T238" s="80"/>
      <c r="U238" s="80"/>
      <c r="V238" s="80"/>
      <c r="W238" s="80"/>
      <c r="X238" s="80"/>
      <c r="Y238" s="80"/>
      <c r="Z238" s="80"/>
    </row>
    <row r="239">
      <c r="A239" s="135">
        <v>45755.0</v>
      </c>
      <c r="B239" s="136">
        <v>-1.0</v>
      </c>
      <c r="C239" s="126"/>
      <c r="D239" s="126"/>
      <c r="E239" s="126"/>
      <c r="F239" s="127">
        <v>-0.91</v>
      </c>
      <c r="G239" s="80"/>
      <c r="H239" s="80"/>
      <c r="I239" s="80"/>
      <c r="J239" s="80"/>
      <c r="K239" s="80"/>
      <c r="L239" s="80"/>
      <c r="M239" s="80"/>
      <c r="N239" s="80"/>
      <c r="O239" s="80"/>
      <c r="P239" s="80"/>
      <c r="Q239" s="80"/>
      <c r="R239" s="80"/>
      <c r="S239" s="80"/>
      <c r="T239" s="80"/>
      <c r="U239" s="80"/>
      <c r="V239" s="80"/>
      <c r="W239" s="80"/>
      <c r="X239" s="80"/>
      <c r="Y239" s="80"/>
      <c r="Z239" s="80"/>
    </row>
    <row r="240">
      <c r="A240" s="135">
        <v>45756.0</v>
      </c>
      <c r="B240" s="136">
        <v>-1.0</v>
      </c>
      <c r="C240" s="126"/>
      <c r="D240" s="126"/>
      <c r="E240" s="126"/>
      <c r="F240" s="127">
        <v>-0.91</v>
      </c>
      <c r="G240" s="80"/>
      <c r="H240" s="80"/>
      <c r="I240" s="80"/>
      <c r="J240" s="80"/>
      <c r="K240" s="80"/>
      <c r="L240" s="80"/>
      <c r="M240" s="80"/>
      <c r="N240" s="80"/>
      <c r="O240" s="80"/>
      <c r="P240" s="80"/>
      <c r="Q240" s="80"/>
      <c r="R240" s="80"/>
      <c r="S240" s="80"/>
      <c r="T240" s="80"/>
      <c r="U240" s="80"/>
      <c r="V240" s="80"/>
      <c r="W240" s="80"/>
      <c r="X240" s="80"/>
      <c r="Y240" s="80"/>
      <c r="Z240" s="80"/>
    </row>
    <row r="241">
      <c r="A241" s="135">
        <v>45757.0</v>
      </c>
      <c r="B241" s="136">
        <v>-1.0</v>
      </c>
      <c r="C241" s="126"/>
      <c r="D241" s="126"/>
      <c r="E241" s="126"/>
      <c r="F241" s="127">
        <v>-0.91</v>
      </c>
      <c r="G241" s="80"/>
      <c r="H241" s="80"/>
      <c r="I241" s="80"/>
      <c r="J241" s="80"/>
      <c r="K241" s="80"/>
      <c r="L241" s="80"/>
      <c r="M241" s="80"/>
      <c r="N241" s="80"/>
      <c r="O241" s="80"/>
      <c r="P241" s="80"/>
      <c r="Q241" s="80"/>
      <c r="R241" s="80"/>
      <c r="S241" s="80"/>
      <c r="T241" s="80"/>
      <c r="U241" s="80"/>
      <c r="V241" s="80"/>
      <c r="W241" s="80"/>
      <c r="X241" s="80"/>
      <c r="Y241" s="80"/>
      <c r="Z241" s="80"/>
    </row>
    <row r="242">
      <c r="A242" s="135">
        <v>45758.0</v>
      </c>
      <c r="B242" s="136">
        <v>-1.0</v>
      </c>
      <c r="C242" s="126"/>
      <c r="D242" s="126"/>
      <c r="E242" s="126"/>
      <c r="F242" s="127">
        <v>-0.91</v>
      </c>
      <c r="G242" s="80"/>
      <c r="H242" s="80"/>
      <c r="I242" s="80"/>
      <c r="J242" s="80"/>
      <c r="K242" s="80"/>
      <c r="L242" s="80"/>
      <c r="M242" s="80"/>
      <c r="N242" s="80"/>
      <c r="O242" s="80"/>
      <c r="P242" s="80"/>
      <c r="Q242" s="80"/>
      <c r="R242" s="80"/>
      <c r="S242" s="80"/>
      <c r="T242" s="80"/>
      <c r="U242" s="80"/>
      <c r="V242" s="80"/>
      <c r="W242" s="80"/>
      <c r="X242" s="80"/>
      <c r="Y242" s="80"/>
      <c r="Z242" s="80"/>
    </row>
    <row r="243">
      <c r="A243" s="135">
        <v>45759.0</v>
      </c>
      <c r="B243" s="136">
        <v>-1.0</v>
      </c>
      <c r="C243" s="126"/>
      <c r="D243" s="126"/>
      <c r="E243" s="126"/>
      <c r="F243" s="127">
        <v>-0.91</v>
      </c>
      <c r="G243" s="80"/>
      <c r="H243" s="80"/>
      <c r="I243" s="80"/>
      <c r="J243" s="80"/>
      <c r="K243" s="80"/>
      <c r="L243" s="80"/>
      <c r="M243" s="80"/>
      <c r="N243" s="80"/>
      <c r="O243" s="80"/>
      <c r="P243" s="80"/>
      <c r="Q243" s="80"/>
      <c r="R243" s="80"/>
      <c r="S243" s="80"/>
      <c r="T243" s="80"/>
      <c r="U243" s="80"/>
      <c r="V243" s="80"/>
      <c r="W243" s="80"/>
      <c r="X243" s="80"/>
      <c r="Y243" s="80"/>
      <c r="Z243" s="80"/>
    </row>
    <row r="244">
      <c r="A244" s="135">
        <v>45760.0</v>
      </c>
      <c r="B244" s="136">
        <v>-1.0</v>
      </c>
      <c r="C244" s="126"/>
      <c r="D244" s="126"/>
      <c r="E244" s="126"/>
      <c r="F244" s="127">
        <v>-0.91</v>
      </c>
      <c r="G244" s="80"/>
      <c r="H244" s="80"/>
      <c r="I244" s="80"/>
      <c r="J244" s="80"/>
      <c r="K244" s="80"/>
      <c r="L244" s="80"/>
      <c r="M244" s="80"/>
      <c r="N244" s="80"/>
      <c r="O244" s="80"/>
      <c r="P244" s="80"/>
      <c r="Q244" s="80"/>
      <c r="R244" s="80"/>
      <c r="S244" s="80"/>
      <c r="T244" s="80"/>
      <c r="U244" s="80"/>
      <c r="V244" s="80"/>
      <c r="W244" s="80"/>
      <c r="X244" s="80"/>
      <c r="Y244" s="80"/>
      <c r="Z244" s="80"/>
    </row>
    <row r="245">
      <c r="A245" s="135">
        <v>45761.0</v>
      </c>
      <c r="B245" s="136">
        <v>-0.83</v>
      </c>
      <c r="C245" s="126"/>
      <c r="D245" s="126"/>
      <c r="E245" s="126"/>
      <c r="F245" s="127">
        <v>-0.91</v>
      </c>
      <c r="G245" s="80"/>
      <c r="H245" s="80"/>
      <c r="I245" s="80"/>
      <c r="J245" s="80"/>
      <c r="K245" s="80"/>
      <c r="L245" s="80"/>
      <c r="M245" s="80"/>
      <c r="N245" s="80"/>
      <c r="O245" s="80"/>
      <c r="P245" s="80"/>
      <c r="Q245" s="80"/>
      <c r="R245" s="80"/>
      <c r="S245" s="80"/>
      <c r="T245" s="80"/>
      <c r="U245" s="80"/>
      <c r="V245" s="80"/>
      <c r="W245" s="80"/>
      <c r="X245" s="80"/>
      <c r="Y245" s="80"/>
      <c r="Z245" s="80"/>
    </row>
    <row r="246">
      <c r="A246" s="135">
        <v>45762.0</v>
      </c>
      <c r="B246" s="136">
        <v>-1.0</v>
      </c>
      <c r="C246" s="126"/>
      <c r="D246" s="126"/>
      <c r="E246" s="126"/>
      <c r="F246" s="127">
        <v>-0.91</v>
      </c>
      <c r="G246" s="80"/>
      <c r="H246" s="80"/>
      <c r="I246" s="80"/>
      <c r="J246" s="80"/>
      <c r="K246" s="80"/>
      <c r="L246" s="80"/>
      <c r="M246" s="80"/>
      <c r="N246" s="80"/>
      <c r="O246" s="80"/>
      <c r="P246" s="80"/>
      <c r="Q246" s="80"/>
      <c r="R246" s="80"/>
      <c r="S246" s="80"/>
      <c r="T246" s="80"/>
      <c r="U246" s="80"/>
      <c r="V246" s="80"/>
      <c r="W246" s="80"/>
      <c r="X246" s="80"/>
      <c r="Y246" s="80"/>
      <c r="Z246" s="80"/>
    </row>
    <row r="247">
      <c r="A247" s="135">
        <v>45763.0</v>
      </c>
      <c r="B247" s="136">
        <v>-0.83</v>
      </c>
      <c r="C247" s="126"/>
      <c r="D247" s="126"/>
      <c r="E247" s="126"/>
      <c r="F247" s="127">
        <v>-0.91</v>
      </c>
      <c r="G247" s="80"/>
      <c r="H247" s="80"/>
      <c r="I247" s="80"/>
      <c r="J247" s="80"/>
      <c r="K247" s="80"/>
      <c r="L247" s="80"/>
      <c r="M247" s="80"/>
      <c r="N247" s="80"/>
      <c r="O247" s="80"/>
      <c r="P247" s="80"/>
      <c r="Q247" s="80"/>
      <c r="R247" s="80"/>
      <c r="S247" s="80"/>
      <c r="T247" s="80"/>
      <c r="U247" s="80"/>
      <c r="V247" s="80"/>
      <c r="W247" s="80"/>
      <c r="X247" s="80"/>
      <c r="Y247" s="80"/>
      <c r="Z247" s="80"/>
    </row>
    <row r="248">
      <c r="A248" s="135">
        <v>45764.0</v>
      </c>
      <c r="B248" s="136">
        <v>-0.83</v>
      </c>
      <c r="C248" s="126"/>
      <c r="D248" s="126"/>
      <c r="E248" s="126"/>
      <c r="F248" s="127">
        <v>-0.91</v>
      </c>
      <c r="G248" s="80"/>
      <c r="H248" s="80"/>
      <c r="I248" s="80"/>
      <c r="J248" s="80"/>
      <c r="K248" s="80"/>
      <c r="L248" s="80"/>
      <c r="M248" s="80"/>
      <c r="N248" s="80"/>
      <c r="O248" s="80"/>
      <c r="P248" s="80"/>
      <c r="Q248" s="80"/>
      <c r="R248" s="80"/>
      <c r="S248" s="80"/>
      <c r="T248" s="80"/>
      <c r="U248" s="80"/>
      <c r="V248" s="80"/>
      <c r="W248" s="80"/>
      <c r="X248" s="80"/>
      <c r="Y248" s="80"/>
      <c r="Z248" s="80"/>
    </row>
    <row r="249">
      <c r="A249" s="135">
        <v>45765.0</v>
      </c>
      <c r="B249" s="136">
        <v>-0.83</v>
      </c>
      <c r="C249" s="126"/>
      <c r="D249" s="126"/>
      <c r="E249" s="126"/>
      <c r="F249" s="127">
        <v>-0.91</v>
      </c>
      <c r="G249" s="80"/>
      <c r="H249" s="80"/>
      <c r="I249" s="80"/>
      <c r="J249" s="80"/>
      <c r="K249" s="80"/>
      <c r="L249" s="80"/>
      <c r="M249" s="80"/>
      <c r="N249" s="80"/>
      <c r="O249" s="80"/>
      <c r="P249" s="80"/>
      <c r="Q249" s="80"/>
      <c r="R249" s="80"/>
      <c r="S249" s="80"/>
      <c r="T249" s="80"/>
      <c r="U249" s="80"/>
      <c r="V249" s="80"/>
      <c r="W249" s="80"/>
      <c r="X249" s="80"/>
      <c r="Y249" s="80"/>
      <c r="Z249" s="80"/>
    </row>
    <row r="250">
      <c r="A250" s="135">
        <v>45766.0</v>
      </c>
      <c r="B250" s="136">
        <v>-0.83</v>
      </c>
      <c r="C250" s="126"/>
      <c r="D250" s="126"/>
      <c r="E250" s="126"/>
      <c r="F250" s="127">
        <v>-0.91</v>
      </c>
      <c r="G250" s="80"/>
      <c r="H250" s="80"/>
      <c r="I250" s="80"/>
      <c r="J250" s="80"/>
      <c r="K250" s="80"/>
      <c r="L250" s="80"/>
      <c r="M250" s="80"/>
      <c r="N250" s="80"/>
      <c r="O250" s="80"/>
      <c r="P250" s="80"/>
      <c r="Q250" s="80"/>
      <c r="R250" s="80"/>
      <c r="S250" s="80"/>
      <c r="T250" s="80"/>
      <c r="U250" s="80"/>
      <c r="V250" s="80"/>
      <c r="W250" s="80"/>
      <c r="X250" s="80"/>
      <c r="Y250" s="80"/>
      <c r="Z250" s="80"/>
    </row>
    <row r="251">
      <c r="A251" s="135">
        <v>45767.0</v>
      </c>
      <c r="B251" s="136">
        <v>-0.83</v>
      </c>
      <c r="C251" s="126"/>
      <c r="D251" s="126"/>
      <c r="E251" s="126"/>
      <c r="F251" s="127">
        <v>-0.91</v>
      </c>
      <c r="G251" s="80"/>
      <c r="H251" s="80"/>
      <c r="I251" s="80"/>
      <c r="J251" s="80"/>
      <c r="K251" s="80"/>
      <c r="L251" s="80"/>
      <c r="M251" s="80"/>
      <c r="N251" s="80"/>
      <c r="O251" s="80"/>
      <c r="P251" s="80"/>
      <c r="Q251" s="80"/>
      <c r="R251" s="80"/>
      <c r="S251" s="80"/>
      <c r="T251" s="80"/>
      <c r="U251" s="80"/>
      <c r="V251" s="80"/>
      <c r="W251" s="80"/>
      <c r="X251" s="80"/>
      <c r="Y251" s="80"/>
      <c r="Z251" s="80"/>
    </row>
    <row r="252">
      <c r="A252" s="135">
        <v>45768.0</v>
      </c>
      <c r="B252" s="136">
        <v>-0.83</v>
      </c>
      <c r="C252" s="126"/>
      <c r="D252" s="126"/>
      <c r="E252" s="126"/>
      <c r="F252" s="127">
        <v>-0.91</v>
      </c>
      <c r="G252" s="80"/>
      <c r="H252" s="80"/>
      <c r="I252" s="80"/>
      <c r="J252" s="80"/>
      <c r="K252" s="80"/>
      <c r="L252" s="80"/>
      <c r="M252" s="80"/>
      <c r="N252" s="80"/>
      <c r="O252" s="80"/>
      <c r="P252" s="80"/>
      <c r="Q252" s="80"/>
      <c r="R252" s="80"/>
      <c r="S252" s="80"/>
      <c r="T252" s="80"/>
      <c r="U252" s="80"/>
      <c r="V252" s="80"/>
      <c r="W252" s="80"/>
      <c r="X252" s="80"/>
      <c r="Y252" s="80"/>
      <c r="Z252" s="80"/>
    </row>
    <row r="253">
      <c r="A253" s="135">
        <v>45769.0</v>
      </c>
      <c r="B253" s="136">
        <v>0.5</v>
      </c>
      <c r="C253" s="126"/>
      <c r="D253" s="126"/>
      <c r="E253" s="126"/>
      <c r="F253" s="127">
        <v>-0.91</v>
      </c>
      <c r="G253" s="80"/>
      <c r="H253" s="80"/>
      <c r="I253" s="80"/>
      <c r="J253" s="80"/>
      <c r="K253" s="80"/>
      <c r="L253" s="80"/>
      <c r="M253" s="80"/>
      <c r="N253" s="80"/>
      <c r="O253" s="80"/>
      <c r="P253" s="80"/>
      <c r="Q253" s="80"/>
      <c r="R253" s="80"/>
      <c r="S253" s="80"/>
      <c r="T253" s="80"/>
      <c r="U253" s="80"/>
      <c r="V253" s="80"/>
      <c r="W253" s="80"/>
      <c r="X253" s="80"/>
      <c r="Y253" s="80"/>
      <c r="Z253" s="80"/>
    </row>
    <row r="254">
      <c r="A254" s="135">
        <v>45770.0</v>
      </c>
      <c r="B254" s="136">
        <v>0.83</v>
      </c>
      <c r="C254" s="126"/>
      <c r="D254" s="126"/>
      <c r="E254" s="126"/>
      <c r="F254" s="127">
        <v>-0.91</v>
      </c>
      <c r="G254" s="80"/>
      <c r="H254" s="80"/>
      <c r="I254" s="80"/>
      <c r="J254" s="80"/>
      <c r="K254" s="80"/>
      <c r="L254" s="80"/>
      <c r="M254" s="80"/>
      <c r="N254" s="80"/>
      <c r="O254" s="80"/>
      <c r="P254" s="80"/>
      <c r="Q254" s="80"/>
      <c r="R254" s="80"/>
      <c r="S254" s="80"/>
      <c r="T254" s="80"/>
      <c r="U254" s="80"/>
      <c r="V254" s="80"/>
      <c r="W254" s="80"/>
      <c r="X254" s="80"/>
      <c r="Y254" s="80"/>
      <c r="Z254" s="80"/>
    </row>
    <row r="255">
      <c r="A255" s="135">
        <v>45771.0</v>
      </c>
      <c r="B255" s="136">
        <v>1.0</v>
      </c>
      <c r="C255" s="126"/>
      <c r="D255" s="126"/>
      <c r="E255" s="126"/>
      <c r="F255" s="127">
        <v>-0.75</v>
      </c>
      <c r="G255" s="80"/>
      <c r="H255" s="80"/>
      <c r="I255" s="80"/>
      <c r="J255" s="80"/>
      <c r="K255" s="80"/>
      <c r="L255" s="80"/>
      <c r="M255" s="80"/>
      <c r="N255" s="80"/>
      <c r="O255" s="80"/>
      <c r="P255" s="80"/>
      <c r="Q255" s="80"/>
      <c r="R255" s="80"/>
      <c r="S255" s="80"/>
      <c r="T255" s="80"/>
      <c r="U255" s="80"/>
      <c r="V255" s="80"/>
      <c r="W255" s="80"/>
      <c r="X255" s="80"/>
      <c r="Y255" s="80"/>
      <c r="Z255" s="80"/>
    </row>
    <row r="256">
      <c r="A256" s="135">
        <v>45772.0</v>
      </c>
      <c r="B256" s="136">
        <v>1.0</v>
      </c>
      <c r="C256" s="126"/>
      <c r="D256" s="126"/>
      <c r="E256" s="126"/>
      <c r="F256" s="127">
        <v>-0.75</v>
      </c>
      <c r="G256" s="80"/>
      <c r="H256" s="80"/>
      <c r="I256" s="80"/>
      <c r="J256" s="80"/>
      <c r="K256" s="80"/>
      <c r="L256" s="80"/>
      <c r="M256" s="80"/>
      <c r="N256" s="80"/>
      <c r="O256" s="80"/>
      <c r="P256" s="80"/>
      <c r="Q256" s="80"/>
      <c r="R256" s="80"/>
      <c r="S256" s="80"/>
      <c r="T256" s="80"/>
      <c r="U256" s="80"/>
      <c r="V256" s="80"/>
      <c r="W256" s="80"/>
      <c r="X256" s="80"/>
      <c r="Y256" s="80"/>
      <c r="Z256" s="80"/>
    </row>
    <row r="257">
      <c r="A257" s="135">
        <v>45773.0</v>
      </c>
      <c r="B257" s="136">
        <v>1.0</v>
      </c>
      <c r="C257" s="126"/>
      <c r="D257" s="126"/>
      <c r="E257" s="126"/>
      <c r="F257" s="127">
        <v>-0.81</v>
      </c>
      <c r="G257" s="80"/>
      <c r="H257" s="80"/>
      <c r="I257" s="80"/>
      <c r="J257" s="80"/>
      <c r="K257" s="80"/>
      <c r="L257" s="80"/>
      <c r="M257" s="80"/>
      <c r="N257" s="80"/>
      <c r="O257" s="80"/>
      <c r="P257" s="80"/>
      <c r="Q257" s="80"/>
      <c r="R257" s="80"/>
      <c r="S257" s="80"/>
      <c r="T257" s="80"/>
      <c r="U257" s="80"/>
      <c r="V257" s="80"/>
      <c r="W257" s="80"/>
      <c r="X257" s="80"/>
      <c r="Y257" s="80"/>
      <c r="Z257" s="80"/>
    </row>
    <row r="258">
      <c r="A258" s="135">
        <v>45774.0</v>
      </c>
      <c r="B258" s="136">
        <v>1.0</v>
      </c>
      <c r="C258" s="126"/>
      <c r="D258" s="126"/>
      <c r="E258" s="126"/>
      <c r="F258" s="127">
        <v>-0.81</v>
      </c>
      <c r="G258" s="80"/>
      <c r="H258" s="80"/>
      <c r="I258" s="80"/>
      <c r="J258" s="80"/>
      <c r="K258" s="80"/>
      <c r="L258" s="80"/>
      <c r="M258" s="80"/>
      <c r="N258" s="80"/>
      <c r="O258" s="80"/>
      <c r="P258" s="80"/>
      <c r="Q258" s="80"/>
      <c r="R258" s="80"/>
      <c r="S258" s="80"/>
      <c r="T258" s="80"/>
      <c r="U258" s="80"/>
      <c r="V258" s="80"/>
      <c r="W258" s="80"/>
      <c r="X258" s="80"/>
      <c r="Y258" s="80"/>
      <c r="Z258" s="80"/>
    </row>
    <row r="259">
      <c r="A259" s="135">
        <v>45775.0</v>
      </c>
      <c r="B259" s="136">
        <v>1.0</v>
      </c>
      <c r="C259" s="126"/>
      <c r="D259" s="126"/>
      <c r="E259" s="126"/>
      <c r="F259" s="127">
        <v>-0.81</v>
      </c>
      <c r="G259" s="80"/>
      <c r="H259" s="80"/>
      <c r="I259" s="80"/>
      <c r="J259" s="80"/>
      <c r="K259" s="80"/>
      <c r="L259" s="80"/>
      <c r="M259" s="80"/>
      <c r="N259" s="80"/>
      <c r="O259" s="80"/>
      <c r="P259" s="80"/>
      <c r="Q259" s="80"/>
      <c r="R259" s="80"/>
      <c r="S259" s="80"/>
      <c r="T259" s="80"/>
      <c r="U259" s="80"/>
      <c r="V259" s="80"/>
      <c r="W259" s="80"/>
      <c r="X259" s="80"/>
      <c r="Y259" s="80"/>
      <c r="Z259" s="80"/>
    </row>
    <row r="260">
      <c r="A260" s="135">
        <v>45776.0</v>
      </c>
      <c r="B260" s="136">
        <v>1.0</v>
      </c>
      <c r="C260" s="126"/>
      <c r="D260" s="126"/>
      <c r="E260" s="126"/>
      <c r="F260" s="127">
        <v>-0.81</v>
      </c>
      <c r="G260" s="80"/>
      <c r="H260" s="80"/>
      <c r="I260" s="80"/>
      <c r="J260" s="80"/>
      <c r="K260" s="80"/>
      <c r="L260" s="80"/>
      <c r="M260" s="80"/>
      <c r="N260" s="80"/>
      <c r="O260" s="80"/>
      <c r="P260" s="80"/>
      <c r="Q260" s="80"/>
      <c r="R260" s="80"/>
      <c r="S260" s="80"/>
      <c r="T260" s="80"/>
      <c r="U260" s="80"/>
      <c r="V260" s="80"/>
      <c r="W260" s="80"/>
      <c r="X260" s="80"/>
      <c r="Y260" s="80"/>
      <c r="Z260" s="80"/>
    </row>
    <row r="261">
      <c r="A261" s="135">
        <v>45777.0</v>
      </c>
      <c r="B261" s="136">
        <v>1.0</v>
      </c>
      <c r="C261" s="126"/>
      <c r="D261" s="126"/>
      <c r="E261" s="126"/>
      <c r="F261" s="127">
        <v>-0.81</v>
      </c>
      <c r="G261" s="80"/>
      <c r="H261" s="80"/>
      <c r="I261" s="80"/>
      <c r="J261" s="80"/>
      <c r="K261" s="80"/>
      <c r="L261" s="80"/>
      <c r="M261" s="80"/>
      <c r="N261" s="80"/>
      <c r="O261" s="80"/>
      <c r="P261" s="80"/>
      <c r="Q261" s="80"/>
      <c r="R261" s="80"/>
      <c r="S261" s="80"/>
      <c r="T261" s="80"/>
      <c r="U261" s="80"/>
      <c r="V261" s="80"/>
      <c r="W261" s="80"/>
      <c r="X261" s="80"/>
      <c r="Y261" s="80"/>
      <c r="Z261" s="80"/>
    </row>
    <row r="262">
      <c r="A262" s="135">
        <v>45778.0</v>
      </c>
      <c r="B262" s="136">
        <v>1.0</v>
      </c>
      <c r="C262" s="126"/>
      <c r="D262" s="126"/>
      <c r="E262" s="126"/>
      <c r="F262" s="127">
        <v>-0.81</v>
      </c>
      <c r="G262" s="80"/>
      <c r="H262" s="80"/>
      <c r="I262" s="80"/>
      <c r="J262" s="80"/>
      <c r="K262" s="80"/>
      <c r="L262" s="80"/>
      <c r="M262" s="80"/>
      <c r="N262" s="80"/>
      <c r="O262" s="80"/>
      <c r="P262" s="80"/>
      <c r="Q262" s="80"/>
      <c r="R262" s="80"/>
      <c r="S262" s="80"/>
      <c r="T262" s="80"/>
      <c r="U262" s="80"/>
      <c r="V262" s="80"/>
      <c r="W262" s="80"/>
      <c r="X262" s="80"/>
      <c r="Y262" s="80"/>
      <c r="Z262" s="80"/>
    </row>
    <row r="263">
      <c r="A263" s="135">
        <v>45779.0</v>
      </c>
      <c r="B263" s="136">
        <v>1.0</v>
      </c>
      <c r="C263" s="126"/>
      <c r="D263" s="126"/>
      <c r="E263" s="126"/>
      <c r="F263" s="127">
        <v>-0.81</v>
      </c>
      <c r="G263" s="80"/>
      <c r="H263" s="80"/>
      <c r="I263" s="80"/>
      <c r="J263" s="80"/>
      <c r="K263" s="80"/>
      <c r="L263" s="80"/>
      <c r="M263" s="80"/>
      <c r="N263" s="80"/>
      <c r="O263" s="80"/>
      <c r="P263" s="80"/>
      <c r="Q263" s="80"/>
      <c r="R263" s="80"/>
      <c r="S263" s="80"/>
      <c r="T263" s="80"/>
      <c r="U263" s="80"/>
      <c r="V263" s="80"/>
      <c r="W263" s="80"/>
      <c r="X263" s="80"/>
      <c r="Y263" s="80"/>
      <c r="Z263" s="80"/>
    </row>
    <row r="264">
      <c r="A264" s="135">
        <v>45780.0</v>
      </c>
      <c r="B264" s="136">
        <v>1.0</v>
      </c>
      <c r="C264" s="126"/>
      <c r="D264" s="126"/>
      <c r="E264" s="126"/>
      <c r="F264" s="127">
        <v>-0.81</v>
      </c>
      <c r="G264" s="80"/>
      <c r="H264" s="80"/>
      <c r="I264" s="80"/>
      <c r="J264" s="80"/>
      <c r="K264" s="80"/>
      <c r="L264" s="80"/>
      <c r="M264" s="80"/>
      <c r="N264" s="80"/>
      <c r="O264" s="80"/>
      <c r="P264" s="80"/>
      <c r="Q264" s="80"/>
      <c r="R264" s="80"/>
      <c r="S264" s="80"/>
      <c r="T264" s="80"/>
      <c r="U264" s="80"/>
      <c r="V264" s="80"/>
      <c r="W264" s="80"/>
      <c r="X264" s="80"/>
      <c r="Y264" s="80"/>
      <c r="Z264" s="80"/>
    </row>
    <row r="265">
      <c r="A265" s="135">
        <v>45781.0</v>
      </c>
      <c r="B265" s="136">
        <v>1.0</v>
      </c>
      <c r="C265" s="126"/>
      <c r="D265" s="126"/>
      <c r="E265" s="126"/>
      <c r="F265" s="127">
        <v>-0.75</v>
      </c>
      <c r="G265" s="80"/>
      <c r="H265" s="80"/>
      <c r="I265" s="80"/>
      <c r="J265" s="80"/>
      <c r="K265" s="80"/>
      <c r="L265" s="80"/>
      <c r="M265" s="80"/>
      <c r="N265" s="80"/>
      <c r="O265" s="80"/>
      <c r="P265" s="80"/>
      <c r="Q265" s="80"/>
      <c r="R265" s="80"/>
      <c r="S265" s="80"/>
      <c r="T265" s="80"/>
      <c r="U265" s="80"/>
      <c r="V265" s="80"/>
      <c r="W265" s="80"/>
      <c r="X265" s="80"/>
      <c r="Y265" s="80"/>
      <c r="Z265" s="80"/>
    </row>
    <row r="266">
      <c r="A266" s="135">
        <v>45782.0</v>
      </c>
      <c r="B266" s="136">
        <v>1.0</v>
      </c>
      <c r="C266" s="126"/>
      <c r="D266" s="126"/>
      <c r="E266" s="126"/>
      <c r="F266" s="127">
        <v>-0.75</v>
      </c>
      <c r="G266" s="80"/>
      <c r="H266" s="80"/>
      <c r="I266" s="80"/>
      <c r="J266" s="80"/>
      <c r="K266" s="80"/>
      <c r="L266" s="80"/>
      <c r="M266" s="80"/>
      <c r="N266" s="80"/>
      <c r="O266" s="80"/>
      <c r="P266" s="80"/>
      <c r="Q266" s="80"/>
      <c r="R266" s="80"/>
      <c r="S266" s="80"/>
      <c r="T266" s="80"/>
      <c r="U266" s="80"/>
      <c r="V266" s="80"/>
      <c r="W266" s="80"/>
      <c r="X266" s="80"/>
      <c r="Y266" s="80"/>
      <c r="Z266" s="80"/>
    </row>
    <row r="267">
      <c r="A267" s="135">
        <v>45783.0</v>
      </c>
      <c r="B267" s="136">
        <v>1.0</v>
      </c>
      <c r="C267" s="126"/>
      <c r="D267" s="126"/>
      <c r="E267" s="126"/>
      <c r="F267" s="127">
        <v>-0.63</v>
      </c>
      <c r="G267" s="80"/>
      <c r="H267" s="80"/>
      <c r="I267" s="80"/>
      <c r="J267" s="80"/>
      <c r="K267" s="80"/>
      <c r="L267" s="80"/>
      <c r="M267" s="80"/>
      <c r="N267" s="80"/>
      <c r="O267" s="80"/>
      <c r="P267" s="80"/>
      <c r="Q267" s="80"/>
      <c r="R267" s="80"/>
      <c r="S267" s="80"/>
      <c r="T267" s="80"/>
      <c r="U267" s="80"/>
      <c r="V267" s="80"/>
      <c r="W267" s="80"/>
      <c r="X267" s="80"/>
      <c r="Y267" s="80"/>
      <c r="Z267" s="80"/>
    </row>
    <row r="268">
      <c r="A268" s="135">
        <v>45784.0</v>
      </c>
      <c r="B268" s="136">
        <v>1.0</v>
      </c>
      <c r="C268" s="126"/>
      <c r="D268" s="126"/>
      <c r="E268" s="126"/>
      <c r="F268" s="127">
        <v>-0.63</v>
      </c>
      <c r="G268" s="80"/>
      <c r="H268" s="80"/>
      <c r="I268" s="80"/>
      <c r="J268" s="80"/>
      <c r="K268" s="80"/>
      <c r="L268" s="80"/>
      <c r="M268" s="80"/>
      <c r="N268" s="80"/>
      <c r="O268" s="80"/>
      <c r="P268" s="80"/>
      <c r="Q268" s="80"/>
      <c r="R268" s="80"/>
      <c r="S268" s="80"/>
      <c r="T268" s="80"/>
      <c r="U268" s="80"/>
      <c r="V268" s="80"/>
      <c r="W268" s="80"/>
      <c r="X268" s="80"/>
      <c r="Y268" s="80"/>
      <c r="Z268" s="80"/>
    </row>
    <row r="269">
      <c r="A269" s="135">
        <v>45785.0</v>
      </c>
      <c r="B269" s="136">
        <v>1.0</v>
      </c>
      <c r="C269" s="126"/>
      <c r="D269" s="126"/>
      <c r="E269" s="126"/>
      <c r="F269" s="127">
        <v>-0.63</v>
      </c>
      <c r="G269" s="80"/>
      <c r="H269" s="80"/>
      <c r="I269" s="80"/>
      <c r="J269" s="80"/>
      <c r="K269" s="80"/>
      <c r="L269" s="80"/>
      <c r="M269" s="80"/>
      <c r="N269" s="80"/>
      <c r="O269" s="80"/>
      <c r="P269" s="80"/>
      <c r="Q269" s="80"/>
      <c r="R269" s="80"/>
      <c r="S269" s="80"/>
      <c r="T269" s="80"/>
      <c r="U269" s="80"/>
      <c r="V269" s="80"/>
      <c r="W269" s="80"/>
      <c r="X269" s="80"/>
      <c r="Y269" s="80"/>
      <c r="Z269" s="80"/>
    </row>
    <row r="270">
      <c r="A270" s="135">
        <v>45786.0</v>
      </c>
      <c r="B270" s="136">
        <v>1.0</v>
      </c>
      <c r="C270" s="126"/>
      <c r="D270" s="126"/>
      <c r="E270" s="126"/>
      <c r="F270" s="127">
        <v>-0.06</v>
      </c>
      <c r="G270" s="80"/>
      <c r="H270" s="80"/>
      <c r="I270" s="80"/>
      <c r="J270" s="80"/>
      <c r="K270" s="80"/>
      <c r="L270" s="80"/>
      <c r="M270" s="80"/>
      <c r="N270" s="80"/>
      <c r="O270" s="80"/>
      <c r="P270" s="80"/>
      <c r="Q270" s="80"/>
      <c r="R270" s="80"/>
      <c r="S270" s="80"/>
      <c r="T270" s="80"/>
      <c r="U270" s="80"/>
      <c r="V270" s="80"/>
      <c r="W270" s="80"/>
      <c r="X270" s="80"/>
      <c r="Y270" s="80"/>
      <c r="Z270" s="80"/>
    </row>
    <row r="271">
      <c r="A271" s="135">
        <v>45787.0</v>
      </c>
      <c r="B271" s="136">
        <v>1.0</v>
      </c>
      <c r="C271" s="126"/>
      <c r="D271" s="126"/>
      <c r="E271" s="126"/>
      <c r="F271" s="138">
        <v>0.0</v>
      </c>
      <c r="G271" s="80"/>
      <c r="H271" s="80"/>
      <c r="I271" s="80"/>
      <c r="J271" s="80"/>
      <c r="K271" s="80"/>
      <c r="L271" s="80"/>
      <c r="M271" s="80"/>
      <c r="N271" s="80"/>
      <c r="O271" s="80"/>
      <c r="P271" s="80"/>
      <c r="Q271" s="80"/>
      <c r="R271" s="80"/>
      <c r="S271" s="80"/>
      <c r="T271" s="80"/>
      <c r="U271" s="80"/>
      <c r="V271" s="80"/>
      <c r="W271" s="80"/>
      <c r="X271" s="80"/>
      <c r="Y271" s="80"/>
      <c r="Z271" s="80"/>
    </row>
    <row r="272">
      <c r="A272" s="135">
        <v>45788.0</v>
      </c>
      <c r="B272" s="136">
        <v>1.0</v>
      </c>
      <c r="C272" s="126"/>
      <c r="D272" s="126"/>
      <c r="E272" s="126"/>
      <c r="F272" s="138">
        <v>0.2</v>
      </c>
      <c r="G272" s="80"/>
      <c r="H272" s="80"/>
      <c r="I272" s="80"/>
      <c r="J272" s="80"/>
      <c r="K272" s="80"/>
      <c r="L272" s="80"/>
      <c r="M272" s="80"/>
      <c r="N272" s="80"/>
      <c r="O272" s="80"/>
      <c r="P272" s="80"/>
      <c r="Q272" s="80"/>
      <c r="R272" s="80"/>
      <c r="S272" s="80"/>
      <c r="T272" s="80"/>
      <c r="U272" s="80"/>
      <c r="V272" s="80"/>
      <c r="W272" s="80"/>
      <c r="X272" s="80"/>
      <c r="Y272" s="80"/>
      <c r="Z272" s="80"/>
    </row>
    <row r="273">
      <c r="A273" s="135">
        <v>45789.0</v>
      </c>
      <c r="B273" s="136">
        <v>1.0</v>
      </c>
      <c r="C273" s="126"/>
      <c r="D273" s="126"/>
      <c r="E273" s="126"/>
      <c r="F273" s="138">
        <v>0.2</v>
      </c>
      <c r="G273" s="80"/>
      <c r="H273" s="80"/>
      <c r="I273" s="80"/>
      <c r="J273" s="80"/>
      <c r="K273" s="80"/>
      <c r="L273" s="80"/>
      <c r="M273" s="80"/>
      <c r="N273" s="80"/>
      <c r="O273" s="80"/>
      <c r="P273" s="80"/>
      <c r="Q273" s="80"/>
      <c r="R273" s="80"/>
      <c r="S273" s="80"/>
      <c r="T273" s="80"/>
      <c r="U273" s="80"/>
      <c r="V273" s="80"/>
      <c r="W273" s="80"/>
      <c r="X273" s="80"/>
      <c r="Y273" s="80"/>
      <c r="Z273" s="80"/>
    </row>
    <row r="274">
      <c r="A274" s="135">
        <v>45790.0</v>
      </c>
      <c r="B274" s="136">
        <v>1.0</v>
      </c>
      <c r="C274" s="126"/>
      <c r="D274" s="126"/>
      <c r="E274" s="126"/>
      <c r="F274" s="138">
        <v>0.2</v>
      </c>
      <c r="G274" s="80"/>
      <c r="H274" s="80"/>
      <c r="I274" s="80"/>
      <c r="J274" s="80"/>
      <c r="K274" s="80"/>
      <c r="L274" s="80"/>
      <c r="M274" s="80"/>
      <c r="N274" s="80"/>
      <c r="O274" s="80"/>
      <c r="P274" s="80"/>
      <c r="Q274" s="80"/>
      <c r="R274" s="80"/>
      <c r="S274" s="80"/>
      <c r="T274" s="80"/>
      <c r="U274" s="80"/>
      <c r="V274" s="80"/>
      <c r="W274" s="80"/>
      <c r="X274" s="80"/>
      <c r="Y274" s="80"/>
      <c r="Z274" s="80"/>
    </row>
    <row r="275">
      <c r="A275" s="135">
        <v>45791.0</v>
      </c>
      <c r="B275" s="136">
        <v>1.0</v>
      </c>
      <c r="C275" s="126"/>
      <c r="D275" s="126"/>
      <c r="E275" s="126"/>
      <c r="F275" s="127">
        <v>0.47</v>
      </c>
      <c r="G275" s="80"/>
      <c r="H275" s="80"/>
      <c r="I275" s="80"/>
      <c r="J275" s="80"/>
      <c r="K275" s="80"/>
      <c r="L275" s="80"/>
      <c r="M275" s="80"/>
      <c r="N275" s="80"/>
      <c r="O275" s="80"/>
      <c r="P275" s="80"/>
      <c r="Q275" s="80"/>
      <c r="R275" s="80"/>
      <c r="S275" s="80"/>
      <c r="T275" s="80"/>
      <c r="U275" s="80"/>
      <c r="V275" s="80"/>
      <c r="W275" s="80"/>
      <c r="X275" s="80"/>
      <c r="Y275" s="80"/>
      <c r="Z275" s="80"/>
    </row>
    <row r="276">
      <c r="A276" s="135">
        <v>45792.0</v>
      </c>
      <c r="B276" s="136">
        <v>1.0</v>
      </c>
      <c r="C276" s="126"/>
      <c r="D276" s="126"/>
      <c r="E276" s="126"/>
      <c r="F276" s="138">
        <v>0.6</v>
      </c>
      <c r="G276" s="80"/>
      <c r="H276" s="80"/>
      <c r="I276" s="80"/>
      <c r="J276" s="80"/>
      <c r="K276" s="80"/>
      <c r="L276" s="80"/>
      <c r="M276" s="80"/>
      <c r="N276" s="80"/>
      <c r="O276" s="80"/>
      <c r="P276" s="80"/>
      <c r="Q276" s="80"/>
      <c r="R276" s="80"/>
      <c r="S276" s="80"/>
      <c r="T276" s="80"/>
      <c r="U276" s="80"/>
      <c r="V276" s="80"/>
      <c r="W276" s="80"/>
      <c r="X276" s="80"/>
      <c r="Y276" s="80"/>
      <c r="Z276" s="80"/>
    </row>
    <row r="277">
      <c r="A277" s="135">
        <v>45793.0</v>
      </c>
      <c r="B277" s="136">
        <v>1.0</v>
      </c>
      <c r="C277" s="126"/>
      <c r="D277" s="126"/>
      <c r="E277" s="126"/>
      <c r="F277" s="138">
        <v>0.6</v>
      </c>
      <c r="G277" s="80"/>
      <c r="H277" s="80"/>
      <c r="I277" s="80"/>
      <c r="J277" s="80"/>
      <c r="K277" s="80"/>
      <c r="L277" s="80"/>
      <c r="M277" s="80"/>
      <c r="N277" s="80"/>
      <c r="O277" s="80"/>
      <c r="P277" s="80"/>
      <c r="Q277" s="80"/>
      <c r="R277" s="80"/>
      <c r="S277" s="80"/>
      <c r="T277" s="80"/>
      <c r="U277" s="80"/>
      <c r="V277" s="80"/>
      <c r="W277" s="80"/>
      <c r="X277" s="80"/>
      <c r="Y277" s="80"/>
      <c r="Z277" s="80"/>
    </row>
    <row r="278">
      <c r="A278" s="135">
        <v>45794.0</v>
      </c>
      <c r="B278" s="136">
        <v>1.0</v>
      </c>
      <c r="C278" s="126"/>
      <c r="D278" s="126"/>
      <c r="E278" s="126"/>
      <c r="F278" s="138">
        <v>0.73</v>
      </c>
      <c r="G278" s="80"/>
      <c r="H278" s="80"/>
      <c r="I278" s="80"/>
      <c r="J278" s="80"/>
      <c r="K278" s="80"/>
      <c r="L278" s="80"/>
      <c r="M278" s="80"/>
      <c r="N278" s="80"/>
      <c r="O278" s="80"/>
      <c r="P278" s="80"/>
      <c r="Q278" s="80"/>
      <c r="R278" s="80"/>
      <c r="S278" s="80"/>
      <c r="T278" s="80"/>
      <c r="U278" s="80"/>
      <c r="V278" s="80"/>
      <c r="W278" s="80"/>
      <c r="X278" s="80"/>
      <c r="Y278" s="80"/>
      <c r="Z278" s="80"/>
    </row>
    <row r="279">
      <c r="A279" s="135">
        <v>45795.0</v>
      </c>
      <c r="B279" s="136">
        <v>1.0</v>
      </c>
      <c r="C279" s="126"/>
      <c r="D279" s="126"/>
      <c r="E279" s="126"/>
      <c r="F279" s="138">
        <v>0.73</v>
      </c>
      <c r="G279" s="80"/>
      <c r="H279" s="80"/>
      <c r="I279" s="80"/>
      <c r="J279" s="80"/>
      <c r="K279" s="80"/>
      <c r="L279" s="80"/>
      <c r="M279" s="80"/>
      <c r="N279" s="80"/>
      <c r="O279" s="80"/>
      <c r="P279" s="80"/>
      <c r="Q279" s="80"/>
      <c r="R279" s="80"/>
      <c r="S279" s="80"/>
      <c r="T279" s="80"/>
      <c r="U279" s="80"/>
      <c r="V279" s="80"/>
      <c r="W279" s="80"/>
      <c r="X279" s="80"/>
      <c r="Y279" s="80"/>
      <c r="Z279" s="80"/>
    </row>
    <row r="280">
      <c r="A280" s="135">
        <v>45796.0</v>
      </c>
      <c r="B280" s="136">
        <v>1.0</v>
      </c>
      <c r="C280" s="126"/>
      <c r="D280" s="126"/>
      <c r="E280" s="126"/>
      <c r="F280" s="138">
        <v>0.73</v>
      </c>
      <c r="G280" s="80"/>
      <c r="H280" s="80"/>
      <c r="I280" s="80"/>
      <c r="J280" s="80"/>
      <c r="K280" s="80"/>
      <c r="L280" s="80"/>
      <c r="M280" s="80"/>
      <c r="N280" s="80"/>
      <c r="O280" s="80"/>
      <c r="P280" s="80"/>
      <c r="Q280" s="80"/>
      <c r="R280" s="80"/>
      <c r="S280" s="80"/>
      <c r="T280" s="80"/>
      <c r="U280" s="80"/>
      <c r="V280" s="80"/>
      <c r="W280" s="80"/>
      <c r="X280" s="80"/>
      <c r="Y280" s="80"/>
      <c r="Z280" s="80"/>
    </row>
    <row r="281">
      <c r="A281" s="135">
        <v>45797.0</v>
      </c>
      <c r="B281" s="136">
        <v>1.0</v>
      </c>
      <c r="C281" s="126"/>
      <c r="D281" s="126"/>
      <c r="E281" s="126"/>
      <c r="F281" s="138">
        <v>0.73</v>
      </c>
      <c r="G281" s="80"/>
      <c r="H281" s="80"/>
      <c r="I281" s="80"/>
      <c r="J281" s="80"/>
      <c r="K281" s="80"/>
      <c r="L281" s="80"/>
      <c r="M281" s="80"/>
      <c r="N281" s="80"/>
      <c r="O281" s="80"/>
      <c r="P281" s="80"/>
      <c r="Q281" s="80"/>
      <c r="R281" s="80"/>
      <c r="S281" s="80"/>
      <c r="T281" s="80"/>
      <c r="U281" s="80"/>
      <c r="V281" s="80"/>
      <c r="W281" s="80"/>
      <c r="X281" s="80"/>
      <c r="Y281" s="80"/>
      <c r="Z281" s="80"/>
    </row>
    <row r="282">
      <c r="A282" s="135">
        <v>45798.0</v>
      </c>
      <c r="B282" s="136">
        <v>1.0</v>
      </c>
      <c r="C282" s="126"/>
      <c r="D282" s="126"/>
      <c r="E282" s="126"/>
      <c r="F282" s="138">
        <v>0.73</v>
      </c>
      <c r="G282" s="80"/>
      <c r="H282" s="80"/>
      <c r="I282" s="80"/>
      <c r="J282" s="80"/>
      <c r="K282" s="80"/>
      <c r="L282" s="80"/>
      <c r="M282" s="80"/>
      <c r="N282" s="80"/>
      <c r="O282" s="80"/>
      <c r="P282" s="80"/>
      <c r="Q282" s="80"/>
      <c r="R282" s="80"/>
      <c r="S282" s="80"/>
      <c r="T282" s="80"/>
      <c r="U282" s="80"/>
      <c r="V282" s="80"/>
      <c r="W282" s="80"/>
      <c r="X282" s="80"/>
      <c r="Y282" s="80"/>
      <c r="Z282" s="80"/>
    </row>
    <row r="283">
      <c r="A283" s="135">
        <v>45799.0</v>
      </c>
      <c r="B283" s="136">
        <v>1.0</v>
      </c>
      <c r="C283" s="126"/>
      <c r="D283" s="126"/>
      <c r="E283" s="126"/>
      <c r="F283" s="138">
        <v>0.73</v>
      </c>
      <c r="G283" s="80"/>
      <c r="H283" s="80"/>
      <c r="I283" s="80"/>
      <c r="J283" s="80"/>
      <c r="K283" s="80"/>
      <c r="L283" s="80"/>
      <c r="M283" s="80"/>
      <c r="N283" s="80"/>
      <c r="O283" s="80"/>
      <c r="P283" s="80"/>
      <c r="Q283" s="80"/>
      <c r="R283" s="80"/>
      <c r="S283" s="80"/>
      <c r="T283" s="80"/>
      <c r="U283" s="80"/>
      <c r="V283" s="80"/>
      <c r="W283" s="80"/>
      <c r="X283" s="80"/>
      <c r="Y283" s="80"/>
      <c r="Z283" s="80"/>
    </row>
    <row r="284">
      <c r="A284" s="135">
        <v>45800.0</v>
      </c>
      <c r="B284" s="136">
        <v>1.0</v>
      </c>
      <c r="C284" s="126"/>
      <c r="D284" s="126"/>
      <c r="E284" s="126"/>
      <c r="F284" s="138">
        <v>0.73</v>
      </c>
      <c r="G284" s="80"/>
      <c r="H284" s="80"/>
      <c r="I284" s="80"/>
      <c r="J284" s="80"/>
      <c r="K284" s="80"/>
      <c r="L284" s="80"/>
      <c r="M284" s="80"/>
      <c r="N284" s="80"/>
      <c r="O284" s="80"/>
      <c r="P284" s="80"/>
      <c r="Q284" s="80"/>
      <c r="R284" s="80"/>
      <c r="S284" s="80"/>
      <c r="T284" s="80"/>
      <c r="U284" s="80"/>
      <c r="V284" s="80"/>
      <c r="W284" s="80"/>
      <c r="X284" s="80"/>
      <c r="Y284" s="80"/>
      <c r="Z284" s="80"/>
    </row>
    <row r="285">
      <c r="A285" s="135">
        <v>45801.0</v>
      </c>
      <c r="B285" s="136">
        <v>1.0</v>
      </c>
      <c r="C285" s="126"/>
      <c r="D285" s="126"/>
      <c r="E285" s="126"/>
      <c r="F285" s="138">
        <v>0.73</v>
      </c>
      <c r="G285" s="80"/>
      <c r="H285" s="80"/>
      <c r="I285" s="80"/>
      <c r="J285" s="80"/>
      <c r="K285" s="80"/>
      <c r="L285" s="80"/>
      <c r="M285" s="80"/>
      <c r="N285" s="80"/>
      <c r="O285" s="80"/>
      <c r="P285" s="80"/>
      <c r="Q285" s="80"/>
      <c r="R285" s="80"/>
      <c r="S285" s="80"/>
      <c r="T285" s="80"/>
      <c r="U285" s="80"/>
      <c r="V285" s="80"/>
      <c r="W285" s="80"/>
      <c r="X285" s="80"/>
      <c r="Y285" s="80"/>
      <c r="Z285" s="80"/>
    </row>
    <row r="286">
      <c r="A286" s="135">
        <v>45802.0</v>
      </c>
      <c r="B286" s="136">
        <v>1.0</v>
      </c>
      <c r="C286" s="126"/>
      <c r="D286" s="126"/>
      <c r="E286" s="126"/>
      <c r="F286" s="138">
        <v>0.73</v>
      </c>
      <c r="G286" s="80"/>
      <c r="H286" s="80"/>
      <c r="I286" s="80"/>
      <c r="J286" s="80"/>
      <c r="K286" s="80"/>
      <c r="L286" s="80"/>
      <c r="M286" s="80"/>
      <c r="N286" s="80"/>
      <c r="O286" s="80"/>
      <c r="P286" s="80"/>
      <c r="Q286" s="80"/>
      <c r="R286" s="80"/>
      <c r="S286" s="80"/>
      <c r="T286" s="80"/>
      <c r="U286" s="80"/>
      <c r="V286" s="80"/>
      <c r="W286" s="80"/>
      <c r="X286" s="80"/>
      <c r="Y286" s="80"/>
      <c r="Z286" s="80"/>
    </row>
    <row r="287">
      <c r="A287" s="135">
        <v>45803.0</v>
      </c>
      <c r="B287" s="136">
        <v>1.0</v>
      </c>
      <c r="C287" s="126"/>
      <c r="D287" s="126"/>
      <c r="E287" s="126"/>
      <c r="F287" s="138">
        <v>0.73</v>
      </c>
      <c r="G287" s="80"/>
      <c r="H287" s="80"/>
      <c r="I287" s="80"/>
      <c r="J287" s="80"/>
      <c r="K287" s="80"/>
      <c r="L287" s="80"/>
      <c r="M287" s="80"/>
      <c r="N287" s="80"/>
      <c r="O287" s="80"/>
      <c r="P287" s="80"/>
      <c r="Q287" s="80"/>
      <c r="R287" s="80"/>
      <c r="S287" s="80"/>
      <c r="T287" s="80"/>
      <c r="U287" s="80"/>
      <c r="V287" s="80"/>
      <c r="W287" s="80"/>
      <c r="X287" s="80"/>
      <c r="Y287" s="80"/>
      <c r="Z287" s="80"/>
    </row>
    <row r="288">
      <c r="A288" s="135">
        <v>45804.0</v>
      </c>
      <c r="B288" s="136">
        <v>1.0</v>
      </c>
      <c r="C288" s="126"/>
      <c r="D288" s="126"/>
      <c r="E288" s="126"/>
      <c r="F288" s="138">
        <v>0.73</v>
      </c>
      <c r="G288" s="80"/>
      <c r="H288" s="80"/>
      <c r="I288" s="80"/>
      <c r="J288" s="80"/>
      <c r="K288" s="80"/>
      <c r="L288" s="80"/>
      <c r="M288" s="80"/>
      <c r="N288" s="80"/>
      <c r="O288" s="80"/>
      <c r="P288" s="80"/>
      <c r="Q288" s="80"/>
      <c r="R288" s="80"/>
      <c r="S288" s="80"/>
      <c r="T288" s="80"/>
      <c r="U288" s="80"/>
      <c r="V288" s="80"/>
      <c r="W288" s="80"/>
      <c r="X288" s="80"/>
      <c r="Y288" s="80"/>
      <c r="Z288" s="80"/>
    </row>
    <row r="289">
      <c r="A289" s="135">
        <v>45805.0</v>
      </c>
      <c r="B289" s="136">
        <v>1.0</v>
      </c>
      <c r="C289" s="126"/>
      <c r="D289" s="126"/>
      <c r="E289" s="126"/>
      <c r="F289" s="138">
        <v>0.47</v>
      </c>
      <c r="G289" s="80"/>
      <c r="H289" s="80"/>
      <c r="I289" s="80"/>
      <c r="J289" s="80"/>
      <c r="K289" s="80"/>
      <c r="L289" s="80"/>
      <c r="M289" s="80"/>
      <c r="N289" s="80"/>
      <c r="O289" s="80"/>
      <c r="P289" s="80"/>
      <c r="Q289" s="80"/>
      <c r="R289" s="80"/>
      <c r="S289" s="80"/>
      <c r="T289" s="80"/>
      <c r="U289" s="80"/>
      <c r="V289" s="80"/>
      <c r="W289" s="80"/>
      <c r="X289" s="80"/>
      <c r="Y289" s="80"/>
      <c r="Z289" s="80"/>
    </row>
    <row r="290">
      <c r="A290" s="135">
        <v>45806.0</v>
      </c>
      <c r="B290" s="136">
        <v>1.0</v>
      </c>
      <c r="C290" s="126"/>
      <c r="D290" s="126"/>
      <c r="E290" s="126"/>
      <c r="F290" s="138">
        <v>0.87</v>
      </c>
      <c r="G290" s="80"/>
      <c r="H290" s="80"/>
      <c r="I290" s="80"/>
      <c r="J290" s="80"/>
      <c r="K290" s="80"/>
      <c r="L290" s="80"/>
      <c r="M290" s="80"/>
      <c r="N290" s="80"/>
      <c r="O290" s="80"/>
      <c r="P290" s="80"/>
      <c r="Q290" s="80"/>
      <c r="R290" s="80"/>
      <c r="S290" s="80"/>
      <c r="T290" s="80"/>
      <c r="U290" s="80"/>
      <c r="V290" s="80"/>
      <c r="W290" s="80"/>
      <c r="X290" s="80"/>
      <c r="Y290" s="80"/>
      <c r="Z290" s="80"/>
    </row>
    <row r="291">
      <c r="A291" s="135">
        <v>45807.0</v>
      </c>
      <c r="B291" s="136">
        <v>1.0</v>
      </c>
      <c r="C291" s="126"/>
      <c r="D291" s="126"/>
      <c r="E291" s="126"/>
      <c r="F291" s="138">
        <v>0.87</v>
      </c>
      <c r="G291" s="80"/>
      <c r="H291" s="80"/>
      <c r="I291" s="80"/>
      <c r="J291" s="80"/>
      <c r="K291" s="80"/>
      <c r="L291" s="80"/>
      <c r="M291" s="80"/>
      <c r="N291" s="80"/>
      <c r="O291" s="80"/>
      <c r="P291" s="80"/>
      <c r="Q291" s="80"/>
      <c r="R291" s="80"/>
      <c r="S291" s="80"/>
      <c r="T291" s="80"/>
      <c r="U291" s="80"/>
      <c r="V291" s="80"/>
      <c r="W291" s="80"/>
      <c r="X291" s="80"/>
      <c r="Y291" s="80"/>
      <c r="Z291" s="80"/>
    </row>
    <row r="292">
      <c r="A292" s="135">
        <v>45808.0</v>
      </c>
      <c r="B292" s="136">
        <v>1.0</v>
      </c>
      <c r="C292" s="126"/>
      <c r="D292" s="126"/>
      <c r="E292" s="126"/>
      <c r="F292" s="138">
        <v>0.87</v>
      </c>
      <c r="G292" s="80"/>
      <c r="H292" s="80"/>
      <c r="I292" s="80"/>
      <c r="J292" s="80"/>
      <c r="K292" s="80"/>
      <c r="L292" s="80"/>
      <c r="M292" s="80"/>
      <c r="N292" s="80"/>
      <c r="O292" s="80"/>
      <c r="P292" s="80"/>
      <c r="Q292" s="80"/>
      <c r="R292" s="80"/>
      <c r="S292" s="80"/>
      <c r="T292" s="80"/>
      <c r="U292" s="80"/>
      <c r="V292" s="80"/>
      <c r="W292" s="80"/>
      <c r="X292" s="80"/>
      <c r="Y292" s="80"/>
      <c r="Z292" s="80"/>
    </row>
    <row r="293">
      <c r="A293" s="135">
        <v>45809.0</v>
      </c>
      <c r="B293" s="136">
        <v>1.0</v>
      </c>
      <c r="C293" s="126"/>
      <c r="D293" s="126"/>
      <c r="E293" s="126"/>
      <c r="F293" s="138">
        <v>0.87</v>
      </c>
      <c r="G293" s="80"/>
      <c r="H293" s="80"/>
      <c r="I293" s="80"/>
      <c r="J293" s="80"/>
      <c r="K293" s="80"/>
      <c r="L293" s="80"/>
      <c r="M293" s="80"/>
      <c r="N293" s="80"/>
      <c r="O293" s="80"/>
      <c r="P293" s="80"/>
      <c r="Q293" s="80"/>
      <c r="R293" s="80"/>
      <c r="S293" s="80"/>
      <c r="T293" s="80"/>
      <c r="U293" s="80"/>
      <c r="V293" s="80"/>
      <c r="W293" s="80"/>
      <c r="X293" s="80"/>
      <c r="Y293" s="80"/>
      <c r="Z293" s="80"/>
    </row>
    <row r="294">
      <c r="A294" s="135">
        <v>45810.0</v>
      </c>
      <c r="B294" s="136">
        <v>1.0</v>
      </c>
      <c r="C294" s="126"/>
      <c r="D294" s="126"/>
      <c r="E294" s="126"/>
      <c r="F294" s="138">
        <v>0.87</v>
      </c>
      <c r="G294" s="80"/>
      <c r="H294" s="80"/>
      <c r="I294" s="80"/>
      <c r="J294" s="80"/>
      <c r="K294" s="80"/>
      <c r="L294" s="80"/>
      <c r="M294" s="80"/>
      <c r="N294" s="80"/>
      <c r="O294" s="80"/>
      <c r="P294" s="80"/>
      <c r="Q294" s="80"/>
      <c r="R294" s="80"/>
      <c r="S294" s="80"/>
      <c r="T294" s="80"/>
      <c r="U294" s="80"/>
      <c r="V294" s="80"/>
      <c r="W294" s="80"/>
      <c r="X294" s="80"/>
      <c r="Y294" s="80"/>
      <c r="Z294" s="80"/>
    </row>
    <row r="295">
      <c r="A295" s="135">
        <v>45811.0</v>
      </c>
      <c r="B295" s="136">
        <v>1.0</v>
      </c>
      <c r="C295" s="126"/>
      <c r="D295" s="126"/>
      <c r="E295" s="126"/>
      <c r="F295" s="138">
        <v>0.87</v>
      </c>
      <c r="G295" s="80"/>
      <c r="H295" s="80"/>
      <c r="I295" s="80"/>
      <c r="J295" s="80"/>
      <c r="K295" s="80"/>
      <c r="L295" s="80"/>
      <c r="M295" s="80"/>
      <c r="N295" s="80"/>
      <c r="O295" s="80"/>
      <c r="P295" s="80"/>
      <c r="Q295" s="80"/>
      <c r="R295" s="80"/>
      <c r="S295" s="80"/>
      <c r="T295" s="80"/>
      <c r="U295" s="80"/>
      <c r="V295" s="80"/>
      <c r="W295" s="80"/>
      <c r="X295" s="80"/>
      <c r="Y295" s="80"/>
      <c r="Z295" s="80"/>
    </row>
    <row r="296">
      <c r="A296" s="135">
        <v>45812.0</v>
      </c>
      <c r="B296" s="136">
        <v>1.0</v>
      </c>
      <c r="C296" s="126"/>
      <c r="D296" s="126"/>
      <c r="E296" s="126"/>
      <c r="F296" s="138">
        <v>0.87</v>
      </c>
      <c r="G296" s="80"/>
      <c r="H296" s="80"/>
      <c r="I296" s="80"/>
      <c r="J296" s="80"/>
      <c r="K296" s="80"/>
      <c r="L296" s="80"/>
      <c r="M296" s="80"/>
      <c r="N296" s="80"/>
      <c r="O296" s="80"/>
      <c r="P296" s="80"/>
      <c r="Q296" s="80"/>
      <c r="R296" s="80"/>
      <c r="S296" s="80"/>
      <c r="T296" s="80"/>
      <c r="U296" s="80"/>
      <c r="V296" s="80"/>
      <c r="W296" s="80"/>
      <c r="X296" s="80"/>
      <c r="Y296" s="80"/>
      <c r="Z296" s="80"/>
    </row>
    <row r="297">
      <c r="A297" s="135">
        <v>45813.0</v>
      </c>
      <c r="B297" s="136">
        <v>1.0</v>
      </c>
      <c r="C297" s="126"/>
      <c r="D297" s="126"/>
      <c r="E297" s="126"/>
      <c r="F297" s="138">
        <v>0.87</v>
      </c>
      <c r="G297" s="80"/>
      <c r="H297" s="80"/>
      <c r="I297" s="80"/>
      <c r="J297" s="80"/>
      <c r="K297" s="80"/>
      <c r="L297" s="80"/>
      <c r="M297" s="80"/>
      <c r="N297" s="80"/>
      <c r="O297" s="80"/>
      <c r="P297" s="80"/>
      <c r="Q297" s="80"/>
      <c r="R297" s="80"/>
      <c r="S297" s="80"/>
      <c r="T297" s="80"/>
      <c r="U297" s="80"/>
      <c r="V297" s="80"/>
      <c r="W297" s="80"/>
      <c r="X297" s="80"/>
      <c r="Y297" s="80"/>
      <c r="Z297" s="80"/>
    </row>
    <row r="298">
      <c r="A298" s="135">
        <v>45814.0</v>
      </c>
      <c r="B298" s="136">
        <v>0.83</v>
      </c>
      <c r="C298" s="126"/>
      <c r="D298" s="126"/>
      <c r="E298" s="126"/>
      <c r="F298" s="138">
        <v>0.87</v>
      </c>
      <c r="G298" s="80"/>
      <c r="H298" s="80"/>
      <c r="I298" s="80"/>
      <c r="J298" s="80"/>
      <c r="K298" s="80"/>
      <c r="L298" s="80"/>
      <c r="M298" s="80"/>
      <c r="N298" s="80"/>
      <c r="O298" s="80"/>
      <c r="P298" s="80"/>
      <c r="Q298" s="80"/>
      <c r="R298" s="80"/>
      <c r="S298" s="80"/>
      <c r="T298" s="80"/>
      <c r="U298" s="80"/>
      <c r="V298" s="80"/>
      <c r="W298" s="80"/>
      <c r="X298" s="80"/>
      <c r="Y298" s="80"/>
      <c r="Z298" s="80"/>
    </row>
    <row r="299">
      <c r="A299" s="135">
        <v>45815.0</v>
      </c>
      <c r="B299" s="136">
        <v>0.83</v>
      </c>
      <c r="C299" s="126"/>
      <c r="D299" s="126"/>
      <c r="E299" s="126"/>
      <c r="F299" s="138">
        <v>0.87</v>
      </c>
      <c r="G299" s="80"/>
      <c r="H299" s="80"/>
      <c r="I299" s="80"/>
      <c r="J299" s="80"/>
      <c r="K299" s="80"/>
      <c r="L299" s="80"/>
      <c r="M299" s="80"/>
      <c r="N299" s="80"/>
      <c r="O299" s="80"/>
      <c r="P299" s="80"/>
      <c r="Q299" s="80"/>
      <c r="R299" s="80"/>
      <c r="S299" s="80"/>
      <c r="T299" s="80"/>
      <c r="U299" s="80"/>
      <c r="V299" s="80"/>
      <c r="W299" s="80"/>
      <c r="X299" s="80"/>
      <c r="Y299" s="80"/>
      <c r="Z299" s="80"/>
    </row>
    <row r="300">
      <c r="A300" s="135">
        <v>45816.0</v>
      </c>
      <c r="B300" s="136">
        <v>0.83</v>
      </c>
      <c r="C300" s="126"/>
      <c r="D300" s="126"/>
      <c r="E300" s="126"/>
      <c r="F300" s="138">
        <v>0.87</v>
      </c>
      <c r="G300" s="80"/>
      <c r="H300" s="80"/>
      <c r="I300" s="80"/>
      <c r="J300" s="80"/>
      <c r="K300" s="80"/>
      <c r="L300" s="80"/>
      <c r="M300" s="80"/>
      <c r="N300" s="80"/>
      <c r="O300" s="80"/>
      <c r="P300" s="80"/>
      <c r="Q300" s="80"/>
      <c r="R300" s="80"/>
      <c r="S300" s="80"/>
      <c r="T300" s="80"/>
      <c r="U300" s="80"/>
      <c r="V300" s="80"/>
      <c r="W300" s="80"/>
      <c r="X300" s="80"/>
      <c r="Y300" s="80"/>
      <c r="Z300" s="80"/>
    </row>
    <row r="301">
      <c r="A301" s="135">
        <v>45817.0</v>
      </c>
      <c r="B301" s="136">
        <v>1.0</v>
      </c>
      <c r="C301" s="126"/>
      <c r="D301" s="126"/>
      <c r="E301" s="126"/>
      <c r="F301" s="138">
        <v>0.87</v>
      </c>
      <c r="G301" s="80"/>
      <c r="H301" s="80"/>
      <c r="I301" s="80"/>
      <c r="J301" s="80"/>
      <c r="K301" s="80"/>
      <c r="L301" s="80"/>
      <c r="M301" s="80"/>
      <c r="N301" s="80"/>
      <c r="O301" s="80"/>
      <c r="P301" s="80"/>
      <c r="Q301" s="80"/>
      <c r="R301" s="80"/>
      <c r="S301" s="80"/>
      <c r="T301" s="80"/>
      <c r="U301" s="80"/>
      <c r="V301" s="80"/>
      <c r="W301" s="80"/>
      <c r="X301" s="80"/>
      <c r="Y301" s="80"/>
      <c r="Z301" s="80"/>
    </row>
    <row r="302">
      <c r="A302" s="135">
        <v>45818.0</v>
      </c>
      <c r="B302" s="136">
        <v>1.0</v>
      </c>
      <c r="C302" s="126"/>
      <c r="D302" s="126"/>
      <c r="E302" s="126"/>
      <c r="F302" s="138">
        <v>0.87</v>
      </c>
      <c r="G302" s="80"/>
      <c r="H302" s="80"/>
      <c r="I302" s="80"/>
      <c r="J302" s="80"/>
      <c r="K302" s="80"/>
      <c r="L302" s="80"/>
      <c r="M302" s="80"/>
      <c r="N302" s="80"/>
      <c r="O302" s="80"/>
      <c r="P302" s="80"/>
      <c r="Q302" s="80"/>
      <c r="R302" s="80"/>
      <c r="S302" s="80"/>
      <c r="T302" s="80"/>
      <c r="U302" s="80"/>
      <c r="V302" s="80"/>
      <c r="W302" s="80"/>
      <c r="X302" s="80"/>
      <c r="Y302" s="80"/>
      <c r="Z302" s="80"/>
    </row>
    <row r="303">
      <c r="A303" s="135">
        <v>45819.0</v>
      </c>
      <c r="B303" s="136">
        <v>1.0</v>
      </c>
      <c r="C303" s="126"/>
      <c r="D303" s="126"/>
      <c r="E303" s="126"/>
      <c r="F303" s="138">
        <v>0.87</v>
      </c>
      <c r="G303" s="80"/>
      <c r="H303" s="80"/>
      <c r="I303" s="80"/>
      <c r="J303" s="80"/>
      <c r="K303" s="80"/>
      <c r="L303" s="80"/>
      <c r="M303" s="80"/>
      <c r="N303" s="80"/>
      <c r="O303" s="80"/>
      <c r="P303" s="80"/>
      <c r="Q303" s="80"/>
      <c r="R303" s="80"/>
      <c r="S303" s="80"/>
      <c r="T303" s="80"/>
      <c r="U303" s="80"/>
      <c r="V303" s="80"/>
      <c r="W303" s="80"/>
      <c r="X303" s="80"/>
      <c r="Y303" s="80"/>
      <c r="Z303" s="80"/>
    </row>
    <row r="304">
      <c r="A304" s="135">
        <v>45820.0</v>
      </c>
      <c r="B304" s="136">
        <v>1.0</v>
      </c>
      <c r="C304" s="126"/>
      <c r="D304" s="126"/>
      <c r="E304" s="126"/>
      <c r="F304" s="138">
        <v>0.87</v>
      </c>
      <c r="G304" s="80"/>
      <c r="H304" s="80"/>
      <c r="I304" s="80"/>
      <c r="J304" s="80"/>
      <c r="K304" s="80"/>
      <c r="L304" s="80"/>
      <c r="M304" s="80"/>
      <c r="N304" s="80"/>
      <c r="O304" s="80"/>
      <c r="P304" s="80"/>
      <c r="Q304" s="80"/>
      <c r="R304" s="80"/>
      <c r="S304" s="80"/>
      <c r="T304" s="80"/>
      <c r="U304" s="80"/>
      <c r="V304" s="80"/>
      <c r="W304" s="80"/>
      <c r="X304" s="80"/>
      <c r="Y304" s="80"/>
      <c r="Z304" s="80"/>
    </row>
    <row r="305">
      <c r="A305" s="135">
        <v>45821.0</v>
      </c>
      <c r="B305" s="136">
        <v>1.0</v>
      </c>
      <c r="C305" s="126"/>
      <c r="D305" s="126"/>
      <c r="E305" s="126"/>
      <c r="F305" s="138">
        <v>0.87</v>
      </c>
      <c r="G305" s="80"/>
      <c r="H305" s="80"/>
      <c r="I305" s="80"/>
      <c r="J305" s="80"/>
      <c r="K305" s="80"/>
      <c r="L305" s="80"/>
      <c r="M305" s="80"/>
      <c r="N305" s="80"/>
      <c r="O305" s="80"/>
      <c r="P305" s="80"/>
      <c r="Q305" s="80"/>
      <c r="R305" s="80"/>
      <c r="S305" s="80"/>
      <c r="T305" s="80"/>
      <c r="U305" s="80"/>
      <c r="V305" s="80"/>
      <c r="W305" s="80"/>
      <c r="X305" s="80"/>
      <c r="Y305" s="80"/>
      <c r="Z305" s="80"/>
    </row>
    <row r="306">
      <c r="A306" s="135">
        <v>45822.0</v>
      </c>
      <c r="B306" s="136">
        <v>1.0</v>
      </c>
      <c r="C306" s="126"/>
      <c r="D306" s="126"/>
      <c r="E306" s="126"/>
      <c r="F306" s="138">
        <v>0.87</v>
      </c>
      <c r="G306" s="80"/>
      <c r="H306" s="80"/>
      <c r="I306" s="80"/>
      <c r="J306" s="80"/>
      <c r="K306" s="80"/>
      <c r="L306" s="80"/>
      <c r="M306" s="80"/>
      <c r="N306" s="80"/>
      <c r="O306" s="80"/>
      <c r="P306" s="80"/>
      <c r="Q306" s="80"/>
      <c r="R306" s="80"/>
      <c r="S306" s="80"/>
      <c r="T306" s="80"/>
      <c r="U306" s="80"/>
      <c r="V306" s="80"/>
      <c r="W306" s="80"/>
      <c r="X306" s="80"/>
      <c r="Y306" s="80"/>
      <c r="Z306" s="80"/>
    </row>
    <row r="307">
      <c r="A307" s="135">
        <v>45823.0</v>
      </c>
      <c r="B307" s="136">
        <v>1.0</v>
      </c>
      <c r="C307" s="126"/>
      <c r="D307" s="126"/>
      <c r="E307" s="126"/>
      <c r="F307" s="138">
        <v>0.87</v>
      </c>
      <c r="G307" s="80"/>
      <c r="H307" s="80"/>
      <c r="I307" s="80"/>
      <c r="J307" s="80"/>
      <c r="K307" s="80"/>
      <c r="L307" s="80"/>
      <c r="M307" s="80"/>
      <c r="N307" s="80"/>
      <c r="O307" s="80"/>
      <c r="P307" s="80"/>
      <c r="Q307" s="80"/>
      <c r="R307" s="80"/>
      <c r="S307" s="80"/>
      <c r="T307" s="80"/>
      <c r="U307" s="80"/>
      <c r="V307" s="80"/>
      <c r="W307" s="80"/>
      <c r="X307" s="80"/>
      <c r="Y307" s="80"/>
      <c r="Z307" s="80"/>
    </row>
    <row r="308">
      <c r="A308" s="135">
        <v>45824.0</v>
      </c>
      <c r="B308" s="136">
        <v>1.0</v>
      </c>
      <c r="C308" s="126"/>
      <c r="D308" s="126"/>
      <c r="E308" s="126"/>
      <c r="F308" s="138">
        <v>0.87</v>
      </c>
      <c r="G308" s="80"/>
      <c r="H308" s="80"/>
      <c r="I308" s="80"/>
      <c r="J308" s="80"/>
      <c r="K308" s="80"/>
      <c r="L308" s="80"/>
      <c r="M308" s="80"/>
      <c r="N308" s="80"/>
      <c r="O308" s="80"/>
      <c r="P308" s="80"/>
      <c r="Q308" s="80"/>
      <c r="R308" s="80"/>
      <c r="S308" s="80"/>
      <c r="T308" s="80"/>
      <c r="U308" s="80"/>
      <c r="V308" s="80"/>
      <c r="W308" s="80"/>
      <c r="X308" s="80"/>
      <c r="Y308" s="80"/>
      <c r="Z308" s="80"/>
    </row>
    <row r="309">
      <c r="A309" s="135">
        <v>45825.0</v>
      </c>
      <c r="B309" s="136">
        <v>1.0</v>
      </c>
      <c r="C309" s="126"/>
      <c r="D309" s="126"/>
      <c r="E309" s="126"/>
      <c r="F309" s="138">
        <v>0.87</v>
      </c>
      <c r="G309" s="80"/>
      <c r="H309" s="80"/>
      <c r="I309" s="80"/>
      <c r="J309" s="80"/>
      <c r="K309" s="80"/>
      <c r="L309" s="80"/>
      <c r="M309" s="80"/>
      <c r="N309" s="80"/>
      <c r="O309" s="80"/>
      <c r="P309" s="80"/>
      <c r="Q309" s="80"/>
      <c r="R309" s="80"/>
      <c r="S309" s="80"/>
      <c r="T309" s="80"/>
      <c r="U309" s="80"/>
      <c r="V309" s="80"/>
      <c r="W309" s="80"/>
      <c r="X309" s="80"/>
      <c r="Y309" s="80"/>
      <c r="Z309" s="80"/>
    </row>
    <row r="310">
      <c r="A310" s="135">
        <v>45826.0</v>
      </c>
      <c r="B310" s="136">
        <v>1.0</v>
      </c>
      <c r="C310" s="126"/>
      <c r="D310" s="126"/>
      <c r="E310" s="126"/>
      <c r="F310" s="138">
        <v>0.87</v>
      </c>
      <c r="G310" s="80"/>
      <c r="H310" s="80"/>
      <c r="I310" s="80"/>
      <c r="J310" s="80"/>
      <c r="K310" s="80"/>
      <c r="L310" s="80"/>
      <c r="M310" s="80"/>
      <c r="N310" s="80"/>
      <c r="O310" s="80"/>
      <c r="P310" s="80"/>
      <c r="Q310" s="80"/>
      <c r="R310" s="80"/>
      <c r="S310" s="80"/>
      <c r="T310" s="80"/>
      <c r="U310" s="80"/>
      <c r="V310" s="80"/>
      <c r="W310" s="80"/>
      <c r="X310" s="80"/>
      <c r="Y310" s="80"/>
      <c r="Z310" s="80"/>
    </row>
    <row r="311">
      <c r="A311" s="135">
        <v>45827.0</v>
      </c>
      <c r="B311" s="136">
        <v>1.0</v>
      </c>
      <c r="C311" s="126"/>
      <c r="D311" s="126"/>
      <c r="E311" s="126"/>
      <c r="F311" s="138">
        <v>0.87</v>
      </c>
      <c r="G311" s="80"/>
      <c r="H311" s="80"/>
      <c r="I311" s="80"/>
      <c r="J311" s="80"/>
      <c r="K311" s="80"/>
      <c r="L311" s="80"/>
      <c r="M311" s="80"/>
      <c r="N311" s="80"/>
      <c r="O311" s="80"/>
      <c r="P311" s="80"/>
      <c r="Q311" s="80"/>
      <c r="R311" s="80"/>
      <c r="S311" s="80"/>
      <c r="T311" s="80"/>
      <c r="U311" s="80"/>
      <c r="V311" s="80"/>
      <c r="W311" s="80"/>
      <c r="X311" s="80"/>
      <c r="Y311" s="80"/>
      <c r="Z311" s="80"/>
    </row>
    <row r="312">
      <c r="A312" s="135">
        <v>45828.0</v>
      </c>
      <c r="B312" s="136">
        <v>1.0</v>
      </c>
      <c r="C312" s="126"/>
      <c r="D312" s="126"/>
      <c r="E312" s="126"/>
      <c r="F312" s="138">
        <v>0.87</v>
      </c>
      <c r="G312" s="80"/>
      <c r="H312" s="80"/>
      <c r="I312" s="80"/>
      <c r="J312" s="80"/>
      <c r="K312" s="80"/>
      <c r="L312" s="80"/>
      <c r="M312" s="80"/>
      <c r="N312" s="80"/>
      <c r="O312" s="80"/>
      <c r="P312" s="80"/>
      <c r="Q312" s="80"/>
      <c r="R312" s="80"/>
      <c r="S312" s="80"/>
      <c r="T312" s="80"/>
      <c r="U312" s="80"/>
      <c r="V312" s="80"/>
      <c r="W312" s="80"/>
      <c r="X312" s="80"/>
      <c r="Y312" s="80"/>
      <c r="Z312" s="80"/>
    </row>
    <row r="313">
      <c r="A313" s="135">
        <v>45829.0</v>
      </c>
      <c r="B313" s="136">
        <v>-0.17</v>
      </c>
      <c r="C313" s="126"/>
      <c r="D313" s="126"/>
      <c r="E313" s="126"/>
      <c r="F313" s="138">
        <v>0.87</v>
      </c>
      <c r="G313" s="80"/>
      <c r="H313" s="80"/>
      <c r="I313" s="80"/>
      <c r="J313" s="80"/>
      <c r="K313" s="80"/>
      <c r="L313" s="80"/>
      <c r="M313" s="80"/>
      <c r="N313" s="80"/>
      <c r="O313" s="80"/>
      <c r="P313" s="80"/>
      <c r="Q313" s="80"/>
      <c r="R313" s="80"/>
      <c r="S313" s="80"/>
      <c r="T313" s="80"/>
      <c r="U313" s="80"/>
      <c r="V313" s="80"/>
      <c r="W313" s="80"/>
      <c r="X313" s="80"/>
      <c r="Y313" s="80"/>
      <c r="Z313" s="80"/>
    </row>
    <row r="314">
      <c r="A314" s="135">
        <v>45830.0</v>
      </c>
      <c r="B314" s="136">
        <v>-0.17</v>
      </c>
      <c r="C314" s="126"/>
      <c r="D314" s="126"/>
      <c r="E314" s="126"/>
      <c r="F314" s="138">
        <v>0.87</v>
      </c>
      <c r="G314" s="80"/>
      <c r="H314" s="80"/>
      <c r="I314" s="80"/>
      <c r="J314" s="80"/>
      <c r="K314" s="80"/>
      <c r="L314" s="80"/>
      <c r="M314" s="80"/>
      <c r="N314" s="80"/>
      <c r="O314" s="80"/>
      <c r="P314" s="80"/>
      <c r="Q314" s="80"/>
      <c r="R314" s="80"/>
      <c r="S314" s="80"/>
      <c r="T314" s="80"/>
      <c r="U314" s="80"/>
      <c r="V314" s="80"/>
      <c r="W314" s="80"/>
      <c r="X314" s="80"/>
      <c r="Y314" s="80"/>
      <c r="Z314" s="80"/>
    </row>
    <row r="315">
      <c r="A315" s="135">
        <v>45831.0</v>
      </c>
      <c r="B315" s="136">
        <v>0.0</v>
      </c>
      <c r="C315" s="126"/>
      <c r="D315" s="126"/>
      <c r="E315" s="126"/>
      <c r="F315" s="138">
        <v>0.87</v>
      </c>
      <c r="G315" s="80"/>
      <c r="H315" s="80"/>
      <c r="I315" s="80"/>
      <c r="J315" s="80"/>
      <c r="K315" s="80"/>
      <c r="L315" s="80"/>
      <c r="M315" s="80"/>
      <c r="N315" s="80"/>
      <c r="O315" s="80"/>
      <c r="P315" s="80"/>
      <c r="Q315" s="80"/>
      <c r="R315" s="80"/>
      <c r="S315" s="80"/>
      <c r="T315" s="80"/>
      <c r="U315" s="80"/>
      <c r="V315" s="80"/>
      <c r="W315" s="80"/>
      <c r="X315" s="80"/>
      <c r="Y315" s="80"/>
      <c r="Z315" s="80"/>
    </row>
    <row r="316">
      <c r="A316" s="135">
        <v>45832.0</v>
      </c>
      <c r="B316" s="136">
        <v>0.0</v>
      </c>
      <c r="C316" s="126"/>
      <c r="D316" s="126"/>
      <c r="E316" s="126"/>
      <c r="F316" s="138">
        <v>0.87</v>
      </c>
      <c r="G316" s="80"/>
      <c r="H316" s="80"/>
      <c r="I316" s="80"/>
      <c r="J316" s="80"/>
      <c r="K316" s="80"/>
      <c r="L316" s="80"/>
      <c r="M316" s="80"/>
      <c r="N316" s="80"/>
      <c r="O316" s="80"/>
      <c r="P316" s="80"/>
      <c r="Q316" s="80"/>
      <c r="R316" s="80"/>
      <c r="S316" s="80"/>
      <c r="T316" s="80"/>
      <c r="U316" s="80"/>
      <c r="V316" s="80"/>
      <c r="W316" s="80"/>
      <c r="X316" s="80"/>
      <c r="Y316" s="80"/>
      <c r="Z316" s="80"/>
    </row>
    <row r="317">
      <c r="A317" s="135">
        <v>45833.0</v>
      </c>
      <c r="B317" s="136">
        <v>0.0</v>
      </c>
      <c r="C317" s="126"/>
      <c r="D317" s="126"/>
      <c r="E317" s="126"/>
      <c r="F317" s="138">
        <v>0.87</v>
      </c>
      <c r="G317" s="80"/>
      <c r="H317" s="80"/>
      <c r="I317" s="80"/>
      <c r="J317" s="80"/>
      <c r="K317" s="80"/>
      <c r="L317" s="80"/>
      <c r="M317" s="80"/>
      <c r="N317" s="80"/>
      <c r="O317" s="80"/>
      <c r="P317" s="80"/>
      <c r="Q317" s="80"/>
      <c r="R317" s="80"/>
      <c r="S317" s="80"/>
      <c r="T317" s="80"/>
      <c r="U317" s="80"/>
      <c r="V317" s="80"/>
      <c r="W317" s="80"/>
      <c r="X317" s="80"/>
      <c r="Y317" s="80"/>
      <c r="Z317" s="80"/>
    </row>
    <row r="318">
      <c r="A318" s="135">
        <v>45834.0</v>
      </c>
      <c r="B318" s="136">
        <v>0.0</v>
      </c>
      <c r="C318" s="126"/>
      <c r="D318" s="126"/>
      <c r="E318" s="126"/>
      <c r="F318" s="138">
        <v>0.87</v>
      </c>
      <c r="G318" s="80"/>
      <c r="H318" s="80"/>
      <c r="I318" s="80"/>
      <c r="J318" s="80"/>
      <c r="K318" s="80"/>
      <c r="L318" s="80"/>
      <c r="M318" s="80"/>
      <c r="N318" s="80"/>
      <c r="O318" s="80"/>
      <c r="P318" s="80"/>
      <c r="Q318" s="80"/>
      <c r="R318" s="80"/>
      <c r="S318" s="80"/>
      <c r="T318" s="80"/>
      <c r="U318" s="80"/>
      <c r="V318" s="80"/>
      <c r="W318" s="80"/>
      <c r="X318" s="80"/>
      <c r="Y318" s="80"/>
      <c r="Z318" s="80"/>
    </row>
    <row r="319">
      <c r="A319" s="135">
        <v>45835.0</v>
      </c>
      <c r="B319" s="136">
        <v>0.0</v>
      </c>
      <c r="C319" s="126"/>
      <c r="D319" s="126"/>
      <c r="E319" s="126"/>
      <c r="F319" s="138">
        <v>0.87</v>
      </c>
      <c r="G319" s="80"/>
      <c r="H319" s="80"/>
      <c r="I319" s="80"/>
      <c r="J319" s="80"/>
      <c r="K319" s="80"/>
      <c r="L319" s="80"/>
      <c r="M319" s="80"/>
      <c r="N319" s="80"/>
      <c r="O319" s="80"/>
      <c r="P319" s="80"/>
      <c r="Q319" s="80"/>
      <c r="R319" s="80"/>
      <c r="S319" s="80"/>
      <c r="T319" s="80"/>
      <c r="U319" s="80"/>
      <c r="V319" s="80"/>
      <c r="W319" s="80"/>
      <c r="X319" s="80"/>
      <c r="Y319" s="80"/>
      <c r="Z319" s="80"/>
    </row>
    <row r="320">
      <c r="A320" s="135">
        <v>45836.0</v>
      </c>
      <c r="B320" s="136">
        <v>0.0</v>
      </c>
      <c r="C320" s="126"/>
      <c r="D320" s="126"/>
      <c r="E320" s="126"/>
      <c r="F320" s="138">
        <v>0.87</v>
      </c>
      <c r="G320" s="80"/>
      <c r="H320" s="80"/>
      <c r="I320" s="80"/>
      <c r="J320" s="80"/>
      <c r="K320" s="80"/>
      <c r="L320" s="80"/>
      <c r="M320" s="80"/>
      <c r="N320" s="80"/>
      <c r="O320" s="80"/>
      <c r="P320" s="80"/>
      <c r="Q320" s="80"/>
      <c r="R320" s="80"/>
      <c r="S320" s="80"/>
      <c r="T320" s="80"/>
      <c r="U320" s="80"/>
      <c r="V320" s="80"/>
      <c r="W320" s="80"/>
      <c r="X320" s="80"/>
      <c r="Y320" s="80"/>
      <c r="Z320" s="80"/>
    </row>
    <row r="321">
      <c r="A321" s="135">
        <v>45837.0</v>
      </c>
      <c r="B321" s="136">
        <v>0.33</v>
      </c>
      <c r="C321" s="126"/>
      <c r="D321" s="126"/>
      <c r="E321" s="126"/>
      <c r="F321" s="138">
        <v>0.87</v>
      </c>
      <c r="G321" s="80"/>
      <c r="H321" s="80"/>
      <c r="I321" s="80"/>
      <c r="J321" s="80"/>
      <c r="K321" s="80"/>
      <c r="L321" s="80"/>
      <c r="M321" s="80"/>
      <c r="N321" s="80"/>
      <c r="O321" s="80"/>
      <c r="P321" s="80"/>
      <c r="Q321" s="80"/>
      <c r="R321" s="80"/>
      <c r="S321" s="80"/>
      <c r="T321" s="80"/>
      <c r="U321" s="80"/>
      <c r="V321" s="80"/>
      <c r="W321" s="80"/>
      <c r="X321" s="80"/>
      <c r="Y321" s="80"/>
      <c r="Z321" s="80"/>
    </row>
    <row r="322">
      <c r="A322" s="135">
        <v>45838.0</v>
      </c>
      <c r="B322" s="136">
        <v>0.17</v>
      </c>
      <c r="C322" s="126"/>
      <c r="D322" s="126"/>
      <c r="E322" s="126"/>
      <c r="F322" s="138">
        <v>0.87</v>
      </c>
      <c r="G322" s="80"/>
      <c r="H322" s="80"/>
      <c r="I322" s="80"/>
      <c r="J322" s="80"/>
      <c r="K322" s="80"/>
      <c r="L322" s="80"/>
      <c r="M322" s="80"/>
      <c r="N322" s="80"/>
      <c r="O322" s="80"/>
      <c r="P322" s="80"/>
      <c r="Q322" s="80"/>
      <c r="R322" s="80"/>
      <c r="S322" s="80"/>
      <c r="T322" s="80"/>
      <c r="U322" s="80"/>
      <c r="V322" s="80"/>
      <c r="W322" s="80"/>
      <c r="X322" s="80"/>
      <c r="Y322" s="80"/>
      <c r="Z322" s="80"/>
    </row>
    <row r="323">
      <c r="A323" s="135">
        <v>45839.0</v>
      </c>
      <c r="B323" s="136">
        <v>0.17</v>
      </c>
      <c r="C323" s="126"/>
      <c r="D323" s="126"/>
      <c r="E323" s="126"/>
      <c r="F323" s="138">
        <v>0.87</v>
      </c>
      <c r="G323" s="80"/>
      <c r="H323" s="80"/>
      <c r="I323" s="80"/>
      <c r="J323" s="80"/>
      <c r="K323" s="80"/>
      <c r="L323" s="80"/>
      <c r="M323" s="80"/>
      <c r="N323" s="80"/>
      <c r="O323" s="80"/>
      <c r="P323" s="80"/>
      <c r="Q323" s="80"/>
      <c r="R323" s="80"/>
      <c r="S323" s="80"/>
      <c r="T323" s="80"/>
      <c r="U323" s="80"/>
      <c r="V323" s="80"/>
      <c r="W323" s="80"/>
      <c r="X323" s="80"/>
      <c r="Y323" s="80"/>
      <c r="Z323" s="80"/>
    </row>
    <row r="324">
      <c r="A324" s="135">
        <v>45840.0</v>
      </c>
      <c r="B324" s="136">
        <v>0.17</v>
      </c>
      <c r="C324" s="126"/>
      <c r="D324" s="126"/>
      <c r="E324" s="126"/>
      <c r="F324" s="138">
        <v>0.87</v>
      </c>
      <c r="G324" s="80"/>
      <c r="H324" s="80"/>
      <c r="I324" s="80"/>
      <c r="J324" s="80"/>
      <c r="K324" s="80"/>
      <c r="L324" s="80"/>
      <c r="M324" s="80"/>
      <c r="N324" s="80"/>
      <c r="O324" s="80"/>
      <c r="P324" s="80"/>
      <c r="Q324" s="80"/>
      <c r="R324" s="80"/>
      <c r="S324" s="80"/>
      <c r="T324" s="80"/>
      <c r="U324" s="80"/>
      <c r="V324" s="80"/>
      <c r="W324" s="80"/>
      <c r="X324" s="80"/>
      <c r="Y324" s="80"/>
      <c r="Z324" s="80"/>
    </row>
    <row r="325">
      <c r="A325" s="135">
        <v>45841.0</v>
      </c>
      <c r="B325" s="136">
        <v>0.17</v>
      </c>
      <c r="C325" s="126"/>
      <c r="D325" s="126"/>
      <c r="E325" s="126"/>
      <c r="F325" s="138">
        <v>0.87</v>
      </c>
      <c r="G325" s="80"/>
      <c r="H325" s="80"/>
      <c r="I325" s="80"/>
      <c r="J325" s="80"/>
      <c r="K325" s="80"/>
      <c r="L325" s="80"/>
      <c r="M325" s="80"/>
      <c r="N325" s="80"/>
      <c r="O325" s="80"/>
      <c r="P325" s="80"/>
      <c r="Q325" s="80"/>
      <c r="R325" s="80"/>
      <c r="S325" s="80"/>
      <c r="T325" s="80"/>
      <c r="U325" s="80"/>
      <c r="V325" s="80"/>
      <c r="W325" s="80"/>
      <c r="X325" s="80"/>
      <c r="Y325" s="80"/>
      <c r="Z325" s="80"/>
    </row>
    <row r="326">
      <c r="A326" s="135">
        <v>45842.0</v>
      </c>
      <c r="B326" s="136">
        <v>0.17</v>
      </c>
      <c r="C326" s="126"/>
      <c r="D326" s="126"/>
      <c r="E326" s="126"/>
      <c r="F326" s="138">
        <v>0.87</v>
      </c>
      <c r="G326" s="80"/>
      <c r="H326" s="80"/>
      <c r="I326" s="80"/>
      <c r="J326" s="80"/>
      <c r="K326" s="80"/>
      <c r="L326" s="80"/>
      <c r="M326" s="80"/>
      <c r="N326" s="80"/>
      <c r="O326" s="80"/>
      <c r="P326" s="80"/>
      <c r="Q326" s="80"/>
      <c r="R326" s="80"/>
      <c r="S326" s="80"/>
      <c r="T326" s="80"/>
      <c r="U326" s="80"/>
      <c r="V326" s="80"/>
      <c r="W326" s="80"/>
      <c r="X326" s="80"/>
      <c r="Y326" s="80"/>
      <c r="Z326" s="80"/>
    </row>
    <row r="327">
      <c r="A327" s="135">
        <v>45843.0</v>
      </c>
      <c r="B327" s="136">
        <v>0.5</v>
      </c>
      <c r="C327" s="126"/>
      <c r="D327" s="126"/>
      <c r="E327" s="126"/>
      <c r="F327" s="138">
        <v>0.87</v>
      </c>
      <c r="G327" s="80"/>
      <c r="H327" s="80"/>
      <c r="I327" s="80"/>
      <c r="J327" s="80"/>
      <c r="K327" s="80"/>
      <c r="L327" s="80"/>
      <c r="M327" s="80"/>
      <c r="N327" s="80"/>
      <c r="O327" s="80"/>
      <c r="P327" s="80"/>
      <c r="Q327" s="80"/>
      <c r="R327" s="80"/>
      <c r="S327" s="80"/>
      <c r="T327" s="80"/>
      <c r="U327" s="80"/>
      <c r="V327" s="80"/>
      <c r="W327" s="80"/>
      <c r="X327" s="80"/>
      <c r="Y327" s="80"/>
      <c r="Z327" s="80"/>
    </row>
    <row r="328">
      <c r="A328" s="135">
        <v>45844.0</v>
      </c>
      <c r="B328" s="136">
        <v>0.5</v>
      </c>
      <c r="C328" s="126"/>
      <c r="D328" s="126"/>
      <c r="E328" s="126"/>
      <c r="F328" s="138">
        <v>0.87</v>
      </c>
      <c r="G328" s="80"/>
      <c r="H328" s="80"/>
      <c r="I328" s="80"/>
      <c r="J328" s="80"/>
      <c r="K328" s="80"/>
      <c r="L328" s="80"/>
      <c r="M328" s="80"/>
      <c r="N328" s="80"/>
      <c r="O328" s="80"/>
      <c r="P328" s="80"/>
      <c r="Q328" s="80"/>
      <c r="R328" s="80"/>
      <c r="S328" s="80"/>
      <c r="T328" s="80"/>
      <c r="U328" s="80"/>
      <c r="V328" s="80"/>
      <c r="W328" s="80"/>
      <c r="X328" s="80"/>
      <c r="Y328" s="80"/>
      <c r="Z328" s="80"/>
    </row>
    <row r="329">
      <c r="A329" s="135">
        <v>45845.0</v>
      </c>
      <c r="B329" s="136">
        <v>0.67</v>
      </c>
      <c r="C329" s="126"/>
      <c r="D329" s="126"/>
      <c r="E329" s="126"/>
      <c r="F329" s="138">
        <v>0.87</v>
      </c>
      <c r="G329" s="80"/>
      <c r="H329" s="80"/>
      <c r="I329" s="80"/>
      <c r="J329" s="80"/>
      <c r="K329" s="80"/>
      <c r="L329" s="80"/>
      <c r="M329" s="80"/>
      <c r="N329" s="80"/>
      <c r="O329" s="80"/>
      <c r="P329" s="80"/>
      <c r="Q329" s="80"/>
      <c r="R329" s="80"/>
      <c r="S329" s="80"/>
      <c r="T329" s="80"/>
      <c r="U329" s="80"/>
      <c r="V329" s="80"/>
      <c r="W329" s="80"/>
      <c r="X329" s="80"/>
      <c r="Y329" s="80"/>
      <c r="Z329" s="80"/>
    </row>
    <row r="330">
      <c r="A330" s="135">
        <v>45846.0</v>
      </c>
      <c r="B330" s="136">
        <v>0.67</v>
      </c>
      <c r="C330" s="126"/>
      <c r="D330" s="126"/>
      <c r="E330" s="126"/>
      <c r="F330" s="138">
        <v>0.87</v>
      </c>
      <c r="G330" s="80"/>
      <c r="H330" s="80"/>
      <c r="I330" s="80"/>
      <c r="J330" s="80"/>
      <c r="K330" s="80"/>
      <c r="L330" s="80"/>
      <c r="M330" s="80"/>
      <c r="N330" s="80"/>
      <c r="O330" s="80"/>
      <c r="P330" s="80"/>
      <c r="Q330" s="80"/>
      <c r="R330" s="80"/>
      <c r="S330" s="80"/>
      <c r="T330" s="80"/>
      <c r="U330" s="80"/>
      <c r="V330" s="80"/>
      <c r="W330" s="80"/>
      <c r="X330" s="80"/>
      <c r="Y330" s="80"/>
      <c r="Z330" s="80"/>
    </row>
    <row r="331">
      <c r="A331" s="135">
        <v>45847.0</v>
      </c>
      <c r="B331" s="136">
        <v>0.83</v>
      </c>
      <c r="C331" s="126"/>
      <c r="D331" s="126"/>
      <c r="E331" s="126"/>
      <c r="F331" s="138">
        <v>0.87</v>
      </c>
      <c r="G331" s="80"/>
      <c r="H331" s="80"/>
      <c r="I331" s="80"/>
      <c r="J331" s="80"/>
      <c r="K331" s="80"/>
      <c r="L331" s="80"/>
      <c r="M331" s="80"/>
      <c r="N331" s="80"/>
      <c r="O331" s="80"/>
      <c r="P331" s="80"/>
      <c r="Q331" s="80"/>
      <c r="R331" s="80"/>
      <c r="S331" s="80"/>
      <c r="T331" s="80"/>
      <c r="U331" s="80"/>
      <c r="V331" s="80"/>
      <c r="W331" s="80"/>
      <c r="X331" s="80"/>
      <c r="Y331" s="80"/>
      <c r="Z331" s="80"/>
    </row>
    <row r="332">
      <c r="A332" s="135">
        <v>45848.0</v>
      </c>
      <c r="B332" s="136">
        <v>1.0</v>
      </c>
      <c r="C332" s="126"/>
      <c r="D332" s="126"/>
      <c r="E332" s="126"/>
      <c r="F332" s="138">
        <v>0.87</v>
      </c>
      <c r="G332" s="80"/>
      <c r="H332" s="80"/>
      <c r="I332" s="80"/>
      <c r="J332" s="80"/>
      <c r="K332" s="80"/>
      <c r="L332" s="80"/>
      <c r="M332" s="80"/>
      <c r="N332" s="80"/>
      <c r="O332" s="80"/>
      <c r="P332" s="80"/>
      <c r="Q332" s="80"/>
      <c r="R332" s="80"/>
      <c r="S332" s="80"/>
      <c r="T332" s="80"/>
      <c r="U332" s="80"/>
      <c r="V332" s="80"/>
      <c r="W332" s="80"/>
      <c r="X332" s="80"/>
      <c r="Y332" s="80"/>
      <c r="Z332" s="80"/>
    </row>
    <row r="333">
      <c r="A333" s="135">
        <v>45849.0</v>
      </c>
      <c r="B333" s="136">
        <v>1.0</v>
      </c>
      <c r="C333" s="126"/>
      <c r="D333" s="126"/>
      <c r="E333" s="126"/>
      <c r="F333" s="138">
        <v>0.87</v>
      </c>
      <c r="G333" s="80"/>
      <c r="H333" s="80"/>
      <c r="I333" s="80"/>
      <c r="J333" s="80"/>
      <c r="K333" s="80"/>
      <c r="L333" s="80"/>
      <c r="M333" s="80"/>
      <c r="N333" s="80"/>
      <c r="O333" s="80"/>
      <c r="P333" s="80"/>
      <c r="Q333" s="80"/>
      <c r="R333" s="80"/>
      <c r="S333" s="80"/>
      <c r="T333" s="80"/>
      <c r="U333" s="80"/>
      <c r="V333" s="80"/>
      <c r="W333" s="80"/>
      <c r="X333" s="80"/>
      <c r="Y333" s="80"/>
      <c r="Z333" s="80"/>
    </row>
    <row r="334">
      <c r="A334" s="135">
        <v>45850.0</v>
      </c>
      <c r="B334" s="136">
        <v>1.0</v>
      </c>
      <c r="C334" s="126"/>
      <c r="D334" s="126"/>
      <c r="E334" s="126"/>
      <c r="F334" s="138">
        <v>0.87</v>
      </c>
      <c r="G334" s="80"/>
      <c r="H334" s="80"/>
      <c r="I334" s="80"/>
      <c r="J334" s="80"/>
      <c r="K334" s="80"/>
      <c r="L334" s="80"/>
      <c r="M334" s="80"/>
      <c r="N334" s="80"/>
      <c r="O334" s="80"/>
      <c r="P334" s="80"/>
      <c r="Q334" s="80"/>
      <c r="R334" s="80"/>
      <c r="S334" s="80"/>
      <c r="T334" s="80"/>
      <c r="U334" s="80"/>
      <c r="V334" s="80"/>
      <c r="W334" s="80"/>
      <c r="X334" s="80"/>
      <c r="Y334" s="80"/>
      <c r="Z334" s="80"/>
    </row>
    <row r="335">
      <c r="A335" s="135">
        <v>45851.0</v>
      </c>
      <c r="B335" s="136">
        <v>1.0</v>
      </c>
      <c r="C335" s="126"/>
      <c r="D335" s="126"/>
      <c r="E335" s="126"/>
      <c r="F335" s="138">
        <v>0.87</v>
      </c>
      <c r="G335" s="80"/>
      <c r="H335" s="80"/>
      <c r="I335" s="80"/>
      <c r="J335" s="80"/>
      <c r="K335" s="80"/>
      <c r="L335" s="80"/>
      <c r="M335" s="80"/>
      <c r="N335" s="80"/>
      <c r="O335" s="80"/>
      <c r="P335" s="80"/>
      <c r="Q335" s="80"/>
      <c r="R335" s="80"/>
      <c r="S335" s="80"/>
      <c r="T335" s="80"/>
      <c r="U335" s="80"/>
      <c r="V335" s="80"/>
      <c r="W335" s="80"/>
      <c r="X335" s="80"/>
      <c r="Y335" s="80"/>
      <c r="Z335" s="80"/>
    </row>
    <row r="336">
      <c r="A336" s="135">
        <v>45852.0</v>
      </c>
      <c r="B336" s="136">
        <v>1.0</v>
      </c>
      <c r="C336" s="126"/>
      <c r="D336" s="126"/>
      <c r="E336" s="126"/>
      <c r="F336" s="138">
        <v>0.87</v>
      </c>
      <c r="G336" s="80"/>
      <c r="H336" s="80"/>
      <c r="I336" s="80"/>
      <c r="J336" s="80"/>
      <c r="K336" s="80"/>
      <c r="L336" s="80"/>
      <c r="M336" s="80"/>
      <c r="N336" s="80"/>
      <c r="O336" s="80"/>
      <c r="P336" s="80"/>
      <c r="Q336" s="80"/>
      <c r="R336" s="80"/>
      <c r="S336" s="80"/>
      <c r="T336" s="80"/>
      <c r="U336" s="80"/>
      <c r="V336" s="80"/>
      <c r="W336" s="80"/>
      <c r="X336" s="80"/>
      <c r="Y336" s="80"/>
      <c r="Z336" s="80"/>
    </row>
    <row r="337">
      <c r="A337" s="135">
        <v>45853.0</v>
      </c>
      <c r="B337" s="136">
        <v>1.0</v>
      </c>
      <c r="C337" s="126"/>
      <c r="D337" s="126"/>
      <c r="E337" s="126"/>
      <c r="F337" s="138">
        <v>0.87</v>
      </c>
      <c r="G337" s="80"/>
      <c r="H337" s="80"/>
      <c r="I337" s="80"/>
      <c r="J337" s="80"/>
      <c r="K337" s="80"/>
      <c r="L337" s="80"/>
      <c r="M337" s="80"/>
      <c r="N337" s="80"/>
      <c r="O337" s="80"/>
      <c r="P337" s="80"/>
      <c r="Q337" s="80"/>
      <c r="R337" s="80"/>
      <c r="S337" s="80"/>
      <c r="T337" s="80"/>
      <c r="U337" s="80"/>
      <c r="V337" s="80"/>
      <c r="W337" s="80"/>
      <c r="X337" s="80"/>
      <c r="Y337" s="80"/>
      <c r="Z337" s="80"/>
    </row>
    <row r="338">
      <c r="A338" s="135">
        <v>45854.0</v>
      </c>
      <c r="B338" s="136">
        <v>1.0</v>
      </c>
      <c r="C338" s="126"/>
      <c r="D338" s="126"/>
      <c r="E338" s="126"/>
      <c r="F338" s="138">
        <v>0.87</v>
      </c>
      <c r="G338" s="80"/>
      <c r="H338" s="80"/>
      <c r="I338" s="80"/>
      <c r="J338" s="80"/>
      <c r="K338" s="80"/>
      <c r="L338" s="80"/>
      <c r="M338" s="80"/>
      <c r="N338" s="80"/>
      <c r="O338" s="80"/>
      <c r="P338" s="80"/>
      <c r="Q338" s="80"/>
      <c r="R338" s="80"/>
      <c r="S338" s="80"/>
      <c r="T338" s="80"/>
      <c r="U338" s="80"/>
      <c r="V338" s="80"/>
      <c r="W338" s="80"/>
      <c r="X338" s="80"/>
      <c r="Y338" s="80"/>
      <c r="Z338" s="80"/>
    </row>
    <row r="339">
      <c r="A339" s="135">
        <v>45855.0</v>
      </c>
      <c r="B339" s="136">
        <v>1.0</v>
      </c>
      <c r="C339" s="126"/>
      <c r="D339" s="126"/>
      <c r="E339" s="126"/>
      <c r="F339" s="138">
        <v>0.87</v>
      </c>
      <c r="G339" s="80"/>
      <c r="H339" s="80"/>
      <c r="I339" s="80"/>
      <c r="J339" s="80"/>
      <c r="K339" s="80"/>
      <c r="L339" s="80"/>
      <c r="M339" s="80"/>
      <c r="N339" s="80"/>
      <c r="O339" s="80"/>
      <c r="P339" s="80"/>
      <c r="Q339" s="80"/>
      <c r="R339" s="80"/>
      <c r="S339" s="80"/>
      <c r="T339" s="80"/>
      <c r="U339" s="80"/>
      <c r="V339" s="80"/>
      <c r="W339" s="80"/>
      <c r="X339" s="80"/>
      <c r="Y339" s="80"/>
      <c r="Z339" s="80"/>
    </row>
    <row r="340">
      <c r="A340" s="135">
        <v>45856.0</v>
      </c>
      <c r="B340" s="136">
        <v>1.0</v>
      </c>
      <c r="C340" s="126"/>
      <c r="D340" s="126"/>
      <c r="E340" s="126"/>
      <c r="F340" s="138">
        <v>0.87</v>
      </c>
      <c r="G340" s="80"/>
      <c r="H340" s="80"/>
      <c r="I340" s="80"/>
      <c r="J340" s="80"/>
      <c r="K340" s="80"/>
      <c r="L340" s="80"/>
      <c r="M340" s="80"/>
      <c r="N340" s="80"/>
      <c r="O340" s="80"/>
      <c r="P340" s="80"/>
      <c r="Q340" s="80"/>
      <c r="R340" s="80"/>
      <c r="S340" s="80"/>
      <c r="T340" s="80"/>
      <c r="U340" s="80"/>
      <c r="V340" s="80"/>
      <c r="W340" s="80"/>
      <c r="X340" s="80"/>
      <c r="Y340" s="80"/>
      <c r="Z340" s="80"/>
    </row>
    <row r="341">
      <c r="A341" s="135">
        <v>45857.0</v>
      </c>
      <c r="B341" s="136">
        <v>1.0</v>
      </c>
      <c r="C341" s="126"/>
      <c r="D341" s="126"/>
      <c r="E341" s="126"/>
      <c r="F341" s="138">
        <v>0.87</v>
      </c>
      <c r="G341" s="80"/>
      <c r="H341" s="80"/>
      <c r="I341" s="80"/>
      <c r="J341" s="80"/>
      <c r="K341" s="80"/>
      <c r="L341" s="80"/>
      <c r="M341" s="80"/>
      <c r="N341" s="80"/>
      <c r="O341" s="80"/>
      <c r="P341" s="80"/>
      <c r="Q341" s="80"/>
      <c r="R341" s="80"/>
      <c r="S341" s="80"/>
      <c r="T341" s="80"/>
      <c r="U341" s="80"/>
      <c r="V341" s="80"/>
      <c r="W341" s="80"/>
      <c r="X341" s="80"/>
      <c r="Y341" s="80"/>
      <c r="Z341" s="80"/>
    </row>
    <row r="342">
      <c r="A342" s="135">
        <v>45858.0</v>
      </c>
      <c r="B342" s="136">
        <v>1.0</v>
      </c>
      <c r="C342" s="126"/>
      <c r="D342" s="126"/>
      <c r="E342" s="126"/>
      <c r="F342" s="138">
        <v>0.87</v>
      </c>
      <c r="G342" s="80"/>
      <c r="H342" s="80"/>
      <c r="I342" s="80"/>
      <c r="J342" s="80"/>
      <c r="K342" s="80"/>
      <c r="L342" s="80"/>
      <c r="M342" s="80"/>
      <c r="N342" s="80"/>
      <c r="O342" s="80"/>
      <c r="P342" s="80"/>
      <c r="Q342" s="80"/>
      <c r="R342" s="80"/>
      <c r="S342" s="80"/>
      <c r="T342" s="80"/>
      <c r="U342" s="80"/>
      <c r="V342" s="80"/>
      <c r="W342" s="80"/>
      <c r="X342" s="80"/>
      <c r="Y342" s="80"/>
      <c r="Z342" s="80"/>
    </row>
    <row r="343">
      <c r="A343" s="135">
        <v>45859.0</v>
      </c>
      <c r="B343" s="136">
        <v>1.0</v>
      </c>
      <c r="C343" s="126"/>
      <c r="D343" s="126"/>
      <c r="E343" s="126"/>
      <c r="F343" s="138">
        <v>0.87</v>
      </c>
      <c r="G343" s="80"/>
      <c r="H343" s="80"/>
      <c r="I343" s="80"/>
      <c r="J343" s="80"/>
      <c r="K343" s="80"/>
      <c r="L343" s="80"/>
      <c r="M343" s="80"/>
      <c r="N343" s="80"/>
      <c r="O343" s="80"/>
      <c r="P343" s="80"/>
      <c r="Q343" s="80"/>
      <c r="R343" s="80"/>
      <c r="S343" s="80"/>
      <c r="T343" s="80"/>
      <c r="U343" s="80"/>
      <c r="V343" s="80"/>
      <c r="W343" s="80"/>
      <c r="X343" s="80"/>
      <c r="Y343" s="80"/>
      <c r="Z343" s="80"/>
    </row>
    <row r="344">
      <c r="A344" s="135">
        <v>45860.0</v>
      </c>
      <c r="B344" s="136">
        <v>1.0</v>
      </c>
      <c r="C344" s="126"/>
      <c r="D344" s="126"/>
      <c r="E344" s="126"/>
      <c r="F344" s="138">
        <v>0.87</v>
      </c>
      <c r="G344" s="80"/>
      <c r="H344" s="80"/>
      <c r="I344" s="80"/>
      <c r="J344" s="80"/>
      <c r="K344" s="80"/>
      <c r="L344" s="80"/>
      <c r="M344" s="80"/>
      <c r="N344" s="80"/>
      <c r="O344" s="80"/>
      <c r="P344" s="80"/>
      <c r="Q344" s="80"/>
      <c r="R344" s="80"/>
      <c r="S344" s="80"/>
      <c r="T344" s="80"/>
      <c r="U344" s="80"/>
      <c r="V344" s="80"/>
      <c r="W344" s="80"/>
      <c r="X344" s="80"/>
      <c r="Y344" s="80"/>
      <c r="Z344" s="80"/>
    </row>
    <row r="345">
      <c r="A345" s="135">
        <v>45861.0</v>
      </c>
      <c r="B345" s="136">
        <v>1.0</v>
      </c>
      <c r="C345" s="126"/>
      <c r="D345" s="126"/>
      <c r="E345" s="126"/>
      <c r="F345" s="138">
        <v>0.87</v>
      </c>
      <c r="G345" s="80"/>
      <c r="H345" s="80"/>
      <c r="I345" s="80"/>
      <c r="J345" s="80"/>
      <c r="K345" s="80"/>
      <c r="L345" s="80"/>
      <c r="M345" s="80"/>
      <c r="N345" s="80"/>
      <c r="O345" s="80"/>
      <c r="P345" s="80"/>
      <c r="Q345" s="80"/>
      <c r="R345" s="80"/>
      <c r="S345" s="80"/>
      <c r="T345" s="80"/>
      <c r="U345" s="80"/>
      <c r="V345" s="80"/>
      <c r="W345" s="80"/>
      <c r="X345" s="80"/>
      <c r="Y345" s="80"/>
      <c r="Z345" s="80"/>
    </row>
    <row r="346">
      <c r="A346" s="135">
        <v>45862.0</v>
      </c>
      <c r="B346" s="136">
        <v>1.0</v>
      </c>
      <c r="C346" s="126"/>
      <c r="D346" s="126"/>
      <c r="E346" s="126"/>
      <c r="F346" s="138">
        <v>0.87</v>
      </c>
      <c r="G346" s="80"/>
      <c r="H346" s="80"/>
      <c r="I346" s="80"/>
      <c r="J346" s="80"/>
      <c r="K346" s="80"/>
      <c r="L346" s="80"/>
      <c r="M346" s="80"/>
      <c r="N346" s="80"/>
      <c r="O346" s="80"/>
      <c r="P346" s="80"/>
      <c r="Q346" s="80"/>
      <c r="R346" s="80"/>
      <c r="S346" s="80"/>
      <c r="T346" s="80"/>
      <c r="U346" s="80"/>
      <c r="V346" s="80"/>
      <c r="W346" s="80"/>
      <c r="X346" s="80"/>
      <c r="Y346" s="80"/>
      <c r="Z346" s="80"/>
    </row>
    <row r="347">
      <c r="A347" s="135">
        <v>45863.0</v>
      </c>
      <c r="B347" s="136">
        <v>1.0</v>
      </c>
      <c r="C347" s="126"/>
      <c r="D347" s="126"/>
      <c r="E347" s="126"/>
      <c r="F347" s="138">
        <v>0.87</v>
      </c>
      <c r="G347" s="80"/>
      <c r="H347" s="80"/>
      <c r="I347" s="80"/>
      <c r="J347" s="80"/>
      <c r="K347" s="80"/>
      <c r="L347" s="80"/>
      <c r="M347" s="80"/>
      <c r="N347" s="80"/>
      <c r="O347" s="80"/>
      <c r="P347" s="80"/>
      <c r="Q347" s="80"/>
      <c r="R347" s="80"/>
      <c r="S347" s="80"/>
      <c r="T347" s="80"/>
      <c r="U347" s="80"/>
      <c r="V347" s="80"/>
      <c r="W347" s="80"/>
      <c r="X347" s="80"/>
      <c r="Y347" s="80"/>
      <c r="Z347" s="80"/>
    </row>
    <row r="348">
      <c r="A348" s="135">
        <v>45864.0</v>
      </c>
      <c r="B348" s="136">
        <v>1.0</v>
      </c>
      <c r="C348" s="126"/>
      <c r="D348" s="126"/>
      <c r="E348" s="126"/>
      <c r="F348" s="138">
        <v>0.87</v>
      </c>
      <c r="G348" s="80"/>
      <c r="H348" s="80"/>
      <c r="I348" s="80"/>
      <c r="J348" s="80"/>
      <c r="K348" s="80"/>
      <c r="L348" s="80"/>
      <c r="M348" s="80"/>
      <c r="N348" s="80"/>
      <c r="O348" s="80"/>
      <c r="P348" s="80"/>
      <c r="Q348" s="80"/>
      <c r="R348" s="80"/>
      <c r="S348" s="80"/>
      <c r="T348" s="80"/>
      <c r="U348" s="80"/>
      <c r="V348" s="80"/>
      <c r="W348" s="80"/>
      <c r="X348" s="80"/>
      <c r="Y348" s="80"/>
      <c r="Z348" s="80"/>
    </row>
    <row r="349">
      <c r="A349" s="135">
        <v>45865.0</v>
      </c>
      <c r="B349" s="136">
        <v>1.0</v>
      </c>
      <c r="C349" s="126"/>
      <c r="D349" s="126"/>
      <c r="E349" s="126"/>
      <c r="F349" s="138">
        <v>0.87</v>
      </c>
      <c r="G349" s="80"/>
      <c r="H349" s="80"/>
      <c r="I349" s="80"/>
      <c r="J349" s="80"/>
      <c r="K349" s="80"/>
      <c r="L349" s="80"/>
      <c r="M349" s="80"/>
      <c r="N349" s="80"/>
      <c r="O349" s="80"/>
      <c r="P349" s="80"/>
      <c r="Q349" s="80"/>
      <c r="R349" s="80"/>
      <c r="S349" s="80"/>
      <c r="T349" s="80"/>
      <c r="U349" s="80"/>
      <c r="V349" s="80"/>
      <c r="W349" s="80"/>
      <c r="X349" s="80"/>
      <c r="Y349" s="80"/>
      <c r="Z349" s="80"/>
    </row>
    <row r="350">
      <c r="A350" s="135">
        <v>45866.0</v>
      </c>
      <c r="B350" s="136">
        <v>1.0</v>
      </c>
      <c r="C350" s="126"/>
      <c r="D350" s="126"/>
      <c r="E350" s="126"/>
      <c r="F350" s="138">
        <v>0.87</v>
      </c>
      <c r="G350" s="80"/>
      <c r="H350" s="80"/>
      <c r="I350" s="80"/>
      <c r="J350" s="80"/>
      <c r="K350" s="80"/>
      <c r="L350" s="80"/>
      <c r="M350" s="80"/>
      <c r="N350" s="80"/>
      <c r="O350" s="80"/>
      <c r="P350" s="80"/>
      <c r="Q350" s="80"/>
      <c r="R350" s="80"/>
      <c r="S350" s="80"/>
      <c r="T350" s="80"/>
      <c r="U350" s="80"/>
      <c r="V350" s="80"/>
      <c r="W350" s="80"/>
      <c r="X350" s="80"/>
      <c r="Y350" s="80"/>
      <c r="Z350" s="80"/>
    </row>
    <row r="351">
      <c r="A351" s="135">
        <v>45867.0</v>
      </c>
      <c r="B351" s="136">
        <v>1.0</v>
      </c>
      <c r="C351" s="126"/>
      <c r="D351" s="126"/>
      <c r="E351" s="126"/>
      <c r="F351" s="138">
        <v>0.87</v>
      </c>
      <c r="G351" s="80"/>
      <c r="H351" s="80"/>
      <c r="I351" s="80"/>
      <c r="J351" s="80"/>
      <c r="K351" s="80"/>
      <c r="L351" s="80"/>
      <c r="M351" s="80"/>
      <c r="N351" s="80"/>
      <c r="O351" s="80"/>
      <c r="P351" s="80"/>
      <c r="Q351" s="80"/>
      <c r="R351" s="80"/>
      <c r="S351" s="80"/>
      <c r="T351" s="80"/>
      <c r="U351" s="80"/>
      <c r="V351" s="80"/>
      <c r="W351" s="80"/>
      <c r="X351" s="80"/>
      <c r="Y351" s="80"/>
      <c r="Z351" s="80"/>
    </row>
    <row r="352">
      <c r="A352" s="135">
        <v>45868.0</v>
      </c>
      <c r="B352" s="136">
        <v>1.0</v>
      </c>
      <c r="C352" s="126"/>
      <c r="D352" s="126"/>
      <c r="E352" s="126"/>
      <c r="F352" s="138">
        <v>0.87</v>
      </c>
      <c r="G352" s="80"/>
      <c r="H352" s="80"/>
      <c r="I352" s="80"/>
      <c r="J352" s="80"/>
      <c r="K352" s="80"/>
      <c r="L352" s="80"/>
      <c r="M352" s="80"/>
      <c r="N352" s="80"/>
      <c r="O352" s="80"/>
      <c r="P352" s="80"/>
      <c r="Q352" s="80"/>
      <c r="R352" s="80"/>
      <c r="S352" s="80"/>
      <c r="T352" s="80"/>
      <c r="U352" s="80"/>
      <c r="V352" s="80"/>
      <c r="W352" s="80"/>
      <c r="X352" s="80"/>
      <c r="Y352" s="80"/>
      <c r="Z352" s="80"/>
    </row>
    <row r="353">
      <c r="A353" s="135">
        <v>45869.0</v>
      </c>
      <c r="B353" s="136">
        <v>1.0</v>
      </c>
      <c r="C353" s="126"/>
      <c r="D353" s="126"/>
      <c r="E353" s="126"/>
      <c r="F353" s="138">
        <v>0.87</v>
      </c>
      <c r="G353" s="80"/>
      <c r="H353" s="80"/>
      <c r="I353" s="80"/>
      <c r="J353" s="80"/>
      <c r="K353" s="80"/>
      <c r="L353" s="80"/>
      <c r="M353" s="80"/>
      <c r="N353" s="80"/>
      <c r="O353" s="80"/>
      <c r="P353" s="80"/>
      <c r="Q353" s="80"/>
      <c r="R353" s="80"/>
      <c r="S353" s="80"/>
      <c r="T353" s="80"/>
      <c r="U353" s="80"/>
      <c r="V353" s="80"/>
      <c r="W353" s="80"/>
      <c r="X353" s="80"/>
      <c r="Y353" s="80"/>
      <c r="Z353" s="80"/>
    </row>
    <row r="354">
      <c r="A354" s="135">
        <v>45870.0</v>
      </c>
      <c r="B354" s="136">
        <v>1.0</v>
      </c>
      <c r="C354" s="126"/>
      <c r="D354" s="126"/>
      <c r="E354" s="126"/>
      <c r="F354" s="138">
        <v>0.87</v>
      </c>
      <c r="G354" s="80"/>
      <c r="H354" s="80"/>
      <c r="I354" s="80"/>
      <c r="J354" s="80"/>
      <c r="K354" s="80"/>
      <c r="L354" s="80"/>
      <c r="M354" s="80"/>
      <c r="N354" s="80"/>
      <c r="O354" s="80"/>
      <c r="P354" s="80"/>
      <c r="Q354" s="80"/>
      <c r="R354" s="80"/>
      <c r="S354" s="80"/>
      <c r="T354" s="80"/>
      <c r="U354" s="80"/>
      <c r="V354" s="80"/>
      <c r="W354" s="80"/>
      <c r="X354" s="80"/>
      <c r="Y354" s="80"/>
      <c r="Z354" s="80"/>
    </row>
    <row r="355">
      <c r="A355" s="135">
        <v>45871.0</v>
      </c>
      <c r="B355" s="136">
        <v>0.82</v>
      </c>
      <c r="C355" s="126"/>
      <c r="D355" s="126"/>
      <c r="E355" s="126"/>
      <c r="F355" s="138">
        <v>0.87</v>
      </c>
      <c r="G355" s="80"/>
      <c r="H355" s="80"/>
      <c r="I355" s="80"/>
      <c r="J355" s="80"/>
      <c r="K355" s="80"/>
      <c r="L355" s="80"/>
      <c r="M355" s="80"/>
      <c r="N355" s="80"/>
      <c r="O355" s="80"/>
      <c r="P355" s="80"/>
      <c r="Q355" s="80"/>
      <c r="R355" s="80"/>
      <c r="S355" s="80"/>
      <c r="T355" s="80"/>
      <c r="U355" s="80"/>
      <c r="V355" s="80"/>
      <c r="W355" s="80"/>
      <c r="X355" s="80"/>
      <c r="Y355" s="80"/>
      <c r="Z355" s="80"/>
    </row>
    <row r="356">
      <c r="A356" s="135">
        <v>45872.0</v>
      </c>
      <c r="B356" s="136">
        <v>0.82</v>
      </c>
      <c r="C356" s="126"/>
      <c r="D356" s="126"/>
      <c r="E356" s="126"/>
      <c r="F356" s="138">
        <v>0.87</v>
      </c>
      <c r="G356" s="80"/>
      <c r="H356" s="80"/>
      <c r="I356" s="80"/>
      <c r="J356" s="80"/>
      <c r="K356" s="80"/>
      <c r="L356" s="80"/>
      <c r="M356" s="80"/>
      <c r="N356" s="80"/>
      <c r="O356" s="80"/>
      <c r="P356" s="80"/>
      <c r="Q356" s="80"/>
      <c r="R356" s="80"/>
      <c r="S356" s="80"/>
      <c r="T356" s="80"/>
      <c r="U356" s="80"/>
      <c r="V356" s="80"/>
      <c r="W356" s="80"/>
      <c r="X356" s="80"/>
      <c r="Y356" s="80"/>
      <c r="Z356" s="80"/>
    </row>
    <row r="357">
      <c r="A357" s="135">
        <v>45873.0</v>
      </c>
      <c r="B357" s="136">
        <v>0.82</v>
      </c>
      <c r="C357" s="126"/>
      <c r="D357" s="126"/>
      <c r="E357" s="126"/>
      <c r="F357" s="138">
        <v>0.87</v>
      </c>
      <c r="G357" s="80"/>
      <c r="H357" s="80"/>
      <c r="I357" s="80"/>
      <c r="J357" s="80"/>
      <c r="K357" s="80"/>
      <c r="L357" s="80"/>
      <c r="M357" s="80"/>
      <c r="N357" s="80"/>
      <c r="O357" s="80"/>
      <c r="P357" s="80"/>
      <c r="Q357" s="80"/>
      <c r="R357" s="80"/>
      <c r="S357" s="80"/>
      <c r="T357" s="80"/>
      <c r="U357" s="80"/>
      <c r="V357" s="80"/>
      <c r="W357" s="80"/>
      <c r="X357" s="80"/>
      <c r="Y357" s="80"/>
      <c r="Z357" s="80"/>
    </row>
    <row r="358">
      <c r="A358" s="135">
        <v>45874.0</v>
      </c>
      <c r="B358" s="136">
        <v>0.82</v>
      </c>
      <c r="C358" s="126"/>
      <c r="D358" s="126"/>
      <c r="E358" s="126"/>
      <c r="F358" s="138">
        <v>0.87</v>
      </c>
      <c r="G358" s="80"/>
      <c r="H358" s="80"/>
      <c r="I358" s="80"/>
      <c r="J358" s="80"/>
      <c r="K358" s="80"/>
      <c r="L358" s="80"/>
      <c r="M358" s="80"/>
      <c r="N358" s="80"/>
      <c r="O358" s="80"/>
      <c r="P358" s="80"/>
      <c r="Q358" s="80"/>
      <c r="R358" s="80"/>
      <c r="S358" s="80"/>
      <c r="T358" s="80"/>
      <c r="U358" s="80"/>
      <c r="V358" s="80"/>
      <c r="W358" s="80"/>
      <c r="X358" s="80"/>
      <c r="Y358" s="80"/>
      <c r="Z358" s="80"/>
    </row>
    <row r="359">
      <c r="A359" s="135">
        <v>45875.0</v>
      </c>
      <c r="B359" s="136">
        <v>0.82</v>
      </c>
      <c r="C359" s="126"/>
      <c r="D359" s="126"/>
      <c r="E359" s="126"/>
      <c r="F359" s="138">
        <v>0.87</v>
      </c>
      <c r="G359" s="80"/>
      <c r="H359" s="80"/>
      <c r="I359" s="80"/>
      <c r="J359" s="80"/>
      <c r="K359" s="80"/>
      <c r="L359" s="80"/>
      <c r="M359" s="80"/>
      <c r="N359" s="80"/>
      <c r="O359" s="80"/>
      <c r="P359" s="80"/>
      <c r="Q359" s="80"/>
      <c r="R359" s="80"/>
      <c r="S359" s="80"/>
      <c r="T359" s="80"/>
      <c r="U359" s="80"/>
      <c r="V359" s="80"/>
      <c r="W359" s="80"/>
      <c r="X359" s="80"/>
      <c r="Y359" s="80"/>
      <c r="Z359" s="80"/>
    </row>
    <row r="360">
      <c r="A360" s="135">
        <v>45876.0</v>
      </c>
      <c r="B360" s="136">
        <v>0.82</v>
      </c>
      <c r="C360" s="126"/>
      <c r="D360" s="126"/>
      <c r="E360" s="126"/>
      <c r="F360" s="138">
        <v>0.87</v>
      </c>
      <c r="G360" s="80"/>
      <c r="H360" s="80"/>
      <c r="I360" s="80"/>
      <c r="J360" s="80"/>
      <c r="K360" s="80"/>
      <c r="L360" s="80"/>
      <c r="M360" s="80"/>
      <c r="N360" s="80"/>
      <c r="O360" s="80"/>
      <c r="P360" s="80"/>
      <c r="Q360" s="80"/>
      <c r="R360" s="80"/>
      <c r="S360" s="80"/>
      <c r="T360" s="80"/>
      <c r="U360" s="80"/>
      <c r="V360" s="80"/>
      <c r="W360" s="80"/>
      <c r="X360" s="80"/>
      <c r="Y360" s="80"/>
      <c r="Z360" s="80"/>
    </row>
    <row r="361">
      <c r="A361" s="135">
        <v>45877.0</v>
      </c>
      <c r="B361" s="136">
        <v>0.82</v>
      </c>
      <c r="C361" s="126"/>
      <c r="D361" s="126"/>
      <c r="E361" s="126"/>
      <c r="F361" s="138">
        <v>0.87</v>
      </c>
      <c r="G361" s="80"/>
      <c r="H361" s="80"/>
      <c r="I361" s="80"/>
      <c r="J361" s="80"/>
      <c r="K361" s="80"/>
      <c r="L361" s="80"/>
      <c r="M361" s="80"/>
      <c r="N361" s="80"/>
      <c r="O361" s="80"/>
      <c r="P361" s="80"/>
      <c r="Q361" s="80"/>
      <c r="R361" s="80"/>
      <c r="S361" s="80"/>
      <c r="T361" s="80"/>
      <c r="U361" s="80"/>
      <c r="V361" s="80"/>
      <c r="W361" s="80"/>
      <c r="X361" s="80"/>
      <c r="Y361" s="80"/>
      <c r="Z361" s="80"/>
    </row>
    <row r="362">
      <c r="A362" s="135">
        <v>45878.0</v>
      </c>
      <c r="B362" s="136">
        <v>0.82</v>
      </c>
      <c r="C362" s="126"/>
      <c r="D362" s="126"/>
      <c r="E362" s="126"/>
      <c r="F362" s="138">
        <v>0.87</v>
      </c>
      <c r="G362" s="80"/>
      <c r="H362" s="80"/>
      <c r="I362" s="80"/>
      <c r="J362" s="80"/>
      <c r="K362" s="80"/>
      <c r="L362" s="80"/>
      <c r="M362" s="80"/>
      <c r="N362" s="80"/>
      <c r="O362" s="80"/>
      <c r="P362" s="80"/>
      <c r="Q362" s="80"/>
      <c r="R362" s="80"/>
      <c r="S362" s="80"/>
      <c r="T362" s="80"/>
      <c r="U362" s="80"/>
      <c r="V362" s="80"/>
      <c r="W362" s="80"/>
      <c r="X362" s="80"/>
      <c r="Y362" s="80"/>
      <c r="Z362" s="80"/>
    </row>
    <row r="363">
      <c r="A363" s="135">
        <v>45879.0</v>
      </c>
      <c r="B363" s="136">
        <v>0.82</v>
      </c>
      <c r="C363" s="126"/>
      <c r="D363" s="126"/>
      <c r="E363" s="126"/>
      <c r="F363" s="138">
        <v>0.87</v>
      </c>
      <c r="G363" s="80"/>
      <c r="H363" s="80"/>
      <c r="I363" s="80"/>
      <c r="J363" s="80"/>
      <c r="K363" s="80"/>
      <c r="L363" s="80"/>
      <c r="M363" s="80"/>
      <c r="N363" s="80"/>
      <c r="O363" s="80"/>
      <c r="P363" s="80"/>
      <c r="Q363" s="80"/>
      <c r="R363" s="80"/>
      <c r="S363" s="80"/>
      <c r="T363" s="80"/>
      <c r="U363" s="80"/>
      <c r="V363" s="80"/>
      <c r="W363" s="80"/>
      <c r="X363" s="80"/>
      <c r="Y363" s="80"/>
      <c r="Z363" s="80"/>
    </row>
    <row r="364">
      <c r="A364" s="135">
        <v>45880.0</v>
      </c>
      <c r="B364" s="136">
        <v>0.82</v>
      </c>
      <c r="C364" s="126"/>
      <c r="D364" s="126"/>
      <c r="E364" s="126"/>
      <c r="F364" s="138">
        <v>0.87</v>
      </c>
      <c r="G364" s="80"/>
      <c r="H364" s="80"/>
      <c r="I364" s="80"/>
      <c r="J364" s="80"/>
      <c r="K364" s="80"/>
      <c r="L364" s="80"/>
      <c r="M364" s="80"/>
      <c r="N364" s="80"/>
      <c r="O364" s="80"/>
      <c r="P364" s="80"/>
      <c r="Q364" s="80"/>
      <c r="R364" s="80"/>
      <c r="S364" s="80"/>
      <c r="T364" s="80"/>
      <c r="U364" s="80"/>
      <c r="V364" s="80"/>
      <c r="W364" s="80"/>
      <c r="X364" s="80"/>
      <c r="Y364" s="80"/>
      <c r="Z364" s="80"/>
    </row>
    <row r="365">
      <c r="A365" s="135">
        <v>45881.0</v>
      </c>
      <c r="B365" s="136">
        <v>0.82</v>
      </c>
      <c r="C365" s="126"/>
      <c r="D365" s="126"/>
      <c r="E365" s="126"/>
      <c r="F365" s="138">
        <v>0.87</v>
      </c>
      <c r="G365" s="80"/>
      <c r="H365" s="80"/>
      <c r="I365" s="80"/>
      <c r="J365" s="80"/>
      <c r="K365" s="80"/>
      <c r="L365" s="80"/>
      <c r="M365" s="80"/>
      <c r="N365" s="80"/>
      <c r="O365" s="80"/>
      <c r="P365" s="80"/>
      <c r="Q365" s="80"/>
      <c r="R365" s="80"/>
      <c r="S365" s="80"/>
      <c r="T365" s="80"/>
      <c r="U365" s="80"/>
      <c r="V365" s="80"/>
      <c r="W365" s="80"/>
      <c r="X365" s="80"/>
      <c r="Y365" s="80"/>
      <c r="Z365" s="80"/>
    </row>
    <row r="366">
      <c r="A366" s="135">
        <v>45882.0</v>
      </c>
      <c r="B366" s="136">
        <v>1.0</v>
      </c>
      <c r="C366" s="126"/>
      <c r="D366" s="126"/>
      <c r="E366" s="126"/>
      <c r="F366" s="138">
        <v>0.87</v>
      </c>
      <c r="G366" s="80"/>
      <c r="H366" s="80"/>
      <c r="I366" s="80"/>
      <c r="J366" s="80"/>
      <c r="K366" s="80"/>
      <c r="L366" s="80"/>
      <c r="M366" s="80"/>
      <c r="N366" s="80"/>
      <c r="O366" s="80"/>
      <c r="P366" s="80"/>
      <c r="Q366" s="80"/>
      <c r="R366" s="80"/>
      <c r="S366" s="80"/>
      <c r="T366" s="80"/>
      <c r="U366" s="80"/>
      <c r="V366" s="80"/>
      <c r="W366" s="80"/>
      <c r="X366" s="80"/>
      <c r="Y366" s="80"/>
      <c r="Z366" s="80"/>
    </row>
    <row r="367">
      <c r="A367" s="135">
        <v>45883.0</v>
      </c>
      <c r="B367" s="136">
        <v>1.0</v>
      </c>
      <c r="C367" s="126"/>
      <c r="D367" s="126"/>
      <c r="E367" s="126"/>
      <c r="F367" s="138">
        <v>0.87</v>
      </c>
      <c r="G367" s="80"/>
      <c r="H367" s="80"/>
      <c r="I367" s="80"/>
      <c r="J367" s="80"/>
      <c r="K367" s="80"/>
      <c r="L367" s="80"/>
      <c r="M367" s="80"/>
      <c r="N367" s="80"/>
      <c r="O367" s="80"/>
      <c r="P367" s="80"/>
      <c r="Q367" s="80"/>
      <c r="R367" s="80"/>
      <c r="S367" s="80"/>
      <c r="T367" s="80"/>
      <c r="U367" s="80"/>
      <c r="V367" s="80"/>
      <c r="W367" s="80"/>
      <c r="X367" s="80"/>
      <c r="Y367" s="80"/>
      <c r="Z367" s="80"/>
    </row>
    <row r="368">
      <c r="A368" s="135">
        <v>45884.0</v>
      </c>
      <c r="B368" s="136">
        <v>1.0</v>
      </c>
      <c r="C368" s="126"/>
      <c r="D368" s="126"/>
      <c r="E368" s="126"/>
      <c r="F368" s="138">
        <v>0.87</v>
      </c>
      <c r="G368" s="80"/>
      <c r="H368" s="80"/>
      <c r="I368" s="80"/>
      <c r="J368" s="80"/>
      <c r="K368" s="80"/>
      <c r="L368" s="80"/>
      <c r="M368" s="80"/>
      <c r="N368" s="80"/>
      <c r="O368" s="80"/>
      <c r="P368" s="80"/>
      <c r="Q368" s="80"/>
      <c r="R368" s="80"/>
      <c r="S368" s="80"/>
      <c r="T368" s="80"/>
      <c r="U368" s="80"/>
      <c r="V368" s="80"/>
      <c r="W368" s="80"/>
      <c r="X368" s="80"/>
      <c r="Y368" s="80"/>
      <c r="Z368" s="80"/>
    </row>
    <row r="369">
      <c r="A369" s="135">
        <v>45885.0</v>
      </c>
      <c r="B369" s="136">
        <v>1.0</v>
      </c>
      <c r="C369" s="126"/>
      <c r="D369" s="126"/>
      <c r="E369" s="126"/>
      <c r="F369" s="138">
        <v>0.87</v>
      </c>
      <c r="G369" s="80"/>
      <c r="H369" s="80"/>
      <c r="I369" s="80"/>
      <c r="J369" s="80"/>
      <c r="K369" s="80"/>
      <c r="L369" s="80"/>
      <c r="M369" s="80"/>
      <c r="N369" s="80"/>
      <c r="O369" s="80"/>
      <c r="P369" s="80"/>
      <c r="Q369" s="80"/>
      <c r="R369" s="80"/>
      <c r="S369" s="80"/>
      <c r="T369" s="80"/>
      <c r="U369" s="80"/>
      <c r="V369" s="80"/>
      <c r="W369" s="80"/>
      <c r="X369" s="80"/>
      <c r="Y369" s="80"/>
      <c r="Z369" s="80"/>
    </row>
    <row r="370">
      <c r="A370" s="135">
        <v>45886.0</v>
      </c>
      <c r="B370" s="136">
        <v>1.0</v>
      </c>
      <c r="C370" s="127" t="s">
        <v>145</v>
      </c>
      <c r="D370" s="126"/>
      <c r="E370" s="126"/>
      <c r="F370" s="138">
        <v>0.87</v>
      </c>
      <c r="G370" s="80"/>
      <c r="H370" s="80"/>
      <c r="I370" s="80"/>
      <c r="J370" s="80"/>
      <c r="K370" s="80"/>
      <c r="L370" s="80"/>
      <c r="M370" s="80"/>
      <c r="N370" s="80"/>
      <c r="O370" s="80"/>
      <c r="P370" s="80"/>
      <c r="Q370" s="80"/>
      <c r="R370" s="80"/>
      <c r="S370" s="80"/>
      <c r="T370" s="80"/>
      <c r="U370" s="80"/>
      <c r="V370" s="80"/>
      <c r="W370" s="80"/>
      <c r="X370" s="80"/>
      <c r="Y370" s="80"/>
      <c r="Z370" s="80"/>
    </row>
    <row r="371">
      <c r="A371" s="135">
        <v>45887.0</v>
      </c>
      <c r="B371" s="136">
        <v>1.0</v>
      </c>
      <c r="C371" s="126"/>
      <c r="D371" s="126"/>
      <c r="E371" s="126"/>
      <c r="F371" s="138">
        <v>0.87</v>
      </c>
      <c r="G371" s="80"/>
      <c r="H371" s="80"/>
      <c r="I371" s="80"/>
      <c r="J371" s="80"/>
      <c r="K371" s="80"/>
      <c r="L371" s="80"/>
      <c r="M371" s="80"/>
      <c r="N371" s="80"/>
      <c r="O371" s="80"/>
      <c r="P371" s="80"/>
      <c r="Q371" s="80"/>
      <c r="R371" s="80"/>
      <c r="S371" s="80"/>
      <c r="T371" s="80"/>
      <c r="U371" s="80"/>
      <c r="V371" s="80"/>
      <c r="W371" s="80"/>
      <c r="X371" s="80"/>
      <c r="Y371" s="80"/>
      <c r="Z371" s="80"/>
    </row>
    <row r="372">
      <c r="A372" s="135">
        <v>45888.0</v>
      </c>
      <c r="B372" s="136">
        <v>-0.09</v>
      </c>
      <c r="C372" s="126"/>
      <c r="D372" s="126"/>
      <c r="E372" s="126"/>
      <c r="F372" s="138">
        <v>0.87</v>
      </c>
      <c r="G372" s="80"/>
      <c r="H372" s="80"/>
      <c r="I372" s="80"/>
      <c r="J372" s="80"/>
      <c r="K372" s="80"/>
      <c r="L372" s="80"/>
      <c r="M372" s="80"/>
      <c r="N372" s="80"/>
      <c r="O372" s="80"/>
      <c r="P372" s="80"/>
      <c r="Q372" s="80"/>
      <c r="R372" s="80"/>
      <c r="S372" s="80"/>
      <c r="T372" s="80"/>
      <c r="U372" s="80"/>
      <c r="V372" s="80"/>
      <c r="W372" s="80"/>
      <c r="X372" s="80"/>
      <c r="Y372" s="80"/>
      <c r="Z372" s="80"/>
    </row>
    <row r="373">
      <c r="A373" s="135">
        <v>45889.0</v>
      </c>
      <c r="B373" s="136">
        <v>-0.09</v>
      </c>
      <c r="C373" s="126"/>
      <c r="D373" s="126"/>
      <c r="E373" s="126"/>
      <c r="F373" s="138">
        <v>0.87</v>
      </c>
      <c r="G373" s="80"/>
      <c r="H373" s="80"/>
      <c r="I373" s="80"/>
      <c r="J373" s="80"/>
      <c r="K373" s="80"/>
      <c r="L373" s="80"/>
      <c r="M373" s="80"/>
      <c r="N373" s="80"/>
      <c r="O373" s="80"/>
      <c r="P373" s="80"/>
      <c r="Q373" s="80"/>
      <c r="R373" s="80"/>
      <c r="S373" s="80"/>
      <c r="T373" s="80"/>
      <c r="U373" s="80"/>
      <c r="V373" s="80"/>
      <c r="W373" s="80"/>
      <c r="X373" s="80"/>
      <c r="Y373" s="80"/>
      <c r="Z373" s="80"/>
    </row>
    <row r="374">
      <c r="A374" s="135">
        <v>45890.0</v>
      </c>
      <c r="B374" s="136">
        <v>-0.64</v>
      </c>
      <c r="C374" s="126"/>
      <c r="D374" s="126"/>
      <c r="E374" s="126"/>
      <c r="F374" s="138">
        <v>0.87</v>
      </c>
      <c r="G374" s="80"/>
      <c r="H374" s="80"/>
      <c r="I374" s="80"/>
      <c r="J374" s="80"/>
      <c r="K374" s="80"/>
      <c r="L374" s="80"/>
      <c r="M374" s="80"/>
      <c r="N374" s="80"/>
      <c r="O374" s="80"/>
      <c r="P374" s="80"/>
      <c r="Q374" s="80"/>
      <c r="R374" s="80"/>
      <c r="S374" s="80"/>
      <c r="T374" s="80"/>
      <c r="U374" s="80"/>
      <c r="V374" s="80"/>
      <c r="W374" s="80"/>
      <c r="X374" s="80"/>
      <c r="Y374" s="80"/>
      <c r="Z374" s="80"/>
    </row>
    <row r="375">
      <c r="A375" s="135">
        <v>45891.0</v>
      </c>
      <c r="B375" s="136">
        <v>-0.64</v>
      </c>
      <c r="C375" s="126"/>
      <c r="D375" s="126"/>
      <c r="E375" s="126"/>
      <c r="F375" s="138">
        <v>0.87</v>
      </c>
      <c r="G375" s="80"/>
      <c r="H375" s="80"/>
      <c r="I375" s="80"/>
      <c r="J375" s="80"/>
      <c r="K375" s="80"/>
      <c r="L375" s="80"/>
      <c r="M375" s="80"/>
      <c r="N375" s="80"/>
      <c r="O375" s="80"/>
      <c r="P375" s="80"/>
      <c r="Q375" s="80"/>
      <c r="R375" s="80"/>
      <c r="S375" s="80"/>
      <c r="T375" s="80"/>
      <c r="U375" s="80"/>
      <c r="V375" s="80"/>
      <c r="W375" s="80"/>
      <c r="X375" s="80"/>
      <c r="Y375" s="80"/>
      <c r="Z375" s="80"/>
    </row>
    <row r="376">
      <c r="A376" s="135">
        <v>45892.0</v>
      </c>
      <c r="B376" s="136">
        <v>-0.64</v>
      </c>
      <c r="C376" s="126"/>
      <c r="D376" s="126"/>
      <c r="E376" s="126"/>
      <c r="F376" s="138">
        <v>0.87</v>
      </c>
      <c r="G376" s="80"/>
      <c r="H376" s="80"/>
      <c r="I376" s="80"/>
      <c r="J376" s="80"/>
      <c r="K376" s="80"/>
      <c r="L376" s="80"/>
      <c r="M376" s="80"/>
      <c r="N376" s="80"/>
      <c r="O376" s="80"/>
      <c r="P376" s="80"/>
      <c r="Q376" s="80"/>
      <c r="R376" s="80"/>
      <c r="S376" s="80"/>
      <c r="T376" s="80"/>
      <c r="U376" s="80"/>
      <c r="V376" s="80"/>
      <c r="W376" s="80"/>
      <c r="X376" s="80"/>
      <c r="Y376" s="80"/>
      <c r="Z376" s="80"/>
    </row>
    <row r="377">
      <c r="A377" s="135">
        <v>45893.0</v>
      </c>
      <c r="B377" s="136">
        <v>-0.45</v>
      </c>
      <c r="C377" s="126"/>
      <c r="D377" s="126"/>
      <c r="E377" s="126"/>
      <c r="F377" s="138">
        <v>0.87</v>
      </c>
      <c r="G377" s="80"/>
      <c r="H377" s="80"/>
      <c r="I377" s="80"/>
      <c r="J377" s="80"/>
      <c r="K377" s="80"/>
      <c r="L377" s="80"/>
      <c r="M377" s="80"/>
      <c r="N377" s="80"/>
      <c r="O377" s="80"/>
      <c r="P377" s="80"/>
      <c r="Q377" s="80"/>
      <c r="R377" s="80"/>
      <c r="S377" s="80"/>
      <c r="T377" s="80"/>
      <c r="U377" s="80"/>
      <c r="V377" s="80"/>
      <c r="W377" s="80"/>
      <c r="X377" s="80"/>
      <c r="Y377" s="80"/>
      <c r="Z377" s="80"/>
    </row>
    <row r="378">
      <c r="A378" s="135">
        <v>45894.0</v>
      </c>
      <c r="B378" s="136">
        <v>-0.82</v>
      </c>
      <c r="C378" s="126"/>
      <c r="D378" s="126"/>
      <c r="E378" s="126"/>
      <c r="F378" s="138">
        <v>0.87</v>
      </c>
      <c r="G378" s="80"/>
      <c r="H378" s="80"/>
      <c r="I378" s="80"/>
      <c r="J378" s="80"/>
      <c r="K378" s="80"/>
      <c r="L378" s="80"/>
      <c r="M378" s="80"/>
      <c r="N378" s="80"/>
      <c r="O378" s="80"/>
      <c r="P378" s="80"/>
      <c r="Q378" s="80"/>
      <c r="R378" s="80"/>
      <c r="S378" s="80"/>
      <c r="T378" s="80"/>
      <c r="U378" s="80"/>
      <c r="V378" s="80"/>
      <c r="W378" s="80"/>
      <c r="X378" s="80"/>
      <c r="Y378" s="80"/>
      <c r="Z378" s="80"/>
    </row>
    <row r="379">
      <c r="A379" s="135">
        <v>45895.0</v>
      </c>
      <c r="B379" s="136">
        <v>-0.82</v>
      </c>
      <c r="C379" s="126"/>
      <c r="D379" s="126"/>
      <c r="E379" s="126"/>
      <c r="F379" s="138">
        <v>0.87</v>
      </c>
      <c r="G379" s="80"/>
      <c r="H379" s="80"/>
      <c r="I379" s="80"/>
      <c r="J379" s="80"/>
      <c r="K379" s="80"/>
      <c r="L379" s="80"/>
      <c r="M379" s="80"/>
      <c r="N379" s="80"/>
      <c r="O379" s="80"/>
      <c r="P379" s="80"/>
      <c r="Q379" s="80"/>
      <c r="R379" s="80"/>
      <c r="S379" s="80"/>
      <c r="T379" s="80"/>
      <c r="U379" s="80"/>
      <c r="V379" s="80"/>
      <c r="W379" s="80"/>
      <c r="X379" s="80"/>
      <c r="Y379" s="80"/>
      <c r="Z379" s="80"/>
    </row>
    <row r="380">
      <c r="A380" s="135">
        <v>45896.0</v>
      </c>
      <c r="B380" s="136">
        <v>-0.82</v>
      </c>
      <c r="C380" s="126"/>
      <c r="D380" s="126"/>
      <c r="E380" s="126"/>
      <c r="F380" s="138">
        <v>0.87</v>
      </c>
      <c r="G380" s="80"/>
      <c r="H380" s="80"/>
      <c r="I380" s="80"/>
      <c r="J380" s="80"/>
      <c r="K380" s="80"/>
      <c r="L380" s="80"/>
      <c r="M380" s="80"/>
      <c r="N380" s="80"/>
      <c r="O380" s="80"/>
      <c r="P380" s="80"/>
      <c r="Q380" s="80"/>
      <c r="R380" s="80"/>
      <c r="S380" s="80"/>
      <c r="T380" s="80"/>
      <c r="U380" s="80"/>
      <c r="V380" s="80"/>
      <c r="W380" s="80"/>
      <c r="X380" s="80"/>
      <c r="Y380" s="80"/>
      <c r="Z380" s="80"/>
    </row>
    <row r="381">
      <c r="A381" s="135">
        <v>45897.0</v>
      </c>
      <c r="B381" s="136">
        <v>-0.82</v>
      </c>
      <c r="C381" s="126"/>
      <c r="D381" s="126"/>
      <c r="E381" s="126"/>
      <c r="F381" s="138">
        <v>0.87</v>
      </c>
      <c r="G381" s="80"/>
      <c r="H381" s="80"/>
      <c r="I381" s="80"/>
      <c r="J381" s="80"/>
      <c r="K381" s="80"/>
      <c r="L381" s="80"/>
      <c r="M381" s="80"/>
      <c r="N381" s="80"/>
      <c r="O381" s="80"/>
      <c r="P381" s="80"/>
      <c r="Q381" s="80"/>
      <c r="R381" s="80"/>
      <c r="S381" s="80"/>
      <c r="T381" s="80"/>
      <c r="U381" s="80"/>
      <c r="V381" s="80"/>
      <c r="W381" s="80"/>
      <c r="X381" s="80"/>
      <c r="Y381" s="80"/>
      <c r="Z381" s="80"/>
    </row>
    <row r="382">
      <c r="A382" s="135">
        <v>45898.0</v>
      </c>
      <c r="B382" s="136">
        <v>-1.0</v>
      </c>
      <c r="C382" s="126"/>
      <c r="D382" s="126"/>
      <c r="E382" s="126"/>
      <c r="F382" s="138">
        <v>0.87</v>
      </c>
      <c r="G382" s="80"/>
      <c r="H382" s="80"/>
      <c r="I382" s="80"/>
      <c r="J382" s="80"/>
      <c r="K382" s="80"/>
      <c r="L382" s="80"/>
      <c r="M382" s="80"/>
      <c r="N382" s="80"/>
      <c r="O382" s="80"/>
      <c r="P382" s="80"/>
      <c r="Q382" s="80"/>
      <c r="R382" s="80"/>
      <c r="S382" s="80"/>
      <c r="T382" s="80"/>
      <c r="U382" s="80"/>
      <c r="V382" s="80"/>
      <c r="W382" s="80"/>
      <c r="X382" s="80"/>
      <c r="Y382" s="80"/>
      <c r="Z382" s="80"/>
    </row>
    <row r="383">
      <c r="A383" s="135">
        <v>45899.0</v>
      </c>
      <c r="B383" s="136">
        <v>-1.0</v>
      </c>
      <c r="C383" s="126"/>
      <c r="D383" s="126"/>
      <c r="E383" s="126"/>
      <c r="F383" s="138">
        <v>0.87</v>
      </c>
      <c r="G383" s="80"/>
      <c r="H383" s="80"/>
      <c r="I383" s="80"/>
      <c r="J383" s="80"/>
      <c r="K383" s="80"/>
      <c r="L383" s="80"/>
      <c r="M383" s="80"/>
      <c r="N383" s="80"/>
      <c r="O383" s="80"/>
      <c r="P383" s="80"/>
      <c r="Q383" s="80"/>
      <c r="R383" s="80"/>
      <c r="S383" s="80"/>
      <c r="T383" s="80"/>
      <c r="U383" s="80"/>
      <c r="V383" s="80"/>
      <c r="W383" s="80"/>
      <c r="X383" s="80"/>
      <c r="Y383" s="80"/>
      <c r="Z383" s="80"/>
    </row>
    <row r="384">
      <c r="A384" s="135">
        <v>45900.0</v>
      </c>
      <c r="B384" s="136">
        <v>-1.0</v>
      </c>
      <c r="C384" s="126"/>
      <c r="D384" s="126"/>
      <c r="E384" s="126"/>
      <c r="F384" s="138">
        <v>0.87</v>
      </c>
      <c r="G384" s="80"/>
      <c r="H384" s="80"/>
      <c r="I384" s="80"/>
      <c r="J384" s="80"/>
      <c r="K384" s="80"/>
      <c r="L384" s="80"/>
      <c r="M384" s="80"/>
      <c r="N384" s="80"/>
      <c r="O384" s="80"/>
      <c r="P384" s="80"/>
      <c r="Q384" s="80"/>
      <c r="R384" s="80"/>
      <c r="S384" s="80"/>
      <c r="T384" s="80"/>
      <c r="U384" s="80"/>
      <c r="V384" s="80"/>
      <c r="W384" s="80"/>
      <c r="X384" s="80"/>
      <c r="Y384" s="80"/>
      <c r="Z384" s="80"/>
    </row>
    <row r="385">
      <c r="A385" s="135">
        <v>45901.0</v>
      </c>
      <c r="B385" s="136">
        <v>-1.0</v>
      </c>
      <c r="C385" s="126"/>
      <c r="D385" s="126"/>
      <c r="E385" s="126"/>
      <c r="F385" s="138">
        <v>0.87</v>
      </c>
      <c r="G385" s="80"/>
      <c r="H385" s="80"/>
      <c r="I385" s="80"/>
      <c r="J385" s="80"/>
      <c r="K385" s="80"/>
      <c r="L385" s="80"/>
      <c r="M385" s="80"/>
      <c r="N385" s="80"/>
      <c r="O385" s="80"/>
      <c r="P385" s="80"/>
      <c r="Q385" s="80"/>
      <c r="R385" s="80"/>
      <c r="S385" s="80"/>
      <c r="T385" s="80"/>
      <c r="U385" s="80"/>
      <c r="V385" s="80"/>
      <c r="W385" s="80"/>
      <c r="X385" s="80"/>
      <c r="Y385" s="80"/>
      <c r="Z385" s="80"/>
    </row>
    <row r="386">
      <c r="A386" s="135">
        <v>45902.0</v>
      </c>
      <c r="B386" s="136">
        <v>-1.0</v>
      </c>
      <c r="C386" s="126"/>
      <c r="D386" s="127" t="s">
        <v>146</v>
      </c>
      <c r="E386" s="126"/>
      <c r="F386" s="138">
        <v>0.87</v>
      </c>
      <c r="G386" s="80"/>
      <c r="H386" s="80"/>
      <c r="I386" s="80"/>
      <c r="J386" s="80"/>
      <c r="K386" s="80"/>
      <c r="L386" s="80"/>
      <c r="M386" s="80"/>
      <c r="N386" s="80"/>
      <c r="O386" s="80"/>
      <c r="P386" s="80"/>
      <c r="Q386" s="80"/>
      <c r="R386" s="80"/>
      <c r="S386" s="80"/>
      <c r="T386" s="80"/>
      <c r="U386" s="80"/>
      <c r="V386" s="80"/>
      <c r="W386" s="80"/>
      <c r="X386" s="80"/>
      <c r="Y386" s="80"/>
      <c r="Z386" s="80"/>
    </row>
    <row r="387">
      <c r="A387" s="135">
        <v>45903.0</v>
      </c>
      <c r="B387" s="136">
        <v>-0.82</v>
      </c>
      <c r="C387" s="126"/>
      <c r="D387" s="127">
        <v>1.0</v>
      </c>
      <c r="E387" s="126"/>
      <c r="F387" s="138">
        <v>0.87</v>
      </c>
      <c r="G387" s="80"/>
      <c r="H387" s="80"/>
      <c r="I387" s="80"/>
      <c r="J387" s="80"/>
      <c r="K387" s="80"/>
      <c r="L387" s="80"/>
      <c r="M387" s="80"/>
      <c r="N387" s="80"/>
      <c r="O387" s="80"/>
      <c r="P387" s="80"/>
      <c r="Q387" s="80"/>
      <c r="R387" s="80"/>
      <c r="S387" s="80"/>
      <c r="T387" s="80"/>
      <c r="U387" s="80"/>
      <c r="V387" s="80"/>
      <c r="W387" s="80"/>
      <c r="X387" s="80"/>
      <c r="Y387" s="80"/>
      <c r="Z387" s="80"/>
    </row>
    <row r="388">
      <c r="A388" s="135">
        <v>45904.0</v>
      </c>
      <c r="B388" s="136">
        <v>-0.92</v>
      </c>
      <c r="C388" s="126"/>
      <c r="D388" s="127">
        <v>1.0</v>
      </c>
      <c r="E388" s="126"/>
      <c r="F388" s="138">
        <v>0.73</v>
      </c>
      <c r="G388" s="80"/>
      <c r="H388" s="80"/>
      <c r="I388" s="80"/>
      <c r="J388" s="80"/>
      <c r="K388" s="80"/>
      <c r="L388" s="80"/>
      <c r="M388" s="80"/>
      <c r="N388" s="80"/>
      <c r="O388" s="80"/>
      <c r="P388" s="80"/>
      <c r="Q388" s="80"/>
      <c r="R388" s="80"/>
      <c r="S388" s="80"/>
      <c r="T388" s="80"/>
      <c r="U388" s="80"/>
      <c r="V388" s="80"/>
      <c r="W388" s="80"/>
      <c r="X388" s="80"/>
      <c r="Y388" s="80"/>
      <c r="Z388" s="80"/>
    </row>
    <row r="389">
      <c r="A389" s="135">
        <v>45905.0</v>
      </c>
      <c r="B389" s="136">
        <v>-1.0</v>
      </c>
      <c r="C389" s="126"/>
      <c r="D389" s="127">
        <v>1.0</v>
      </c>
      <c r="E389" s="126"/>
      <c r="F389" s="138">
        <v>0.73</v>
      </c>
      <c r="G389" s="80"/>
      <c r="H389" s="80"/>
      <c r="I389" s="80"/>
      <c r="J389" s="80"/>
      <c r="K389" s="80"/>
      <c r="L389" s="80"/>
      <c r="M389" s="80"/>
      <c r="N389" s="80"/>
      <c r="O389" s="80"/>
      <c r="P389" s="80"/>
      <c r="Q389" s="80"/>
      <c r="R389" s="80"/>
      <c r="S389" s="80"/>
      <c r="T389" s="80"/>
      <c r="U389" s="80"/>
      <c r="V389" s="80"/>
      <c r="W389" s="80"/>
      <c r="X389" s="80"/>
      <c r="Y389" s="80"/>
      <c r="Z389" s="80"/>
    </row>
    <row r="390">
      <c r="A390" s="135">
        <v>45906.0</v>
      </c>
      <c r="B390" s="136">
        <v>-1.0</v>
      </c>
      <c r="C390" s="126"/>
      <c r="D390" s="127">
        <v>1.0</v>
      </c>
      <c r="E390" s="126"/>
      <c r="F390" s="138">
        <v>0.73</v>
      </c>
      <c r="G390" s="80"/>
      <c r="H390" s="80"/>
      <c r="I390" s="80"/>
      <c r="J390" s="80"/>
      <c r="K390" s="80"/>
      <c r="L390" s="80"/>
      <c r="M390" s="80"/>
      <c r="N390" s="80"/>
      <c r="O390" s="80"/>
      <c r="P390" s="80"/>
      <c r="Q390" s="80"/>
      <c r="R390" s="80"/>
      <c r="S390" s="80"/>
      <c r="T390" s="80"/>
      <c r="U390" s="80"/>
      <c r="V390" s="80"/>
      <c r="W390" s="80"/>
      <c r="X390" s="80"/>
      <c r="Y390" s="80"/>
      <c r="Z390" s="80"/>
    </row>
    <row r="391">
      <c r="A391" s="135">
        <v>45907.0</v>
      </c>
      <c r="B391" s="136">
        <v>-1.0</v>
      </c>
      <c r="C391" s="126"/>
      <c r="D391" s="127">
        <v>1.0</v>
      </c>
      <c r="E391" s="126"/>
      <c r="F391" s="138">
        <v>0.75</v>
      </c>
      <c r="G391" s="80"/>
      <c r="H391" s="80"/>
      <c r="I391" s="80"/>
      <c r="J391" s="80"/>
      <c r="K391" s="80"/>
      <c r="L391" s="80"/>
      <c r="M391" s="80"/>
      <c r="N391" s="80"/>
      <c r="O391" s="80"/>
      <c r="P391" s="80"/>
      <c r="Q391" s="80"/>
      <c r="R391" s="80"/>
      <c r="S391" s="80"/>
      <c r="T391" s="80"/>
      <c r="U391" s="80"/>
      <c r="V391" s="80"/>
      <c r="W391" s="80"/>
      <c r="X391" s="80"/>
      <c r="Y391" s="80"/>
      <c r="Z391" s="80"/>
    </row>
    <row r="392">
      <c r="A392" s="135">
        <v>45908.0</v>
      </c>
      <c r="B392" s="136">
        <v>-1.0</v>
      </c>
      <c r="C392" s="126"/>
      <c r="D392" s="127">
        <v>1.0</v>
      </c>
      <c r="E392" s="126"/>
      <c r="F392" s="138">
        <v>0.75</v>
      </c>
      <c r="G392" s="80"/>
      <c r="H392" s="80"/>
      <c r="I392" s="80"/>
      <c r="J392" s="80"/>
      <c r="K392" s="80"/>
      <c r="L392" s="80"/>
      <c r="M392" s="80"/>
      <c r="N392" s="80"/>
      <c r="O392" s="80"/>
      <c r="P392" s="80"/>
      <c r="Q392" s="80"/>
      <c r="R392" s="80"/>
      <c r="S392" s="80"/>
      <c r="T392" s="80"/>
      <c r="U392" s="80"/>
      <c r="V392" s="80"/>
      <c r="W392" s="80"/>
      <c r="X392" s="80"/>
      <c r="Y392" s="80"/>
      <c r="Z392" s="80"/>
    </row>
    <row r="393">
      <c r="A393" s="135">
        <v>45909.0</v>
      </c>
      <c r="B393" s="136">
        <v>-1.0</v>
      </c>
      <c r="C393" s="126"/>
      <c r="D393" s="127">
        <v>1.0</v>
      </c>
      <c r="E393" s="126"/>
      <c r="F393" s="138">
        <v>0.75</v>
      </c>
      <c r="G393" s="80"/>
      <c r="H393" s="80"/>
      <c r="I393" s="80"/>
      <c r="J393" s="80"/>
      <c r="K393" s="80"/>
      <c r="L393" s="80"/>
      <c r="M393" s="80"/>
      <c r="N393" s="80"/>
      <c r="O393" s="80"/>
      <c r="P393" s="80"/>
      <c r="Q393" s="80"/>
      <c r="R393" s="80"/>
      <c r="S393" s="80"/>
      <c r="T393" s="80"/>
      <c r="U393" s="80"/>
      <c r="V393" s="80"/>
      <c r="W393" s="80"/>
      <c r="X393" s="80"/>
      <c r="Y393" s="80"/>
      <c r="Z393" s="80"/>
    </row>
    <row r="394">
      <c r="A394" s="135">
        <v>45910.0</v>
      </c>
      <c r="B394" s="136">
        <v>-1.0</v>
      </c>
      <c r="C394" s="126"/>
      <c r="D394" s="127">
        <v>1.0</v>
      </c>
      <c r="E394" s="126"/>
      <c r="F394" s="138">
        <v>0.75</v>
      </c>
      <c r="G394" s="80"/>
      <c r="H394" s="80"/>
      <c r="I394" s="80"/>
      <c r="J394" s="80"/>
      <c r="K394" s="80"/>
      <c r="L394" s="80"/>
      <c r="M394" s="80"/>
      <c r="N394" s="80"/>
      <c r="O394" s="80"/>
      <c r="P394" s="80"/>
      <c r="Q394" s="80"/>
      <c r="R394" s="80"/>
      <c r="S394" s="80"/>
      <c r="T394" s="80"/>
      <c r="U394" s="80"/>
      <c r="V394" s="80"/>
      <c r="W394" s="80"/>
      <c r="X394" s="80"/>
      <c r="Y394" s="80"/>
      <c r="Z394" s="80"/>
    </row>
    <row r="395">
      <c r="A395" s="135">
        <v>45911.0</v>
      </c>
      <c r="B395" s="136">
        <v>-0.67</v>
      </c>
      <c r="C395" s="126"/>
      <c r="D395" s="127">
        <v>1.0</v>
      </c>
      <c r="E395" s="126"/>
      <c r="F395" s="138">
        <v>0.75</v>
      </c>
      <c r="G395" s="80"/>
      <c r="H395" s="80"/>
      <c r="I395" s="80"/>
      <c r="J395" s="80"/>
      <c r="K395" s="80"/>
      <c r="L395" s="80"/>
      <c r="M395" s="80"/>
      <c r="N395" s="80"/>
      <c r="O395" s="80"/>
      <c r="P395" s="80"/>
      <c r="Q395" s="80"/>
      <c r="R395" s="80"/>
      <c r="S395" s="80"/>
      <c r="T395" s="80"/>
      <c r="U395" s="80"/>
      <c r="V395" s="80"/>
      <c r="W395" s="80"/>
      <c r="X395" s="80"/>
      <c r="Y395" s="80"/>
      <c r="Z395" s="80"/>
    </row>
    <row r="396">
      <c r="A396" s="135">
        <v>45912.0</v>
      </c>
      <c r="B396" s="136">
        <v>-0.33</v>
      </c>
      <c r="C396" s="126"/>
      <c r="D396" s="127">
        <v>1.0</v>
      </c>
      <c r="E396" s="126"/>
      <c r="F396" s="138">
        <v>0.75</v>
      </c>
      <c r="G396" s="80"/>
      <c r="H396" s="80"/>
      <c r="I396" s="80"/>
      <c r="J396" s="80"/>
      <c r="K396" s="80"/>
      <c r="L396" s="80"/>
      <c r="M396" s="80"/>
      <c r="N396" s="80"/>
      <c r="O396" s="80"/>
      <c r="P396" s="80"/>
      <c r="Q396" s="80"/>
      <c r="R396" s="80"/>
      <c r="S396" s="80"/>
      <c r="T396" s="80"/>
      <c r="U396" s="80"/>
      <c r="V396" s="80"/>
      <c r="W396" s="80"/>
      <c r="X396" s="80"/>
      <c r="Y396" s="80"/>
      <c r="Z396" s="80"/>
    </row>
    <row r="397">
      <c r="A397" s="135">
        <v>45913.0</v>
      </c>
      <c r="B397" s="136">
        <v>-0.33</v>
      </c>
      <c r="C397" s="126"/>
      <c r="D397" s="127">
        <v>1.0</v>
      </c>
      <c r="E397" s="126"/>
      <c r="F397" s="138">
        <v>0.75</v>
      </c>
      <c r="G397" s="80"/>
      <c r="H397" s="80"/>
      <c r="I397" s="80"/>
      <c r="J397" s="80"/>
      <c r="K397" s="80"/>
      <c r="L397" s="80"/>
      <c r="M397" s="80"/>
      <c r="N397" s="80"/>
      <c r="O397" s="80"/>
      <c r="P397" s="80"/>
      <c r="Q397" s="80"/>
      <c r="R397" s="80"/>
      <c r="S397" s="80"/>
      <c r="T397" s="80"/>
      <c r="U397" s="80"/>
      <c r="V397" s="80"/>
      <c r="W397" s="80"/>
      <c r="X397" s="80"/>
      <c r="Y397" s="80"/>
      <c r="Z397" s="80"/>
    </row>
    <row r="398">
      <c r="A398" s="135">
        <v>45914.0</v>
      </c>
      <c r="B398" s="136">
        <v>-0.33</v>
      </c>
      <c r="C398" s="126"/>
      <c r="D398" s="127">
        <v>1.0</v>
      </c>
      <c r="E398" s="126"/>
      <c r="F398" s="138">
        <v>0.75</v>
      </c>
      <c r="G398" s="80"/>
      <c r="H398" s="80"/>
      <c r="I398" s="80"/>
      <c r="J398" s="80"/>
      <c r="K398" s="80"/>
      <c r="L398" s="80"/>
      <c r="M398" s="80"/>
      <c r="N398" s="80"/>
      <c r="O398" s="80"/>
      <c r="P398" s="80"/>
      <c r="Q398" s="80"/>
      <c r="R398" s="80"/>
      <c r="S398" s="80"/>
      <c r="T398" s="80"/>
      <c r="U398" s="80"/>
      <c r="V398" s="80"/>
      <c r="W398" s="80"/>
      <c r="X398" s="80"/>
      <c r="Y398" s="80"/>
      <c r="Z398" s="80"/>
    </row>
    <row r="399">
      <c r="A399" s="135">
        <v>45915.0</v>
      </c>
      <c r="B399" s="136">
        <v>-0.08</v>
      </c>
      <c r="C399" s="126"/>
      <c r="D399" s="127">
        <v>1.0</v>
      </c>
      <c r="E399" s="126"/>
      <c r="F399" s="138">
        <v>0.75</v>
      </c>
      <c r="G399" s="80"/>
      <c r="H399" s="80"/>
      <c r="I399" s="80"/>
      <c r="J399" s="80"/>
      <c r="K399" s="80"/>
      <c r="L399" s="80"/>
      <c r="M399" s="80"/>
      <c r="N399" s="80"/>
      <c r="O399" s="80"/>
      <c r="P399" s="80"/>
      <c r="Q399" s="80"/>
      <c r="R399" s="80"/>
      <c r="S399" s="80"/>
      <c r="T399" s="80"/>
      <c r="U399" s="80"/>
      <c r="V399" s="80"/>
      <c r="W399" s="80"/>
      <c r="X399" s="80"/>
      <c r="Y399" s="80"/>
      <c r="Z399" s="80"/>
    </row>
    <row r="400">
      <c r="A400" s="135">
        <v>45916.0</v>
      </c>
      <c r="B400" s="136">
        <v>0.25</v>
      </c>
      <c r="C400" s="126"/>
      <c r="D400" s="127">
        <v>1.0</v>
      </c>
      <c r="E400" s="126"/>
      <c r="F400" s="138">
        <v>0.75</v>
      </c>
      <c r="G400" s="80"/>
      <c r="H400" s="80"/>
      <c r="I400" s="80"/>
      <c r="J400" s="80"/>
      <c r="K400" s="80"/>
      <c r="L400" s="80"/>
      <c r="M400" s="80"/>
      <c r="N400" s="80"/>
      <c r="O400" s="80"/>
      <c r="P400" s="80"/>
      <c r="Q400" s="80"/>
      <c r="R400" s="80"/>
      <c r="S400" s="80"/>
      <c r="T400" s="80"/>
      <c r="U400" s="80"/>
      <c r="V400" s="80"/>
      <c r="W400" s="80"/>
      <c r="X400" s="80"/>
      <c r="Y400" s="80"/>
      <c r="Z400" s="80"/>
    </row>
    <row r="401">
      <c r="A401" s="135">
        <v>45917.0</v>
      </c>
      <c r="B401" s="136">
        <v>0.25</v>
      </c>
      <c r="C401" s="126"/>
      <c r="D401" s="127">
        <v>1.0</v>
      </c>
      <c r="E401" s="126"/>
      <c r="F401" s="138">
        <v>0.75</v>
      </c>
      <c r="G401" s="80"/>
      <c r="H401" s="80"/>
      <c r="I401" s="80"/>
      <c r="J401" s="80"/>
      <c r="K401" s="80"/>
      <c r="L401" s="80"/>
      <c r="M401" s="80"/>
      <c r="N401" s="80"/>
      <c r="O401" s="80"/>
      <c r="P401" s="80"/>
      <c r="Q401" s="80"/>
      <c r="R401" s="80"/>
      <c r="S401" s="80"/>
      <c r="T401" s="80"/>
      <c r="U401" s="80"/>
      <c r="V401" s="80"/>
      <c r="W401" s="80"/>
      <c r="X401" s="80"/>
      <c r="Y401" s="80"/>
      <c r="Z401" s="80"/>
    </row>
    <row r="402">
      <c r="A402" s="135">
        <v>45918.0</v>
      </c>
      <c r="B402" s="136">
        <v>0.67</v>
      </c>
      <c r="C402" s="126"/>
      <c r="D402" s="127">
        <v>1.0</v>
      </c>
      <c r="E402" s="126"/>
      <c r="F402" s="138">
        <v>0.75</v>
      </c>
      <c r="G402" s="80"/>
      <c r="H402" s="80"/>
      <c r="I402" s="80"/>
      <c r="J402" s="80"/>
      <c r="K402" s="80"/>
      <c r="L402" s="80"/>
      <c r="M402" s="80"/>
      <c r="N402" s="80"/>
      <c r="O402" s="80"/>
      <c r="P402" s="80"/>
      <c r="Q402" s="80"/>
      <c r="R402" s="80"/>
      <c r="S402" s="80"/>
      <c r="T402" s="80"/>
      <c r="U402" s="80"/>
      <c r="V402" s="80"/>
      <c r="W402" s="80"/>
      <c r="X402" s="80"/>
      <c r="Y402" s="80"/>
      <c r="Z402" s="80"/>
    </row>
    <row r="403">
      <c r="A403" s="135">
        <v>45919.0</v>
      </c>
      <c r="B403" s="136">
        <v>0.67</v>
      </c>
      <c r="C403" s="126"/>
      <c r="D403" s="127">
        <v>1.0</v>
      </c>
      <c r="E403" s="126"/>
      <c r="F403" s="138">
        <v>0.75</v>
      </c>
      <c r="G403" s="80"/>
      <c r="H403" s="80"/>
      <c r="I403" s="80"/>
      <c r="J403" s="80"/>
      <c r="K403" s="80"/>
      <c r="L403" s="80"/>
      <c r="M403" s="80"/>
      <c r="N403" s="80"/>
      <c r="O403" s="80"/>
      <c r="P403" s="80"/>
      <c r="Q403" s="80"/>
      <c r="R403" s="80"/>
      <c r="S403" s="80"/>
      <c r="T403" s="80"/>
      <c r="U403" s="80"/>
      <c r="V403" s="80"/>
      <c r="W403" s="80"/>
      <c r="X403" s="80"/>
      <c r="Y403" s="80"/>
      <c r="Z403" s="80"/>
    </row>
    <row r="404">
      <c r="A404" s="135">
        <v>45920.0</v>
      </c>
      <c r="B404" s="136">
        <v>0.5</v>
      </c>
      <c r="C404" s="126"/>
      <c r="D404" s="127">
        <v>1.0</v>
      </c>
      <c r="E404" s="126"/>
      <c r="F404" s="138">
        <v>0.75</v>
      </c>
      <c r="G404" s="80"/>
      <c r="H404" s="80"/>
      <c r="I404" s="80"/>
      <c r="J404" s="80"/>
      <c r="K404" s="80"/>
      <c r="L404" s="80"/>
      <c r="M404" s="80"/>
      <c r="N404" s="80"/>
      <c r="O404" s="80"/>
      <c r="P404" s="80"/>
      <c r="Q404" s="80"/>
      <c r="R404" s="80"/>
      <c r="S404" s="80"/>
      <c r="T404" s="80"/>
      <c r="U404" s="80"/>
      <c r="V404" s="80"/>
      <c r="W404" s="80"/>
      <c r="X404" s="80"/>
      <c r="Y404" s="80"/>
      <c r="Z404" s="80"/>
    </row>
    <row r="405">
      <c r="A405" s="135">
        <v>45921.0</v>
      </c>
      <c r="B405" s="136">
        <v>0.42</v>
      </c>
      <c r="C405" s="126"/>
      <c r="D405" s="127">
        <v>1.0</v>
      </c>
      <c r="E405" s="126"/>
      <c r="F405" s="138">
        <v>0.75</v>
      </c>
      <c r="G405" s="80"/>
      <c r="H405" s="80"/>
      <c r="I405" s="80"/>
      <c r="J405" s="80"/>
      <c r="K405" s="80"/>
      <c r="L405" s="80"/>
      <c r="M405" s="80"/>
      <c r="N405" s="80"/>
      <c r="O405" s="80"/>
      <c r="P405" s="80"/>
      <c r="Q405" s="80"/>
      <c r="R405" s="80"/>
      <c r="S405" s="80"/>
      <c r="T405" s="80"/>
      <c r="U405" s="80"/>
      <c r="V405" s="80"/>
      <c r="W405" s="80"/>
      <c r="X405" s="80"/>
      <c r="Y405" s="80"/>
      <c r="Z405" s="80"/>
    </row>
    <row r="406">
      <c r="A406" s="135">
        <v>45922.0</v>
      </c>
      <c r="B406" s="136">
        <v>0.17</v>
      </c>
      <c r="C406" s="126"/>
      <c r="D406" s="127">
        <v>0.92</v>
      </c>
      <c r="E406" s="126"/>
      <c r="F406" s="138">
        <v>0.75</v>
      </c>
      <c r="G406" s="80"/>
      <c r="H406" s="80"/>
      <c r="I406" s="80"/>
      <c r="J406" s="80"/>
      <c r="K406" s="80"/>
      <c r="L406" s="80"/>
      <c r="M406" s="80"/>
      <c r="N406" s="80"/>
      <c r="O406" s="80"/>
      <c r="P406" s="80"/>
      <c r="Q406" s="80"/>
      <c r="R406" s="80"/>
      <c r="S406" s="80"/>
      <c r="T406" s="80"/>
      <c r="U406" s="80"/>
      <c r="V406" s="80"/>
      <c r="W406" s="80"/>
      <c r="X406" s="80"/>
      <c r="Y406" s="80"/>
      <c r="Z406" s="80"/>
    </row>
    <row r="407">
      <c r="A407" s="135">
        <v>45923.0</v>
      </c>
      <c r="B407" s="136">
        <v>-0.42</v>
      </c>
      <c r="C407" s="126"/>
      <c r="D407" s="127">
        <v>0.92</v>
      </c>
      <c r="E407" s="126"/>
      <c r="F407" s="138">
        <v>0.75</v>
      </c>
      <c r="G407" s="80"/>
      <c r="H407" s="80"/>
      <c r="I407" s="80"/>
      <c r="J407" s="80"/>
      <c r="K407" s="80"/>
      <c r="L407" s="80"/>
      <c r="M407" s="80"/>
      <c r="N407" s="80"/>
      <c r="O407" s="80"/>
      <c r="P407" s="80"/>
      <c r="Q407" s="80"/>
      <c r="R407" s="80"/>
      <c r="S407" s="80"/>
      <c r="T407" s="80"/>
      <c r="U407" s="80"/>
      <c r="V407" s="80"/>
      <c r="W407" s="80"/>
      <c r="X407" s="80"/>
      <c r="Y407" s="80"/>
      <c r="Z407" s="80"/>
    </row>
    <row r="408">
      <c r="A408" s="135">
        <v>45924.0</v>
      </c>
      <c r="B408" s="136">
        <v>-0.08</v>
      </c>
      <c r="C408" s="126"/>
      <c r="D408" s="127">
        <v>0.75</v>
      </c>
      <c r="E408" s="126"/>
      <c r="F408" s="138">
        <v>0.75</v>
      </c>
      <c r="G408" s="80"/>
      <c r="H408" s="80"/>
      <c r="I408" s="80"/>
      <c r="J408" s="80"/>
      <c r="K408" s="80"/>
      <c r="L408" s="80"/>
      <c r="M408" s="80"/>
      <c r="N408" s="80"/>
      <c r="O408" s="80"/>
      <c r="P408" s="80"/>
      <c r="Q408" s="80"/>
      <c r="R408" s="80"/>
      <c r="S408" s="80"/>
      <c r="T408" s="80"/>
      <c r="U408" s="80"/>
      <c r="V408" s="80"/>
      <c r="W408" s="80"/>
      <c r="X408" s="80"/>
      <c r="Y408" s="80"/>
      <c r="Z408" s="80"/>
    </row>
    <row r="409">
      <c r="A409" s="135">
        <v>45925.0</v>
      </c>
      <c r="B409" s="136">
        <v>-1.0</v>
      </c>
      <c r="C409" s="126"/>
      <c r="D409" s="127">
        <v>-0.92</v>
      </c>
      <c r="E409" s="126"/>
      <c r="F409" s="138">
        <v>0.75</v>
      </c>
      <c r="G409" s="80"/>
      <c r="H409" s="80"/>
      <c r="I409" s="80"/>
      <c r="J409" s="80"/>
      <c r="K409" s="80"/>
      <c r="L409" s="80"/>
      <c r="M409" s="80"/>
      <c r="N409" s="80"/>
      <c r="O409" s="80"/>
      <c r="P409" s="80"/>
      <c r="Q409" s="80"/>
      <c r="R409" s="80"/>
      <c r="S409" s="80"/>
      <c r="T409" s="80"/>
      <c r="U409" s="80"/>
      <c r="V409" s="80"/>
      <c r="W409" s="80"/>
      <c r="X409" s="80"/>
      <c r="Y409" s="80"/>
      <c r="Z409" s="80"/>
    </row>
    <row r="410">
      <c r="A410" s="135">
        <v>45926.0</v>
      </c>
      <c r="B410" s="136">
        <v>-1.0</v>
      </c>
      <c r="C410" s="126"/>
      <c r="D410" s="127">
        <v>-0.83</v>
      </c>
      <c r="E410" s="126"/>
      <c r="F410" s="138">
        <v>0.75</v>
      </c>
      <c r="G410" s="80"/>
      <c r="H410" s="80"/>
      <c r="I410" s="80"/>
      <c r="J410" s="80"/>
      <c r="K410" s="80"/>
      <c r="L410" s="80"/>
      <c r="M410" s="80"/>
      <c r="N410" s="80"/>
      <c r="O410" s="80"/>
      <c r="P410" s="80"/>
      <c r="Q410" s="80"/>
      <c r="R410" s="80"/>
      <c r="S410" s="80"/>
      <c r="T410" s="80"/>
      <c r="U410" s="80"/>
      <c r="V410" s="80"/>
      <c r="W410" s="80"/>
      <c r="X410" s="80"/>
      <c r="Y410" s="80"/>
      <c r="Z410" s="80"/>
    </row>
    <row r="411">
      <c r="A411" s="135">
        <v>45927.0</v>
      </c>
      <c r="B411" s="136">
        <v>-1.0</v>
      </c>
      <c r="C411" s="126"/>
      <c r="D411" s="127">
        <v>-0.83</v>
      </c>
      <c r="E411" s="126"/>
      <c r="F411" s="127">
        <v>0.63</v>
      </c>
      <c r="G411" s="80"/>
      <c r="H411" s="80"/>
      <c r="I411" s="80"/>
      <c r="J411" s="80"/>
      <c r="K411" s="80"/>
      <c r="L411" s="80"/>
      <c r="M411" s="80"/>
      <c r="N411" s="80"/>
      <c r="O411" s="80"/>
      <c r="P411" s="80"/>
      <c r="Q411" s="80"/>
      <c r="R411" s="80"/>
      <c r="S411" s="80"/>
      <c r="T411" s="80"/>
      <c r="U411" s="80"/>
      <c r="V411" s="80"/>
      <c r="W411" s="80"/>
      <c r="X411" s="80"/>
      <c r="Y411" s="80"/>
      <c r="Z411" s="80"/>
    </row>
    <row r="412">
      <c r="A412" s="135">
        <v>45928.0</v>
      </c>
      <c r="B412" s="136">
        <v>-1.0</v>
      </c>
      <c r="C412" s="126"/>
      <c r="D412" s="127">
        <v>-1.0</v>
      </c>
      <c r="E412" s="126"/>
      <c r="F412" s="127">
        <v>0.63</v>
      </c>
      <c r="G412" s="80"/>
      <c r="H412" s="80"/>
      <c r="I412" s="80"/>
      <c r="J412" s="80"/>
      <c r="K412" s="80"/>
      <c r="L412" s="80"/>
      <c r="M412" s="80"/>
      <c r="N412" s="80"/>
      <c r="O412" s="80"/>
      <c r="P412" s="80"/>
      <c r="Q412" s="80"/>
      <c r="R412" s="80"/>
      <c r="S412" s="80"/>
      <c r="T412" s="80"/>
      <c r="U412" s="80"/>
      <c r="V412" s="80"/>
      <c r="W412" s="80"/>
      <c r="X412" s="80"/>
      <c r="Y412" s="80"/>
      <c r="Z412" s="80"/>
    </row>
    <row r="413">
      <c r="A413" s="135">
        <v>45929.0</v>
      </c>
      <c r="B413" s="136">
        <v>-1.0</v>
      </c>
      <c r="C413" s="126"/>
      <c r="D413" s="127">
        <v>-1.0</v>
      </c>
      <c r="E413" s="126"/>
      <c r="F413" s="127">
        <v>0.63</v>
      </c>
      <c r="G413" s="80"/>
      <c r="H413" s="80"/>
      <c r="I413" s="80"/>
      <c r="J413" s="80"/>
      <c r="K413" s="80"/>
      <c r="L413" s="80"/>
      <c r="M413" s="80"/>
      <c r="N413" s="80"/>
      <c r="O413" s="80"/>
      <c r="P413" s="80"/>
      <c r="Q413" s="80"/>
      <c r="R413" s="80"/>
      <c r="S413" s="80"/>
      <c r="T413" s="80"/>
      <c r="U413" s="80"/>
      <c r="V413" s="80"/>
      <c r="W413" s="80"/>
      <c r="X413" s="80"/>
      <c r="Y413" s="80"/>
      <c r="Z413" s="80"/>
    </row>
    <row r="414">
      <c r="A414" s="135">
        <v>45930.0</v>
      </c>
      <c r="B414" s="136">
        <v>-1.0</v>
      </c>
      <c r="C414" s="126"/>
      <c r="D414" s="127">
        <v>-1.0</v>
      </c>
      <c r="E414" s="126"/>
      <c r="F414" s="127">
        <v>0.63</v>
      </c>
      <c r="G414" s="80"/>
      <c r="H414" s="80"/>
      <c r="I414" s="80"/>
      <c r="J414" s="80"/>
      <c r="K414" s="80"/>
      <c r="L414" s="80"/>
      <c r="M414" s="80"/>
      <c r="N414" s="80"/>
      <c r="O414" s="80"/>
      <c r="P414" s="80"/>
      <c r="Q414" s="80"/>
      <c r="R414" s="80"/>
      <c r="S414" s="80"/>
      <c r="T414" s="80"/>
      <c r="U414" s="80"/>
      <c r="V414" s="80"/>
      <c r="W414" s="80"/>
      <c r="X414" s="80"/>
      <c r="Y414" s="80"/>
      <c r="Z414" s="80"/>
    </row>
    <row r="415">
      <c r="A415" s="135">
        <v>45931.0</v>
      </c>
      <c r="B415" s="136">
        <v>0.54</v>
      </c>
      <c r="C415" s="126"/>
      <c r="D415" s="127">
        <v>0.38</v>
      </c>
      <c r="E415" s="126"/>
      <c r="F415" s="127">
        <v>0.63</v>
      </c>
      <c r="G415" s="80"/>
      <c r="H415" s="80"/>
      <c r="I415" s="80"/>
      <c r="J415" s="80"/>
      <c r="K415" s="80"/>
      <c r="L415" s="80"/>
      <c r="M415" s="80"/>
      <c r="N415" s="80"/>
      <c r="O415" s="80"/>
      <c r="P415" s="80"/>
      <c r="Q415" s="80"/>
      <c r="R415" s="80"/>
      <c r="S415" s="80"/>
      <c r="T415" s="80"/>
      <c r="U415" s="80"/>
      <c r="V415" s="80"/>
      <c r="W415" s="80"/>
      <c r="X415" s="80"/>
      <c r="Y415" s="80"/>
      <c r="Z415" s="80"/>
    </row>
    <row r="416">
      <c r="A416" s="135">
        <v>45932.0</v>
      </c>
      <c r="B416" s="136">
        <v>1.0</v>
      </c>
      <c r="C416" s="126"/>
      <c r="D416" s="127">
        <v>0.69</v>
      </c>
      <c r="E416" s="126"/>
      <c r="F416" s="127">
        <v>0.75</v>
      </c>
      <c r="G416" s="80"/>
      <c r="H416" s="80"/>
      <c r="I416" s="80"/>
      <c r="J416" s="80"/>
      <c r="K416" s="80"/>
      <c r="L416" s="80"/>
      <c r="M416" s="80"/>
      <c r="N416" s="80"/>
      <c r="O416" s="80"/>
      <c r="P416" s="80"/>
      <c r="Q416" s="80"/>
      <c r="R416" s="80"/>
      <c r="S416" s="80"/>
      <c r="T416" s="80"/>
      <c r="U416" s="80"/>
      <c r="V416" s="80"/>
      <c r="W416" s="80"/>
      <c r="X416" s="80"/>
      <c r="Y416" s="80"/>
      <c r="Z416" s="80"/>
    </row>
    <row r="417">
      <c r="A417" s="135">
        <v>45933.0</v>
      </c>
      <c r="B417" s="136">
        <v>1.0</v>
      </c>
      <c r="C417" s="126"/>
      <c r="D417" s="127">
        <v>1.0</v>
      </c>
      <c r="E417" s="126"/>
      <c r="F417" s="127">
        <v>0.75</v>
      </c>
      <c r="G417" s="80"/>
      <c r="H417" s="80"/>
      <c r="I417" s="80"/>
      <c r="J417" s="80"/>
      <c r="K417" s="80"/>
      <c r="L417" s="80"/>
      <c r="M417" s="80"/>
      <c r="N417" s="80"/>
      <c r="O417" s="80"/>
      <c r="P417" s="80"/>
      <c r="Q417" s="80"/>
      <c r="R417" s="80"/>
      <c r="S417" s="80"/>
      <c r="T417" s="80"/>
      <c r="U417" s="80"/>
      <c r="V417" s="80"/>
      <c r="W417" s="80"/>
      <c r="X417" s="80"/>
      <c r="Y417" s="80"/>
      <c r="Z417" s="80"/>
    </row>
    <row r="418">
      <c r="A418" s="135">
        <v>45934.0</v>
      </c>
      <c r="B418" s="136">
        <v>1.0</v>
      </c>
      <c r="C418" s="126"/>
      <c r="D418" s="127">
        <v>1.0</v>
      </c>
      <c r="E418" s="126"/>
      <c r="F418" s="127">
        <v>0.88</v>
      </c>
      <c r="G418" s="80"/>
      <c r="H418" s="80"/>
      <c r="I418" s="80"/>
      <c r="J418" s="80"/>
      <c r="K418" s="80"/>
      <c r="L418" s="80"/>
      <c r="M418" s="80"/>
      <c r="N418" s="80"/>
      <c r="O418" s="80"/>
      <c r="P418" s="80"/>
      <c r="Q418" s="80"/>
      <c r="R418" s="80"/>
      <c r="S418" s="80"/>
      <c r="T418" s="80"/>
      <c r="U418" s="80"/>
      <c r="V418" s="80"/>
      <c r="W418" s="80"/>
      <c r="X418" s="80"/>
      <c r="Y418" s="80"/>
      <c r="Z418" s="80"/>
    </row>
    <row r="419">
      <c r="A419" s="135">
        <v>45935.0</v>
      </c>
      <c r="B419" s="136">
        <v>1.0</v>
      </c>
      <c r="C419" s="126"/>
      <c r="D419" s="127">
        <v>1.0</v>
      </c>
      <c r="E419" s="126"/>
      <c r="F419" s="127">
        <v>0.88</v>
      </c>
      <c r="G419" s="80"/>
      <c r="H419" s="80"/>
      <c r="I419" s="80"/>
      <c r="J419" s="80"/>
      <c r="K419" s="80"/>
      <c r="L419" s="80"/>
      <c r="M419" s="80"/>
      <c r="N419" s="80"/>
      <c r="O419" s="80"/>
      <c r="P419" s="80"/>
      <c r="Q419" s="80"/>
      <c r="R419" s="80"/>
      <c r="S419" s="80"/>
      <c r="T419" s="80"/>
      <c r="U419" s="80"/>
      <c r="V419" s="80"/>
      <c r="W419" s="80"/>
      <c r="X419" s="80"/>
      <c r="Y419" s="80"/>
      <c r="Z419" s="80"/>
    </row>
    <row r="420">
      <c r="A420" s="135">
        <v>45936.0</v>
      </c>
      <c r="B420" s="136">
        <v>1.0</v>
      </c>
      <c r="C420" s="126"/>
      <c r="D420" s="127">
        <v>1.0</v>
      </c>
      <c r="E420" s="126"/>
      <c r="F420" s="127">
        <v>0.88</v>
      </c>
      <c r="G420" s="80"/>
      <c r="H420" s="80"/>
      <c r="I420" s="80"/>
      <c r="J420" s="80"/>
      <c r="K420" s="80"/>
      <c r="L420" s="80"/>
      <c r="M420" s="80"/>
      <c r="N420" s="80"/>
      <c r="O420" s="80"/>
      <c r="P420" s="80"/>
      <c r="Q420" s="80"/>
      <c r="R420" s="80"/>
      <c r="S420" s="80"/>
      <c r="T420" s="80"/>
      <c r="U420" s="80"/>
      <c r="V420" s="80"/>
      <c r="W420" s="80"/>
      <c r="X420" s="80"/>
      <c r="Y420" s="80"/>
      <c r="Z420" s="80"/>
    </row>
    <row r="421">
      <c r="A421" s="135">
        <v>45937.0</v>
      </c>
      <c r="B421" s="136">
        <v>1.0</v>
      </c>
      <c r="C421" s="126"/>
      <c r="D421" s="127">
        <v>1.0</v>
      </c>
      <c r="E421" s="126"/>
      <c r="F421" s="127">
        <v>0.88</v>
      </c>
      <c r="G421" s="80"/>
      <c r="H421" s="80"/>
      <c r="I421" s="80"/>
      <c r="J421" s="80"/>
      <c r="K421" s="80"/>
      <c r="L421" s="80"/>
      <c r="M421" s="80"/>
      <c r="N421" s="80"/>
      <c r="O421" s="80"/>
      <c r="P421" s="80"/>
      <c r="Q421" s="80"/>
      <c r="R421" s="80"/>
      <c r="S421" s="80"/>
      <c r="T421" s="80"/>
      <c r="U421" s="80"/>
      <c r="V421" s="80"/>
      <c r="W421" s="80"/>
      <c r="X421" s="80"/>
      <c r="Y421" s="80"/>
      <c r="Z421" s="80"/>
    </row>
    <row r="422">
      <c r="A422" s="135">
        <v>45938.0</v>
      </c>
      <c r="B422" s="136">
        <v>1.0</v>
      </c>
      <c r="C422" s="126"/>
      <c r="D422" s="127">
        <v>1.0</v>
      </c>
      <c r="E422" s="126"/>
      <c r="F422" s="127">
        <v>0.88</v>
      </c>
      <c r="G422" s="80"/>
      <c r="H422" s="80"/>
      <c r="I422" s="80"/>
      <c r="J422" s="80"/>
      <c r="K422" s="80"/>
      <c r="L422" s="80"/>
      <c r="M422" s="80"/>
      <c r="N422" s="80"/>
      <c r="O422" s="80"/>
      <c r="P422" s="80"/>
      <c r="Q422" s="80"/>
      <c r="R422" s="80"/>
      <c r="S422" s="80"/>
      <c r="T422" s="80"/>
      <c r="U422" s="80"/>
      <c r="V422" s="80"/>
      <c r="W422" s="80"/>
      <c r="X422" s="80"/>
      <c r="Y422" s="80"/>
      <c r="Z422" s="80"/>
    </row>
    <row r="423">
      <c r="A423" s="135">
        <v>45939.0</v>
      </c>
      <c r="B423" s="136">
        <v>1.0</v>
      </c>
      <c r="C423" s="126"/>
      <c r="D423" s="127">
        <v>1.0</v>
      </c>
      <c r="E423" s="126"/>
      <c r="F423" s="127">
        <v>0.88</v>
      </c>
      <c r="G423" s="80"/>
      <c r="H423" s="80"/>
      <c r="I423" s="80"/>
      <c r="J423" s="80"/>
      <c r="K423" s="80"/>
      <c r="L423" s="80"/>
      <c r="M423" s="80"/>
      <c r="N423" s="80"/>
      <c r="O423" s="80"/>
      <c r="P423" s="80"/>
      <c r="Q423" s="80"/>
      <c r="R423" s="80"/>
      <c r="S423" s="80"/>
      <c r="T423" s="80"/>
      <c r="U423" s="80"/>
      <c r="V423" s="80"/>
      <c r="W423" s="80"/>
      <c r="X423" s="80"/>
      <c r="Y423" s="80"/>
      <c r="Z423" s="80"/>
    </row>
    <row r="424">
      <c r="A424" s="135">
        <v>45940.0</v>
      </c>
      <c r="B424" s="136">
        <v>0.33</v>
      </c>
      <c r="C424" s="126"/>
      <c r="D424" s="127">
        <v>-0.31</v>
      </c>
      <c r="E424" s="126"/>
      <c r="F424" s="127">
        <v>0.88</v>
      </c>
      <c r="G424" s="80"/>
      <c r="H424" s="80"/>
      <c r="I424" s="80"/>
      <c r="J424" s="80"/>
      <c r="K424" s="80"/>
      <c r="L424" s="80"/>
      <c r="M424" s="80"/>
      <c r="N424" s="80"/>
      <c r="O424" s="80"/>
      <c r="P424" s="80"/>
      <c r="Q424" s="80"/>
      <c r="R424" s="80"/>
      <c r="S424" s="80"/>
      <c r="T424" s="80"/>
      <c r="U424" s="80"/>
      <c r="V424" s="80"/>
      <c r="W424" s="80"/>
      <c r="X424" s="80"/>
      <c r="Y424" s="80"/>
      <c r="Z424" s="80"/>
    </row>
    <row r="425">
      <c r="A425" s="135">
        <v>45941.0</v>
      </c>
      <c r="B425" s="136">
        <v>0.08</v>
      </c>
      <c r="C425" s="126"/>
      <c r="D425" s="127">
        <v>-0.62</v>
      </c>
      <c r="E425" s="126"/>
      <c r="F425" s="127">
        <v>0.75</v>
      </c>
      <c r="G425" s="80"/>
      <c r="H425" s="80"/>
      <c r="I425" s="80"/>
      <c r="J425" s="80"/>
      <c r="K425" s="80"/>
      <c r="L425" s="80"/>
      <c r="M425" s="80"/>
      <c r="N425" s="80"/>
      <c r="O425" s="80"/>
      <c r="P425" s="80"/>
      <c r="Q425" s="80"/>
      <c r="R425" s="80"/>
      <c r="S425" s="80"/>
      <c r="T425" s="80"/>
      <c r="U425" s="80"/>
      <c r="V425" s="80"/>
      <c r="W425" s="80"/>
      <c r="X425" s="80"/>
      <c r="Y425" s="80"/>
      <c r="Z425" s="80"/>
    </row>
    <row r="426">
      <c r="A426" s="135">
        <v>45942.0</v>
      </c>
      <c r="B426" s="136">
        <v>0.08</v>
      </c>
      <c r="C426" s="126"/>
      <c r="D426" s="127">
        <v>-0.62</v>
      </c>
      <c r="E426" s="126"/>
      <c r="F426" s="127">
        <v>0.75</v>
      </c>
      <c r="G426" s="80"/>
      <c r="H426" s="80"/>
      <c r="I426" s="80"/>
      <c r="J426" s="80"/>
      <c r="K426" s="80"/>
      <c r="L426" s="80"/>
      <c r="M426" s="80"/>
      <c r="N426" s="80"/>
      <c r="O426" s="80"/>
      <c r="P426" s="80"/>
      <c r="Q426" s="80"/>
      <c r="R426" s="80"/>
      <c r="S426" s="80"/>
      <c r="T426" s="80"/>
      <c r="U426" s="80"/>
      <c r="V426" s="80"/>
      <c r="W426" s="80"/>
      <c r="X426" s="80"/>
      <c r="Y426" s="80"/>
      <c r="Z426" s="80"/>
    </row>
    <row r="427">
      <c r="A427" s="135">
        <v>45943.0</v>
      </c>
      <c r="B427" s="136">
        <v>0.08</v>
      </c>
      <c r="C427" s="126"/>
      <c r="D427" s="127">
        <v>-0.62</v>
      </c>
      <c r="E427" s="126"/>
      <c r="F427" s="127">
        <v>0.75</v>
      </c>
      <c r="G427" s="80"/>
      <c r="H427" s="80"/>
      <c r="I427" s="80"/>
      <c r="J427" s="80"/>
      <c r="K427" s="80"/>
      <c r="L427" s="80"/>
      <c r="M427" s="80"/>
      <c r="N427" s="80"/>
      <c r="O427" s="80"/>
      <c r="P427" s="80"/>
      <c r="Q427" s="80"/>
      <c r="R427" s="80"/>
      <c r="S427" s="80"/>
      <c r="T427" s="80"/>
      <c r="U427" s="80"/>
      <c r="V427" s="80"/>
      <c r="W427" s="80"/>
      <c r="X427" s="80"/>
      <c r="Y427" s="80"/>
      <c r="Z427" s="80"/>
    </row>
    <row r="428">
      <c r="A428" s="135">
        <v>45944.0</v>
      </c>
      <c r="B428" s="136">
        <v>-0.23</v>
      </c>
      <c r="C428" s="126"/>
      <c r="D428" s="127">
        <v>-0.77</v>
      </c>
      <c r="E428" s="126"/>
      <c r="F428" s="127">
        <v>0.75</v>
      </c>
      <c r="G428" s="80"/>
      <c r="H428" s="80"/>
      <c r="I428" s="80"/>
      <c r="J428" s="80"/>
      <c r="K428" s="80"/>
      <c r="L428" s="80"/>
      <c r="M428" s="80"/>
      <c r="N428" s="80"/>
      <c r="O428" s="80"/>
      <c r="P428" s="80"/>
      <c r="Q428" s="80"/>
      <c r="R428" s="80"/>
      <c r="S428" s="80"/>
      <c r="T428" s="80"/>
      <c r="U428" s="80"/>
      <c r="V428" s="80"/>
      <c r="W428" s="80"/>
      <c r="X428" s="80"/>
      <c r="Y428" s="80"/>
      <c r="Z428" s="80"/>
    </row>
    <row r="429">
      <c r="A429" s="135">
        <v>45945.0</v>
      </c>
      <c r="B429" s="136">
        <v>-0.69</v>
      </c>
      <c r="C429" s="126"/>
      <c r="D429" s="127">
        <v>-1.0</v>
      </c>
      <c r="E429" s="126"/>
      <c r="F429" s="127">
        <v>0.75</v>
      </c>
      <c r="G429" s="80"/>
      <c r="H429" s="80"/>
      <c r="I429" s="80"/>
      <c r="J429" s="80"/>
      <c r="K429" s="80"/>
      <c r="L429" s="80"/>
      <c r="M429" s="80"/>
      <c r="N429" s="80"/>
      <c r="O429" s="80"/>
      <c r="P429" s="80"/>
      <c r="Q429" s="80"/>
      <c r="R429" s="80"/>
      <c r="S429" s="80"/>
      <c r="T429" s="80"/>
      <c r="U429" s="80"/>
      <c r="V429" s="80"/>
      <c r="W429" s="80"/>
      <c r="X429" s="80"/>
      <c r="Y429" s="80"/>
      <c r="Z429" s="80"/>
    </row>
    <row r="430">
      <c r="A430" s="135">
        <v>45946.0</v>
      </c>
      <c r="B430" s="136">
        <v>-0.85</v>
      </c>
      <c r="C430" s="126"/>
      <c r="D430" s="127">
        <v>-1.0</v>
      </c>
      <c r="E430" s="126"/>
      <c r="F430" s="127">
        <v>0.69</v>
      </c>
      <c r="G430" s="80"/>
      <c r="H430" s="80"/>
      <c r="I430" s="80"/>
      <c r="J430" s="80"/>
      <c r="K430" s="80"/>
      <c r="L430" s="80"/>
      <c r="M430" s="80"/>
      <c r="N430" s="80"/>
      <c r="O430" s="80"/>
      <c r="P430" s="80"/>
      <c r="Q430" s="80"/>
      <c r="R430" s="80"/>
      <c r="S430" s="80"/>
      <c r="T430" s="80"/>
      <c r="U430" s="80"/>
      <c r="V430" s="80"/>
      <c r="W430" s="80"/>
      <c r="X430" s="80"/>
      <c r="Y430" s="80"/>
      <c r="Z430" s="80"/>
    </row>
    <row r="431">
      <c r="A431" s="135">
        <v>45947.0</v>
      </c>
      <c r="B431" s="136">
        <v>-0.85</v>
      </c>
      <c r="C431" s="126"/>
      <c r="D431" s="127">
        <v>-1.0</v>
      </c>
      <c r="E431" s="126"/>
      <c r="F431" s="127">
        <v>0.63</v>
      </c>
      <c r="G431" s="80"/>
      <c r="H431" s="80"/>
      <c r="I431" s="80"/>
      <c r="J431" s="80"/>
      <c r="K431" s="80"/>
      <c r="L431" s="80"/>
      <c r="M431" s="80"/>
      <c r="N431" s="80"/>
      <c r="O431" s="80"/>
      <c r="P431" s="80"/>
      <c r="Q431" s="80"/>
      <c r="R431" s="80"/>
      <c r="S431" s="80"/>
      <c r="T431" s="80"/>
      <c r="U431" s="80"/>
      <c r="V431" s="80"/>
      <c r="W431" s="80"/>
      <c r="X431" s="80"/>
      <c r="Y431" s="80"/>
      <c r="Z431" s="80"/>
    </row>
    <row r="432">
      <c r="A432" s="135">
        <v>45948.0</v>
      </c>
      <c r="B432" s="136">
        <v>-0.85</v>
      </c>
      <c r="C432" s="126"/>
      <c r="D432" s="127">
        <v>-1.0</v>
      </c>
      <c r="E432" s="126"/>
      <c r="F432" s="127">
        <v>0.63</v>
      </c>
      <c r="G432" s="80"/>
      <c r="H432" s="80"/>
      <c r="I432" s="80"/>
      <c r="J432" s="80"/>
      <c r="K432" s="80"/>
      <c r="L432" s="80"/>
      <c r="M432" s="80"/>
      <c r="N432" s="80"/>
      <c r="O432" s="80"/>
      <c r="P432" s="80"/>
      <c r="Q432" s="80"/>
      <c r="R432" s="80"/>
      <c r="S432" s="80"/>
      <c r="T432" s="80"/>
      <c r="U432" s="80"/>
      <c r="V432" s="80"/>
      <c r="W432" s="80"/>
      <c r="X432" s="80"/>
      <c r="Y432" s="80"/>
      <c r="Z432" s="80"/>
    </row>
    <row r="433">
      <c r="A433" s="135">
        <v>45949.0</v>
      </c>
      <c r="B433" s="136">
        <v>-0.85</v>
      </c>
      <c r="C433" s="126"/>
      <c r="D433" s="127">
        <v>-1.0</v>
      </c>
      <c r="E433" s="126"/>
      <c r="F433" s="127">
        <v>0.25</v>
      </c>
      <c r="G433" s="80"/>
      <c r="H433" s="80"/>
      <c r="I433" s="80"/>
      <c r="J433" s="80"/>
      <c r="K433" s="80"/>
      <c r="L433" s="80"/>
      <c r="M433" s="80"/>
      <c r="N433" s="80"/>
      <c r="O433" s="80"/>
      <c r="P433" s="80"/>
      <c r="Q433" s="80"/>
      <c r="R433" s="80"/>
      <c r="S433" s="80"/>
      <c r="T433" s="80"/>
      <c r="U433" s="80"/>
      <c r="V433" s="80"/>
      <c r="W433" s="80"/>
      <c r="X433" s="80"/>
      <c r="Y433" s="80"/>
      <c r="Z433" s="80"/>
    </row>
    <row r="434">
      <c r="A434" s="135">
        <v>45950.0</v>
      </c>
      <c r="B434" s="136">
        <v>-0.85</v>
      </c>
      <c r="C434" s="126"/>
      <c r="D434" s="127">
        <v>-1.0</v>
      </c>
      <c r="E434" s="126"/>
      <c r="F434" s="127">
        <v>0.25</v>
      </c>
      <c r="G434" s="80"/>
      <c r="H434" s="80"/>
      <c r="I434" s="80"/>
      <c r="J434" s="80"/>
      <c r="K434" s="80"/>
      <c r="L434" s="80"/>
      <c r="M434" s="80"/>
      <c r="N434" s="80"/>
      <c r="O434" s="80"/>
      <c r="P434" s="80"/>
      <c r="Q434" s="80"/>
      <c r="R434" s="80"/>
      <c r="S434" s="80"/>
      <c r="T434" s="80"/>
      <c r="U434" s="80"/>
      <c r="V434" s="80"/>
      <c r="W434" s="80"/>
      <c r="X434" s="80"/>
      <c r="Y434" s="80"/>
      <c r="Z434" s="80"/>
    </row>
    <row r="435">
      <c r="A435" s="135">
        <v>45951.0</v>
      </c>
      <c r="B435" s="136">
        <v>-0.85</v>
      </c>
      <c r="C435" s="126"/>
      <c r="D435" s="127">
        <v>-1.0</v>
      </c>
      <c r="E435" s="126"/>
      <c r="F435" s="127">
        <v>0.38</v>
      </c>
      <c r="G435" s="80"/>
      <c r="H435" s="80"/>
      <c r="I435" s="80"/>
      <c r="J435" s="80"/>
      <c r="K435" s="80"/>
      <c r="L435" s="80"/>
      <c r="M435" s="80"/>
      <c r="N435" s="80"/>
      <c r="O435" s="80"/>
      <c r="P435" s="80"/>
      <c r="Q435" s="80"/>
      <c r="R435" s="80"/>
      <c r="S435" s="80"/>
      <c r="T435" s="80"/>
      <c r="U435" s="80"/>
      <c r="V435" s="80"/>
      <c r="W435" s="80"/>
      <c r="X435" s="80"/>
      <c r="Y435" s="80"/>
      <c r="Z435" s="80"/>
    </row>
    <row r="436">
      <c r="A436" s="135">
        <v>45952.0</v>
      </c>
      <c r="B436" s="136">
        <v>-1.0</v>
      </c>
      <c r="C436" s="126"/>
      <c r="D436" s="127">
        <v>-1.0</v>
      </c>
      <c r="E436" s="126"/>
      <c r="F436" s="127">
        <v>-0.06</v>
      </c>
      <c r="G436" s="80"/>
      <c r="H436" s="80"/>
      <c r="I436" s="80"/>
      <c r="J436" s="80"/>
      <c r="K436" s="80"/>
      <c r="L436" s="80"/>
      <c r="M436" s="80"/>
      <c r="N436" s="80"/>
      <c r="O436" s="80"/>
      <c r="P436" s="80"/>
      <c r="Q436" s="80"/>
      <c r="R436" s="80"/>
      <c r="S436" s="80"/>
      <c r="T436" s="80"/>
      <c r="U436" s="80"/>
      <c r="V436" s="80"/>
      <c r="W436" s="80"/>
      <c r="X436" s="80"/>
      <c r="Y436" s="80"/>
      <c r="Z436" s="80"/>
    </row>
    <row r="437">
      <c r="A437" s="135">
        <v>45953.0</v>
      </c>
      <c r="B437" s="136">
        <v>-1.0</v>
      </c>
      <c r="C437" s="126"/>
      <c r="D437" s="127">
        <v>-1.0</v>
      </c>
      <c r="E437" s="126"/>
      <c r="F437" s="127">
        <v>-0.06</v>
      </c>
      <c r="G437" s="80"/>
      <c r="H437" s="80"/>
      <c r="I437" s="80"/>
      <c r="J437" s="80"/>
      <c r="K437" s="80"/>
      <c r="L437" s="80"/>
      <c r="M437" s="80"/>
      <c r="N437" s="80"/>
      <c r="O437" s="80"/>
      <c r="P437" s="80"/>
      <c r="Q437" s="80"/>
      <c r="R437" s="80"/>
      <c r="S437" s="80"/>
      <c r="T437" s="80"/>
      <c r="U437" s="80"/>
      <c r="V437" s="80"/>
      <c r="W437" s="80"/>
      <c r="X437" s="80"/>
      <c r="Y437" s="80"/>
      <c r="Z437" s="80"/>
    </row>
    <row r="438">
      <c r="A438" s="135">
        <v>45954.0</v>
      </c>
      <c r="B438" s="136">
        <v>-1.0</v>
      </c>
      <c r="C438" s="126"/>
      <c r="D438" s="127">
        <v>-1.0</v>
      </c>
      <c r="E438" s="126"/>
      <c r="F438" s="127">
        <v>-0.13</v>
      </c>
      <c r="G438" s="80"/>
      <c r="H438" s="80"/>
      <c r="I438" s="80"/>
      <c r="J438" s="80"/>
      <c r="K438" s="80"/>
      <c r="L438" s="80"/>
      <c r="M438" s="80"/>
      <c r="N438" s="80"/>
      <c r="O438" s="80"/>
      <c r="P438" s="80"/>
      <c r="Q438" s="80"/>
      <c r="R438" s="80"/>
      <c r="S438" s="80"/>
      <c r="T438" s="80"/>
      <c r="U438" s="80"/>
      <c r="V438" s="80"/>
      <c r="W438" s="80"/>
      <c r="X438" s="80"/>
      <c r="Y438" s="80"/>
      <c r="Z438" s="80"/>
    </row>
    <row r="439">
      <c r="A439" s="135">
        <v>45955.0</v>
      </c>
      <c r="B439" s="136">
        <v>-1.0</v>
      </c>
      <c r="C439" s="126"/>
      <c r="D439" s="127">
        <v>-1.0</v>
      </c>
      <c r="E439" s="126"/>
      <c r="F439" s="127">
        <v>-0.13</v>
      </c>
      <c r="G439" s="80"/>
      <c r="H439" s="80"/>
      <c r="I439" s="80"/>
      <c r="J439" s="80"/>
      <c r="K439" s="80"/>
      <c r="L439" s="80"/>
      <c r="M439" s="80"/>
      <c r="N439" s="80"/>
      <c r="O439" s="80"/>
      <c r="P439" s="80"/>
      <c r="Q439" s="80"/>
      <c r="R439" s="80"/>
      <c r="S439" s="80"/>
      <c r="T439" s="80"/>
      <c r="U439" s="80"/>
      <c r="V439" s="80"/>
      <c r="W439" s="80"/>
      <c r="X439" s="80"/>
      <c r="Y439" s="80"/>
      <c r="Z439" s="80"/>
    </row>
    <row r="440">
      <c r="A440" s="135">
        <v>45956.0</v>
      </c>
      <c r="B440" s="136">
        <v>-1.0</v>
      </c>
      <c r="C440" s="126"/>
      <c r="D440" s="127">
        <v>-1.0</v>
      </c>
      <c r="E440" s="126"/>
      <c r="F440" s="127">
        <v>-0.13</v>
      </c>
      <c r="G440" s="80"/>
      <c r="H440" s="80"/>
      <c r="I440" s="80"/>
      <c r="J440" s="80"/>
      <c r="K440" s="80"/>
      <c r="L440" s="80"/>
      <c r="M440" s="80"/>
      <c r="N440" s="80"/>
      <c r="O440" s="80"/>
      <c r="P440" s="80"/>
      <c r="Q440" s="80"/>
      <c r="R440" s="80"/>
      <c r="S440" s="80"/>
      <c r="T440" s="80"/>
      <c r="U440" s="80"/>
      <c r="V440" s="80"/>
      <c r="W440" s="80"/>
      <c r="X440" s="80"/>
      <c r="Y440" s="80"/>
      <c r="Z440" s="80"/>
    </row>
    <row r="441">
      <c r="A441" s="135">
        <v>45957.0</v>
      </c>
      <c r="B441" s="136">
        <v>-1.0</v>
      </c>
      <c r="C441" s="126"/>
      <c r="D441" s="127">
        <v>-1.0</v>
      </c>
      <c r="E441" s="126"/>
      <c r="F441" s="127">
        <v>-0.13</v>
      </c>
      <c r="G441" s="80"/>
      <c r="H441" s="80"/>
      <c r="I441" s="80"/>
      <c r="J441" s="80"/>
      <c r="K441" s="80"/>
      <c r="L441" s="80"/>
      <c r="M441" s="80"/>
      <c r="N441" s="80"/>
      <c r="O441" s="80"/>
      <c r="P441" s="80"/>
      <c r="Q441" s="80"/>
      <c r="R441" s="80"/>
      <c r="S441" s="80"/>
      <c r="T441" s="80"/>
      <c r="U441" s="80"/>
      <c r="V441" s="80"/>
      <c r="W441" s="80"/>
      <c r="X441" s="80"/>
      <c r="Y441" s="80"/>
      <c r="Z441" s="80"/>
    </row>
    <row r="442">
      <c r="A442" s="135">
        <v>45958.0</v>
      </c>
      <c r="B442" s="136">
        <v>-1.0</v>
      </c>
      <c r="C442" s="126"/>
      <c r="D442" s="127">
        <v>-1.0</v>
      </c>
      <c r="E442" s="126"/>
      <c r="F442" s="127">
        <v>-0.03</v>
      </c>
      <c r="G442" s="80"/>
      <c r="H442" s="80"/>
      <c r="I442" s="80"/>
      <c r="J442" s="80"/>
      <c r="K442" s="80"/>
      <c r="L442" s="80"/>
      <c r="M442" s="80"/>
      <c r="N442" s="80"/>
      <c r="O442" s="80"/>
      <c r="P442" s="80"/>
      <c r="Q442" s="80"/>
      <c r="R442" s="80"/>
      <c r="S442" s="80"/>
      <c r="T442" s="80"/>
      <c r="U442" s="80"/>
      <c r="V442" s="80"/>
      <c r="W442" s="80"/>
      <c r="X442" s="80"/>
      <c r="Y442" s="80"/>
      <c r="Z442" s="80"/>
    </row>
    <row r="443">
      <c r="A443" s="135">
        <v>45959.0</v>
      </c>
      <c r="B443" s="136">
        <v>-1.0</v>
      </c>
      <c r="C443" s="126"/>
      <c r="D443" s="127">
        <v>-1.0</v>
      </c>
      <c r="E443" s="126"/>
      <c r="F443" s="127">
        <v>0.34</v>
      </c>
      <c r="G443" s="80"/>
      <c r="H443" s="80"/>
      <c r="I443" s="80"/>
      <c r="J443" s="80"/>
      <c r="K443" s="80"/>
      <c r="L443" s="80"/>
      <c r="M443" s="80"/>
      <c r="N443" s="80"/>
      <c r="O443" s="80"/>
      <c r="P443" s="80"/>
      <c r="Q443" s="80"/>
      <c r="R443" s="80"/>
      <c r="S443" s="80"/>
      <c r="T443" s="80"/>
      <c r="U443" s="80"/>
      <c r="V443" s="80"/>
      <c r="W443" s="80"/>
      <c r="X443" s="80"/>
      <c r="Y443" s="80"/>
      <c r="Z443" s="80"/>
    </row>
    <row r="444">
      <c r="A444" s="135">
        <v>45960.0</v>
      </c>
      <c r="B444" s="136">
        <v>-1.0</v>
      </c>
      <c r="C444" s="126"/>
      <c r="D444" s="127">
        <v>-1.0</v>
      </c>
      <c r="E444" s="126"/>
      <c r="F444" s="127">
        <v>0.22</v>
      </c>
      <c r="G444" s="80"/>
      <c r="H444" s="80"/>
      <c r="I444" s="80"/>
      <c r="J444" s="80"/>
      <c r="K444" s="80"/>
      <c r="L444" s="80"/>
      <c r="M444" s="80"/>
      <c r="N444" s="80"/>
      <c r="O444" s="80"/>
      <c r="P444" s="80"/>
      <c r="Q444" s="80"/>
      <c r="R444" s="80"/>
      <c r="S444" s="80"/>
      <c r="T444" s="80"/>
      <c r="U444" s="80"/>
      <c r="V444" s="80"/>
      <c r="W444" s="80"/>
      <c r="X444" s="80"/>
      <c r="Y444" s="80"/>
      <c r="Z444" s="80"/>
    </row>
    <row r="445">
      <c r="A445" s="135">
        <v>45961.0</v>
      </c>
      <c r="B445" s="136">
        <v>-1.0</v>
      </c>
      <c r="C445" s="126"/>
      <c r="D445" s="127">
        <v>-1.0</v>
      </c>
      <c r="E445" s="126"/>
      <c r="F445" s="127">
        <v>0.22</v>
      </c>
      <c r="G445" s="80"/>
      <c r="H445" s="80"/>
      <c r="I445" s="80"/>
      <c r="J445" s="80"/>
      <c r="K445" s="80"/>
      <c r="L445" s="80"/>
      <c r="M445" s="80"/>
      <c r="N445" s="80"/>
      <c r="O445" s="80"/>
      <c r="P445" s="80"/>
      <c r="Q445" s="80"/>
      <c r="R445" s="80"/>
      <c r="S445" s="80"/>
      <c r="T445" s="80"/>
      <c r="U445" s="80"/>
      <c r="V445" s="80"/>
      <c r="W445" s="80"/>
      <c r="X445" s="80"/>
      <c r="Y445" s="80"/>
      <c r="Z445" s="80"/>
    </row>
    <row r="446">
      <c r="A446" s="135">
        <v>45962.0</v>
      </c>
      <c r="B446" s="136">
        <v>-1.0</v>
      </c>
      <c r="C446" s="126"/>
      <c r="D446" s="127">
        <v>-1.0</v>
      </c>
      <c r="E446" s="126"/>
      <c r="F446" s="127">
        <v>-0.03</v>
      </c>
      <c r="G446" s="80"/>
      <c r="H446" s="80"/>
      <c r="I446" s="80"/>
      <c r="J446" s="80"/>
      <c r="K446" s="80"/>
      <c r="L446" s="80"/>
      <c r="M446" s="80"/>
      <c r="N446" s="80"/>
      <c r="O446" s="80"/>
      <c r="P446" s="80"/>
      <c r="Q446" s="80"/>
      <c r="R446" s="80"/>
      <c r="S446" s="80"/>
      <c r="T446" s="80"/>
      <c r="U446" s="80"/>
      <c r="V446" s="80"/>
      <c r="W446" s="80"/>
      <c r="X446" s="80"/>
      <c r="Y446" s="80"/>
      <c r="Z446" s="80"/>
    </row>
    <row r="447">
      <c r="A447" s="135">
        <v>45963.0</v>
      </c>
      <c r="B447" s="136">
        <v>-1.0</v>
      </c>
      <c r="C447" s="126"/>
      <c r="D447" s="127">
        <v>-1.0</v>
      </c>
      <c r="E447" s="126"/>
      <c r="F447" s="127">
        <v>-0.03</v>
      </c>
      <c r="G447" s="80"/>
      <c r="H447" s="80"/>
      <c r="I447" s="80"/>
      <c r="J447" s="80"/>
      <c r="K447" s="80"/>
      <c r="L447" s="80"/>
      <c r="M447" s="80"/>
      <c r="N447" s="80"/>
      <c r="O447" s="80"/>
      <c r="P447" s="80"/>
      <c r="Q447" s="80"/>
      <c r="R447" s="80"/>
      <c r="S447" s="80"/>
      <c r="T447" s="80"/>
      <c r="U447" s="80"/>
      <c r="V447" s="80"/>
      <c r="W447" s="80"/>
      <c r="X447" s="80"/>
      <c r="Y447" s="80"/>
      <c r="Z447" s="80"/>
    </row>
    <row r="448">
      <c r="A448" s="135">
        <v>45964.0</v>
      </c>
      <c r="B448" s="136">
        <v>-1.0</v>
      </c>
      <c r="C448" s="126"/>
      <c r="D448" s="127">
        <v>-1.0</v>
      </c>
      <c r="E448" s="126"/>
      <c r="F448" s="127">
        <v>-0.03</v>
      </c>
      <c r="G448" s="80"/>
      <c r="H448" s="80"/>
      <c r="I448" s="80"/>
      <c r="J448" s="80"/>
      <c r="K448" s="80"/>
      <c r="L448" s="80"/>
      <c r="M448" s="80"/>
      <c r="N448" s="80"/>
      <c r="O448" s="80"/>
      <c r="P448" s="80"/>
      <c r="Q448" s="80"/>
      <c r="R448" s="80"/>
      <c r="S448" s="80"/>
      <c r="T448" s="80"/>
      <c r="U448" s="80"/>
      <c r="V448" s="80"/>
      <c r="W448" s="80"/>
      <c r="X448" s="80"/>
      <c r="Y448" s="80"/>
      <c r="Z448" s="80"/>
    </row>
    <row r="449">
      <c r="A449" s="135">
        <v>45965.0</v>
      </c>
      <c r="B449" s="136">
        <v>-1.0</v>
      </c>
      <c r="C449" s="126"/>
      <c r="D449" s="127">
        <v>-1.0</v>
      </c>
      <c r="E449" s="126"/>
      <c r="F449" s="127">
        <v>-0.03</v>
      </c>
      <c r="G449" s="80"/>
      <c r="H449" s="80"/>
      <c r="I449" s="80"/>
      <c r="J449" s="80"/>
      <c r="K449" s="80"/>
      <c r="L449" s="80"/>
      <c r="M449" s="80"/>
      <c r="N449" s="80"/>
      <c r="O449" s="80"/>
      <c r="P449" s="80"/>
      <c r="Q449" s="80"/>
      <c r="R449" s="80"/>
      <c r="S449" s="80"/>
      <c r="T449" s="80"/>
      <c r="U449" s="80"/>
      <c r="V449" s="80"/>
      <c r="W449" s="80"/>
      <c r="X449" s="80"/>
      <c r="Y449" s="80"/>
      <c r="Z449" s="80"/>
    </row>
    <row r="450">
      <c r="A450" s="135">
        <v>45966.0</v>
      </c>
      <c r="B450" s="136">
        <v>-1.0</v>
      </c>
      <c r="C450" s="126"/>
      <c r="D450" s="127">
        <v>-1.0</v>
      </c>
      <c r="E450" s="126"/>
      <c r="F450" s="127">
        <v>-0.03</v>
      </c>
      <c r="G450" s="80"/>
      <c r="H450" s="80"/>
      <c r="I450" s="80"/>
      <c r="J450" s="80"/>
      <c r="K450" s="80"/>
      <c r="L450" s="80"/>
      <c r="M450" s="80"/>
      <c r="N450" s="80"/>
      <c r="O450" s="80"/>
      <c r="P450" s="80"/>
      <c r="Q450" s="80"/>
      <c r="R450" s="80"/>
      <c r="S450" s="80"/>
      <c r="T450" s="80"/>
      <c r="U450" s="80"/>
      <c r="V450" s="80"/>
      <c r="W450" s="80"/>
      <c r="X450" s="80"/>
      <c r="Y450" s="80"/>
      <c r="Z450" s="80"/>
    </row>
    <row r="451">
      <c r="A451" s="135">
        <v>45967.0</v>
      </c>
      <c r="B451" s="136">
        <v>-1.0</v>
      </c>
      <c r="C451" s="126"/>
      <c r="D451" s="127">
        <v>-1.0</v>
      </c>
      <c r="E451" s="126"/>
      <c r="F451" s="127">
        <v>-0.03</v>
      </c>
      <c r="G451" s="80"/>
      <c r="H451" s="80"/>
      <c r="I451" s="80"/>
      <c r="J451" s="80"/>
      <c r="K451" s="80"/>
      <c r="L451" s="80"/>
      <c r="M451" s="80"/>
      <c r="N451" s="80"/>
      <c r="O451" s="80"/>
      <c r="P451" s="80"/>
      <c r="Q451" s="80"/>
      <c r="R451" s="80"/>
      <c r="S451" s="80"/>
      <c r="T451" s="80"/>
      <c r="U451" s="80"/>
      <c r="V451" s="80"/>
      <c r="W451" s="80"/>
      <c r="X451" s="80"/>
      <c r="Y451" s="80"/>
      <c r="Z451" s="80"/>
    </row>
    <row r="452">
      <c r="A452" s="135">
        <v>45968.0</v>
      </c>
      <c r="B452" s="136">
        <v>-1.0</v>
      </c>
      <c r="C452" s="126"/>
      <c r="D452" s="127">
        <v>-1.0</v>
      </c>
      <c r="E452" s="126"/>
      <c r="F452" s="127">
        <v>-1.0</v>
      </c>
      <c r="G452" s="80"/>
      <c r="H452" s="80"/>
      <c r="I452" s="80"/>
      <c r="J452" s="80"/>
      <c r="K452" s="80"/>
      <c r="L452" s="80"/>
      <c r="M452" s="80"/>
      <c r="N452" s="80"/>
      <c r="O452" s="80"/>
      <c r="P452" s="80"/>
      <c r="Q452" s="80"/>
      <c r="R452" s="80"/>
      <c r="S452" s="80"/>
      <c r="T452" s="80"/>
      <c r="U452" s="80"/>
      <c r="V452" s="80"/>
      <c r="W452" s="80"/>
      <c r="X452" s="80"/>
      <c r="Y452" s="80"/>
      <c r="Z452" s="80"/>
    </row>
    <row r="453">
      <c r="A453" s="135">
        <v>45969.0</v>
      </c>
      <c r="B453" s="136">
        <v>-1.0</v>
      </c>
      <c r="C453" s="126"/>
      <c r="D453" s="127">
        <v>-1.0</v>
      </c>
      <c r="E453" s="126"/>
      <c r="F453" s="127">
        <v>-1.0</v>
      </c>
      <c r="G453" s="80"/>
      <c r="H453" s="80"/>
      <c r="I453" s="80"/>
      <c r="J453" s="80"/>
      <c r="K453" s="80"/>
      <c r="L453" s="80"/>
      <c r="M453" s="80"/>
      <c r="N453" s="80"/>
      <c r="O453" s="80"/>
      <c r="P453" s="80"/>
      <c r="Q453" s="80"/>
      <c r="R453" s="80"/>
      <c r="S453" s="80"/>
      <c r="T453" s="80"/>
      <c r="U453" s="80"/>
      <c r="V453" s="80"/>
      <c r="W453" s="80"/>
      <c r="X453" s="80"/>
      <c r="Y453" s="80"/>
      <c r="Z453" s="80"/>
    </row>
    <row r="454">
      <c r="A454" s="135">
        <v>45970.0</v>
      </c>
      <c r="B454" s="136">
        <v>-1.0</v>
      </c>
      <c r="C454" s="126"/>
      <c r="D454" s="127">
        <v>-1.0</v>
      </c>
      <c r="E454" s="126"/>
      <c r="F454" s="127">
        <v>-1.0</v>
      </c>
      <c r="G454" s="80"/>
      <c r="H454" s="80"/>
      <c r="I454" s="80"/>
      <c r="J454" s="80"/>
      <c r="K454" s="80"/>
      <c r="L454" s="80"/>
      <c r="M454" s="80"/>
      <c r="N454" s="80"/>
      <c r="O454" s="80"/>
      <c r="P454" s="80"/>
      <c r="Q454" s="80"/>
      <c r="R454" s="80"/>
      <c r="S454" s="80"/>
      <c r="T454" s="80"/>
      <c r="U454" s="80"/>
      <c r="V454" s="80"/>
      <c r="W454" s="80"/>
      <c r="X454" s="80"/>
      <c r="Y454" s="80"/>
      <c r="Z454" s="80"/>
    </row>
    <row r="455">
      <c r="A455" s="135">
        <v>45971.0</v>
      </c>
      <c r="B455" s="136">
        <v>-1.0</v>
      </c>
      <c r="C455" s="126"/>
      <c r="D455" s="127">
        <v>-1.0</v>
      </c>
      <c r="E455" s="126"/>
      <c r="F455" s="127">
        <v>-1.0</v>
      </c>
      <c r="G455" s="80"/>
      <c r="H455" s="80"/>
      <c r="I455" s="80"/>
      <c r="J455" s="80"/>
      <c r="K455" s="80"/>
      <c r="L455" s="80"/>
      <c r="M455" s="80"/>
      <c r="N455" s="80"/>
      <c r="O455" s="80"/>
      <c r="P455" s="80"/>
      <c r="Q455" s="80"/>
      <c r="R455" s="80"/>
      <c r="S455" s="80"/>
      <c r="T455" s="80"/>
      <c r="U455" s="80"/>
      <c r="V455" s="80"/>
      <c r="W455" s="80"/>
      <c r="X455" s="80"/>
      <c r="Y455" s="80"/>
      <c r="Z455" s="80"/>
    </row>
    <row r="456">
      <c r="A456" s="135">
        <v>45972.0</v>
      </c>
      <c r="B456" s="136">
        <v>-1.0</v>
      </c>
      <c r="C456" s="126"/>
      <c r="D456" s="127">
        <v>-1.0</v>
      </c>
      <c r="E456" s="126"/>
      <c r="F456" s="127">
        <v>-1.0</v>
      </c>
      <c r="G456" s="80"/>
      <c r="H456" s="80"/>
      <c r="I456" s="80"/>
      <c r="J456" s="80"/>
      <c r="K456" s="80"/>
      <c r="L456" s="80"/>
      <c r="M456" s="80"/>
      <c r="N456" s="80"/>
      <c r="O456" s="80"/>
      <c r="P456" s="80"/>
      <c r="Q456" s="80"/>
      <c r="R456" s="80"/>
      <c r="S456" s="80"/>
      <c r="T456" s="80"/>
      <c r="U456" s="80"/>
      <c r="V456" s="80"/>
      <c r="W456" s="80"/>
      <c r="X456" s="80"/>
      <c r="Y456" s="80"/>
      <c r="Z456" s="80"/>
    </row>
    <row r="457">
      <c r="A457" s="135">
        <v>45973.0</v>
      </c>
      <c r="B457" s="136">
        <v>-1.0</v>
      </c>
      <c r="C457" s="126"/>
      <c r="D457" s="127">
        <v>-1.0</v>
      </c>
      <c r="E457" s="126"/>
      <c r="F457" s="127">
        <v>-1.0</v>
      </c>
      <c r="G457" s="80"/>
      <c r="H457" s="80"/>
      <c r="I457" s="80"/>
      <c r="J457" s="80"/>
      <c r="K457" s="80"/>
      <c r="L457" s="80"/>
      <c r="M457" s="80"/>
      <c r="N457" s="80"/>
      <c r="O457" s="80"/>
      <c r="P457" s="80"/>
      <c r="Q457" s="80"/>
      <c r="R457" s="80"/>
      <c r="S457" s="80"/>
      <c r="T457" s="80"/>
      <c r="U457" s="80"/>
      <c r="V457" s="80"/>
      <c r="W457" s="80"/>
      <c r="X457" s="80"/>
      <c r="Y457" s="80"/>
      <c r="Z457" s="80"/>
    </row>
    <row r="458">
      <c r="A458" s="135">
        <v>45974.0</v>
      </c>
      <c r="B458" s="136">
        <v>-1.0</v>
      </c>
      <c r="C458" s="126"/>
      <c r="D458" s="127">
        <v>-1.0</v>
      </c>
      <c r="E458" s="126"/>
      <c r="F458" s="127">
        <v>-1.0</v>
      </c>
      <c r="G458" s="80"/>
      <c r="H458" s="80"/>
      <c r="I458" s="80"/>
      <c r="J458" s="80"/>
      <c r="K458" s="80"/>
      <c r="L458" s="80"/>
      <c r="M458" s="80"/>
      <c r="N458" s="80"/>
      <c r="O458" s="80"/>
      <c r="P458" s="80"/>
      <c r="Q458" s="80"/>
      <c r="R458" s="80"/>
      <c r="S458" s="80"/>
      <c r="T458" s="80"/>
      <c r="U458" s="80"/>
      <c r="V458" s="80"/>
      <c r="W458" s="80"/>
      <c r="X458" s="80"/>
      <c r="Y458" s="80"/>
      <c r="Z458" s="80"/>
    </row>
    <row r="459">
      <c r="A459" s="135">
        <v>45975.0</v>
      </c>
      <c r="B459" s="136">
        <v>-1.0</v>
      </c>
      <c r="C459" s="126"/>
      <c r="D459" s="127">
        <v>-1.0</v>
      </c>
      <c r="E459" s="126"/>
      <c r="F459" s="127">
        <v>-1.0</v>
      </c>
      <c r="G459" s="80"/>
      <c r="H459" s="80"/>
      <c r="I459" s="80"/>
      <c r="J459" s="80"/>
      <c r="K459" s="80"/>
      <c r="L459" s="80"/>
      <c r="M459" s="80"/>
      <c r="N459" s="80"/>
      <c r="O459" s="80"/>
      <c r="P459" s="80"/>
      <c r="Q459" s="80"/>
      <c r="R459" s="80"/>
      <c r="S459" s="80"/>
      <c r="T459" s="80"/>
      <c r="U459" s="80"/>
      <c r="V459" s="80"/>
      <c r="W459" s="80"/>
      <c r="X459" s="80"/>
      <c r="Y459" s="80"/>
      <c r="Z459" s="80"/>
    </row>
    <row r="460">
      <c r="A460" s="135">
        <v>45976.0</v>
      </c>
      <c r="B460" s="136">
        <v>-1.0</v>
      </c>
      <c r="C460" s="126"/>
      <c r="D460" s="127">
        <v>-1.0</v>
      </c>
      <c r="E460" s="126"/>
      <c r="F460" s="127">
        <v>-1.0</v>
      </c>
      <c r="G460" s="80"/>
      <c r="H460" s="80"/>
      <c r="I460" s="80"/>
      <c r="J460" s="80"/>
      <c r="K460" s="80"/>
      <c r="L460" s="80"/>
      <c r="M460" s="80"/>
      <c r="N460" s="80"/>
      <c r="O460" s="80"/>
      <c r="P460" s="80"/>
      <c r="Q460" s="80"/>
      <c r="R460" s="80"/>
      <c r="S460" s="80"/>
      <c r="T460" s="80"/>
      <c r="U460" s="80"/>
      <c r="V460" s="80"/>
      <c r="W460" s="80"/>
      <c r="X460" s="80"/>
      <c r="Y460" s="80"/>
      <c r="Z460" s="80"/>
    </row>
    <row r="461">
      <c r="A461" s="135">
        <v>45977.0</v>
      </c>
      <c r="B461" s="136">
        <v>-1.0</v>
      </c>
      <c r="C461" s="126"/>
      <c r="D461" s="127">
        <v>-1.0</v>
      </c>
      <c r="E461" s="126"/>
      <c r="F461" s="127">
        <v>-1.0</v>
      </c>
      <c r="G461" s="80"/>
      <c r="H461" s="80"/>
      <c r="I461" s="80"/>
      <c r="J461" s="80"/>
      <c r="K461" s="80"/>
      <c r="L461" s="80"/>
      <c r="M461" s="80"/>
      <c r="N461" s="80"/>
      <c r="O461" s="80"/>
      <c r="P461" s="80"/>
      <c r="Q461" s="80"/>
      <c r="R461" s="80"/>
      <c r="S461" s="80"/>
      <c r="T461" s="80"/>
      <c r="U461" s="80"/>
      <c r="V461" s="80"/>
      <c r="W461" s="80"/>
      <c r="X461" s="80"/>
      <c r="Y461" s="80"/>
      <c r="Z461" s="80"/>
    </row>
    <row r="462">
      <c r="A462" s="135">
        <v>45978.0</v>
      </c>
      <c r="B462" s="136">
        <v>-1.0</v>
      </c>
      <c r="C462" s="126"/>
      <c r="D462" s="127">
        <v>-1.0</v>
      </c>
      <c r="E462" s="126"/>
      <c r="F462" s="127">
        <v>-1.0</v>
      </c>
      <c r="G462" s="80"/>
      <c r="H462" s="80"/>
      <c r="I462" s="80"/>
      <c r="J462" s="80"/>
      <c r="K462" s="80"/>
      <c r="L462" s="80"/>
      <c r="M462" s="80"/>
      <c r="N462" s="80"/>
      <c r="O462" s="80"/>
      <c r="P462" s="80"/>
      <c r="Q462" s="80"/>
      <c r="R462" s="80"/>
      <c r="S462" s="80"/>
      <c r="T462" s="80"/>
      <c r="U462" s="80"/>
      <c r="V462" s="80"/>
      <c r="W462" s="80"/>
      <c r="X462" s="80"/>
      <c r="Y462" s="80"/>
      <c r="Z462" s="80"/>
    </row>
    <row r="463">
      <c r="A463" s="135">
        <v>45979.0</v>
      </c>
      <c r="B463" s="136">
        <v>-1.0</v>
      </c>
      <c r="C463" s="126"/>
      <c r="D463" s="127">
        <v>-1.0</v>
      </c>
      <c r="E463" s="126"/>
      <c r="F463" s="127">
        <v>-1.0</v>
      </c>
      <c r="G463" s="80"/>
      <c r="H463" s="80"/>
      <c r="I463" s="80"/>
      <c r="J463" s="80"/>
      <c r="K463" s="80"/>
      <c r="L463" s="80"/>
      <c r="M463" s="80"/>
      <c r="N463" s="80"/>
      <c r="O463" s="80"/>
      <c r="P463" s="80"/>
      <c r="Q463" s="80"/>
      <c r="R463" s="80"/>
      <c r="S463" s="80"/>
      <c r="T463" s="80"/>
      <c r="U463" s="80"/>
      <c r="V463" s="80"/>
      <c r="W463" s="80"/>
      <c r="X463" s="80"/>
      <c r="Y463" s="80"/>
      <c r="Z463" s="80"/>
    </row>
    <row r="464">
      <c r="A464" s="135">
        <v>45980.0</v>
      </c>
      <c r="B464" s="136">
        <v>-1.0</v>
      </c>
      <c r="C464" s="126"/>
      <c r="D464" s="127">
        <v>-1.0</v>
      </c>
      <c r="E464" s="126"/>
      <c r="F464" s="127">
        <v>-1.0</v>
      </c>
      <c r="G464" s="80"/>
      <c r="H464" s="80"/>
      <c r="I464" s="80"/>
      <c r="J464" s="80"/>
      <c r="K464" s="80"/>
      <c r="L464" s="80"/>
      <c r="M464" s="80"/>
      <c r="N464" s="80"/>
      <c r="O464" s="80"/>
      <c r="P464" s="80"/>
      <c r="Q464" s="80"/>
      <c r="R464" s="80"/>
      <c r="S464" s="80"/>
      <c r="T464" s="80"/>
      <c r="U464" s="80"/>
      <c r="V464" s="80"/>
      <c r="W464" s="80"/>
      <c r="X464" s="80"/>
      <c r="Y464" s="80"/>
      <c r="Z464" s="80"/>
    </row>
    <row r="465">
      <c r="A465" s="135">
        <v>45981.0</v>
      </c>
      <c r="B465" s="136">
        <v>-1.0</v>
      </c>
      <c r="C465" s="126"/>
      <c r="D465" s="127">
        <v>-1.0</v>
      </c>
      <c r="E465" s="126"/>
      <c r="F465" s="127">
        <v>-1.0</v>
      </c>
      <c r="G465" s="80"/>
      <c r="H465" s="80"/>
      <c r="I465" s="80"/>
      <c r="J465" s="80"/>
      <c r="K465" s="80"/>
      <c r="L465" s="80"/>
      <c r="M465" s="80"/>
      <c r="N465" s="80"/>
      <c r="O465" s="80"/>
      <c r="P465" s="80"/>
      <c r="Q465" s="80"/>
      <c r="R465" s="80"/>
      <c r="S465" s="80"/>
      <c r="T465" s="80"/>
      <c r="U465" s="80"/>
      <c r="V465" s="80"/>
      <c r="W465" s="80"/>
      <c r="X465" s="80"/>
      <c r="Y465" s="80"/>
      <c r="Z465" s="80"/>
    </row>
    <row r="466">
      <c r="A466" s="135">
        <v>45982.0</v>
      </c>
      <c r="B466" s="136">
        <v>-1.0</v>
      </c>
      <c r="C466" s="126"/>
      <c r="D466" s="127">
        <v>-1.0</v>
      </c>
      <c r="E466" s="126"/>
      <c r="F466" s="127">
        <v>-1.0</v>
      </c>
      <c r="G466" s="80"/>
      <c r="H466" s="80"/>
      <c r="I466" s="80"/>
      <c r="J466" s="80"/>
      <c r="K466" s="80"/>
      <c r="L466" s="80"/>
      <c r="M466" s="80"/>
      <c r="N466" s="80"/>
      <c r="O466" s="80"/>
      <c r="P466" s="80"/>
      <c r="Q466" s="80"/>
      <c r="R466" s="80"/>
      <c r="S466" s="80"/>
      <c r="T466" s="80"/>
      <c r="U466" s="80"/>
      <c r="V466" s="80"/>
      <c r="W466" s="80"/>
      <c r="X466" s="80"/>
      <c r="Y466" s="80"/>
      <c r="Z466" s="80"/>
    </row>
    <row r="467">
      <c r="A467" s="135">
        <v>45983.0</v>
      </c>
      <c r="B467" s="136">
        <v>-1.0</v>
      </c>
      <c r="C467" s="126"/>
      <c r="D467" s="127">
        <v>-1.0</v>
      </c>
      <c r="E467" s="126"/>
      <c r="F467" s="127">
        <v>-1.0</v>
      </c>
      <c r="G467" s="80"/>
      <c r="H467" s="80"/>
      <c r="I467" s="80"/>
      <c r="J467" s="80"/>
      <c r="K467" s="80"/>
      <c r="L467" s="80"/>
      <c r="M467" s="80"/>
      <c r="N467" s="80"/>
      <c r="O467" s="80"/>
      <c r="P467" s="80"/>
      <c r="Q467" s="80"/>
      <c r="R467" s="80"/>
      <c r="S467" s="80"/>
      <c r="T467" s="80"/>
      <c r="U467" s="80"/>
      <c r="V467" s="80"/>
      <c r="W467" s="80"/>
      <c r="X467" s="80"/>
      <c r="Y467" s="80"/>
      <c r="Z467" s="80"/>
    </row>
    <row r="468">
      <c r="A468" s="135">
        <v>45984.0</v>
      </c>
      <c r="B468" s="136">
        <v>-1.0</v>
      </c>
      <c r="C468" s="126"/>
      <c r="D468" s="127">
        <v>-1.0</v>
      </c>
      <c r="E468" s="126"/>
      <c r="F468" s="127">
        <v>-1.0</v>
      </c>
      <c r="G468" s="80"/>
      <c r="H468" s="80"/>
      <c r="I468" s="80"/>
      <c r="J468" s="80"/>
      <c r="K468" s="80"/>
      <c r="L468" s="80"/>
      <c r="M468" s="80"/>
      <c r="N468" s="80"/>
      <c r="O468" s="80"/>
      <c r="P468" s="80"/>
      <c r="Q468" s="80"/>
      <c r="R468" s="80"/>
      <c r="S468" s="80"/>
      <c r="T468" s="80"/>
      <c r="U468" s="80"/>
      <c r="V468" s="80"/>
      <c r="W468" s="80"/>
      <c r="X468" s="80"/>
      <c r="Y468" s="80"/>
      <c r="Z468" s="80"/>
    </row>
    <row r="469">
      <c r="A469" s="135">
        <v>45985.0</v>
      </c>
      <c r="B469" s="136">
        <v>-1.0</v>
      </c>
      <c r="C469" s="126"/>
      <c r="D469" s="127">
        <v>-1.0</v>
      </c>
      <c r="E469" s="126"/>
      <c r="F469" s="127">
        <v>-1.0</v>
      </c>
      <c r="G469" s="80"/>
      <c r="H469" s="80"/>
      <c r="I469" s="80"/>
      <c r="J469" s="80"/>
      <c r="K469" s="80"/>
      <c r="L469" s="80"/>
      <c r="M469" s="80"/>
      <c r="N469" s="80"/>
      <c r="O469" s="80"/>
      <c r="P469" s="80"/>
      <c r="Q469" s="80"/>
      <c r="R469" s="80"/>
      <c r="S469" s="80"/>
      <c r="T469" s="80"/>
      <c r="U469" s="80"/>
      <c r="V469" s="80"/>
      <c r="W469" s="80"/>
      <c r="X469" s="80"/>
      <c r="Y469" s="80"/>
      <c r="Z469" s="80"/>
    </row>
    <row r="470">
      <c r="A470" s="135">
        <v>45986.0</v>
      </c>
      <c r="B470" s="136">
        <v>-1.0</v>
      </c>
      <c r="C470" s="126"/>
      <c r="D470" s="127">
        <v>-1.0</v>
      </c>
      <c r="E470" s="126"/>
      <c r="F470" s="127">
        <v>-1.0</v>
      </c>
      <c r="G470" s="80"/>
      <c r="H470" s="80"/>
      <c r="I470" s="80"/>
      <c r="J470" s="80"/>
      <c r="K470" s="80"/>
      <c r="L470" s="80"/>
      <c r="M470" s="80"/>
      <c r="N470" s="80"/>
      <c r="O470" s="80"/>
      <c r="P470" s="80"/>
      <c r="Q470" s="80"/>
      <c r="R470" s="80"/>
      <c r="S470" s="80"/>
      <c r="T470" s="80"/>
      <c r="U470" s="80"/>
      <c r="V470" s="80"/>
      <c r="W470" s="80"/>
      <c r="X470" s="80"/>
      <c r="Y470" s="80"/>
      <c r="Z470" s="80"/>
    </row>
    <row r="471">
      <c r="A471" s="135">
        <v>45987.0</v>
      </c>
      <c r="B471" s="136">
        <v>-1.0</v>
      </c>
      <c r="C471" s="126"/>
      <c r="D471" s="127">
        <v>-1.0</v>
      </c>
      <c r="E471" s="126"/>
      <c r="F471" s="127">
        <v>-1.0</v>
      </c>
      <c r="G471" s="80"/>
      <c r="H471" s="80"/>
      <c r="I471" s="80"/>
      <c r="J471" s="80"/>
      <c r="K471" s="80"/>
      <c r="L471" s="80"/>
      <c r="M471" s="80"/>
      <c r="N471" s="80"/>
      <c r="O471" s="80"/>
      <c r="P471" s="80"/>
      <c r="Q471" s="80"/>
      <c r="R471" s="80"/>
      <c r="S471" s="80"/>
      <c r="T471" s="80"/>
      <c r="U471" s="80"/>
      <c r="V471" s="80"/>
      <c r="W471" s="80"/>
      <c r="X471" s="80"/>
      <c r="Y471" s="80"/>
      <c r="Z471" s="80"/>
    </row>
    <row r="472">
      <c r="A472" s="135">
        <v>45988.0</v>
      </c>
      <c r="B472" s="136">
        <v>-1.0</v>
      </c>
      <c r="C472" s="126"/>
      <c r="D472" s="127">
        <v>-1.0</v>
      </c>
      <c r="E472" s="126"/>
      <c r="F472" s="127">
        <v>-1.0</v>
      </c>
      <c r="G472" s="80"/>
      <c r="H472" s="80"/>
      <c r="I472" s="80"/>
      <c r="J472" s="80"/>
      <c r="K472" s="80"/>
      <c r="L472" s="80"/>
      <c r="M472" s="80"/>
      <c r="N472" s="80"/>
      <c r="O472" s="80"/>
      <c r="P472" s="80"/>
      <c r="Q472" s="80"/>
      <c r="R472" s="80"/>
      <c r="S472" s="80"/>
      <c r="T472" s="80"/>
      <c r="U472" s="80"/>
      <c r="V472" s="80"/>
      <c r="W472" s="80"/>
      <c r="X472" s="80"/>
      <c r="Y472" s="80"/>
      <c r="Z472" s="80"/>
    </row>
    <row r="473">
      <c r="A473" s="135">
        <v>45989.0</v>
      </c>
      <c r="B473" s="136">
        <v>-1.0</v>
      </c>
      <c r="C473" s="126"/>
      <c r="D473" s="127">
        <v>-1.0</v>
      </c>
      <c r="E473" s="126"/>
      <c r="F473" s="127">
        <v>-1.0</v>
      </c>
      <c r="G473" s="80"/>
      <c r="H473" s="80"/>
      <c r="I473" s="80"/>
      <c r="J473" s="80"/>
      <c r="K473" s="80"/>
      <c r="L473" s="80"/>
      <c r="M473" s="80"/>
      <c r="N473" s="80"/>
      <c r="O473" s="80"/>
      <c r="P473" s="80"/>
      <c r="Q473" s="80"/>
      <c r="R473" s="80"/>
      <c r="S473" s="80"/>
      <c r="T473" s="80"/>
      <c r="U473" s="80"/>
      <c r="V473" s="80"/>
      <c r="W473" s="80"/>
      <c r="X473" s="80"/>
      <c r="Y473" s="80"/>
      <c r="Z473" s="80"/>
    </row>
    <row r="474">
      <c r="A474" s="135">
        <v>45990.0</v>
      </c>
      <c r="B474" s="136">
        <v>-1.0</v>
      </c>
      <c r="C474" s="126"/>
      <c r="D474" s="127">
        <v>-1.0</v>
      </c>
      <c r="E474" s="126"/>
      <c r="F474" s="127">
        <v>-1.0</v>
      </c>
      <c r="G474" s="80"/>
      <c r="H474" s="80"/>
      <c r="I474" s="80"/>
      <c r="J474" s="80"/>
      <c r="K474" s="80"/>
      <c r="L474" s="80"/>
      <c r="M474" s="80"/>
      <c r="N474" s="80"/>
      <c r="O474" s="80"/>
      <c r="P474" s="80"/>
      <c r="Q474" s="80"/>
      <c r="R474" s="80"/>
      <c r="S474" s="80"/>
      <c r="T474" s="80"/>
      <c r="U474" s="80"/>
      <c r="V474" s="80"/>
      <c r="W474" s="80"/>
      <c r="X474" s="80"/>
      <c r="Y474" s="80"/>
      <c r="Z474" s="80"/>
    </row>
    <row r="475">
      <c r="A475" s="135">
        <v>45991.0</v>
      </c>
      <c r="B475" s="136">
        <v>-1.0</v>
      </c>
      <c r="C475" s="126"/>
      <c r="D475" s="127">
        <v>-1.0</v>
      </c>
      <c r="E475" s="126"/>
      <c r="F475" s="127">
        <v>-1.0</v>
      </c>
      <c r="G475" s="80"/>
      <c r="H475" s="80"/>
      <c r="I475" s="80"/>
      <c r="J475" s="80"/>
      <c r="K475" s="80"/>
      <c r="L475" s="80"/>
      <c r="M475" s="80"/>
      <c r="N475" s="80"/>
      <c r="O475" s="80"/>
      <c r="P475" s="80"/>
      <c r="Q475" s="80"/>
      <c r="R475" s="80"/>
      <c r="S475" s="80"/>
      <c r="T475" s="80"/>
      <c r="U475" s="80"/>
      <c r="V475" s="80"/>
      <c r="W475" s="80"/>
      <c r="X475" s="80"/>
      <c r="Y475" s="80"/>
      <c r="Z475" s="80"/>
    </row>
    <row r="476">
      <c r="A476" s="135">
        <v>45992.0</v>
      </c>
      <c r="B476" s="136">
        <v>-1.0</v>
      </c>
      <c r="C476" s="126"/>
      <c r="D476" s="127">
        <v>-1.0</v>
      </c>
      <c r="E476" s="126"/>
      <c r="F476" s="127">
        <v>-1.0</v>
      </c>
      <c r="G476" s="80"/>
      <c r="H476" s="80"/>
      <c r="I476" s="80"/>
      <c r="J476" s="80"/>
      <c r="K476" s="80"/>
      <c r="L476" s="80"/>
      <c r="M476" s="80"/>
      <c r="N476" s="80"/>
      <c r="O476" s="80"/>
      <c r="P476" s="80"/>
      <c r="Q476" s="80"/>
      <c r="R476" s="80"/>
      <c r="S476" s="80"/>
      <c r="T476" s="80"/>
      <c r="U476" s="80"/>
      <c r="V476" s="80"/>
      <c r="W476" s="80"/>
      <c r="X476" s="80"/>
      <c r="Y476" s="80"/>
      <c r="Z476" s="80"/>
    </row>
    <row r="477">
      <c r="A477" s="135">
        <v>45993.0</v>
      </c>
      <c r="B477" s="136">
        <v>-1.0</v>
      </c>
      <c r="C477" s="126"/>
      <c r="D477" s="127">
        <v>-1.0</v>
      </c>
      <c r="E477" s="126"/>
      <c r="F477" s="127">
        <v>-1.0</v>
      </c>
      <c r="G477" s="80"/>
      <c r="H477" s="80"/>
      <c r="I477" s="80"/>
      <c r="J477" s="80"/>
      <c r="K477" s="80"/>
      <c r="L477" s="80"/>
      <c r="M477" s="80"/>
      <c r="N477" s="80"/>
      <c r="O477" s="80"/>
      <c r="P477" s="80"/>
      <c r="Q477" s="80"/>
      <c r="R477" s="80"/>
      <c r="S477" s="80"/>
      <c r="T477" s="80"/>
      <c r="U477" s="80"/>
      <c r="V477" s="80"/>
      <c r="W477" s="80"/>
      <c r="X477" s="80"/>
      <c r="Y477" s="80"/>
      <c r="Z477" s="80"/>
    </row>
    <row r="478">
      <c r="A478" s="135">
        <v>45994.0</v>
      </c>
      <c r="B478" s="136">
        <v>-1.0</v>
      </c>
      <c r="C478" s="126"/>
      <c r="D478" s="127">
        <v>-1.0</v>
      </c>
      <c r="E478" s="126"/>
      <c r="F478" s="127">
        <v>-1.0</v>
      </c>
      <c r="G478" s="80"/>
      <c r="H478" s="80"/>
      <c r="I478" s="80"/>
      <c r="J478" s="80"/>
      <c r="K478" s="80"/>
      <c r="L478" s="80"/>
      <c r="M478" s="80"/>
      <c r="N478" s="80"/>
      <c r="O478" s="80"/>
      <c r="P478" s="80"/>
      <c r="Q478" s="80"/>
      <c r="R478" s="80"/>
      <c r="S478" s="80"/>
      <c r="T478" s="80"/>
      <c r="U478" s="80"/>
      <c r="V478" s="80"/>
      <c r="W478" s="80"/>
      <c r="X478" s="80"/>
      <c r="Y478" s="80"/>
      <c r="Z478" s="80"/>
    </row>
    <row r="479">
      <c r="A479" s="135">
        <v>45995.0</v>
      </c>
      <c r="B479" s="136">
        <v>-1.0</v>
      </c>
      <c r="C479" s="126"/>
      <c r="D479" s="127">
        <v>-1.0</v>
      </c>
      <c r="E479" s="126"/>
      <c r="F479" s="127">
        <v>-1.0</v>
      </c>
      <c r="G479" s="80"/>
      <c r="H479" s="80"/>
      <c r="I479" s="80"/>
      <c r="J479" s="80"/>
      <c r="K479" s="80"/>
      <c r="L479" s="80"/>
      <c r="M479" s="80"/>
      <c r="N479" s="80"/>
      <c r="O479" s="80"/>
      <c r="P479" s="80"/>
      <c r="Q479" s="80"/>
      <c r="R479" s="80"/>
      <c r="S479" s="80"/>
      <c r="T479" s="80"/>
      <c r="U479" s="80"/>
      <c r="V479" s="80"/>
      <c r="W479" s="80"/>
      <c r="X479" s="80"/>
      <c r="Y479" s="80"/>
      <c r="Z479" s="80"/>
    </row>
    <row r="480">
      <c r="A480" s="135">
        <v>45996.0</v>
      </c>
      <c r="B480" s="136">
        <v>-1.0</v>
      </c>
      <c r="C480" s="126"/>
      <c r="D480" s="127">
        <v>-1.0</v>
      </c>
      <c r="E480" s="126"/>
      <c r="F480" s="127">
        <v>-1.0</v>
      </c>
      <c r="G480" s="80"/>
      <c r="H480" s="80"/>
      <c r="I480" s="80"/>
      <c r="J480" s="80"/>
      <c r="K480" s="80"/>
      <c r="L480" s="80"/>
      <c r="M480" s="80"/>
      <c r="N480" s="80"/>
      <c r="O480" s="80"/>
      <c r="P480" s="80"/>
      <c r="Q480" s="80"/>
      <c r="R480" s="80"/>
      <c r="S480" s="80"/>
      <c r="T480" s="80"/>
      <c r="U480" s="80"/>
      <c r="V480" s="80"/>
      <c r="W480" s="80"/>
      <c r="X480" s="80"/>
      <c r="Y480" s="80"/>
      <c r="Z480" s="80"/>
    </row>
    <row r="481">
      <c r="A481" s="135">
        <v>45997.0</v>
      </c>
      <c r="B481" s="136">
        <v>-1.0</v>
      </c>
      <c r="C481" s="126"/>
      <c r="D481" s="127">
        <v>-1.0</v>
      </c>
      <c r="E481" s="126"/>
      <c r="F481" s="127">
        <v>-1.0</v>
      </c>
      <c r="G481" s="80"/>
      <c r="H481" s="80"/>
      <c r="I481" s="80"/>
      <c r="J481" s="80"/>
      <c r="K481" s="80"/>
      <c r="L481" s="80"/>
      <c r="M481" s="80"/>
      <c r="N481" s="80"/>
      <c r="O481" s="80"/>
      <c r="P481" s="80"/>
      <c r="Q481" s="80"/>
      <c r="R481" s="80"/>
      <c r="S481" s="80"/>
      <c r="T481" s="80"/>
      <c r="U481" s="80"/>
      <c r="V481" s="80"/>
      <c r="W481" s="80"/>
      <c r="X481" s="80"/>
      <c r="Y481" s="80"/>
      <c r="Z481" s="80"/>
    </row>
    <row r="482">
      <c r="A482" s="135">
        <v>45998.0</v>
      </c>
      <c r="B482" s="136">
        <v>-1.0</v>
      </c>
      <c r="C482" s="126"/>
      <c r="D482" s="127">
        <v>-1.0</v>
      </c>
      <c r="E482" s="126"/>
      <c r="F482" s="127">
        <v>-1.0</v>
      </c>
      <c r="G482" s="80"/>
      <c r="H482" s="80"/>
      <c r="I482" s="80"/>
      <c r="J482" s="80"/>
      <c r="K482" s="80"/>
      <c r="L482" s="80"/>
      <c r="M482" s="80"/>
      <c r="N482" s="80"/>
      <c r="O482" s="80"/>
      <c r="P482" s="80"/>
      <c r="Q482" s="80"/>
      <c r="R482" s="80"/>
      <c r="S482" s="80"/>
      <c r="T482" s="80"/>
      <c r="U482" s="80"/>
      <c r="V482" s="80"/>
      <c r="W482" s="80"/>
      <c r="X482" s="80"/>
      <c r="Y482" s="80"/>
      <c r="Z482" s="80"/>
    </row>
    <row r="483">
      <c r="A483" s="135">
        <v>45999.0</v>
      </c>
      <c r="B483" s="136">
        <v>-1.0</v>
      </c>
      <c r="C483" s="126"/>
      <c r="D483" s="127">
        <v>-1.0</v>
      </c>
      <c r="E483" s="126"/>
      <c r="F483" s="127">
        <v>-1.0</v>
      </c>
      <c r="G483" s="80"/>
      <c r="H483" s="80"/>
      <c r="I483" s="80"/>
      <c r="J483" s="80"/>
      <c r="K483" s="80"/>
      <c r="L483" s="80"/>
      <c r="M483" s="80"/>
      <c r="N483" s="80"/>
      <c r="O483" s="80"/>
      <c r="P483" s="80"/>
      <c r="Q483" s="80"/>
      <c r="R483" s="80"/>
      <c r="S483" s="80"/>
      <c r="T483" s="80"/>
      <c r="U483" s="80"/>
      <c r="V483" s="80"/>
      <c r="W483" s="80"/>
      <c r="X483" s="80"/>
      <c r="Y483" s="80"/>
      <c r="Z483" s="80"/>
    </row>
    <row r="484">
      <c r="A484" s="135">
        <v>46000.0</v>
      </c>
      <c r="B484" s="136">
        <v>-1.0</v>
      </c>
      <c r="C484" s="126"/>
      <c r="D484" s="127">
        <v>-1.0</v>
      </c>
      <c r="E484" s="126"/>
      <c r="F484" s="127">
        <v>-1.0</v>
      </c>
      <c r="G484" s="80"/>
      <c r="H484" s="80"/>
      <c r="I484" s="80"/>
      <c r="J484" s="80"/>
      <c r="K484" s="80"/>
      <c r="L484" s="80"/>
      <c r="M484" s="80"/>
      <c r="N484" s="80"/>
      <c r="O484" s="80"/>
      <c r="P484" s="80"/>
      <c r="Q484" s="80"/>
      <c r="R484" s="80"/>
      <c r="S484" s="80"/>
      <c r="T484" s="80"/>
      <c r="U484" s="80"/>
      <c r="V484" s="80"/>
      <c r="W484" s="80"/>
      <c r="X484" s="80"/>
      <c r="Y484" s="80"/>
      <c r="Z484" s="80"/>
    </row>
    <row r="485">
      <c r="A485" s="135">
        <v>46001.0</v>
      </c>
      <c r="B485" s="136">
        <v>-1.0</v>
      </c>
      <c r="C485" s="126"/>
      <c r="D485" s="127">
        <v>-1.0</v>
      </c>
      <c r="E485" s="126"/>
      <c r="F485" s="127">
        <v>-1.0</v>
      </c>
      <c r="G485" s="80"/>
      <c r="H485" s="80"/>
      <c r="I485" s="80"/>
      <c r="J485" s="80"/>
      <c r="K485" s="80"/>
      <c r="L485" s="80"/>
      <c r="M485" s="80"/>
      <c r="N485" s="80"/>
      <c r="O485" s="80"/>
      <c r="P485" s="80"/>
      <c r="Q485" s="80"/>
      <c r="R485" s="80"/>
      <c r="S485" s="80"/>
      <c r="T485" s="80"/>
      <c r="U485" s="80"/>
      <c r="V485" s="80"/>
      <c r="W485" s="80"/>
      <c r="X485" s="80"/>
      <c r="Y485" s="80"/>
      <c r="Z485" s="80"/>
    </row>
    <row r="486">
      <c r="A486" s="135">
        <v>46002.0</v>
      </c>
      <c r="B486" s="136">
        <v>-1.0</v>
      </c>
      <c r="C486" s="126"/>
      <c r="D486" s="127">
        <v>-1.0</v>
      </c>
      <c r="E486" s="126"/>
      <c r="F486" s="127">
        <v>-1.0</v>
      </c>
      <c r="G486" s="80"/>
      <c r="H486" s="80"/>
      <c r="I486" s="80"/>
      <c r="J486" s="80"/>
      <c r="K486" s="80"/>
      <c r="L486" s="80"/>
      <c r="M486" s="80"/>
      <c r="N486" s="80"/>
      <c r="O486" s="80"/>
      <c r="P486" s="80"/>
      <c r="Q486" s="80"/>
      <c r="R486" s="80"/>
      <c r="S486" s="80"/>
      <c r="T486" s="80"/>
      <c r="U486" s="80"/>
      <c r="V486" s="80"/>
      <c r="W486" s="80"/>
      <c r="X486" s="80"/>
      <c r="Y486" s="80"/>
      <c r="Z486" s="80"/>
    </row>
    <row r="487">
      <c r="A487" s="135">
        <v>46003.0</v>
      </c>
      <c r="B487" s="136">
        <v>-1.0</v>
      </c>
      <c r="C487" s="126"/>
      <c r="D487" s="127">
        <v>-1.0</v>
      </c>
      <c r="E487" s="126"/>
      <c r="F487" s="127">
        <v>-1.0</v>
      </c>
      <c r="G487" s="80"/>
      <c r="H487" s="80"/>
      <c r="I487" s="80"/>
      <c r="J487" s="80"/>
      <c r="K487" s="80"/>
      <c r="L487" s="80"/>
      <c r="M487" s="80"/>
      <c r="N487" s="80"/>
      <c r="O487" s="80"/>
      <c r="P487" s="80"/>
      <c r="Q487" s="80"/>
      <c r="R487" s="80"/>
      <c r="S487" s="80"/>
      <c r="T487" s="80"/>
      <c r="U487" s="80"/>
      <c r="V487" s="80"/>
      <c r="W487" s="80"/>
      <c r="X487" s="80"/>
      <c r="Y487" s="80"/>
      <c r="Z487" s="80"/>
    </row>
    <row r="488">
      <c r="A488" s="135">
        <v>46004.0</v>
      </c>
      <c r="B488" s="136">
        <v>-1.0</v>
      </c>
      <c r="C488" s="126"/>
      <c r="D488" s="127">
        <v>-1.0</v>
      </c>
      <c r="E488" s="126"/>
      <c r="F488" s="127">
        <v>-1.0</v>
      </c>
      <c r="G488" s="80"/>
      <c r="H488" s="80"/>
      <c r="I488" s="80"/>
      <c r="J488" s="80"/>
      <c r="K488" s="80"/>
      <c r="L488" s="80"/>
      <c r="M488" s="80"/>
      <c r="N488" s="80"/>
      <c r="O488" s="80"/>
      <c r="P488" s="80"/>
      <c r="Q488" s="80"/>
      <c r="R488" s="80"/>
      <c r="S488" s="80"/>
      <c r="T488" s="80"/>
      <c r="U488" s="80"/>
      <c r="V488" s="80"/>
      <c r="W488" s="80"/>
      <c r="X488" s="80"/>
      <c r="Y488" s="80"/>
      <c r="Z488" s="80"/>
    </row>
    <row r="489">
      <c r="A489" s="135">
        <v>46005.0</v>
      </c>
      <c r="B489" s="136">
        <v>-1.0</v>
      </c>
      <c r="C489" s="126"/>
      <c r="D489" s="127">
        <v>-1.0</v>
      </c>
      <c r="E489" s="126"/>
      <c r="F489" s="127">
        <v>-1.0</v>
      </c>
      <c r="G489" s="80"/>
      <c r="H489" s="80"/>
      <c r="I489" s="80"/>
      <c r="J489" s="80"/>
      <c r="K489" s="80"/>
      <c r="L489" s="80"/>
      <c r="M489" s="80"/>
      <c r="N489" s="80"/>
      <c r="O489" s="80"/>
      <c r="P489" s="80"/>
      <c r="Q489" s="80"/>
      <c r="R489" s="80"/>
      <c r="S489" s="80"/>
      <c r="T489" s="80"/>
      <c r="U489" s="80"/>
      <c r="V489" s="80"/>
      <c r="W489" s="80"/>
      <c r="X489" s="80"/>
      <c r="Y489" s="80"/>
      <c r="Z489" s="80"/>
    </row>
    <row r="490">
      <c r="A490" s="135">
        <v>46006.0</v>
      </c>
      <c r="B490" s="136">
        <v>-1.0</v>
      </c>
      <c r="C490" s="126"/>
      <c r="D490" s="127">
        <v>-1.0</v>
      </c>
      <c r="E490" s="126"/>
      <c r="F490" s="127">
        <v>-1.0</v>
      </c>
      <c r="G490" s="80"/>
      <c r="H490" s="80"/>
      <c r="I490" s="80"/>
      <c r="J490" s="80"/>
      <c r="K490" s="80"/>
      <c r="L490" s="80"/>
      <c r="M490" s="80"/>
      <c r="N490" s="80"/>
      <c r="O490" s="80"/>
      <c r="P490" s="80"/>
      <c r="Q490" s="80"/>
      <c r="R490" s="80"/>
      <c r="S490" s="80"/>
      <c r="T490" s="80"/>
      <c r="U490" s="80"/>
      <c r="V490" s="80"/>
      <c r="W490" s="80"/>
      <c r="X490" s="80"/>
      <c r="Y490" s="80"/>
      <c r="Z490" s="80"/>
    </row>
    <row r="491">
      <c r="A491" s="135">
        <v>46007.0</v>
      </c>
      <c r="B491" s="136">
        <v>-1.0</v>
      </c>
      <c r="C491" s="126"/>
      <c r="D491" s="127">
        <v>-1.0</v>
      </c>
      <c r="E491" s="126"/>
      <c r="F491" s="127">
        <v>-1.0</v>
      </c>
      <c r="G491" s="80"/>
      <c r="H491" s="80"/>
      <c r="I491" s="80"/>
      <c r="J491" s="80"/>
      <c r="K491" s="80"/>
      <c r="L491" s="80"/>
      <c r="M491" s="80"/>
      <c r="N491" s="80"/>
      <c r="O491" s="80"/>
      <c r="P491" s="80"/>
      <c r="Q491" s="80"/>
      <c r="R491" s="80"/>
      <c r="S491" s="80"/>
      <c r="T491" s="80"/>
      <c r="U491" s="80"/>
      <c r="V491" s="80"/>
      <c r="W491" s="80"/>
      <c r="X491" s="80"/>
      <c r="Y491" s="80"/>
      <c r="Z491" s="80"/>
    </row>
    <row r="492">
      <c r="A492" s="135">
        <v>46008.0</v>
      </c>
      <c r="B492" s="136">
        <v>-1.0</v>
      </c>
      <c r="C492" s="126"/>
      <c r="D492" s="127">
        <v>-1.0</v>
      </c>
      <c r="E492" s="126"/>
      <c r="F492" s="127">
        <v>-1.0</v>
      </c>
      <c r="G492" s="80"/>
      <c r="H492" s="80"/>
      <c r="I492" s="80"/>
      <c r="J492" s="80"/>
      <c r="K492" s="80"/>
      <c r="L492" s="80"/>
      <c r="M492" s="80"/>
      <c r="N492" s="80"/>
      <c r="O492" s="80"/>
      <c r="P492" s="80"/>
      <c r="Q492" s="80"/>
      <c r="R492" s="80"/>
      <c r="S492" s="80"/>
      <c r="T492" s="80"/>
      <c r="U492" s="80"/>
      <c r="V492" s="80"/>
      <c r="W492" s="80"/>
      <c r="X492" s="80"/>
      <c r="Y492" s="80"/>
      <c r="Z492" s="80"/>
    </row>
    <row r="493">
      <c r="A493" s="135">
        <v>46009.0</v>
      </c>
      <c r="B493" s="136">
        <v>-1.0</v>
      </c>
      <c r="C493" s="126"/>
      <c r="D493" s="127">
        <v>-1.0</v>
      </c>
      <c r="E493" s="126"/>
      <c r="F493" s="127">
        <v>-1.0</v>
      </c>
      <c r="G493" s="80"/>
      <c r="H493" s="80"/>
      <c r="I493" s="80"/>
      <c r="J493" s="80"/>
      <c r="K493" s="80"/>
      <c r="L493" s="80"/>
      <c r="M493" s="80"/>
      <c r="N493" s="80"/>
      <c r="O493" s="80"/>
      <c r="P493" s="80"/>
      <c r="Q493" s="80"/>
      <c r="R493" s="80"/>
      <c r="S493" s="80"/>
      <c r="T493" s="80"/>
      <c r="U493" s="80"/>
      <c r="V493" s="80"/>
      <c r="W493" s="80"/>
      <c r="X493" s="80"/>
      <c r="Y493" s="80"/>
      <c r="Z493" s="80"/>
    </row>
    <row r="494">
      <c r="A494" s="135">
        <v>46010.0</v>
      </c>
      <c r="B494" s="136">
        <v>-1.0</v>
      </c>
      <c r="C494" s="126"/>
      <c r="D494" s="127">
        <v>-1.0</v>
      </c>
      <c r="E494" s="126"/>
      <c r="F494" s="127">
        <v>-1.0</v>
      </c>
      <c r="G494" s="80"/>
      <c r="H494" s="80"/>
      <c r="I494" s="80"/>
      <c r="J494" s="80"/>
      <c r="K494" s="80"/>
      <c r="L494" s="80"/>
      <c r="M494" s="80"/>
      <c r="N494" s="80"/>
      <c r="O494" s="80"/>
      <c r="P494" s="80"/>
      <c r="Q494" s="80"/>
      <c r="R494" s="80"/>
      <c r="S494" s="80"/>
      <c r="T494" s="80"/>
      <c r="U494" s="80"/>
      <c r="V494" s="80"/>
      <c r="W494" s="80"/>
      <c r="X494" s="80"/>
      <c r="Y494" s="80"/>
      <c r="Z494" s="80"/>
    </row>
    <row r="495">
      <c r="A495" s="135">
        <v>46011.0</v>
      </c>
      <c r="B495" s="136">
        <v>-1.0</v>
      </c>
      <c r="C495" s="126"/>
      <c r="D495" s="127">
        <v>-1.0</v>
      </c>
      <c r="E495" s="126"/>
      <c r="F495" s="127">
        <v>-1.0</v>
      </c>
      <c r="G495" s="80"/>
      <c r="H495" s="80"/>
      <c r="I495" s="80"/>
      <c r="J495" s="80"/>
      <c r="K495" s="80"/>
      <c r="L495" s="80"/>
      <c r="M495" s="80"/>
      <c r="N495" s="80"/>
      <c r="O495" s="80"/>
      <c r="P495" s="80"/>
      <c r="Q495" s="80"/>
      <c r="R495" s="80"/>
      <c r="S495" s="80"/>
      <c r="T495" s="80"/>
      <c r="U495" s="80"/>
      <c r="V495" s="80"/>
      <c r="W495" s="80"/>
      <c r="X495" s="80"/>
      <c r="Y495" s="80"/>
      <c r="Z495" s="80"/>
    </row>
    <row r="496">
      <c r="A496" s="135">
        <v>46012.0</v>
      </c>
      <c r="B496" s="136">
        <v>-1.0</v>
      </c>
      <c r="C496" s="126"/>
      <c r="D496" s="127">
        <v>-1.0</v>
      </c>
      <c r="E496" s="126"/>
      <c r="F496" s="127">
        <v>-1.0</v>
      </c>
      <c r="G496" s="80"/>
      <c r="H496" s="80"/>
      <c r="I496" s="80"/>
      <c r="J496" s="80"/>
      <c r="K496" s="80"/>
      <c r="L496" s="80"/>
      <c r="M496" s="80"/>
      <c r="N496" s="80"/>
      <c r="O496" s="80"/>
      <c r="P496" s="80"/>
      <c r="Q496" s="80"/>
      <c r="R496" s="80"/>
      <c r="S496" s="80"/>
      <c r="T496" s="80"/>
      <c r="U496" s="80"/>
      <c r="V496" s="80"/>
      <c r="W496" s="80"/>
      <c r="X496" s="80"/>
      <c r="Y496" s="80"/>
      <c r="Z496" s="80"/>
    </row>
    <row r="497">
      <c r="A497" s="135">
        <v>46013.0</v>
      </c>
      <c r="B497" s="136">
        <v>-1.0</v>
      </c>
      <c r="C497" s="126"/>
      <c r="D497" s="127">
        <v>-1.0</v>
      </c>
      <c r="E497" s="126"/>
      <c r="F497" s="127">
        <v>-1.0</v>
      </c>
      <c r="G497" s="80"/>
      <c r="H497" s="80"/>
      <c r="I497" s="80"/>
      <c r="J497" s="80"/>
      <c r="K497" s="80"/>
      <c r="L497" s="80"/>
      <c r="M497" s="80"/>
      <c r="N497" s="80"/>
      <c r="O497" s="80"/>
      <c r="P497" s="80"/>
      <c r="Q497" s="80"/>
      <c r="R497" s="80"/>
      <c r="S497" s="80"/>
      <c r="T497" s="80"/>
      <c r="U497" s="80"/>
      <c r="V497" s="80"/>
      <c r="W497" s="80"/>
      <c r="X497" s="80"/>
      <c r="Y497" s="80"/>
      <c r="Z497" s="80"/>
    </row>
    <row r="498">
      <c r="A498" s="135">
        <v>46014.0</v>
      </c>
      <c r="B498" s="136">
        <v>-1.0</v>
      </c>
      <c r="C498" s="126"/>
      <c r="D498" s="127">
        <v>-1.0</v>
      </c>
      <c r="E498" s="126"/>
      <c r="F498" s="127">
        <v>-1.0</v>
      </c>
      <c r="G498" s="80"/>
      <c r="H498" s="80"/>
      <c r="I498" s="80"/>
      <c r="J498" s="80"/>
      <c r="K498" s="80"/>
      <c r="L498" s="80"/>
      <c r="M498" s="80"/>
      <c r="N498" s="80"/>
      <c r="O498" s="80"/>
      <c r="P498" s="80"/>
      <c r="Q498" s="80"/>
      <c r="R498" s="80"/>
      <c r="S498" s="80"/>
      <c r="T498" s="80"/>
      <c r="U498" s="80"/>
      <c r="V498" s="80"/>
      <c r="W498" s="80"/>
      <c r="X498" s="80"/>
      <c r="Y498" s="80"/>
      <c r="Z498" s="80"/>
    </row>
    <row r="499">
      <c r="A499" s="135">
        <v>46015.0</v>
      </c>
      <c r="B499" s="136">
        <v>-1.0</v>
      </c>
      <c r="C499" s="126"/>
      <c r="D499" s="127">
        <v>-1.0</v>
      </c>
      <c r="E499" s="126"/>
      <c r="F499" s="127">
        <v>-1.0</v>
      </c>
      <c r="G499" s="80"/>
      <c r="H499" s="80"/>
      <c r="I499" s="80"/>
      <c r="J499" s="80"/>
      <c r="K499" s="80"/>
      <c r="L499" s="80"/>
      <c r="M499" s="80"/>
      <c r="N499" s="80"/>
      <c r="O499" s="80"/>
      <c r="P499" s="80"/>
      <c r="Q499" s="80"/>
      <c r="R499" s="80"/>
      <c r="S499" s="80"/>
      <c r="T499" s="80"/>
      <c r="U499" s="80"/>
      <c r="V499" s="80"/>
      <c r="W499" s="80"/>
      <c r="X499" s="80"/>
      <c r="Y499" s="80"/>
      <c r="Z499" s="80"/>
    </row>
    <row r="500">
      <c r="A500" s="135">
        <v>46016.0</v>
      </c>
      <c r="B500" s="136">
        <v>-1.0</v>
      </c>
      <c r="C500" s="126"/>
      <c r="D500" s="127">
        <v>-1.0</v>
      </c>
      <c r="E500" s="126"/>
      <c r="F500" s="127">
        <v>-1.0</v>
      </c>
      <c r="G500" s="80"/>
      <c r="H500" s="80"/>
      <c r="I500" s="80"/>
      <c r="J500" s="80"/>
      <c r="K500" s="80"/>
      <c r="L500" s="80"/>
      <c r="M500" s="80"/>
      <c r="N500" s="80"/>
      <c r="O500" s="80"/>
      <c r="P500" s="80"/>
      <c r="Q500" s="80"/>
      <c r="R500" s="80"/>
      <c r="S500" s="80"/>
      <c r="T500" s="80"/>
      <c r="U500" s="80"/>
      <c r="V500" s="80"/>
      <c r="W500" s="80"/>
      <c r="X500" s="80"/>
      <c r="Y500" s="80"/>
      <c r="Z500" s="80"/>
    </row>
    <row r="501">
      <c r="A501" s="135">
        <v>46017.0</v>
      </c>
      <c r="B501" s="136">
        <v>-1.0</v>
      </c>
      <c r="C501" s="126"/>
      <c r="D501" s="127">
        <v>-1.0</v>
      </c>
      <c r="E501" s="126"/>
      <c r="F501" s="127">
        <v>-1.0</v>
      </c>
      <c r="G501" s="80"/>
      <c r="H501" s="80"/>
      <c r="I501" s="80"/>
      <c r="J501" s="80"/>
      <c r="K501" s="80"/>
      <c r="L501" s="80"/>
      <c r="M501" s="80"/>
      <c r="N501" s="80"/>
      <c r="O501" s="80"/>
      <c r="P501" s="80"/>
      <c r="Q501" s="80"/>
      <c r="R501" s="80"/>
      <c r="S501" s="80"/>
      <c r="T501" s="80"/>
      <c r="U501" s="80"/>
      <c r="V501" s="80"/>
      <c r="W501" s="80"/>
      <c r="X501" s="80"/>
      <c r="Y501" s="80"/>
      <c r="Z501" s="80"/>
    </row>
    <row r="502">
      <c r="A502" s="135">
        <v>46018.0</v>
      </c>
      <c r="B502" s="136">
        <v>-1.0</v>
      </c>
      <c r="C502" s="126"/>
      <c r="D502" s="127">
        <v>-1.0</v>
      </c>
      <c r="E502" s="126"/>
      <c r="F502" s="127">
        <v>-1.0</v>
      </c>
      <c r="G502" s="80"/>
      <c r="H502" s="80"/>
      <c r="I502" s="80"/>
      <c r="J502" s="80"/>
      <c r="K502" s="80"/>
      <c r="L502" s="80"/>
      <c r="M502" s="80"/>
      <c r="N502" s="80"/>
      <c r="O502" s="80"/>
      <c r="P502" s="80"/>
      <c r="Q502" s="80"/>
      <c r="R502" s="80"/>
      <c r="S502" s="80"/>
      <c r="T502" s="80"/>
      <c r="U502" s="80"/>
      <c r="V502" s="80"/>
      <c r="W502" s="80"/>
      <c r="X502" s="80"/>
      <c r="Y502" s="80"/>
      <c r="Z502" s="80"/>
    </row>
    <row r="503">
      <c r="A503" s="135">
        <v>46019.0</v>
      </c>
      <c r="B503" s="136">
        <v>-1.0</v>
      </c>
      <c r="C503" s="126"/>
      <c r="D503" s="127">
        <v>-1.0</v>
      </c>
      <c r="E503" s="126"/>
      <c r="F503" s="127">
        <v>-1.0</v>
      </c>
      <c r="G503" s="80"/>
      <c r="H503" s="80"/>
      <c r="I503" s="80"/>
      <c r="J503" s="80"/>
      <c r="K503" s="80"/>
      <c r="L503" s="80"/>
      <c r="M503" s="80"/>
      <c r="N503" s="80"/>
      <c r="O503" s="80"/>
      <c r="P503" s="80"/>
      <c r="Q503" s="80"/>
      <c r="R503" s="80"/>
      <c r="S503" s="80"/>
      <c r="T503" s="80"/>
      <c r="U503" s="80"/>
      <c r="V503" s="80"/>
      <c r="W503" s="80"/>
      <c r="X503" s="80"/>
      <c r="Y503" s="80"/>
      <c r="Z503" s="80"/>
    </row>
    <row r="504">
      <c r="A504" s="135">
        <v>46020.0</v>
      </c>
      <c r="B504" s="136">
        <v>-1.0</v>
      </c>
      <c r="C504" s="126"/>
      <c r="D504" s="127">
        <v>-1.0</v>
      </c>
      <c r="E504" s="126"/>
      <c r="F504" s="127">
        <v>-1.0</v>
      </c>
      <c r="G504" s="80"/>
      <c r="H504" s="80"/>
      <c r="I504" s="80"/>
      <c r="J504" s="80"/>
      <c r="K504" s="80"/>
      <c r="L504" s="80"/>
      <c r="M504" s="80"/>
      <c r="N504" s="80"/>
      <c r="O504" s="80"/>
      <c r="P504" s="80"/>
      <c r="Q504" s="80"/>
      <c r="R504" s="80"/>
      <c r="S504" s="80"/>
      <c r="T504" s="80"/>
      <c r="U504" s="80"/>
      <c r="V504" s="80"/>
      <c r="W504" s="80"/>
      <c r="X504" s="80"/>
      <c r="Y504" s="80"/>
      <c r="Z504" s="80"/>
    </row>
    <row r="505">
      <c r="A505" s="135">
        <v>46021.0</v>
      </c>
      <c r="B505" s="136">
        <v>-1.0</v>
      </c>
      <c r="C505" s="126"/>
      <c r="D505" s="127">
        <v>-1.0</v>
      </c>
      <c r="E505" s="126"/>
      <c r="F505" s="127">
        <v>-1.0</v>
      </c>
      <c r="G505" s="80"/>
      <c r="H505" s="80"/>
      <c r="I505" s="80"/>
      <c r="J505" s="80"/>
      <c r="K505" s="80"/>
      <c r="L505" s="80"/>
      <c r="M505" s="80"/>
      <c r="N505" s="80"/>
      <c r="O505" s="80"/>
      <c r="P505" s="80"/>
      <c r="Q505" s="80"/>
      <c r="R505" s="80"/>
      <c r="S505" s="80"/>
      <c r="T505" s="80"/>
      <c r="U505" s="80"/>
      <c r="V505" s="80"/>
      <c r="W505" s="80"/>
      <c r="X505" s="80"/>
      <c r="Y505" s="80"/>
      <c r="Z505" s="80"/>
    </row>
    <row r="506">
      <c r="A506" s="135">
        <v>46022.0</v>
      </c>
      <c r="B506" s="136">
        <v>-1.0</v>
      </c>
      <c r="C506" s="126"/>
      <c r="D506" s="127">
        <v>-1.0</v>
      </c>
      <c r="E506" s="126"/>
      <c r="F506" s="127">
        <v>-1.0</v>
      </c>
      <c r="G506" s="80"/>
      <c r="H506" s="80"/>
      <c r="I506" s="80"/>
      <c r="J506" s="80"/>
      <c r="K506" s="80"/>
      <c r="L506" s="80"/>
      <c r="M506" s="80"/>
      <c r="N506" s="80"/>
      <c r="O506" s="80"/>
      <c r="P506" s="80"/>
      <c r="Q506" s="80"/>
      <c r="R506" s="80"/>
      <c r="S506" s="80"/>
      <c r="T506" s="80"/>
      <c r="U506" s="80"/>
      <c r="V506" s="80"/>
      <c r="W506" s="80"/>
      <c r="X506" s="80"/>
      <c r="Y506" s="80"/>
      <c r="Z506" s="80"/>
    </row>
    <row r="507">
      <c r="A507" s="135">
        <v>46023.0</v>
      </c>
      <c r="B507" s="136">
        <v>-1.0</v>
      </c>
      <c r="C507" s="126"/>
      <c r="D507" s="127">
        <v>-1.0</v>
      </c>
      <c r="E507" s="126"/>
      <c r="F507" s="127">
        <v>-1.0</v>
      </c>
      <c r="G507" s="80"/>
      <c r="H507" s="80"/>
      <c r="I507" s="80"/>
      <c r="J507" s="80"/>
      <c r="K507" s="80"/>
      <c r="L507" s="80"/>
      <c r="M507" s="80"/>
      <c r="N507" s="80"/>
      <c r="O507" s="80"/>
      <c r="P507" s="80"/>
      <c r="Q507" s="80"/>
      <c r="R507" s="80"/>
      <c r="S507" s="80"/>
      <c r="T507" s="80"/>
      <c r="U507" s="80"/>
      <c r="V507" s="80"/>
      <c r="W507" s="80"/>
      <c r="X507" s="80"/>
      <c r="Y507" s="80"/>
      <c r="Z507" s="80"/>
    </row>
    <row r="508">
      <c r="A508" s="135">
        <v>46024.0</v>
      </c>
      <c r="B508" s="136">
        <v>-1.0</v>
      </c>
      <c r="C508" s="126"/>
      <c r="D508" s="127">
        <v>-1.0</v>
      </c>
      <c r="E508" s="126"/>
      <c r="F508" s="127">
        <v>-0.75</v>
      </c>
      <c r="G508" s="80"/>
      <c r="H508" s="80"/>
      <c r="I508" s="80"/>
      <c r="J508" s="80"/>
      <c r="K508" s="80"/>
      <c r="L508" s="80"/>
      <c r="M508" s="80"/>
      <c r="N508" s="80"/>
      <c r="O508" s="80"/>
      <c r="P508" s="80"/>
      <c r="Q508" s="80"/>
      <c r="R508" s="80"/>
      <c r="S508" s="80"/>
      <c r="T508" s="80"/>
      <c r="U508" s="80"/>
      <c r="V508" s="80"/>
      <c r="W508" s="80"/>
      <c r="X508" s="80"/>
      <c r="Y508" s="80"/>
      <c r="Z508" s="80"/>
    </row>
    <row r="509">
      <c r="A509" s="135">
        <v>46025.0</v>
      </c>
      <c r="B509" s="127">
        <v>-0.69</v>
      </c>
      <c r="C509" s="126"/>
      <c r="D509" s="127">
        <v>-0.69</v>
      </c>
      <c r="E509" s="126"/>
      <c r="F509" s="127">
        <v>-0.75</v>
      </c>
      <c r="G509" s="80"/>
      <c r="H509" s="80"/>
      <c r="I509" s="80"/>
      <c r="J509" s="80"/>
      <c r="K509" s="80"/>
      <c r="L509" s="80"/>
      <c r="M509" s="80"/>
      <c r="N509" s="80"/>
      <c r="O509" s="80"/>
      <c r="P509" s="80"/>
      <c r="Q509" s="80"/>
      <c r="R509" s="80"/>
      <c r="S509" s="80"/>
      <c r="T509" s="80"/>
      <c r="U509" s="80"/>
      <c r="V509" s="80"/>
      <c r="W509" s="80"/>
      <c r="X509" s="80"/>
      <c r="Y509" s="80"/>
      <c r="Z509" s="80"/>
    </row>
    <row r="510">
      <c r="A510" s="135">
        <v>46026.0</v>
      </c>
      <c r="B510" s="127">
        <v>-0.69</v>
      </c>
      <c r="C510" s="126"/>
      <c r="D510" s="127">
        <v>-0.69</v>
      </c>
      <c r="E510" s="126"/>
      <c r="F510" s="127">
        <v>-0.75</v>
      </c>
      <c r="G510" s="80"/>
      <c r="H510" s="80"/>
      <c r="I510" s="80"/>
      <c r="J510" s="80"/>
      <c r="K510" s="80"/>
      <c r="L510" s="80"/>
      <c r="M510" s="80"/>
      <c r="N510" s="80"/>
      <c r="O510" s="80"/>
      <c r="P510" s="80"/>
      <c r="Q510" s="80"/>
      <c r="R510" s="80"/>
      <c r="S510" s="80"/>
      <c r="T510" s="80"/>
      <c r="U510" s="80"/>
      <c r="V510" s="80"/>
      <c r="W510" s="80"/>
      <c r="X510" s="80"/>
      <c r="Y510" s="80"/>
      <c r="Z510" s="80"/>
    </row>
    <row r="511">
      <c r="A511" s="135">
        <v>46027.0</v>
      </c>
      <c r="B511" s="127">
        <v>-0.33</v>
      </c>
      <c r="C511" s="126"/>
      <c r="D511" s="127">
        <v>0.0</v>
      </c>
      <c r="E511" s="126"/>
      <c r="F511" s="127">
        <v>-0.5</v>
      </c>
      <c r="G511" s="80"/>
      <c r="H511" s="80"/>
      <c r="I511" s="80"/>
      <c r="J511" s="80"/>
      <c r="K511" s="80"/>
      <c r="L511" s="80"/>
      <c r="M511" s="80"/>
      <c r="N511" s="80"/>
      <c r="O511" s="80"/>
      <c r="P511" s="80"/>
      <c r="Q511" s="80"/>
      <c r="R511" s="80"/>
      <c r="S511" s="80"/>
      <c r="T511" s="80"/>
      <c r="U511" s="80"/>
      <c r="V511" s="80"/>
      <c r="W511" s="80"/>
      <c r="X511" s="80"/>
      <c r="Y511" s="80"/>
      <c r="Z511" s="80"/>
    </row>
    <row r="512">
      <c r="A512" s="135">
        <v>46028.0</v>
      </c>
      <c r="B512" s="127">
        <v>0.5</v>
      </c>
      <c r="C512" s="126"/>
      <c r="D512" s="127">
        <v>0.5</v>
      </c>
      <c r="E512" s="126"/>
      <c r="F512" s="127">
        <v>-0.5</v>
      </c>
      <c r="G512" s="80"/>
      <c r="H512" s="80"/>
      <c r="I512" s="80"/>
      <c r="J512" s="80"/>
      <c r="K512" s="80"/>
      <c r="L512" s="80"/>
      <c r="M512" s="80"/>
      <c r="N512" s="80"/>
      <c r="O512" s="80"/>
      <c r="P512" s="80"/>
      <c r="Q512" s="80"/>
      <c r="R512" s="80"/>
      <c r="S512" s="80"/>
      <c r="T512" s="80"/>
      <c r="U512" s="80"/>
      <c r="V512" s="80"/>
      <c r="W512" s="80"/>
      <c r="X512" s="80"/>
      <c r="Y512" s="80"/>
      <c r="Z512" s="80"/>
    </row>
    <row r="513">
      <c r="A513" s="135">
        <v>46029.0</v>
      </c>
      <c r="B513" s="127">
        <v>0.5</v>
      </c>
      <c r="C513" s="126"/>
      <c r="D513" s="127">
        <v>0.5</v>
      </c>
      <c r="E513" s="126"/>
      <c r="F513" s="127">
        <v>-0.5</v>
      </c>
      <c r="G513" s="80"/>
      <c r="H513" s="80"/>
      <c r="I513" s="80"/>
      <c r="J513" s="80"/>
      <c r="K513" s="80"/>
      <c r="L513" s="80"/>
      <c r="M513" s="80"/>
      <c r="N513" s="80"/>
      <c r="O513" s="80"/>
      <c r="P513" s="80"/>
      <c r="Q513" s="80"/>
      <c r="R513" s="80"/>
      <c r="S513" s="80"/>
      <c r="T513" s="80"/>
      <c r="U513" s="80"/>
      <c r="V513" s="80"/>
      <c r="W513" s="80"/>
      <c r="X513" s="80"/>
      <c r="Y513" s="80"/>
      <c r="Z513" s="80"/>
    </row>
    <row r="514">
      <c r="A514" s="135">
        <v>46030.0</v>
      </c>
      <c r="B514" s="127">
        <v>0.17</v>
      </c>
      <c r="C514" s="126"/>
      <c r="D514" s="127">
        <v>0.33</v>
      </c>
      <c r="E514" s="126"/>
      <c r="F514" s="127">
        <v>-0.5</v>
      </c>
      <c r="G514" s="80"/>
      <c r="H514" s="80"/>
      <c r="I514" s="80"/>
      <c r="J514" s="80"/>
      <c r="K514" s="80"/>
      <c r="L514" s="80"/>
      <c r="M514" s="80"/>
      <c r="N514" s="80"/>
      <c r="O514" s="80"/>
      <c r="P514" s="80"/>
      <c r="Q514" s="80"/>
      <c r="R514" s="80"/>
      <c r="S514" s="80"/>
      <c r="T514" s="80"/>
      <c r="U514" s="80"/>
      <c r="V514" s="80"/>
      <c r="W514" s="80"/>
      <c r="X514" s="80"/>
      <c r="Y514" s="80"/>
      <c r="Z514" s="80"/>
    </row>
    <row r="515">
      <c r="A515" s="135">
        <v>46031.0</v>
      </c>
      <c r="B515" s="127">
        <v>0.17</v>
      </c>
      <c r="C515" s="126"/>
      <c r="D515" s="127">
        <v>0.33</v>
      </c>
      <c r="E515" s="126"/>
      <c r="F515" s="127">
        <v>-0.5</v>
      </c>
      <c r="G515" s="80"/>
      <c r="H515" s="80"/>
      <c r="I515" s="80"/>
      <c r="J515" s="80"/>
      <c r="K515" s="80"/>
      <c r="L515" s="80"/>
      <c r="M515" s="80"/>
      <c r="N515" s="80"/>
      <c r="O515" s="80"/>
      <c r="P515" s="80"/>
      <c r="Q515" s="80"/>
      <c r="R515" s="80"/>
      <c r="S515" s="80"/>
      <c r="T515" s="80"/>
      <c r="U515" s="80"/>
      <c r="V515" s="80"/>
      <c r="W515" s="80"/>
      <c r="X515" s="80"/>
      <c r="Y515" s="80"/>
      <c r="Z515" s="80"/>
    </row>
    <row r="516">
      <c r="A516" s="135">
        <v>46032.0</v>
      </c>
      <c r="B516" s="127">
        <v>0.17</v>
      </c>
      <c r="C516" s="126"/>
      <c r="D516" s="127">
        <v>0.33</v>
      </c>
      <c r="E516" s="126"/>
      <c r="F516" s="127">
        <v>-0.5</v>
      </c>
      <c r="G516" s="80"/>
      <c r="H516" s="80"/>
      <c r="I516" s="80"/>
      <c r="J516" s="80"/>
      <c r="K516" s="80"/>
      <c r="L516" s="80"/>
      <c r="M516" s="80"/>
      <c r="N516" s="80"/>
      <c r="O516" s="80"/>
      <c r="P516" s="80"/>
      <c r="Q516" s="80"/>
      <c r="R516" s="80"/>
      <c r="S516" s="80"/>
      <c r="T516" s="80"/>
      <c r="U516" s="80"/>
      <c r="V516" s="80"/>
      <c r="W516" s="80"/>
      <c r="X516" s="80"/>
      <c r="Y516" s="80"/>
      <c r="Z516" s="80"/>
    </row>
    <row r="517">
      <c r="A517" s="135">
        <v>46033.0</v>
      </c>
      <c r="B517" s="127">
        <v>0.17</v>
      </c>
      <c r="C517" s="126"/>
      <c r="D517" s="127">
        <v>0.33</v>
      </c>
      <c r="E517" s="126"/>
      <c r="F517" s="127">
        <v>-0.5</v>
      </c>
      <c r="G517" s="80"/>
      <c r="H517" s="80"/>
      <c r="I517" s="80"/>
      <c r="J517" s="80"/>
      <c r="K517" s="80"/>
      <c r="L517" s="80"/>
      <c r="M517" s="80"/>
      <c r="N517" s="80"/>
      <c r="O517" s="80"/>
      <c r="P517" s="80"/>
      <c r="Q517" s="80"/>
      <c r="R517" s="80"/>
      <c r="S517" s="80"/>
      <c r="T517" s="80"/>
      <c r="U517" s="80"/>
      <c r="V517" s="80"/>
      <c r="W517" s="80"/>
      <c r="X517" s="80"/>
      <c r="Y517" s="80"/>
      <c r="Z517" s="80"/>
    </row>
    <row r="518">
      <c r="A518" s="135">
        <v>46034.0</v>
      </c>
      <c r="B518" s="127">
        <v>0.17</v>
      </c>
      <c r="C518" s="126"/>
      <c r="D518" s="127">
        <v>0.33</v>
      </c>
      <c r="E518" s="126"/>
      <c r="F518" s="127">
        <v>-0.5</v>
      </c>
      <c r="G518" s="80"/>
      <c r="H518" s="80"/>
      <c r="I518" s="80"/>
      <c r="J518" s="80"/>
      <c r="K518" s="80"/>
      <c r="L518" s="80"/>
      <c r="M518" s="80"/>
      <c r="N518" s="80"/>
      <c r="O518" s="80"/>
      <c r="P518" s="80"/>
      <c r="Q518" s="80"/>
      <c r="R518" s="80"/>
      <c r="S518" s="80"/>
      <c r="T518" s="80"/>
      <c r="U518" s="80"/>
      <c r="V518" s="80"/>
      <c r="W518" s="80"/>
      <c r="X518" s="80"/>
      <c r="Y518" s="80"/>
      <c r="Z518" s="80"/>
    </row>
    <row r="519">
      <c r="A519" s="135">
        <v>46035.0</v>
      </c>
      <c r="B519" s="127">
        <v>0.83</v>
      </c>
      <c r="C519" s="126"/>
      <c r="D519" s="127">
        <v>0.83</v>
      </c>
      <c r="E519" s="126"/>
      <c r="F519" s="127">
        <v>-0.38</v>
      </c>
      <c r="G519" s="80"/>
      <c r="H519" s="80"/>
      <c r="I519" s="80"/>
      <c r="J519" s="80"/>
      <c r="K519" s="80"/>
      <c r="L519" s="80"/>
      <c r="M519" s="80"/>
      <c r="N519" s="80"/>
      <c r="O519" s="80"/>
      <c r="P519" s="80"/>
      <c r="Q519" s="80"/>
      <c r="R519" s="80"/>
      <c r="S519" s="80"/>
      <c r="T519" s="80"/>
      <c r="U519" s="80"/>
      <c r="V519" s="80"/>
      <c r="W519" s="80"/>
      <c r="X519" s="80"/>
      <c r="Y519" s="80"/>
      <c r="Z519" s="80"/>
    </row>
    <row r="520">
      <c r="A520" s="135">
        <v>46036.0</v>
      </c>
      <c r="B520" s="127">
        <v>0.83</v>
      </c>
      <c r="C520" s="126"/>
      <c r="D520" s="127">
        <v>0.83</v>
      </c>
      <c r="E520" s="126"/>
      <c r="F520" s="127">
        <v>-0.38</v>
      </c>
      <c r="G520" s="80"/>
      <c r="H520" s="80"/>
      <c r="I520" s="80"/>
      <c r="J520" s="80"/>
      <c r="K520" s="80"/>
      <c r="L520" s="80"/>
      <c r="M520" s="80"/>
      <c r="N520" s="80"/>
      <c r="O520" s="80"/>
      <c r="P520" s="80"/>
      <c r="Q520" s="80"/>
      <c r="R520" s="80"/>
      <c r="S520" s="80"/>
      <c r="T520" s="80"/>
      <c r="U520" s="80"/>
      <c r="V520" s="80"/>
      <c r="W520" s="80"/>
      <c r="X520" s="80"/>
      <c r="Y520" s="80"/>
      <c r="Z520" s="80"/>
    </row>
    <row r="521">
      <c r="A521" s="135">
        <v>46037.0</v>
      </c>
      <c r="B521" s="127">
        <v>0.83</v>
      </c>
      <c r="C521" s="126"/>
      <c r="D521" s="127">
        <v>0.83</v>
      </c>
      <c r="E521" s="126"/>
      <c r="F521" s="127">
        <v>-0.25</v>
      </c>
      <c r="G521" s="80"/>
      <c r="H521" s="80"/>
      <c r="I521" s="80"/>
      <c r="J521" s="80"/>
      <c r="K521" s="80"/>
      <c r="L521" s="80"/>
      <c r="M521" s="80"/>
      <c r="N521" s="80"/>
      <c r="O521" s="80"/>
      <c r="P521" s="80"/>
      <c r="Q521" s="80"/>
      <c r="R521" s="80"/>
      <c r="S521" s="80"/>
      <c r="T521" s="80"/>
      <c r="U521" s="80"/>
      <c r="V521" s="80"/>
      <c r="W521" s="80"/>
      <c r="X521" s="80"/>
      <c r="Y521" s="80"/>
      <c r="Z521" s="80"/>
    </row>
    <row r="522">
      <c r="A522" s="135">
        <v>46038.0</v>
      </c>
      <c r="B522" s="127">
        <v>0.83</v>
      </c>
      <c r="C522" s="126"/>
      <c r="D522" s="127">
        <v>0.83</v>
      </c>
      <c r="E522" s="126"/>
      <c r="F522" s="127">
        <v>-0.25</v>
      </c>
      <c r="G522" s="80"/>
      <c r="H522" s="80"/>
      <c r="I522" s="80"/>
      <c r="J522" s="80"/>
      <c r="K522" s="80"/>
      <c r="L522" s="80"/>
      <c r="M522" s="80"/>
      <c r="N522" s="80"/>
      <c r="O522" s="80"/>
      <c r="P522" s="80"/>
      <c r="Q522" s="80"/>
      <c r="R522" s="80"/>
      <c r="S522" s="80"/>
      <c r="T522" s="80"/>
      <c r="U522" s="80"/>
      <c r="V522" s="80"/>
      <c r="W522" s="80"/>
      <c r="X522" s="80"/>
      <c r="Y522" s="80"/>
      <c r="Z522" s="80"/>
    </row>
    <row r="523">
      <c r="A523" s="135">
        <v>46039.0</v>
      </c>
      <c r="B523" s="127">
        <v>0.83</v>
      </c>
      <c r="C523" s="126"/>
      <c r="D523" s="139">
        <v>1.0</v>
      </c>
      <c r="E523" s="126"/>
      <c r="F523" s="127">
        <v>-0.25</v>
      </c>
      <c r="G523" s="80"/>
      <c r="H523" s="80"/>
      <c r="I523" s="80"/>
      <c r="J523" s="80"/>
      <c r="K523" s="80"/>
      <c r="L523" s="80"/>
      <c r="M523" s="80"/>
      <c r="N523" s="80"/>
      <c r="O523" s="80"/>
      <c r="P523" s="80"/>
      <c r="Q523" s="80"/>
      <c r="R523" s="80"/>
      <c r="S523" s="80"/>
      <c r="T523" s="80"/>
      <c r="U523" s="80"/>
      <c r="V523" s="80"/>
      <c r="W523" s="80"/>
      <c r="X523" s="80"/>
      <c r="Y523" s="80"/>
      <c r="Z523" s="80"/>
    </row>
    <row r="524">
      <c r="A524" s="135">
        <v>46040.0</v>
      </c>
      <c r="B524" s="127">
        <v>0.83</v>
      </c>
      <c r="C524" s="126"/>
      <c r="D524" s="139">
        <v>1.0</v>
      </c>
      <c r="E524" s="126"/>
      <c r="F524" s="127">
        <v>-0.25</v>
      </c>
      <c r="G524" s="80"/>
      <c r="H524" s="80"/>
      <c r="I524" s="80"/>
      <c r="J524" s="80"/>
      <c r="K524" s="80"/>
      <c r="L524" s="80"/>
      <c r="M524" s="80"/>
      <c r="N524" s="80"/>
      <c r="O524" s="80"/>
      <c r="P524" s="80"/>
      <c r="Q524" s="80"/>
      <c r="R524" s="80"/>
      <c r="S524" s="80"/>
      <c r="T524" s="80"/>
      <c r="U524" s="80"/>
      <c r="V524" s="80"/>
      <c r="W524" s="80"/>
      <c r="X524" s="80"/>
      <c r="Y524" s="80"/>
      <c r="Z524" s="80"/>
    </row>
    <row r="525">
      <c r="A525" s="135">
        <v>46041.0</v>
      </c>
      <c r="B525" s="127">
        <v>0.83</v>
      </c>
      <c r="C525" s="126"/>
      <c r="D525" s="127">
        <v>0.67</v>
      </c>
      <c r="E525" s="126"/>
      <c r="F525" s="127">
        <v>-0.25</v>
      </c>
      <c r="G525" s="80"/>
      <c r="H525" s="80"/>
      <c r="I525" s="80"/>
      <c r="J525" s="80"/>
      <c r="K525" s="80"/>
      <c r="L525" s="80"/>
      <c r="M525" s="80"/>
      <c r="N525" s="80"/>
      <c r="O525" s="80"/>
      <c r="P525" s="80"/>
      <c r="Q525" s="80"/>
      <c r="R525" s="80"/>
      <c r="S525" s="80"/>
      <c r="T525" s="80"/>
      <c r="U525" s="80"/>
      <c r="V525" s="80"/>
      <c r="W525" s="80"/>
      <c r="X525" s="80"/>
      <c r="Y525" s="80"/>
      <c r="Z525" s="80"/>
    </row>
    <row r="526">
      <c r="A526" s="135">
        <v>46042.0</v>
      </c>
      <c r="B526" s="127">
        <v>-0.17</v>
      </c>
      <c r="C526" s="126"/>
      <c r="D526" s="127">
        <v>-0.33</v>
      </c>
      <c r="E526" s="126"/>
      <c r="F526" s="127">
        <v>-0.25</v>
      </c>
      <c r="G526" s="80"/>
      <c r="H526" s="80"/>
      <c r="I526" s="80"/>
      <c r="J526" s="80"/>
      <c r="K526" s="80"/>
      <c r="L526" s="80"/>
      <c r="M526" s="80"/>
      <c r="N526" s="80"/>
      <c r="O526" s="80"/>
      <c r="P526" s="80"/>
      <c r="Q526" s="80"/>
      <c r="R526" s="80"/>
      <c r="S526" s="80"/>
      <c r="T526" s="80"/>
      <c r="U526" s="80"/>
      <c r="V526" s="80"/>
      <c r="W526" s="80"/>
      <c r="X526" s="80"/>
      <c r="Y526" s="80"/>
      <c r="Z526" s="80"/>
    </row>
    <row r="527">
      <c r="A527" s="135">
        <v>46043.0</v>
      </c>
      <c r="B527" s="127">
        <v>-0.5</v>
      </c>
      <c r="C527" s="126"/>
      <c r="D527" s="127">
        <v>-0.67</v>
      </c>
      <c r="E527" s="126"/>
      <c r="F527" s="127">
        <v>-0.25</v>
      </c>
      <c r="G527" s="80"/>
      <c r="H527" s="80"/>
      <c r="I527" s="80"/>
      <c r="J527" s="80"/>
      <c r="K527" s="80"/>
      <c r="L527" s="80"/>
      <c r="M527" s="80"/>
      <c r="N527" s="80"/>
      <c r="O527" s="80"/>
      <c r="P527" s="80"/>
      <c r="Q527" s="80"/>
      <c r="R527" s="80"/>
      <c r="S527" s="80"/>
      <c r="T527" s="80"/>
      <c r="U527" s="80"/>
      <c r="V527" s="80"/>
      <c r="W527" s="80"/>
      <c r="X527" s="80"/>
      <c r="Y527" s="80"/>
      <c r="Z527" s="80"/>
    </row>
    <row r="528">
      <c r="A528" s="135">
        <v>46044.0</v>
      </c>
      <c r="B528" s="127">
        <v>-0.58</v>
      </c>
      <c r="C528" s="126"/>
      <c r="D528" s="127">
        <v>-0.67</v>
      </c>
      <c r="E528" s="126"/>
      <c r="F528" s="127">
        <v>-0.25</v>
      </c>
      <c r="G528" s="80"/>
      <c r="H528" s="80"/>
      <c r="I528" s="80"/>
      <c r="J528" s="80"/>
      <c r="K528" s="80"/>
      <c r="L528" s="80"/>
      <c r="M528" s="80"/>
      <c r="N528" s="80"/>
      <c r="O528" s="80"/>
      <c r="P528" s="80"/>
      <c r="Q528" s="80"/>
      <c r="R528" s="80"/>
      <c r="S528" s="80"/>
      <c r="T528" s="80"/>
      <c r="U528" s="80"/>
      <c r="V528" s="80"/>
      <c r="W528" s="80"/>
      <c r="X528" s="80"/>
      <c r="Y528" s="80"/>
      <c r="Z528" s="80"/>
    </row>
    <row r="529">
      <c r="A529" s="135">
        <v>46045.0</v>
      </c>
      <c r="B529" s="127">
        <v>-0.58</v>
      </c>
      <c r="C529" s="126"/>
      <c r="D529" s="127">
        <v>-0.67</v>
      </c>
      <c r="E529" s="126"/>
      <c r="F529" s="127">
        <v>-0.25</v>
      </c>
      <c r="G529" s="80"/>
      <c r="H529" s="80"/>
      <c r="I529" s="80"/>
      <c r="J529" s="80"/>
      <c r="K529" s="80"/>
      <c r="L529" s="80"/>
      <c r="M529" s="80"/>
      <c r="N529" s="80"/>
      <c r="O529" s="80"/>
      <c r="P529" s="80"/>
      <c r="Q529" s="80"/>
      <c r="R529" s="80"/>
      <c r="S529" s="80"/>
      <c r="T529" s="80"/>
      <c r="U529" s="80"/>
      <c r="V529" s="80"/>
      <c r="W529" s="80"/>
      <c r="X529" s="80"/>
      <c r="Y529" s="80"/>
      <c r="Z529" s="80"/>
    </row>
    <row r="530">
      <c r="A530" s="135">
        <v>46046.0</v>
      </c>
      <c r="B530" s="127">
        <v>-0.58</v>
      </c>
      <c r="C530" s="126"/>
      <c r="D530" s="127">
        <v>-0.67</v>
      </c>
      <c r="E530" s="126"/>
      <c r="F530" s="127">
        <v>-0.25</v>
      </c>
      <c r="G530" s="80"/>
      <c r="H530" s="80"/>
      <c r="I530" s="80"/>
      <c r="J530" s="80"/>
      <c r="K530" s="80"/>
      <c r="L530" s="80"/>
      <c r="M530" s="80"/>
      <c r="N530" s="80"/>
      <c r="O530" s="80"/>
      <c r="P530" s="80"/>
      <c r="Q530" s="80"/>
      <c r="R530" s="80"/>
      <c r="S530" s="80"/>
      <c r="T530" s="80"/>
      <c r="U530" s="80"/>
      <c r="V530" s="80"/>
      <c r="W530" s="80"/>
      <c r="X530" s="80"/>
      <c r="Y530" s="80"/>
      <c r="Z530" s="80"/>
    </row>
    <row r="531">
      <c r="A531" s="135">
        <v>46047.0</v>
      </c>
      <c r="B531" s="127">
        <v>-0.83</v>
      </c>
      <c r="C531" s="126"/>
      <c r="D531" s="127">
        <v>-0.83</v>
      </c>
      <c r="E531" s="126"/>
      <c r="F531" s="127">
        <v>-0.31</v>
      </c>
      <c r="G531" s="80"/>
      <c r="H531" s="80"/>
      <c r="I531" s="80"/>
      <c r="J531" s="80"/>
      <c r="K531" s="80"/>
      <c r="L531" s="80"/>
      <c r="M531" s="80"/>
      <c r="N531" s="80"/>
      <c r="O531" s="80"/>
      <c r="P531" s="80"/>
      <c r="Q531" s="80"/>
      <c r="R531" s="80"/>
      <c r="S531" s="80"/>
      <c r="T531" s="80"/>
      <c r="U531" s="80"/>
      <c r="V531" s="80"/>
      <c r="W531" s="80"/>
      <c r="X531" s="80"/>
      <c r="Y531" s="80"/>
      <c r="Z531" s="80"/>
    </row>
    <row r="532">
      <c r="A532" s="135">
        <v>46048.0</v>
      </c>
      <c r="B532" s="127">
        <v>-0.83</v>
      </c>
      <c r="C532" s="126"/>
      <c r="D532" s="127">
        <v>-0.83</v>
      </c>
      <c r="E532" s="126"/>
      <c r="F532" s="127">
        <v>-0.31</v>
      </c>
      <c r="G532" s="80"/>
      <c r="H532" s="80"/>
      <c r="I532" s="80"/>
      <c r="J532" s="80"/>
      <c r="K532" s="80"/>
      <c r="L532" s="80"/>
      <c r="M532" s="80"/>
      <c r="N532" s="80"/>
      <c r="O532" s="80"/>
      <c r="P532" s="80"/>
      <c r="Q532" s="80"/>
      <c r="R532" s="80"/>
      <c r="S532" s="80"/>
      <c r="T532" s="80"/>
      <c r="U532" s="80"/>
      <c r="V532" s="80"/>
      <c r="W532" s="80"/>
      <c r="X532" s="80"/>
      <c r="Y532" s="80"/>
      <c r="Z532" s="80"/>
    </row>
    <row r="533">
      <c r="A533" s="135">
        <v>46049.0</v>
      </c>
      <c r="B533" s="127">
        <v>-0.83</v>
      </c>
      <c r="C533" s="126"/>
      <c r="D533" s="127">
        <v>-0.83</v>
      </c>
      <c r="E533" s="126"/>
      <c r="F533" s="127">
        <v>-0.31</v>
      </c>
      <c r="G533" s="80"/>
      <c r="H533" s="80"/>
      <c r="I533" s="80"/>
      <c r="J533" s="80"/>
      <c r="K533" s="80"/>
      <c r="L533" s="80"/>
      <c r="M533" s="80"/>
      <c r="N533" s="80"/>
      <c r="O533" s="80"/>
      <c r="P533" s="80"/>
      <c r="Q533" s="80"/>
      <c r="R533" s="80"/>
      <c r="S533" s="80"/>
      <c r="T533" s="80"/>
      <c r="U533" s="80"/>
      <c r="V533" s="80"/>
      <c r="W533" s="80"/>
      <c r="X533" s="80"/>
      <c r="Y533" s="80"/>
      <c r="Z533" s="80"/>
    </row>
    <row r="534">
      <c r="A534" s="135">
        <v>46050.0</v>
      </c>
      <c r="B534" s="127">
        <v>-0.83</v>
      </c>
      <c r="C534" s="126"/>
      <c r="D534" s="127">
        <v>-0.83</v>
      </c>
      <c r="E534" s="126"/>
      <c r="F534" s="127">
        <v>-0.31</v>
      </c>
      <c r="G534" s="80"/>
      <c r="H534" s="80"/>
      <c r="I534" s="80"/>
      <c r="J534" s="80"/>
      <c r="K534" s="80"/>
      <c r="L534" s="80"/>
      <c r="M534" s="80"/>
      <c r="N534" s="80"/>
      <c r="O534" s="80"/>
      <c r="P534" s="80"/>
      <c r="Q534" s="80"/>
      <c r="R534" s="80"/>
      <c r="S534" s="80"/>
      <c r="T534" s="80"/>
      <c r="U534" s="80"/>
      <c r="V534" s="80"/>
      <c r="W534" s="80"/>
      <c r="X534" s="80"/>
      <c r="Y534" s="80"/>
      <c r="Z534" s="80"/>
    </row>
    <row r="535">
      <c r="A535" s="135">
        <v>46051.0</v>
      </c>
      <c r="B535" s="127">
        <v>-0.83</v>
      </c>
      <c r="C535" s="126"/>
      <c r="D535" s="127">
        <v>-0.83</v>
      </c>
      <c r="E535" s="126"/>
      <c r="F535" s="127">
        <v>-0.31</v>
      </c>
      <c r="G535" s="80"/>
      <c r="H535" s="80"/>
      <c r="I535" s="80"/>
      <c r="J535" s="80"/>
      <c r="K535" s="80"/>
      <c r="L535" s="80"/>
      <c r="M535" s="80"/>
      <c r="N535" s="80"/>
      <c r="O535" s="80"/>
      <c r="P535" s="80"/>
      <c r="Q535" s="80"/>
      <c r="R535" s="80"/>
      <c r="S535" s="80"/>
      <c r="T535" s="80"/>
      <c r="U535" s="80"/>
      <c r="V535" s="80"/>
      <c r="W535" s="80"/>
      <c r="X535" s="80"/>
      <c r="Y535" s="80"/>
      <c r="Z535" s="80"/>
    </row>
    <row r="536">
      <c r="A536" s="135">
        <v>46052.0</v>
      </c>
      <c r="B536" s="127">
        <v>-0.83</v>
      </c>
      <c r="C536" s="126"/>
      <c r="D536" s="127">
        <v>-0.83</v>
      </c>
      <c r="E536" s="126"/>
      <c r="F536" s="127">
        <v>-0.31</v>
      </c>
      <c r="G536" s="80"/>
      <c r="H536" s="80"/>
      <c r="I536" s="80"/>
      <c r="J536" s="80"/>
      <c r="K536" s="80"/>
      <c r="L536" s="80"/>
      <c r="M536" s="80"/>
      <c r="N536" s="80"/>
      <c r="O536" s="80"/>
      <c r="P536" s="80"/>
      <c r="Q536" s="80"/>
      <c r="R536" s="80"/>
      <c r="S536" s="80"/>
      <c r="T536" s="80"/>
      <c r="U536" s="80"/>
      <c r="V536" s="80"/>
      <c r="W536" s="80"/>
      <c r="X536" s="80"/>
      <c r="Y536" s="80"/>
      <c r="Z536" s="80"/>
    </row>
    <row r="537">
      <c r="A537" s="135">
        <v>46053.0</v>
      </c>
      <c r="B537" s="127">
        <v>-1.0</v>
      </c>
      <c r="C537" s="126"/>
      <c r="D537" s="127">
        <v>-1.0</v>
      </c>
      <c r="E537" s="126"/>
      <c r="F537" s="127">
        <v>-0.31</v>
      </c>
      <c r="G537" s="80"/>
      <c r="H537" s="80"/>
      <c r="I537" s="80"/>
      <c r="J537" s="80"/>
      <c r="K537" s="80"/>
      <c r="L537" s="80"/>
      <c r="M537" s="80"/>
      <c r="N537" s="80"/>
      <c r="O537" s="80"/>
      <c r="P537" s="80"/>
      <c r="Q537" s="80"/>
      <c r="R537" s="80"/>
      <c r="S537" s="80"/>
      <c r="T537" s="80"/>
      <c r="U537" s="80"/>
      <c r="V537" s="80"/>
      <c r="W537" s="80"/>
      <c r="X537" s="80"/>
      <c r="Y537" s="80"/>
      <c r="Z537" s="80"/>
    </row>
    <row r="538">
      <c r="A538" s="135">
        <v>46054.0</v>
      </c>
      <c r="B538" s="127">
        <v>-1.0</v>
      </c>
      <c r="C538" s="126"/>
      <c r="D538" s="127">
        <v>-1.0</v>
      </c>
      <c r="E538" s="126"/>
      <c r="F538" s="127">
        <v>-0.31</v>
      </c>
      <c r="G538" s="80"/>
      <c r="H538" s="80"/>
      <c r="I538" s="80"/>
      <c r="J538" s="80"/>
      <c r="K538" s="80"/>
      <c r="L538" s="80"/>
      <c r="M538" s="80"/>
      <c r="N538" s="80"/>
      <c r="O538" s="80"/>
      <c r="P538" s="80"/>
      <c r="Q538" s="80"/>
      <c r="R538" s="80"/>
      <c r="S538" s="80"/>
      <c r="T538" s="80"/>
      <c r="U538" s="80"/>
      <c r="V538" s="80"/>
      <c r="W538" s="80"/>
      <c r="X538" s="80"/>
      <c r="Y538" s="80"/>
      <c r="Z538" s="80"/>
    </row>
    <row r="539">
      <c r="A539" s="135">
        <v>46055.0</v>
      </c>
      <c r="B539" s="127">
        <v>-1.0</v>
      </c>
      <c r="C539" s="126"/>
      <c r="D539" s="127">
        <v>-1.0</v>
      </c>
      <c r="E539" s="126"/>
      <c r="F539" s="127">
        <v>-0.44</v>
      </c>
      <c r="G539" s="80"/>
      <c r="H539" s="80"/>
      <c r="I539" s="80"/>
      <c r="J539" s="80"/>
      <c r="K539" s="80"/>
      <c r="L539" s="80"/>
      <c r="M539" s="80"/>
      <c r="N539" s="80"/>
      <c r="O539" s="80"/>
      <c r="P539" s="80"/>
      <c r="Q539" s="80"/>
      <c r="R539" s="80"/>
      <c r="S539" s="80"/>
      <c r="T539" s="80"/>
      <c r="U539" s="80"/>
      <c r="V539" s="80"/>
      <c r="W539" s="80"/>
      <c r="X539" s="80"/>
      <c r="Y539" s="80"/>
      <c r="Z539" s="80"/>
    </row>
    <row r="540">
      <c r="A540" s="135">
        <v>46056.0</v>
      </c>
      <c r="B540" s="127">
        <v>-1.0</v>
      </c>
      <c r="C540" s="126"/>
      <c r="D540" s="127">
        <v>-1.0</v>
      </c>
      <c r="E540" s="126"/>
      <c r="F540" s="139">
        <v>-0.81</v>
      </c>
      <c r="G540" s="80"/>
      <c r="H540" s="80"/>
      <c r="I540" s="80"/>
      <c r="J540" s="80"/>
      <c r="K540" s="80"/>
      <c r="L540" s="80"/>
      <c r="M540" s="80"/>
      <c r="N540" s="80"/>
      <c r="O540" s="80"/>
      <c r="P540" s="80"/>
      <c r="Q540" s="80"/>
      <c r="R540" s="80"/>
      <c r="S540" s="80"/>
      <c r="T540" s="80"/>
      <c r="U540" s="80"/>
      <c r="V540" s="80"/>
      <c r="W540" s="80"/>
      <c r="X540" s="80"/>
      <c r="Y540" s="80"/>
      <c r="Z540" s="80"/>
    </row>
    <row r="541">
      <c r="A541" s="135">
        <v>46057.0</v>
      </c>
      <c r="B541" s="127">
        <v>-1.0</v>
      </c>
      <c r="C541" s="126"/>
      <c r="D541" s="127">
        <v>-1.0</v>
      </c>
      <c r="E541" s="126"/>
      <c r="F541" s="139">
        <v>-0.81</v>
      </c>
      <c r="G541" s="80"/>
      <c r="H541" s="80"/>
      <c r="I541" s="80"/>
      <c r="J541" s="80"/>
      <c r="K541" s="80"/>
      <c r="L541" s="80"/>
      <c r="M541" s="80"/>
      <c r="N541" s="80"/>
      <c r="O541" s="80"/>
      <c r="P541" s="80"/>
      <c r="Q541" s="80"/>
      <c r="R541" s="80"/>
      <c r="S541" s="80"/>
      <c r="T541" s="80"/>
      <c r="U541" s="80"/>
      <c r="V541" s="80"/>
      <c r="W541" s="80"/>
      <c r="X541" s="80"/>
      <c r="Y541" s="80"/>
      <c r="Z541" s="80"/>
    </row>
    <row r="542">
      <c r="A542" s="135">
        <v>46058.0</v>
      </c>
      <c r="B542" s="127">
        <v>-1.0</v>
      </c>
      <c r="C542" s="126"/>
      <c r="D542" s="127">
        <v>-1.0</v>
      </c>
      <c r="E542" s="126"/>
      <c r="F542" s="139">
        <v>-0.81</v>
      </c>
      <c r="G542" s="80"/>
      <c r="H542" s="80"/>
      <c r="I542" s="80"/>
      <c r="J542" s="80"/>
      <c r="K542" s="80"/>
      <c r="L542" s="80"/>
      <c r="M542" s="80"/>
      <c r="N542" s="80"/>
      <c r="O542" s="80"/>
      <c r="P542" s="80"/>
      <c r="Q542" s="80"/>
      <c r="R542" s="80"/>
      <c r="S542" s="80"/>
      <c r="T542" s="80"/>
      <c r="U542" s="80"/>
      <c r="V542" s="80"/>
      <c r="W542" s="80"/>
      <c r="X542" s="80"/>
      <c r="Y542" s="80"/>
      <c r="Z542" s="80"/>
    </row>
    <row r="543">
      <c r="A543" s="135">
        <v>46059.0</v>
      </c>
      <c r="B543" s="127">
        <v>-1.0</v>
      </c>
      <c r="C543" s="126"/>
      <c r="D543" s="127">
        <v>-1.0</v>
      </c>
      <c r="E543" s="126"/>
      <c r="F543" s="139">
        <v>-0.81</v>
      </c>
      <c r="G543" s="80"/>
      <c r="H543" s="80"/>
      <c r="I543" s="80"/>
      <c r="J543" s="80"/>
      <c r="K543" s="80"/>
      <c r="L543" s="80"/>
      <c r="M543" s="80"/>
      <c r="N543" s="80"/>
      <c r="O543" s="80"/>
      <c r="P543" s="80"/>
      <c r="Q543" s="80"/>
      <c r="R543" s="80"/>
      <c r="S543" s="80"/>
      <c r="T543" s="80"/>
      <c r="U543" s="80"/>
      <c r="V543" s="80"/>
      <c r="W543" s="80"/>
      <c r="X543" s="80"/>
      <c r="Y543" s="80"/>
      <c r="Z543" s="80"/>
    </row>
    <row r="544">
      <c r="A544" s="135">
        <v>46060.0</v>
      </c>
      <c r="B544" s="127">
        <v>-1.0</v>
      </c>
      <c r="C544" s="126"/>
      <c r="D544" s="127">
        <v>-1.0</v>
      </c>
      <c r="E544" s="126"/>
      <c r="F544" s="139">
        <v>-0.81</v>
      </c>
      <c r="G544" s="80"/>
      <c r="H544" s="80"/>
      <c r="I544" s="80"/>
      <c r="J544" s="80"/>
      <c r="K544" s="80"/>
      <c r="L544" s="80"/>
      <c r="M544" s="80"/>
      <c r="N544" s="80"/>
      <c r="O544" s="80"/>
      <c r="P544" s="80"/>
      <c r="Q544" s="80"/>
      <c r="R544" s="80"/>
      <c r="S544" s="80"/>
      <c r="T544" s="80"/>
      <c r="U544" s="80"/>
      <c r="V544" s="80"/>
      <c r="W544" s="80"/>
      <c r="X544" s="80"/>
      <c r="Y544" s="80"/>
      <c r="Z544" s="80"/>
    </row>
    <row r="545">
      <c r="A545" s="135">
        <v>46061.0</v>
      </c>
      <c r="B545" s="127">
        <v>-1.0</v>
      </c>
      <c r="C545" s="126"/>
      <c r="D545" s="127">
        <v>-1.0</v>
      </c>
      <c r="E545" s="126"/>
      <c r="F545" s="139">
        <v>-0.81</v>
      </c>
      <c r="G545" s="80"/>
      <c r="H545" s="80"/>
      <c r="I545" s="80"/>
      <c r="J545" s="80"/>
      <c r="K545" s="80"/>
      <c r="L545" s="80"/>
      <c r="M545" s="80"/>
      <c r="N545" s="80"/>
      <c r="O545" s="80"/>
      <c r="P545" s="80"/>
      <c r="Q545" s="80"/>
      <c r="R545" s="80"/>
      <c r="S545" s="80"/>
      <c r="T545" s="80"/>
      <c r="U545" s="80"/>
      <c r="V545" s="80"/>
      <c r="W545" s="80"/>
      <c r="X545" s="80"/>
      <c r="Y545" s="80"/>
      <c r="Z545" s="80"/>
    </row>
    <row r="546">
      <c r="A546" s="135">
        <v>46062.0</v>
      </c>
      <c r="B546" s="127">
        <v>-1.0</v>
      </c>
      <c r="C546" s="126"/>
      <c r="D546" s="127">
        <v>-1.0</v>
      </c>
      <c r="E546" s="126"/>
      <c r="F546" s="139">
        <v>-0.81</v>
      </c>
      <c r="G546" s="80"/>
      <c r="H546" s="80"/>
      <c r="I546" s="80"/>
      <c r="J546" s="80"/>
      <c r="K546" s="80"/>
      <c r="L546" s="80"/>
      <c r="M546" s="80"/>
      <c r="N546" s="80"/>
      <c r="O546" s="80"/>
      <c r="P546" s="80"/>
      <c r="Q546" s="80"/>
      <c r="R546" s="80"/>
      <c r="S546" s="80"/>
      <c r="T546" s="80"/>
      <c r="U546" s="80"/>
      <c r="V546" s="80"/>
      <c r="W546" s="80"/>
      <c r="X546" s="80"/>
      <c r="Y546" s="80"/>
      <c r="Z546" s="80"/>
    </row>
    <row r="547">
      <c r="A547" s="135">
        <v>46063.0</v>
      </c>
      <c r="B547" s="127">
        <v>-1.0</v>
      </c>
      <c r="C547" s="126"/>
      <c r="D547" s="127">
        <v>-1.0</v>
      </c>
      <c r="E547" s="126"/>
      <c r="F547" s="139">
        <v>-0.81</v>
      </c>
      <c r="G547" s="80"/>
      <c r="H547" s="80"/>
      <c r="I547" s="80"/>
      <c r="J547" s="80"/>
      <c r="K547" s="80"/>
      <c r="L547" s="80"/>
      <c r="M547" s="80"/>
      <c r="N547" s="80"/>
      <c r="O547" s="80"/>
      <c r="P547" s="80"/>
      <c r="Q547" s="80"/>
      <c r="R547" s="80"/>
      <c r="S547" s="80"/>
      <c r="T547" s="80"/>
      <c r="U547" s="80"/>
      <c r="V547" s="80"/>
      <c r="W547" s="80"/>
      <c r="X547" s="80"/>
      <c r="Y547" s="80"/>
      <c r="Z547" s="80"/>
    </row>
    <row r="548">
      <c r="A548" s="135">
        <v>46064.0</v>
      </c>
      <c r="B548" s="127">
        <v>-1.0</v>
      </c>
      <c r="C548" s="126"/>
      <c r="D548" s="127">
        <v>-1.0</v>
      </c>
      <c r="E548" s="126"/>
      <c r="F548" s="139">
        <v>-0.81</v>
      </c>
      <c r="G548" s="80"/>
      <c r="H548" s="80"/>
      <c r="I548" s="80"/>
      <c r="J548" s="80"/>
      <c r="K548" s="80"/>
      <c r="L548" s="80"/>
      <c r="M548" s="80"/>
      <c r="N548" s="80"/>
      <c r="O548" s="80"/>
      <c r="P548" s="80"/>
      <c r="Q548" s="80"/>
      <c r="R548" s="80"/>
      <c r="S548" s="80"/>
      <c r="T548" s="80"/>
      <c r="U548" s="80"/>
      <c r="V548" s="80"/>
      <c r="W548" s="80"/>
      <c r="X548" s="80"/>
      <c r="Y548" s="80"/>
      <c r="Z548" s="80"/>
    </row>
    <row r="549">
      <c r="A549" s="135">
        <v>46065.0</v>
      </c>
      <c r="B549" s="127">
        <v>-1.0</v>
      </c>
      <c r="C549" s="126"/>
      <c r="D549" s="127">
        <v>-1.0</v>
      </c>
      <c r="E549" s="126"/>
      <c r="F549" s="139">
        <v>-0.81</v>
      </c>
      <c r="G549" s="80"/>
      <c r="H549" s="80"/>
      <c r="I549" s="80"/>
      <c r="J549" s="80"/>
      <c r="K549" s="80"/>
      <c r="L549" s="80"/>
      <c r="M549" s="80"/>
      <c r="N549" s="80"/>
      <c r="O549" s="80"/>
      <c r="P549" s="80"/>
      <c r="Q549" s="80"/>
      <c r="R549" s="80"/>
      <c r="S549" s="80"/>
      <c r="T549" s="80"/>
      <c r="U549" s="80"/>
      <c r="V549" s="80"/>
      <c r="W549" s="80"/>
      <c r="X549" s="80"/>
      <c r="Y549" s="80"/>
      <c r="Z549" s="80"/>
    </row>
    <row r="550">
      <c r="A550" s="135">
        <v>46066.0</v>
      </c>
      <c r="B550" s="127">
        <v>-1.0</v>
      </c>
      <c r="C550" s="126"/>
      <c r="D550" s="127">
        <v>-1.0</v>
      </c>
      <c r="E550" s="126"/>
      <c r="F550" s="139">
        <v>-0.81</v>
      </c>
      <c r="G550" s="80"/>
      <c r="H550" s="80"/>
      <c r="I550" s="80"/>
      <c r="J550" s="80"/>
      <c r="K550" s="80"/>
      <c r="L550" s="80"/>
      <c r="M550" s="80"/>
      <c r="N550" s="80"/>
      <c r="O550" s="80"/>
      <c r="P550" s="80"/>
      <c r="Q550" s="80"/>
      <c r="R550" s="80"/>
      <c r="S550" s="80"/>
      <c r="T550" s="80"/>
      <c r="U550" s="80"/>
      <c r="V550" s="80"/>
      <c r="W550" s="80"/>
      <c r="X550" s="80"/>
      <c r="Y550" s="80"/>
      <c r="Z550" s="80"/>
    </row>
    <row r="551">
      <c r="A551" s="135">
        <v>46067.0</v>
      </c>
      <c r="B551" s="127">
        <v>-1.0</v>
      </c>
      <c r="C551" s="126"/>
      <c r="D551" s="127">
        <v>-1.0</v>
      </c>
      <c r="E551" s="126"/>
      <c r="F551" s="139">
        <v>-0.81</v>
      </c>
      <c r="G551" s="80"/>
      <c r="H551" s="80"/>
      <c r="I551" s="80"/>
      <c r="J551" s="80"/>
      <c r="K551" s="80"/>
      <c r="L551" s="80"/>
      <c r="M551" s="80"/>
      <c r="N551" s="80"/>
      <c r="O551" s="80"/>
      <c r="P551" s="80"/>
      <c r="Q551" s="80"/>
      <c r="R551" s="80"/>
      <c r="S551" s="80"/>
      <c r="T551" s="80"/>
      <c r="U551" s="80"/>
      <c r="V551" s="80"/>
      <c r="W551" s="80"/>
      <c r="X551" s="80"/>
      <c r="Y551" s="80"/>
      <c r="Z551" s="80"/>
    </row>
    <row r="552">
      <c r="A552" s="135">
        <v>46068.0</v>
      </c>
      <c r="B552" s="127">
        <v>-1.0</v>
      </c>
      <c r="C552" s="126"/>
      <c r="D552" s="127">
        <v>-1.0</v>
      </c>
      <c r="E552" s="126"/>
      <c r="F552" s="139">
        <v>-0.81</v>
      </c>
      <c r="G552" s="80"/>
      <c r="H552" s="80"/>
      <c r="I552" s="80"/>
      <c r="J552" s="80"/>
      <c r="K552" s="80"/>
      <c r="L552" s="80"/>
      <c r="M552" s="80"/>
      <c r="N552" s="80"/>
      <c r="O552" s="80"/>
      <c r="P552" s="80"/>
      <c r="Q552" s="80"/>
      <c r="R552" s="80"/>
      <c r="S552" s="80"/>
      <c r="T552" s="80"/>
      <c r="U552" s="80"/>
      <c r="V552" s="80"/>
      <c r="W552" s="80"/>
      <c r="X552" s="80"/>
      <c r="Y552" s="80"/>
      <c r="Z552" s="80"/>
    </row>
    <row r="553">
      <c r="A553" s="135">
        <v>46069.0</v>
      </c>
      <c r="B553" s="127">
        <v>-1.0</v>
      </c>
      <c r="C553" s="126"/>
      <c r="D553" s="127">
        <v>-1.0</v>
      </c>
      <c r="E553" s="126"/>
      <c r="F553" s="139">
        <v>-0.81</v>
      </c>
      <c r="G553" s="80"/>
      <c r="H553" s="80"/>
      <c r="I553" s="80"/>
      <c r="J553" s="80"/>
      <c r="K553" s="80"/>
      <c r="L553" s="80"/>
      <c r="M553" s="80"/>
      <c r="N553" s="80"/>
      <c r="O553" s="80"/>
      <c r="P553" s="80"/>
      <c r="Q553" s="80"/>
      <c r="R553" s="80"/>
      <c r="S553" s="80"/>
      <c r="T553" s="80"/>
      <c r="U553" s="80"/>
      <c r="V553" s="80"/>
      <c r="W553" s="80"/>
      <c r="X553" s="80"/>
      <c r="Y553" s="80"/>
      <c r="Z553" s="80"/>
    </row>
    <row r="554">
      <c r="A554" s="135">
        <v>46070.0</v>
      </c>
      <c r="B554" s="127">
        <v>-1.0</v>
      </c>
      <c r="C554" s="126"/>
      <c r="D554" s="127">
        <v>-1.0</v>
      </c>
      <c r="E554" s="126"/>
      <c r="F554" s="139">
        <v>-0.81</v>
      </c>
      <c r="G554" s="80"/>
      <c r="H554" s="80"/>
      <c r="I554" s="80"/>
      <c r="J554" s="80"/>
      <c r="K554" s="80"/>
      <c r="L554" s="80"/>
      <c r="M554" s="80"/>
      <c r="N554" s="80"/>
      <c r="O554" s="80"/>
      <c r="P554" s="80"/>
      <c r="Q554" s="80"/>
      <c r="R554" s="80"/>
      <c r="S554" s="80"/>
      <c r="T554" s="80"/>
      <c r="U554" s="80"/>
      <c r="V554" s="80"/>
      <c r="W554" s="80"/>
      <c r="X554" s="80"/>
      <c r="Y554" s="80"/>
      <c r="Z554" s="80"/>
    </row>
    <row r="555">
      <c r="A555" s="135">
        <v>46071.0</v>
      </c>
      <c r="B555" s="127">
        <v>-1.0</v>
      </c>
      <c r="C555" s="126"/>
      <c r="D555" s="127">
        <v>-1.0</v>
      </c>
      <c r="E555" s="126"/>
      <c r="F555" s="139">
        <v>-0.81</v>
      </c>
      <c r="G555" s="80"/>
      <c r="H555" s="80"/>
      <c r="I555" s="80"/>
      <c r="J555" s="80"/>
      <c r="K555" s="80"/>
      <c r="L555" s="80"/>
      <c r="M555" s="80"/>
      <c r="N555" s="80"/>
      <c r="O555" s="80"/>
      <c r="P555" s="80"/>
      <c r="Q555" s="80"/>
      <c r="R555" s="80"/>
      <c r="S555" s="80"/>
      <c r="T555" s="80"/>
      <c r="U555" s="80"/>
      <c r="V555" s="80"/>
      <c r="W555" s="80"/>
      <c r="X555" s="80"/>
      <c r="Y555" s="80"/>
      <c r="Z555" s="80"/>
    </row>
    <row r="556">
      <c r="A556" s="135">
        <v>46072.0</v>
      </c>
      <c r="B556" s="127">
        <v>-1.0</v>
      </c>
      <c r="C556" s="126"/>
      <c r="D556" s="127">
        <v>-1.0</v>
      </c>
      <c r="E556" s="126"/>
      <c r="F556" s="139">
        <v>-0.81</v>
      </c>
      <c r="G556" s="80"/>
      <c r="H556" s="80"/>
      <c r="I556" s="80"/>
      <c r="J556" s="80"/>
      <c r="K556" s="80"/>
      <c r="L556" s="80"/>
      <c r="M556" s="80"/>
      <c r="N556" s="80"/>
      <c r="O556" s="80"/>
      <c r="P556" s="80"/>
      <c r="Q556" s="80"/>
      <c r="R556" s="80"/>
      <c r="S556" s="80"/>
      <c r="T556" s="80"/>
      <c r="U556" s="80"/>
      <c r="V556" s="80"/>
      <c r="W556" s="80"/>
      <c r="X556" s="80"/>
      <c r="Y556" s="80"/>
      <c r="Z556" s="80"/>
    </row>
    <row r="557">
      <c r="A557" s="135">
        <v>46073.0</v>
      </c>
      <c r="B557" s="127">
        <v>-1.0</v>
      </c>
      <c r="C557" s="126"/>
      <c r="D557" s="127">
        <v>-1.0</v>
      </c>
      <c r="E557" s="126"/>
      <c r="F557" s="139">
        <v>-0.81</v>
      </c>
      <c r="G557" s="80"/>
      <c r="H557" s="80"/>
      <c r="I557" s="80"/>
      <c r="J557" s="80"/>
      <c r="K557" s="80"/>
      <c r="L557" s="80"/>
      <c r="M557" s="80"/>
      <c r="N557" s="80"/>
      <c r="O557" s="80"/>
      <c r="P557" s="80"/>
      <c r="Q557" s="80"/>
      <c r="R557" s="80"/>
      <c r="S557" s="80"/>
      <c r="T557" s="80"/>
      <c r="U557" s="80"/>
      <c r="V557" s="80"/>
      <c r="W557" s="80"/>
      <c r="X557" s="80"/>
      <c r="Y557" s="80"/>
      <c r="Z557" s="80"/>
    </row>
    <row r="558">
      <c r="A558" s="135">
        <v>46074.0</v>
      </c>
      <c r="B558" s="127">
        <v>-1.0</v>
      </c>
      <c r="C558" s="126"/>
      <c r="D558" s="127">
        <v>-1.0</v>
      </c>
      <c r="E558" s="126"/>
      <c r="F558" s="139">
        <v>-0.81</v>
      </c>
      <c r="G558" s="80"/>
      <c r="H558" s="80"/>
      <c r="I558" s="80"/>
      <c r="J558" s="80"/>
      <c r="K558" s="80"/>
      <c r="L558" s="80"/>
      <c r="M558" s="80"/>
      <c r="N558" s="80"/>
      <c r="O558" s="80"/>
      <c r="P558" s="80"/>
      <c r="Q558" s="80"/>
      <c r="R558" s="80"/>
      <c r="S558" s="80"/>
      <c r="T558" s="80"/>
      <c r="U558" s="80"/>
      <c r="V558" s="80"/>
      <c r="W558" s="80"/>
      <c r="X558" s="80"/>
      <c r="Y558" s="80"/>
      <c r="Z558" s="80"/>
    </row>
    <row r="559">
      <c r="A559" s="135">
        <v>46075.0</v>
      </c>
      <c r="B559" s="127">
        <v>-1.0</v>
      </c>
      <c r="C559" s="126"/>
      <c r="D559" s="127">
        <v>-1.0</v>
      </c>
      <c r="E559" s="126"/>
      <c r="F559" s="139">
        <v>-0.81</v>
      </c>
      <c r="G559" s="80"/>
      <c r="H559" s="80"/>
      <c r="I559" s="80"/>
      <c r="J559" s="80"/>
      <c r="K559" s="80"/>
      <c r="L559" s="80"/>
      <c r="M559" s="80"/>
      <c r="N559" s="80"/>
      <c r="O559" s="80"/>
      <c r="P559" s="80"/>
      <c r="Q559" s="80"/>
      <c r="R559" s="80"/>
      <c r="S559" s="80"/>
      <c r="T559" s="80"/>
      <c r="U559" s="80"/>
      <c r="V559" s="80"/>
      <c r="W559" s="80"/>
      <c r="X559" s="80"/>
      <c r="Y559" s="80"/>
      <c r="Z559" s="80"/>
    </row>
    <row r="560">
      <c r="A560" s="135">
        <v>46076.0</v>
      </c>
      <c r="B560" s="127">
        <v>-1.0</v>
      </c>
      <c r="C560" s="126"/>
      <c r="D560" s="127">
        <v>-1.0</v>
      </c>
      <c r="E560" s="126"/>
      <c r="F560" s="139">
        <v>-0.81</v>
      </c>
      <c r="G560" s="80"/>
      <c r="H560" s="80"/>
      <c r="I560" s="80"/>
      <c r="J560" s="80"/>
      <c r="K560" s="80"/>
      <c r="L560" s="80"/>
      <c r="M560" s="80"/>
      <c r="N560" s="80"/>
      <c r="O560" s="80"/>
      <c r="P560" s="80"/>
      <c r="Q560" s="80"/>
      <c r="R560" s="80"/>
      <c r="S560" s="80"/>
      <c r="T560" s="80"/>
      <c r="U560" s="80"/>
      <c r="V560" s="80"/>
      <c r="W560" s="80"/>
      <c r="X560" s="80"/>
      <c r="Y560" s="80"/>
      <c r="Z560" s="80"/>
    </row>
    <row r="561">
      <c r="A561" s="135">
        <v>46077.0</v>
      </c>
      <c r="B561" s="127">
        <v>-1.0</v>
      </c>
      <c r="C561" s="126"/>
      <c r="D561" s="127">
        <v>-1.0</v>
      </c>
      <c r="E561" s="126"/>
      <c r="F561" s="139">
        <v>-0.81</v>
      </c>
      <c r="G561" s="80"/>
      <c r="H561" s="80"/>
      <c r="I561" s="80"/>
      <c r="J561" s="80"/>
      <c r="K561" s="80"/>
      <c r="L561" s="80"/>
      <c r="M561" s="80"/>
      <c r="N561" s="80"/>
      <c r="O561" s="80"/>
      <c r="P561" s="80"/>
      <c r="Q561" s="80"/>
      <c r="R561" s="80"/>
      <c r="S561" s="80"/>
      <c r="T561" s="80"/>
      <c r="U561" s="80"/>
      <c r="V561" s="80"/>
      <c r="W561" s="80"/>
      <c r="X561" s="80"/>
      <c r="Y561" s="80"/>
      <c r="Z561" s="80"/>
    </row>
    <row r="562">
      <c r="A562" s="135">
        <v>46078.0</v>
      </c>
      <c r="B562" s="127">
        <v>-1.0</v>
      </c>
      <c r="C562" s="126"/>
      <c r="D562" s="127">
        <v>-1.0</v>
      </c>
      <c r="E562" s="126"/>
      <c r="F562" s="139">
        <v>-0.81</v>
      </c>
      <c r="G562" s="80"/>
      <c r="H562" s="80"/>
      <c r="I562" s="80"/>
      <c r="J562" s="80"/>
      <c r="K562" s="80"/>
      <c r="L562" s="80"/>
      <c r="M562" s="80"/>
      <c r="N562" s="80"/>
      <c r="O562" s="80"/>
      <c r="P562" s="80"/>
      <c r="Q562" s="80"/>
      <c r="R562" s="80"/>
      <c r="S562" s="80"/>
      <c r="T562" s="80"/>
      <c r="U562" s="80"/>
      <c r="V562" s="80"/>
      <c r="W562" s="80"/>
      <c r="X562" s="80"/>
      <c r="Y562" s="80"/>
      <c r="Z562" s="80"/>
    </row>
    <row r="563">
      <c r="A563" s="135">
        <v>46079.0</v>
      </c>
      <c r="B563" s="127">
        <v>-1.0</v>
      </c>
      <c r="C563" s="126"/>
      <c r="D563" s="127">
        <v>-1.0</v>
      </c>
      <c r="E563" s="126"/>
      <c r="F563" s="139">
        <v>-0.81</v>
      </c>
      <c r="G563" s="80"/>
      <c r="H563" s="80"/>
      <c r="I563" s="80"/>
      <c r="J563" s="80"/>
      <c r="K563" s="80"/>
      <c r="L563" s="80"/>
      <c r="M563" s="80"/>
      <c r="N563" s="80"/>
      <c r="O563" s="80"/>
      <c r="P563" s="80"/>
      <c r="Q563" s="80"/>
      <c r="R563" s="80"/>
      <c r="S563" s="80"/>
      <c r="T563" s="80"/>
      <c r="U563" s="80"/>
      <c r="V563" s="80"/>
      <c r="W563" s="80"/>
      <c r="X563" s="80"/>
      <c r="Y563" s="80"/>
      <c r="Z563" s="80"/>
    </row>
    <row r="564">
      <c r="A564" s="135">
        <v>46080.0</v>
      </c>
      <c r="B564" s="127">
        <v>-1.0</v>
      </c>
      <c r="C564" s="126"/>
      <c r="D564" s="127">
        <v>-1.0</v>
      </c>
      <c r="E564" s="126"/>
      <c r="F564" s="139">
        <v>-0.81</v>
      </c>
      <c r="G564" s="80"/>
      <c r="H564" s="80"/>
      <c r="I564" s="80"/>
      <c r="J564" s="80"/>
      <c r="K564" s="80"/>
      <c r="L564" s="80"/>
      <c r="M564" s="80"/>
      <c r="N564" s="80"/>
      <c r="O564" s="80"/>
      <c r="P564" s="80"/>
      <c r="Q564" s="80"/>
      <c r="R564" s="80"/>
      <c r="S564" s="80"/>
      <c r="T564" s="80"/>
      <c r="U564" s="80"/>
      <c r="V564" s="80"/>
      <c r="W564" s="80"/>
      <c r="X564" s="80"/>
      <c r="Y564" s="80"/>
      <c r="Z564" s="80"/>
    </row>
    <row r="565">
      <c r="A565" s="135">
        <v>46081.0</v>
      </c>
      <c r="B565" s="127">
        <v>-1.0</v>
      </c>
      <c r="C565" s="126"/>
      <c r="D565" s="127">
        <v>-1.0</v>
      </c>
      <c r="E565" s="126"/>
      <c r="F565" s="139">
        <v>-0.81</v>
      </c>
      <c r="G565" s="80"/>
      <c r="H565" s="80"/>
      <c r="I565" s="80"/>
      <c r="J565" s="80"/>
      <c r="K565" s="80"/>
      <c r="L565" s="80"/>
      <c r="M565" s="80"/>
      <c r="N565" s="80"/>
      <c r="O565" s="80"/>
      <c r="P565" s="80"/>
      <c r="Q565" s="80"/>
      <c r="R565" s="80"/>
      <c r="S565" s="80"/>
      <c r="T565" s="80"/>
      <c r="U565" s="80"/>
      <c r="V565" s="80"/>
      <c r="W565" s="80"/>
      <c r="X565" s="80"/>
      <c r="Y565" s="80"/>
      <c r="Z565" s="80"/>
    </row>
    <row r="566">
      <c r="A566" s="135">
        <v>46082.0</v>
      </c>
      <c r="B566" s="127">
        <v>-1.0</v>
      </c>
      <c r="C566" s="126"/>
      <c r="D566" s="127">
        <v>-1.0</v>
      </c>
      <c r="E566" s="126"/>
      <c r="F566" s="139">
        <v>-0.81</v>
      </c>
      <c r="G566" s="80"/>
      <c r="H566" s="80"/>
      <c r="I566" s="80"/>
      <c r="J566" s="80"/>
      <c r="K566" s="80"/>
      <c r="L566" s="80"/>
      <c r="M566" s="80"/>
      <c r="N566" s="80"/>
      <c r="O566" s="80"/>
      <c r="P566" s="80"/>
      <c r="Q566" s="80"/>
      <c r="R566" s="80"/>
      <c r="S566" s="80"/>
      <c r="T566" s="80"/>
      <c r="U566" s="80"/>
      <c r="V566" s="80"/>
      <c r="W566" s="80"/>
      <c r="X566" s="80"/>
      <c r="Y566" s="80"/>
      <c r="Z566" s="80"/>
    </row>
    <row r="567">
      <c r="A567" s="135">
        <v>46083.0</v>
      </c>
      <c r="B567" s="127">
        <v>-1.0</v>
      </c>
      <c r="C567" s="126"/>
      <c r="D567" s="127">
        <v>-1.0</v>
      </c>
      <c r="E567" s="126"/>
      <c r="F567" s="139">
        <v>-0.81</v>
      </c>
      <c r="G567" s="80"/>
      <c r="H567" s="80"/>
      <c r="I567" s="80"/>
      <c r="J567" s="80"/>
      <c r="K567" s="80"/>
      <c r="L567" s="80"/>
      <c r="M567" s="80"/>
      <c r="N567" s="80"/>
      <c r="O567" s="80"/>
      <c r="P567" s="80"/>
      <c r="Q567" s="80"/>
      <c r="R567" s="80"/>
      <c r="S567" s="80"/>
      <c r="T567" s="80"/>
      <c r="U567" s="80"/>
      <c r="V567" s="80"/>
      <c r="W567" s="80"/>
      <c r="X567" s="80"/>
      <c r="Y567" s="80"/>
      <c r="Z567" s="80"/>
    </row>
    <row r="568">
      <c r="A568" s="135">
        <v>46084.0</v>
      </c>
      <c r="B568" s="127">
        <v>-1.0</v>
      </c>
      <c r="C568" s="126"/>
      <c r="D568" s="127">
        <v>-1.0</v>
      </c>
      <c r="E568" s="126"/>
      <c r="F568" s="139">
        <v>-0.81</v>
      </c>
      <c r="G568" s="80"/>
      <c r="H568" s="80"/>
      <c r="I568" s="80"/>
      <c r="J568" s="80"/>
      <c r="K568" s="80"/>
      <c r="L568" s="80"/>
      <c r="M568" s="80"/>
      <c r="N568" s="80"/>
      <c r="O568" s="80"/>
      <c r="P568" s="80"/>
      <c r="Q568" s="80"/>
      <c r="R568" s="80"/>
      <c r="S568" s="80"/>
      <c r="T568" s="80"/>
      <c r="U568" s="80"/>
      <c r="V568" s="80"/>
      <c r="W568" s="80"/>
      <c r="X568" s="80"/>
      <c r="Y568" s="80"/>
      <c r="Z568" s="80"/>
    </row>
    <row r="569">
      <c r="A569" s="135">
        <v>46085.0</v>
      </c>
      <c r="B569" s="127">
        <v>-0.71</v>
      </c>
      <c r="C569" s="126"/>
      <c r="D569" s="127">
        <v>-0.86</v>
      </c>
      <c r="E569" s="126"/>
      <c r="F569" s="139">
        <v>-0.81</v>
      </c>
      <c r="G569" s="80"/>
      <c r="H569" s="80"/>
      <c r="I569" s="80"/>
      <c r="J569" s="80"/>
      <c r="K569" s="80"/>
      <c r="L569" s="80"/>
      <c r="M569" s="80"/>
      <c r="N569" s="80"/>
      <c r="O569" s="80"/>
      <c r="P569" s="80"/>
      <c r="Q569" s="80"/>
      <c r="R569" s="80"/>
      <c r="S569" s="80"/>
      <c r="T569" s="80"/>
      <c r="U569" s="80"/>
      <c r="V569" s="80"/>
      <c r="W569" s="80"/>
      <c r="X569" s="80"/>
      <c r="Y569" s="80"/>
      <c r="Z569" s="80"/>
    </row>
    <row r="570">
      <c r="A570" s="135">
        <v>46086.0</v>
      </c>
      <c r="B570" s="127">
        <v>-0.71</v>
      </c>
      <c r="C570" s="126"/>
      <c r="D570" s="127">
        <v>-0.86</v>
      </c>
      <c r="E570" s="126"/>
      <c r="F570" s="139">
        <v>-0.81</v>
      </c>
      <c r="G570" s="80"/>
      <c r="H570" s="80"/>
      <c r="I570" s="80"/>
      <c r="J570" s="80"/>
      <c r="K570" s="80"/>
      <c r="L570" s="80"/>
      <c r="M570" s="80"/>
      <c r="N570" s="80"/>
      <c r="O570" s="80"/>
      <c r="P570" s="80"/>
      <c r="Q570" s="80"/>
      <c r="R570" s="80"/>
      <c r="S570" s="80"/>
      <c r="T570" s="80"/>
      <c r="U570" s="80"/>
      <c r="V570" s="80"/>
      <c r="W570" s="80"/>
      <c r="X570" s="80"/>
      <c r="Y570" s="80"/>
      <c r="Z570" s="80"/>
    </row>
    <row r="571">
      <c r="A571" s="135">
        <v>46087.0</v>
      </c>
      <c r="B571" s="127">
        <v>-0.71</v>
      </c>
      <c r="C571" s="126"/>
      <c r="D571" s="127">
        <v>-0.86</v>
      </c>
      <c r="E571" s="126"/>
      <c r="F571" s="139">
        <v>-0.81</v>
      </c>
      <c r="G571" s="80"/>
      <c r="H571" s="80"/>
      <c r="I571" s="80"/>
      <c r="J571" s="80"/>
      <c r="K571" s="80"/>
      <c r="L571" s="80"/>
      <c r="M571" s="80"/>
      <c r="N571" s="80"/>
      <c r="O571" s="80"/>
      <c r="P571" s="80"/>
      <c r="Q571" s="80"/>
      <c r="R571" s="80"/>
      <c r="S571" s="80"/>
      <c r="T571" s="80"/>
      <c r="U571" s="80"/>
      <c r="V571" s="80"/>
      <c r="W571" s="80"/>
      <c r="X571" s="80"/>
      <c r="Y571" s="80"/>
      <c r="Z571" s="80"/>
    </row>
    <row r="572">
      <c r="A572" s="135">
        <v>46088.0</v>
      </c>
      <c r="B572" s="127">
        <v>-0.71</v>
      </c>
      <c r="C572" s="126"/>
      <c r="D572" s="127">
        <v>-0.86</v>
      </c>
      <c r="E572" s="126"/>
      <c r="F572" s="139">
        <v>-0.81</v>
      </c>
      <c r="G572" s="80"/>
      <c r="H572" s="80"/>
      <c r="I572" s="80"/>
      <c r="J572" s="80"/>
      <c r="K572" s="80"/>
      <c r="L572" s="80"/>
      <c r="M572" s="80"/>
      <c r="N572" s="80"/>
      <c r="O572" s="80"/>
      <c r="P572" s="80"/>
      <c r="Q572" s="80"/>
      <c r="R572" s="80"/>
      <c r="S572" s="80"/>
      <c r="T572" s="80"/>
      <c r="U572" s="80"/>
      <c r="V572" s="80"/>
      <c r="W572" s="80"/>
      <c r="X572" s="80"/>
      <c r="Y572" s="80"/>
      <c r="Z572" s="80"/>
    </row>
    <row r="573">
      <c r="A573" s="135">
        <v>46089.0</v>
      </c>
      <c r="B573" s="127">
        <v>-0.71</v>
      </c>
      <c r="C573" s="126"/>
      <c r="D573" s="127">
        <v>-0.86</v>
      </c>
      <c r="E573" s="126"/>
      <c r="F573" s="139">
        <v>-0.81</v>
      </c>
      <c r="G573" s="80"/>
      <c r="H573" s="80"/>
      <c r="I573" s="80"/>
      <c r="J573" s="80"/>
      <c r="K573" s="80"/>
      <c r="L573" s="80"/>
      <c r="M573" s="80"/>
      <c r="N573" s="80"/>
      <c r="O573" s="80"/>
      <c r="P573" s="80"/>
      <c r="Q573" s="80"/>
      <c r="R573" s="80"/>
      <c r="S573" s="80"/>
      <c r="T573" s="80"/>
      <c r="U573" s="80"/>
      <c r="V573" s="80"/>
      <c r="W573" s="80"/>
      <c r="X573" s="80"/>
      <c r="Y573" s="80"/>
      <c r="Z573" s="80"/>
    </row>
    <row r="574">
      <c r="A574" s="135">
        <v>46090.0</v>
      </c>
      <c r="B574" s="127">
        <v>-0.71</v>
      </c>
      <c r="C574" s="126"/>
      <c r="D574" s="127">
        <v>-0.86</v>
      </c>
      <c r="E574" s="126"/>
      <c r="F574" s="139">
        <v>-0.81</v>
      </c>
      <c r="G574" s="80"/>
      <c r="H574" s="80"/>
      <c r="I574" s="80"/>
      <c r="J574" s="80"/>
      <c r="K574" s="80"/>
      <c r="L574" s="80"/>
      <c r="M574" s="80"/>
      <c r="N574" s="80"/>
      <c r="O574" s="80"/>
      <c r="P574" s="80"/>
      <c r="Q574" s="80"/>
      <c r="R574" s="80"/>
      <c r="S574" s="80"/>
      <c r="T574" s="80"/>
      <c r="U574" s="80"/>
      <c r="V574" s="80"/>
      <c r="W574" s="80"/>
      <c r="X574" s="80"/>
      <c r="Y574" s="80"/>
      <c r="Z574" s="80"/>
    </row>
    <row r="575">
      <c r="A575" s="135">
        <v>46091.0</v>
      </c>
      <c r="B575" s="127">
        <v>-0.71</v>
      </c>
      <c r="C575" s="126"/>
      <c r="D575" s="127">
        <v>-0.86</v>
      </c>
      <c r="E575" s="126"/>
      <c r="F575" s="139">
        <v>-0.81</v>
      </c>
      <c r="G575" s="80"/>
      <c r="H575" s="80"/>
      <c r="I575" s="80"/>
      <c r="J575" s="80"/>
      <c r="K575" s="80"/>
      <c r="L575" s="80"/>
      <c r="M575" s="80"/>
      <c r="N575" s="80"/>
      <c r="O575" s="80"/>
      <c r="P575" s="80"/>
      <c r="Q575" s="80"/>
      <c r="R575" s="80"/>
      <c r="S575" s="80"/>
      <c r="T575" s="80"/>
      <c r="U575" s="80"/>
      <c r="V575" s="80"/>
      <c r="W575" s="80"/>
      <c r="X575" s="80"/>
      <c r="Y575" s="80"/>
      <c r="Z575" s="80"/>
    </row>
    <row r="576">
      <c r="A576" s="135">
        <v>46092.0</v>
      </c>
      <c r="B576" s="127">
        <v>-0.71</v>
      </c>
      <c r="C576" s="126"/>
      <c r="D576" s="127">
        <v>-0.86</v>
      </c>
      <c r="E576" s="126"/>
      <c r="F576" s="139">
        <v>-0.81</v>
      </c>
      <c r="G576" s="80"/>
      <c r="H576" s="80"/>
      <c r="I576" s="80"/>
      <c r="J576" s="80"/>
      <c r="K576" s="80"/>
      <c r="L576" s="80"/>
      <c r="M576" s="80"/>
      <c r="N576" s="80"/>
      <c r="O576" s="80"/>
      <c r="P576" s="80"/>
      <c r="Q576" s="80"/>
      <c r="R576" s="80"/>
      <c r="S576" s="80"/>
      <c r="T576" s="80"/>
      <c r="U576" s="80"/>
      <c r="V576" s="80"/>
      <c r="W576" s="80"/>
      <c r="X576" s="80"/>
      <c r="Y576" s="80"/>
      <c r="Z576" s="80"/>
    </row>
    <row r="577">
      <c r="A577" s="135">
        <v>46093.0</v>
      </c>
      <c r="B577" s="127">
        <v>-0.71</v>
      </c>
      <c r="C577" s="126"/>
      <c r="D577" s="127">
        <v>-0.86</v>
      </c>
      <c r="E577" s="126"/>
      <c r="F577" s="139">
        <v>-0.81</v>
      </c>
      <c r="G577" s="80"/>
      <c r="H577" s="80"/>
      <c r="I577" s="80"/>
      <c r="J577" s="80"/>
      <c r="K577" s="80"/>
      <c r="L577" s="80"/>
      <c r="M577" s="80"/>
      <c r="N577" s="80"/>
      <c r="O577" s="80"/>
      <c r="P577" s="80"/>
      <c r="Q577" s="80"/>
      <c r="R577" s="80"/>
      <c r="S577" s="80"/>
      <c r="T577" s="80"/>
      <c r="U577" s="80"/>
      <c r="V577" s="80"/>
      <c r="W577" s="80"/>
      <c r="X577" s="80"/>
      <c r="Y577" s="80"/>
      <c r="Z577" s="80"/>
    </row>
    <row r="578">
      <c r="A578" s="135">
        <v>46094.0</v>
      </c>
      <c r="B578" s="127">
        <v>-0.71</v>
      </c>
      <c r="C578" s="126"/>
      <c r="D578" s="127">
        <v>-0.86</v>
      </c>
      <c r="E578" s="126"/>
      <c r="F578" s="139">
        <v>-0.81</v>
      </c>
      <c r="G578" s="80"/>
      <c r="H578" s="80"/>
      <c r="I578" s="80"/>
      <c r="J578" s="80"/>
      <c r="K578" s="80"/>
      <c r="L578" s="80"/>
      <c r="M578" s="80"/>
      <c r="N578" s="80"/>
      <c r="O578" s="80"/>
      <c r="P578" s="80"/>
      <c r="Q578" s="80"/>
      <c r="R578" s="80"/>
      <c r="S578" s="80"/>
      <c r="T578" s="80"/>
      <c r="U578" s="80"/>
      <c r="V578" s="80"/>
      <c r="W578" s="80"/>
      <c r="X578" s="80"/>
      <c r="Y578" s="80"/>
      <c r="Z578" s="80"/>
    </row>
    <row r="579">
      <c r="A579" s="126"/>
      <c r="B579" s="126"/>
      <c r="C579" s="126"/>
      <c r="D579" s="126"/>
      <c r="E579" s="126"/>
      <c r="F579" s="126"/>
      <c r="G579" s="80"/>
      <c r="H579" s="80"/>
      <c r="I579" s="80"/>
      <c r="J579" s="80"/>
      <c r="K579" s="80"/>
      <c r="L579" s="80"/>
      <c r="M579" s="80"/>
      <c r="N579" s="80"/>
      <c r="O579" s="80"/>
      <c r="P579" s="80"/>
      <c r="Q579" s="80"/>
      <c r="R579" s="80"/>
      <c r="S579" s="80"/>
      <c r="T579" s="80"/>
      <c r="U579" s="80"/>
      <c r="V579" s="80"/>
      <c r="W579" s="80"/>
      <c r="X579" s="80"/>
      <c r="Y579" s="80"/>
      <c r="Z579" s="80"/>
    </row>
    <row r="580">
      <c r="A580" s="126"/>
      <c r="B580" s="126"/>
      <c r="C580" s="126"/>
      <c r="D580" s="126"/>
      <c r="E580" s="126"/>
      <c r="F580" s="126"/>
      <c r="G580" s="80"/>
      <c r="H580" s="80"/>
      <c r="I580" s="80"/>
      <c r="J580" s="80"/>
      <c r="K580" s="80"/>
      <c r="L580" s="80"/>
      <c r="M580" s="80"/>
      <c r="N580" s="80"/>
      <c r="O580" s="80"/>
      <c r="P580" s="80"/>
      <c r="Q580" s="80"/>
      <c r="R580" s="80"/>
      <c r="S580" s="80"/>
      <c r="T580" s="80"/>
      <c r="U580" s="80"/>
      <c r="V580" s="80"/>
      <c r="W580" s="80"/>
      <c r="X580" s="80"/>
      <c r="Y580" s="80"/>
      <c r="Z580" s="80"/>
    </row>
    <row r="581">
      <c r="A581" s="126"/>
      <c r="B581" s="126"/>
      <c r="C581" s="126"/>
      <c r="D581" s="126"/>
      <c r="E581" s="126"/>
      <c r="F581" s="126"/>
      <c r="G581" s="80"/>
      <c r="H581" s="80"/>
      <c r="I581" s="80"/>
      <c r="J581" s="80"/>
      <c r="K581" s="80"/>
      <c r="L581" s="80"/>
      <c r="M581" s="80"/>
      <c r="N581" s="80"/>
      <c r="O581" s="80"/>
      <c r="P581" s="80"/>
      <c r="Q581" s="80"/>
      <c r="R581" s="80"/>
      <c r="S581" s="80"/>
      <c r="T581" s="80"/>
      <c r="U581" s="80"/>
      <c r="V581" s="80"/>
      <c r="W581" s="80"/>
      <c r="X581" s="80"/>
      <c r="Y581" s="80"/>
      <c r="Z581" s="80"/>
    </row>
    <row r="582">
      <c r="A582" s="126"/>
      <c r="B582" s="126"/>
      <c r="C582" s="126"/>
      <c r="D582" s="126"/>
      <c r="E582" s="126"/>
      <c r="F582" s="126"/>
      <c r="G582" s="80"/>
      <c r="H582" s="80"/>
      <c r="I582" s="80"/>
      <c r="J582" s="80"/>
      <c r="K582" s="80"/>
      <c r="L582" s="80"/>
      <c r="M582" s="80"/>
      <c r="N582" s="80"/>
      <c r="O582" s="80"/>
      <c r="P582" s="80"/>
      <c r="Q582" s="80"/>
      <c r="R582" s="80"/>
      <c r="S582" s="80"/>
      <c r="T582" s="80"/>
      <c r="U582" s="80"/>
      <c r="V582" s="80"/>
      <c r="W582" s="80"/>
      <c r="X582" s="80"/>
      <c r="Y582" s="80"/>
      <c r="Z582" s="80"/>
    </row>
    <row r="583">
      <c r="A583" s="126"/>
      <c r="B583" s="126"/>
      <c r="C583" s="126"/>
      <c r="D583" s="126"/>
      <c r="E583" s="126"/>
      <c r="F583" s="126"/>
      <c r="G583" s="80"/>
      <c r="H583" s="80"/>
      <c r="I583" s="80"/>
      <c r="J583" s="80"/>
      <c r="K583" s="80"/>
      <c r="L583" s="80"/>
      <c r="M583" s="80"/>
      <c r="N583" s="80"/>
      <c r="O583" s="80"/>
      <c r="P583" s="80"/>
      <c r="Q583" s="80"/>
      <c r="R583" s="80"/>
      <c r="S583" s="80"/>
      <c r="T583" s="80"/>
      <c r="U583" s="80"/>
      <c r="V583" s="80"/>
      <c r="W583" s="80"/>
      <c r="X583" s="80"/>
      <c r="Y583" s="80"/>
      <c r="Z583" s="80"/>
    </row>
    <row r="584">
      <c r="A584" s="126"/>
      <c r="B584" s="126"/>
      <c r="C584" s="126"/>
      <c r="D584" s="126"/>
      <c r="E584" s="126"/>
      <c r="F584" s="126"/>
      <c r="G584" s="80"/>
      <c r="H584" s="80"/>
      <c r="I584" s="80"/>
      <c r="J584" s="80"/>
      <c r="K584" s="80"/>
      <c r="L584" s="80"/>
      <c r="M584" s="80"/>
      <c r="N584" s="80"/>
      <c r="O584" s="80"/>
      <c r="P584" s="80"/>
      <c r="Q584" s="80"/>
      <c r="R584" s="80"/>
      <c r="S584" s="80"/>
      <c r="T584" s="80"/>
      <c r="U584" s="80"/>
      <c r="V584" s="80"/>
      <c r="W584" s="80"/>
      <c r="X584" s="80"/>
      <c r="Y584" s="80"/>
      <c r="Z584" s="80"/>
    </row>
    <row r="585">
      <c r="A585" s="126"/>
      <c r="B585" s="126"/>
      <c r="C585" s="126"/>
      <c r="D585" s="126"/>
      <c r="E585" s="126"/>
      <c r="F585" s="126"/>
      <c r="G585" s="80"/>
      <c r="H585" s="80"/>
      <c r="I585" s="80"/>
      <c r="J585" s="80"/>
      <c r="K585" s="80"/>
      <c r="L585" s="80"/>
      <c r="M585" s="80"/>
      <c r="N585" s="80"/>
      <c r="O585" s="80"/>
      <c r="P585" s="80"/>
      <c r="Q585" s="80"/>
      <c r="R585" s="80"/>
      <c r="S585" s="80"/>
      <c r="T585" s="80"/>
      <c r="U585" s="80"/>
      <c r="V585" s="80"/>
      <c r="W585" s="80"/>
      <c r="X585" s="80"/>
      <c r="Y585" s="80"/>
      <c r="Z585" s="80"/>
    </row>
    <row r="586">
      <c r="A586" s="126"/>
      <c r="B586" s="126"/>
      <c r="C586" s="126"/>
      <c r="D586" s="126"/>
      <c r="E586" s="126"/>
      <c r="F586" s="126"/>
      <c r="G586" s="80"/>
      <c r="H586" s="80"/>
      <c r="I586" s="80"/>
      <c r="J586" s="80"/>
      <c r="K586" s="80"/>
      <c r="L586" s="80"/>
      <c r="M586" s="80"/>
      <c r="N586" s="80"/>
      <c r="O586" s="80"/>
      <c r="P586" s="80"/>
      <c r="Q586" s="80"/>
      <c r="R586" s="80"/>
      <c r="S586" s="80"/>
      <c r="T586" s="80"/>
      <c r="U586" s="80"/>
      <c r="V586" s="80"/>
      <c r="W586" s="80"/>
      <c r="X586" s="80"/>
      <c r="Y586" s="80"/>
      <c r="Z586" s="80"/>
    </row>
    <row r="587">
      <c r="A587" s="126"/>
      <c r="B587" s="126"/>
      <c r="C587" s="126"/>
      <c r="D587" s="126"/>
      <c r="E587" s="126"/>
      <c r="F587" s="126"/>
      <c r="G587" s="80"/>
      <c r="H587" s="80"/>
      <c r="I587" s="80"/>
      <c r="J587" s="80"/>
      <c r="K587" s="80"/>
      <c r="L587" s="80"/>
      <c r="M587" s="80"/>
      <c r="N587" s="80"/>
      <c r="O587" s="80"/>
      <c r="P587" s="80"/>
      <c r="Q587" s="80"/>
      <c r="R587" s="80"/>
      <c r="S587" s="80"/>
      <c r="T587" s="80"/>
      <c r="U587" s="80"/>
      <c r="V587" s="80"/>
      <c r="W587" s="80"/>
      <c r="X587" s="80"/>
      <c r="Y587" s="80"/>
      <c r="Z587" s="80"/>
    </row>
    <row r="588">
      <c r="A588" s="126"/>
      <c r="B588" s="126"/>
      <c r="C588" s="126"/>
      <c r="D588" s="126"/>
      <c r="E588" s="126"/>
      <c r="F588" s="126"/>
      <c r="G588" s="80"/>
      <c r="H588" s="80"/>
      <c r="I588" s="80"/>
      <c r="J588" s="80"/>
      <c r="K588" s="80"/>
      <c r="L588" s="80"/>
      <c r="M588" s="80"/>
      <c r="N588" s="80"/>
      <c r="O588" s="80"/>
      <c r="P588" s="80"/>
      <c r="Q588" s="80"/>
      <c r="R588" s="80"/>
      <c r="S588" s="80"/>
      <c r="T588" s="80"/>
      <c r="U588" s="80"/>
      <c r="V588" s="80"/>
      <c r="W588" s="80"/>
      <c r="X588" s="80"/>
      <c r="Y588" s="80"/>
      <c r="Z588" s="80"/>
    </row>
    <row r="589">
      <c r="A589" s="126"/>
      <c r="B589" s="126"/>
      <c r="C589" s="126"/>
      <c r="D589" s="126"/>
      <c r="E589" s="126"/>
      <c r="F589" s="126"/>
      <c r="G589" s="80"/>
      <c r="H589" s="80"/>
      <c r="I589" s="80"/>
      <c r="J589" s="80"/>
      <c r="K589" s="80"/>
      <c r="L589" s="80"/>
      <c r="M589" s="80"/>
      <c r="N589" s="80"/>
      <c r="O589" s="80"/>
      <c r="P589" s="80"/>
      <c r="Q589" s="80"/>
      <c r="R589" s="80"/>
      <c r="S589" s="80"/>
      <c r="T589" s="80"/>
      <c r="U589" s="80"/>
      <c r="V589" s="80"/>
      <c r="W589" s="80"/>
      <c r="X589" s="80"/>
      <c r="Y589" s="80"/>
      <c r="Z589" s="80"/>
    </row>
    <row r="590">
      <c r="A590" s="126"/>
      <c r="B590" s="126"/>
      <c r="C590" s="126"/>
      <c r="D590" s="126"/>
      <c r="E590" s="126"/>
      <c r="F590" s="126"/>
      <c r="G590" s="80"/>
      <c r="H590" s="80"/>
      <c r="I590" s="80"/>
      <c r="J590" s="80"/>
      <c r="K590" s="80"/>
      <c r="L590" s="80"/>
      <c r="M590" s="80"/>
      <c r="N590" s="80"/>
      <c r="O590" s="80"/>
      <c r="P590" s="80"/>
      <c r="Q590" s="80"/>
      <c r="R590" s="80"/>
      <c r="S590" s="80"/>
      <c r="T590" s="80"/>
      <c r="U590" s="80"/>
      <c r="V590" s="80"/>
      <c r="W590" s="80"/>
      <c r="X590" s="80"/>
      <c r="Y590" s="80"/>
      <c r="Z590" s="80"/>
    </row>
    <row r="591">
      <c r="A591" s="126"/>
      <c r="B591" s="126"/>
      <c r="C591" s="126"/>
      <c r="D591" s="126"/>
      <c r="E591" s="126"/>
      <c r="F591" s="126"/>
      <c r="G591" s="80"/>
      <c r="H591" s="80"/>
      <c r="I591" s="80"/>
      <c r="J591" s="80"/>
      <c r="K591" s="80"/>
      <c r="L591" s="80"/>
      <c r="M591" s="80"/>
      <c r="N591" s="80"/>
      <c r="O591" s="80"/>
      <c r="P591" s="80"/>
      <c r="Q591" s="80"/>
      <c r="R591" s="80"/>
      <c r="S591" s="80"/>
      <c r="T591" s="80"/>
      <c r="U591" s="80"/>
      <c r="V591" s="80"/>
      <c r="W591" s="80"/>
      <c r="X591" s="80"/>
      <c r="Y591" s="80"/>
      <c r="Z591" s="80"/>
    </row>
    <row r="592">
      <c r="A592" s="126"/>
      <c r="B592" s="126"/>
      <c r="C592" s="126"/>
      <c r="D592" s="126"/>
      <c r="E592" s="126"/>
      <c r="F592" s="126"/>
      <c r="G592" s="80"/>
      <c r="H592" s="80"/>
      <c r="I592" s="80"/>
      <c r="J592" s="80"/>
      <c r="K592" s="80"/>
      <c r="L592" s="80"/>
      <c r="M592" s="80"/>
      <c r="N592" s="80"/>
      <c r="O592" s="80"/>
      <c r="P592" s="80"/>
      <c r="Q592" s="80"/>
      <c r="R592" s="80"/>
      <c r="S592" s="80"/>
      <c r="T592" s="80"/>
      <c r="U592" s="80"/>
      <c r="V592" s="80"/>
      <c r="W592" s="80"/>
      <c r="X592" s="80"/>
      <c r="Y592" s="80"/>
      <c r="Z592" s="80"/>
    </row>
    <row r="593">
      <c r="A593" s="126"/>
      <c r="B593" s="126"/>
      <c r="C593" s="126"/>
      <c r="D593" s="126"/>
      <c r="E593" s="126"/>
      <c r="F593" s="126"/>
      <c r="G593" s="80"/>
      <c r="H593" s="80"/>
      <c r="I593" s="80"/>
      <c r="J593" s="80"/>
      <c r="K593" s="80"/>
      <c r="L593" s="80"/>
      <c r="M593" s="80"/>
      <c r="N593" s="80"/>
      <c r="O593" s="80"/>
      <c r="P593" s="80"/>
      <c r="Q593" s="80"/>
      <c r="R593" s="80"/>
      <c r="S593" s="80"/>
      <c r="T593" s="80"/>
      <c r="U593" s="80"/>
      <c r="V593" s="80"/>
      <c r="W593" s="80"/>
      <c r="X593" s="80"/>
      <c r="Y593" s="80"/>
      <c r="Z593" s="80"/>
    </row>
    <row r="594">
      <c r="A594" s="126"/>
      <c r="B594" s="126"/>
      <c r="C594" s="126"/>
      <c r="D594" s="126"/>
      <c r="E594" s="126"/>
      <c r="F594" s="126"/>
      <c r="G594" s="80"/>
      <c r="H594" s="80"/>
      <c r="I594" s="80"/>
      <c r="J594" s="80"/>
      <c r="K594" s="80"/>
      <c r="L594" s="80"/>
      <c r="M594" s="80"/>
      <c r="N594" s="80"/>
      <c r="O594" s="80"/>
      <c r="P594" s="80"/>
      <c r="Q594" s="80"/>
      <c r="R594" s="80"/>
      <c r="S594" s="80"/>
      <c r="T594" s="80"/>
      <c r="U594" s="80"/>
      <c r="V594" s="80"/>
      <c r="W594" s="80"/>
      <c r="X594" s="80"/>
      <c r="Y594" s="80"/>
      <c r="Z594" s="80"/>
    </row>
    <row r="595">
      <c r="A595" s="126"/>
      <c r="B595" s="126"/>
      <c r="C595" s="126"/>
      <c r="D595" s="126"/>
      <c r="E595" s="126"/>
      <c r="F595" s="126"/>
      <c r="G595" s="80"/>
      <c r="H595" s="80"/>
      <c r="I595" s="80"/>
      <c r="J595" s="80"/>
      <c r="K595" s="80"/>
      <c r="L595" s="80"/>
      <c r="M595" s="80"/>
      <c r="N595" s="80"/>
      <c r="O595" s="80"/>
      <c r="P595" s="80"/>
      <c r="Q595" s="80"/>
      <c r="R595" s="80"/>
      <c r="S595" s="80"/>
      <c r="T595" s="80"/>
      <c r="U595" s="80"/>
      <c r="V595" s="80"/>
      <c r="W595" s="80"/>
      <c r="X595" s="80"/>
      <c r="Y595" s="80"/>
      <c r="Z595" s="80"/>
    </row>
    <row r="596">
      <c r="A596" s="126"/>
      <c r="B596" s="126"/>
      <c r="C596" s="126"/>
      <c r="D596" s="126"/>
      <c r="E596" s="126"/>
      <c r="F596" s="126"/>
      <c r="G596" s="80"/>
      <c r="H596" s="80"/>
      <c r="I596" s="80"/>
      <c r="J596" s="80"/>
      <c r="K596" s="80"/>
      <c r="L596" s="80"/>
      <c r="M596" s="80"/>
      <c r="N596" s="80"/>
      <c r="O596" s="80"/>
      <c r="P596" s="80"/>
      <c r="Q596" s="80"/>
      <c r="R596" s="80"/>
      <c r="S596" s="80"/>
      <c r="T596" s="80"/>
      <c r="U596" s="80"/>
      <c r="V596" s="80"/>
      <c r="W596" s="80"/>
      <c r="X596" s="80"/>
      <c r="Y596" s="80"/>
      <c r="Z596" s="80"/>
    </row>
    <row r="597">
      <c r="A597" s="126"/>
      <c r="B597" s="126"/>
      <c r="C597" s="126"/>
      <c r="D597" s="126"/>
      <c r="E597" s="126"/>
      <c r="F597" s="126"/>
      <c r="G597" s="80"/>
      <c r="H597" s="80"/>
      <c r="I597" s="80"/>
      <c r="J597" s="80"/>
      <c r="K597" s="80"/>
      <c r="L597" s="80"/>
      <c r="M597" s="80"/>
      <c r="N597" s="80"/>
      <c r="O597" s="80"/>
      <c r="P597" s="80"/>
      <c r="Q597" s="80"/>
      <c r="R597" s="80"/>
      <c r="S597" s="80"/>
      <c r="T597" s="80"/>
      <c r="U597" s="80"/>
      <c r="V597" s="80"/>
      <c r="W597" s="80"/>
      <c r="X597" s="80"/>
      <c r="Y597" s="80"/>
      <c r="Z597" s="80"/>
    </row>
    <row r="598">
      <c r="A598" s="126"/>
      <c r="B598" s="126"/>
      <c r="C598" s="126"/>
      <c r="D598" s="126"/>
      <c r="E598" s="126"/>
      <c r="F598" s="126"/>
      <c r="G598" s="80"/>
      <c r="H598" s="80"/>
      <c r="I598" s="80"/>
      <c r="J598" s="80"/>
      <c r="K598" s="80"/>
      <c r="L598" s="80"/>
      <c r="M598" s="80"/>
      <c r="N598" s="80"/>
      <c r="O598" s="80"/>
      <c r="P598" s="80"/>
      <c r="Q598" s="80"/>
      <c r="R598" s="80"/>
      <c r="S598" s="80"/>
      <c r="T598" s="80"/>
      <c r="U598" s="80"/>
      <c r="V598" s="80"/>
      <c r="W598" s="80"/>
      <c r="X598" s="80"/>
      <c r="Y598" s="80"/>
      <c r="Z598" s="80"/>
    </row>
    <row r="599">
      <c r="A599" s="126"/>
      <c r="B599" s="126"/>
      <c r="C599" s="126"/>
      <c r="D599" s="126"/>
      <c r="E599" s="126"/>
      <c r="F599" s="126"/>
      <c r="G599" s="80"/>
      <c r="H599" s="80"/>
      <c r="I599" s="80"/>
      <c r="J599" s="80"/>
      <c r="K599" s="80"/>
      <c r="L599" s="80"/>
      <c r="M599" s="80"/>
      <c r="N599" s="80"/>
      <c r="O599" s="80"/>
      <c r="P599" s="80"/>
      <c r="Q599" s="80"/>
      <c r="R599" s="80"/>
      <c r="S599" s="80"/>
      <c r="T599" s="80"/>
      <c r="U599" s="80"/>
      <c r="V599" s="80"/>
      <c r="W599" s="80"/>
      <c r="X599" s="80"/>
      <c r="Y599" s="80"/>
      <c r="Z599" s="80"/>
    </row>
    <row r="600">
      <c r="A600" s="126"/>
      <c r="B600" s="126"/>
      <c r="C600" s="126"/>
      <c r="D600" s="126"/>
      <c r="E600" s="126"/>
      <c r="F600" s="126"/>
      <c r="G600" s="80"/>
      <c r="H600" s="80"/>
      <c r="I600" s="80"/>
      <c r="J600" s="80"/>
      <c r="K600" s="80"/>
      <c r="L600" s="80"/>
      <c r="M600" s="80"/>
      <c r="N600" s="80"/>
      <c r="O600" s="80"/>
      <c r="P600" s="80"/>
      <c r="Q600" s="80"/>
      <c r="R600" s="80"/>
      <c r="S600" s="80"/>
      <c r="T600" s="80"/>
      <c r="U600" s="80"/>
      <c r="V600" s="80"/>
      <c r="W600" s="80"/>
      <c r="X600" s="80"/>
      <c r="Y600" s="80"/>
      <c r="Z600" s="80"/>
    </row>
    <row r="601">
      <c r="A601" s="126"/>
      <c r="B601" s="126"/>
      <c r="C601" s="126"/>
      <c r="D601" s="126"/>
      <c r="E601" s="126"/>
      <c r="F601" s="126"/>
      <c r="G601" s="80"/>
      <c r="H601" s="80"/>
      <c r="I601" s="80"/>
      <c r="J601" s="80"/>
      <c r="K601" s="80"/>
      <c r="L601" s="80"/>
      <c r="M601" s="80"/>
      <c r="N601" s="80"/>
      <c r="O601" s="80"/>
      <c r="P601" s="80"/>
      <c r="Q601" s="80"/>
      <c r="R601" s="80"/>
      <c r="S601" s="80"/>
      <c r="T601" s="80"/>
      <c r="U601" s="80"/>
      <c r="V601" s="80"/>
      <c r="W601" s="80"/>
      <c r="X601" s="80"/>
      <c r="Y601" s="80"/>
      <c r="Z601" s="80"/>
    </row>
    <row r="602">
      <c r="A602" s="126"/>
      <c r="B602" s="126"/>
      <c r="C602" s="126"/>
      <c r="D602" s="126"/>
      <c r="E602" s="126"/>
      <c r="F602" s="126"/>
      <c r="G602" s="80"/>
      <c r="H602" s="80"/>
      <c r="I602" s="80"/>
      <c r="J602" s="80"/>
      <c r="K602" s="80"/>
      <c r="L602" s="80"/>
      <c r="M602" s="80"/>
      <c r="N602" s="80"/>
      <c r="O602" s="80"/>
      <c r="P602" s="80"/>
      <c r="Q602" s="80"/>
      <c r="R602" s="80"/>
      <c r="S602" s="80"/>
      <c r="T602" s="80"/>
      <c r="U602" s="80"/>
      <c r="V602" s="80"/>
      <c r="W602" s="80"/>
      <c r="X602" s="80"/>
      <c r="Y602" s="80"/>
      <c r="Z602" s="80"/>
    </row>
    <row r="603">
      <c r="A603" s="126"/>
      <c r="B603" s="126"/>
      <c r="C603" s="126"/>
      <c r="D603" s="126"/>
      <c r="E603" s="126"/>
      <c r="F603" s="126"/>
      <c r="G603" s="80"/>
      <c r="H603" s="80"/>
      <c r="I603" s="80"/>
      <c r="J603" s="80"/>
      <c r="K603" s="80"/>
      <c r="L603" s="80"/>
      <c r="M603" s="80"/>
      <c r="N603" s="80"/>
      <c r="O603" s="80"/>
      <c r="P603" s="80"/>
      <c r="Q603" s="80"/>
      <c r="R603" s="80"/>
      <c r="S603" s="80"/>
      <c r="T603" s="80"/>
      <c r="U603" s="80"/>
      <c r="V603" s="80"/>
      <c r="W603" s="80"/>
      <c r="X603" s="80"/>
      <c r="Y603" s="80"/>
      <c r="Z603" s="80"/>
    </row>
    <row r="604">
      <c r="A604" s="126"/>
      <c r="B604" s="126"/>
      <c r="C604" s="126"/>
      <c r="D604" s="126"/>
      <c r="E604" s="126"/>
      <c r="F604" s="126"/>
      <c r="G604" s="80"/>
      <c r="H604" s="80"/>
      <c r="I604" s="80"/>
      <c r="J604" s="80"/>
      <c r="K604" s="80"/>
      <c r="L604" s="80"/>
      <c r="M604" s="80"/>
      <c r="N604" s="80"/>
      <c r="O604" s="80"/>
      <c r="P604" s="80"/>
      <c r="Q604" s="80"/>
      <c r="R604" s="80"/>
      <c r="S604" s="80"/>
      <c r="T604" s="80"/>
      <c r="U604" s="80"/>
      <c r="V604" s="80"/>
      <c r="W604" s="80"/>
      <c r="X604" s="80"/>
      <c r="Y604" s="80"/>
      <c r="Z604" s="80"/>
    </row>
    <row r="605">
      <c r="A605" s="126"/>
      <c r="B605" s="126"/>
      <c r="C605" s="126"/>
      <c r="D605" s="126"/>
      <c r="E605" s="126"/>
      <c r="F605" s="126"/>
      <c r="G605" s="80"/>
      <c r="H605" s="80"/>
      <c r="I605" s="80"/>
      <c r="J605" s="80"/>
      <c r="K605" s="80"/>
      <c r="L605" s="80"/>
      <c r="M605" s="80"/>
      <c r="N605" s="80"/>
      <c r="O605" s="80"/>
      <c r="P605" s="80"/>
      <c r="Q605" s="80"/>
      <c r="R605" s="80"/>
      <c r="S605" s="80"/>
      <c r="T605" s="80"/>
      <c r="U605" s="80"/>
      <c r="V605" s="80"/>
      <c r="W605" s="80"/>
      <c r="X605" s="80"/>
      <c r="Y605" s="80"/>
      <c r="Z605" s="80"/>
    </row>
    <row r="606">
      <c r="A606" s="126"/>
      <c r="B606" s="126"/>
      <c r="C606" s="126"/>
      <c r="D606" s="126"/>
      <c r="E606" s="126"/>
      <c r="F606" s="126"/>
      <c r="G606" s="80"/>
      <c r="H606" s="80"/>
      <c r="I606" s="80"/>
      <c r="J606" s="80"/>
      <c r="K606" s="80"/>
      <c r="L606" s="80"/>
      <c r="M606" s="80"/>
      <c r="N606" s="80"/>
      <c r="O606" s="80"/>
      <c r="P606" s="80"/>
      <c r="Q606" s="80"/>
      <c r="R606" s="80"/>
      <c r="S606" s="80"/>
      <c r="T606" s="80"/>
      <c r="U606" s="80"/>
      <c r="V606" s="80"/>
      <c r="W606" s="80"/>
      <c r="X606" s="80"/>
      <c r="Y606" s="80"/>
      <c r="Z606" s="80"/>
    </row>
    <row r="607">
      <c r="A607" s="126"/>
      <c r="B607" s="126"/>
      <c r="C607" s="126"/>
      <c r="D607" s="126"/>
      <c r="E607" s="126"/>
      <c r="F607" s="126"/>
      <c r="G607" s="80"/>
      <c r="H607" s="80"/>
      <c r="I607" s="80"/>
      <c r="J607" s="80"/>
      <c r="K607" s="80"/>
      <c r="L607" s="80"/>
      <c r="M607" s="80"/>
      <c r="N607" s="80"/>
      <c r="O607" s="80"/>
      <c r="P607" s="80"/>
      <c r="Q607" s="80"/>
      <c r="R607" s="80"/>
      <c r="S607" s="80"/>
      <c r="T607" s="80"/>
      <c r="U607" s="80"/>
      <c r="V607" s="80"/>
      <c r="W607" s="80"/>
      <c r="X607" s="80"/>
      <c r="Y607" s="80"/>
      <c r="Z607" s="80"/>
    </row>
    <row r="608">
      <c r="A608" s="126"/>
      <c r="B608" s="126"/>
      <c r="C608" s="126"/>
      <c r="D608" s="126"/>
      <c r="E608" s="126"/>
      <c r="F608" s="126"/>
      <c r="G608" s="80"/>
      <c r="H608" s="80"/>
      <c r="I608" s="80"/>
      <c r="J608" s="80"/>
      <c r="K608" s="80"/>
      <c r="L608" s="80"/>
      <c r="M608" s="80"/>
      <c r="N608" s="80"/>
      <c r="O608" s="80"/>
      <c r="P608" s="80"/>
      <c r="Q608" s="80"/>
      <c r="R608" s="80"/>
      <c r="S608" s="80"/>
      <c r="T608" s="80"/>
      <c r="U608" s="80"/>
      <c r="V608" s="80"/>
      <c r="W608" s="80"/>
      <c r="X608" s="80"/>
      <c r="Y608" s="80"/>
      <c r="Z608" s="80"/>
    </row>
    <row r="609">
      <c r="A609" s="126"/>
      <c r="B609" s="126"/>
      <c r="C609" s="126"/>
      <c r="D609" s="126"/>
      <c r="E609" s="126"/>
      <c r="F609" s="126"/>
      <c r="G609" s="80"/>
      <c r="H609" s="80"/>
      <c r="I609" s="80"/>
      <c r="J609" s="80"/>
      <c r="K609" s="80"/>
      <c r="L609" s="80"/>
      <c r="M609" s="80"/>
      <c r="N609" s="80"/>
      <c r="O609" s="80"/>
      <c r="P609" s="80"/>
      <c r="Q609" s="80"/>
      <c r="R609" s="80"/>
      <c r="S609" s="80"/>
      <c r="T609" s="80"/>
      <c r="U609" s="80"/>
      <c r="V609" s="80"/>
      <c r="W609" s="80"/>
      <c r="X609" s="80"/>
      <c r="Y609" s="80"/>
      <c r="Z609" s="80"/>
    </row>
    <row r="610">
      <c r="A610" s="126"/>
      <c r="B610" s="126"/>
      <c r="C610" s="126"/>
      <c r="D610" s="126"/>
      <c r="E610" s="126"/>
      <c r="F610" s="126"/>
      <c r="G610" s="80"/>
      <c r="H610" s="80"/>
      <c r="I610" s="80"/>
      <c r="J610" s="80"/>
      <c r="K610" s="80"/>
      <c r="L610" s="80"/>
      <c r="M610" s="80"/>
      <c r="N610" s="80"/>
      <c r="O610" s="80"/>
      <c r="P610" s="80"/>
      <c r="Q610" s="80"/>
      <c r="R610" s="80"/>
      <c r="S610" s="80"/>
      <c r="T610" s="80"/>
      <c r="U610" s="80"/>
      <c r="V610" s="80"/>
      <c r="W610" s="80"/>
      <c r="X610" s="80"/>
      <c r="Y610" s="80"/>
      <c r="Z610" s="80"/>
    </row>
    <row r="611">
      <c r="A611" s="126"/>
      <c r="B611" s="126"/>
      <c r="C611" s="126"/>
      <c r="D611" s="126"/>
      <c r="E611" s="126"/>
      <c r="F611" s="126"/>
      <c r="G611" s="80"/>
      <c r="H611" s="80"/>
      <c r="I611" s="80"/>
      <c r="J611" s="80"/>
      <c r="K611" s="80"/>
      <c r="L611" s="80"/>
      <c r="M611" s="80"/>
      <c r="N611" s="80"/>
      <c r="O611" s="80"/>
      <c r="P611" s="80"/>
      <c r="Q611" s="80"/>
      <c r="R611" s="80"/>
      <c r="S611" s="80"/>
      <c r="T611" s="80"/>
      <c r="U611" s="80"/>
      <c r="V611" s="80"/>
      <c r="W611" s="80"/>
      <c r="X611" s="80"/>
      <c r="Y611" s="80"/>
      <c r="Z611" s="80"/>
    </row>
    <row r="612">
      <c r="A612" s="126"/>
      <c r="B612" s="126"/>
      <c r="C612" s="126"/>
      <c r="D612" s="126"/>
      <c r="E612" s="126"/>
      <c r="F612" s="126"/>
      <c r="G612" s="80"/>
      <c r="H612" s="80"/>
      <c r="I612" s="80"/>
      <c r="J612" s="80"/>
      <c r="K612" s="80"/>
      <c r="L612" s="80"/>
      <c r="M612" s="80"/>
      <c r="N612" s="80"/>
      <c r="O612" s="80"/>
      <c r="P612" s="80"/>
      <c r="Q612" s="80"/>
      <c r="R612" s="80"/>
      <c r="S612" s="80"/>
      <c r="T612" s="80"/>
      <c r="U612" s="80"/>
      <c r="V612" s="80"/>
      <c r="W612" s="80"/>
      <c r="X612" s="80"/>
      <c r="Y612" s="80"/>
      <c r="Z612" s="80"/>
    </row>
    <row r="613">
      <c r="A613" s="126"/>
      <c r="B613" s="126"/>
      <c r="C613" s="126"/>
      <c r="D613" s="126"/>
      <c r="E613" s="126"/>
      <c r="F613" s="126"/>
      <c r="G613" s="80"/>
      <c r="H613" s="80"/>
      <c r="I613" s="80"/>
      <c r="J613" s="80"/>
      <c r="K613" s="80"/>
      <c r="L613" s="80"/>
      <c r="M613" s="80"/>
      <c r="N613" s="80"/>
      <c r="O613" s="80"/>
      <c r="P613" s="80"/>
      <c r="Q613" s="80"/>
      <c r="R613" s="80"/>
      <c r="S613" s="80"/>
      <c r="T613" s="80"/>
      <c r="U613" s="80"/>
      <c r="V613" s="80"/>
      <c r="W613" s="80"/>
      <c r="X613" s="80"/>
      <c r="Y613" s="80"/>
      <c r="Z613" s="80"/>
    </row>
    <row r="614">
      <c r="A614" s="126"/>
      <c r="B614" s="126"/>
      <c r="C614" s="126"/>
      <c r="D614" s="126"/>
      <c r="E614" s="126"/>
      <c r="F614" s="126"/>
      <c r="G614" s="80"/>
      <c r="H614" s="80"/>
      <c r="I614" s="80"/>
      <c r="J614" s="80"/>
      <c r="K614" s="80"/>
      <c r="L614" s="80"/>
      <c r="M614" s="80"/>
      <c r="N614" s="80"/>
      <c r="O614" s="80"/>
      <c r="P614" s="80"/>
      <c r="Q614" s="80"/>
      <c r="R614" s="80"/>
      <c r="S614" s="80"/>
      <c r="T614" s="80"/>
      <c r="U614" s="80"/>
      <c r="V614" s="80"/>
      <c r="W614" s="80"/>
      <c r="X614" s="80"/>
      <c r="Y614" s="80"/>
      <c r="Z614" s="80"/>
    </row>
    <row r="615">
      <c r="A615" s="126"/>
      <c r="B615" s="126"/>
      <c r="C615" s="126"/>
      <c r="D615" s="126"/>
      <c r="E615" s="126"/>
      <c r="F615" s="126"/>
      <c r="G615" s="80"/>
      <c r="H615" s="80"/>
      <c r="I615" s="80"/>
      <c r="J615" s="80"/>
      <c r="K615" s="80"/>
      <c r="L615" s="80"/>
      <c r="M615" s="80"/>
      <c r="N615" s="80"/>
      <c r="O615" s="80"/>
      <c r="P615" s="80"/>
      <c r="Q615" s="80"/>
      <c r="R615" s="80"/>
      <c r="S615" s="80"/>
      <c r="T615" s="80"/>
      <c r="U615" s="80"/>
      <c r="V615" s="80"/>
      <c r="W615" s="80"/>
      <c r="X615" s="80"/>
      <c r="Y615" s="80"/>
      <c r="Z615" s="80"/>
    </row>
    <row r="616">
      <c r="A616" s="126"/>
      <c r="B616" s="126"/>
      <c r="C616" s="126"/>
      <c r="D616" s="126"/>
      <c r="E616" s="126"/>
      <c r="F616" s="126"/>
      <c r="G616" s="80"/>
      <c r="H616" s="80"/>
      <c r="I616" s="80"/>
      <c r="J616" s="80"/>
      <c r="K616" s="80"/>
      <c r="L616" s="80"/>
      <c r="M616" s="80"/>
      <c r="N616" s="80"/>
      <c r="O616" s="80"/>
      <c r="P616" s="80"/>
      <c r="Q616" s="80"/>
      <c r="R616" s="80"/>
      <c r="S616" s="80"/>
      <c r="T616" s="80"/>
      <c r="U616" s="80"/>
      <c r="V616" s="80"/>
      <c r="W616" s="80"/>
      <c r="X616" s="80"/>
      <c r="Y616" s="80"/>
      <c r="Z616" s="80"/>
    </row>
    <row r="617">
      <c r="A617" s="126"/>
      <c r="B617" s="126"/>
      <c r="C617" s="126"/>
      <c r="D617" s="126"/>
      <c r="E617" s="126"/>
      <c r="F617" s="126"/>
      <c r="G617" s="80"/>
      <c r="H617" s="80"/>
      <c r="I617" s="80"/>
      <c r="J617" s="80"/>
      <c r="K617" s="80"/>
      <c r="L617" s="80"/>
      <c r="M617" s="80"/>
      <c r="N617" s="80"/>
      <c r="O617" s="80"/>
      <c r="P617" s="80"/>
      <c r="Q617" s="80"/>
      <c r="R617" s="80"/>
      <c r="S617" s="80"/>
      <c r="T617" s="80"/>
      <c r="U617" s="80"/>
      <c r="V617" s="80"/>
      <c r="W617" s="80"/>
      <c r="X617" s="80"/>
      <c r="Y617" s="80"/>
      <c r="Z617" s="80"/>
    </row>
    <row r="618">
      <c r="A618" s="126"/>
      <c r="B618" s="126"/>
      <c r="C618" s="126"/>
      <c r="D618" s="126"/>
      <c r="E618" s="126"/>
      <c r="F618" s="126"/>
      <c r="G618" s="80"/>
      <c r="H618" s="80"/>
      <c r="I618" s="80"/>
      <c r="J618" s="80"/>
      <c r="K618" s="80"/>
      <c r="L618" s="80"/>
      <c r="M618" s="80"/>
      <c r="N618" s="80"/>
      <c r="O618" s="80"/>
      <c r="P618" s="80"/>
      <c r="Q618" s="80"/>
      <c r="R618" s="80"/>
      <c r="S618" s="80"/>
      <c r="T618" s="80"/>
      <c r="U618" s="80"/>
      <c r="V618" s="80"/>
      <c r="W618" s="80"/>
      <c r="X618" s="80"/>
      <c r="Y618" s="80"/>
      <c r="Z618" s="80"/>
    </row>
    <row r="619">
      <c r="A619" s="126"/>
      <c r="B619" s="126"/>
      <c r="C619" s="126"/>
      <c r="D619" s="126"/>
      <c r="E619" s="126"/>
      <c r="F619" s="126"/>
      <c r="G619" s="80"/>
      <c r="H619" s="80"/>
      <c r="I619" s="80"/>
      <c r="J619" s="80"/>
      <c r="K619" s="80"/>
      <c r="L619" s="80"/>
      <c r="M619" s="80"/>
      <c r="N619" s="80"/>
      <c r="O619" s="80"/>
      <c r="P619" s="80"/>
      <c r="Q619" s="80"/>
      <c r="R619" s="80"/>
      <c r="S619" s="80"/>
      <c r="T619" s="80"/>
      <c r="U619" s="80"/>
      <c r="V619" s="80"/>
      <c r="W619" s="80"/>
      <c r="X619" s="80"/>
      <c r="Y619" s="80"/>
      <c r="Z619" s="80"/>
    </row>
    <row r="620">
      <c r="A620" s="126"/>
      <c r="B620" s="126"/>
      <c r="C620" s="126"/>
      <c r="D620" s="126"/>
      <c r="E620" s="126"/>
      <c r="F620" s="126"/>
      <c r="G620" s="80"/>
      <c r="H620" s="80"/>
      <c r="I620" s="80"/>
      <c r="J620" s="80"/>
      <c r="K620" s="80"/>
      <c r="L620" s="80"/>
      <c r="M620" s="80"/>
      <c r="N620" s="80"/>
      <c r="O620" s="80"/>
      <c r="P620" s="80"/>
      <c r="Q620" s="80"/>
      <c r="R620" s="80"/>
      <c r="S620" s="80"/>
      <c r="T620" s="80"/>
      <c r="U620" s="80"/>
      <c r="V620" s="80"/>
      <c r="W620" s="80"/>
      <c r="X620" s="80"/>
      <c r="Y620" s="80"/>
      <c r="Z620" s="80"/>
    </row>
    <row r="621">
      <c r="A621" s="126"/>
      <c r="B621" s="126"/>
      <c r="C621" s="126"/>
      <c r="D621" s="126"/>
      <c r="E621" s="126"/>
      <c r="F621" s="126"/>
      <c r="G621" s="80"/>
      <c r="H621" s="80"/>
      <c r="I621" s="80"/>
      <c r="J621" s="80"/>
      <c r="K621" s="80"/>
      <c r="L621" s="80"/>
      <c r="M621" s="80"/>
      <c r="N621" s="80"/>
      <c r="O621" s="80"/>
      <c r="P621" s="80"/>
      <c r="Q621" s="80"/>
      <c r="R621" s="80"/>
      <c r="S621" s="80"/>
      <c r="T621" s="80"/>
      <c r="U621" s="80"/>
      <c r="V621" s="80"/>
      <c r="W621" s="80"/>
      <c r="X621" s="80"/>
      <c r="Y621" s="80"/>
      <c r="Z621" s="80"/>
    </row>
    <row r="622">
      <c r="A622" s="126"/>
      <c r="B622" s="126"/>
      <c r="C622" s="126"/>
      <c r="D622" s="126"/>
      <c r="E622" s="126"/>
      <c r="F622" s="126"/>
      <c r="G622" s="80"/>
      <c r="H622" s="80"/>
      <c r="I622" s="80"/>
      <c r="J622" s="80"/>
      <c r="K622" s="80"/>
      <c r="L622" s="80"/>
      <c r="M622" s="80"/>
      <c r="N622" s="80"/>
      <c r="O622" s="80"/>
      <c r="P622" s="80"/>
      <c r="Q622" s="80"/>
      <c r="R622" s="80"/>
      <c r="S622" s="80"/>
      <c r="T622" s="80"/>
      <c r="U622" s="80"/>
      <c r="V622" s="80"/>
      <c r="W622" s="80"/>
      <c r="X622" s="80"/>
      <c r="Y622" s="80"/>
      <c r="Z622" s="80"/>
    </row>
    <row r="623">
      <c r="A623" s="126"/>
      <c r="B623" s="126"/>
      <c r="C623" s="126"/>
      <c r="D623" s="126"/>
      <c r="E623" s="126"/>
      <c r="F623" s="126"/>
      <c r="G623" s="80"/>
      <c r="H623" s="80"/>
      <c r="I623" s="80"/>
      <c r="J623" s="80"/>
      <c r="K623" s="80"/>
      <c r="L623" s="80"/>
      <c r="M623" s="80"/>
      <c r="N623" s="80"/>
      <c r="O623" s="80"/>
      <c r="P623" s="80"/>
      <c r="Q623" s="80"/>
      <c r="R623" s="80"/>
      <c r="S623" s="80"/>
      <c r="T623" s="80"/>
      <c r="U623" s="80"/>
      <c r="V623" s="80"/>
      <c r="W623" s="80"/>
      <c r="X623" s="80"/>
      <c r="Y623" s="80"/>
      <c r="Z623" s="80"/>
    </row>
    <row r="624">
      <c r="A624" s="126"/>
      <c r="B624" s="126"/>
      <c r="C624" s="126"/>
      <c r="D624" s="126"/>
      <c r="E624" s="126"/>
      <c r="F624" s="126"/>
      <c r="G624" s="80"/>
      <c r="H624" s="80"/>
      <c r="I624" s="80"/>
      <c r="J624" s="80"/>
      <c r="K624" s="80"/>
      <c r="L624" s="80"/>
      <c r="M624" s="80"/>
      <c r="N624" s="80"/>
      <c r="O624" s="80"/>
      <c r="P624" s="80"/>
      <c r="Q624" s="80"/>
      <c r="R624" s="80"/>
      <c r="S624" s="80"/>
      <c r="T624" s="80"/>
      <c r="U624" s="80"/>
      <c r="V624" s="80"/>
      <c r="W624" s="80"/>
      <c r="X624" s="80"/>
      <c r="Y624" s="80"/>
      <c r="Z624" s="80"/>
    </row>
    <row r="625">
      <c r="A625" s="126"/>
      <c r="B625" s="126"/>
      <c r="C625" s="126"/>
      <c r="D625" s="126"/>
      <c r="E625" s="126"/>
      <c r="F625" s="126"/>
      <c r="G625" s="80"/>
      <c r="H625" s="80"/>
      <c r="I625" s="80"/>
      <c r="J625" s="80"/>
      <c r="K625" s="80"/>
      <c r="L625" s="80"/>
      <c r="M625" s="80"/>
      <c r="N625" s="80"/>
      <c r="O625" s="80"/>
      <c r="P625" s="80"/>
      <c r="Q625" s="80"/>
      <c r="R625" s="80"/>
      <c r="S625" s="80"/>
      <c r="T625" s="80"/>
      <c r="U625" s="80"/>
      <c r="V625" s="80"/>
      <c r="W625" s="80"/>
      <c r="X625" s="80"/>
      <c r="Y625" s="80"/>
      <c r="Z625" s="80"/>
    </row>
    <row r="626">
      <c r="A626" s="126"/>
      <c r="B626" s="126"/>
      <c r="C626" s="126"/>
      <c r="D626" s="126"/>
      <c r="E626" s="126"/>
      <c r="F626" s="126"/>
      <c r="G626" s="80"/>
      <c r="H626" s="80"/>
      <c r="I626" s="80"/>
      <c r="J626" s="80"/>
      <c r="K626" s="80"/>
      <c r="L626" s="80"/>
      <c r="M626" s="80"/>
      <c r="N626" s="80"/>
      <c r="O626" s="80"/>
      <c r="P626" s="80"/>
      <c r="Q626" s="80"/>
      <c r="R626" s="80"/>
      <c r="S626" s="80"/>
      <c r="T626" s="80"/>
      <c r="U626" s="80"/>
      <c r="V626" s="80"/>
      <c r="W626" s="80"/>
      <c r="X626" s="80"/>
      <c r="Y626" s="80"/>
      <c r="Z626" s="80"/>
    </row>
    <row r="627">
      <c r="A627" s="126"/>
      <c r="B627" s="126"/>
      <c r="C627" s="126"/>
      <c r="D627" s="126"/>
      <c r="E627" s="126"/>
      <c r="F627" s="126"/>
      <c r="G627" s="80"/>
      <c r="H627" s="80"/>
      <c r="I627" s="80"/>
      <c r="J627" s="80"/>
      <c r="K627" s="80"/>
      <c r="L627" s="80"/>
      <c r="M627" s="80"/>
      <c r="N627" s="80"/>
      <c r="O627" s="80"/>
      <c r="P627" s="80"/>
      <c r="Q627" s="80"/>
      <c r="R627" s="80"/>
      <c r="S627" s="80"/>
      <c r="T627" s="80"/>
      <c r="U627" s="80"/>
      <c r="V627" s="80"/>
      <c r="W627" s="80"/>
      <c r="X627" s="80"/>
      <c r="Y627" s="80"/>
      <c r="Z627" s="80"/>
    </row>
    <row r="628">
      <c r="A628" s="126"/>
      <c r="B628" s="126"/>
      <c r="C628" s="126"/>
      <c r="D628" s="126"/>
      <c r="E628" s="126"/>
      <c r="F628" s="126"/>
      <c r="G628" s="80"/>
      <c r="H628" s="80"/>
      <c r="I628" s="80"/>
      <c r="J628" s="80"/>
      <c r="K628" s="80"/>
      <c r="L628" s="80"/>
      <c r="M628" s="80"/>
      <c r="N628" s="80"/>
      <c r="O628" s="80"/>
      <c r="P628" s="80"/>
      <c r="Q628" s="80"/>
      <c r="R628" s="80"/>
      <c r="S628" s="80"/>
      <c r="T628" s="80"/>
      <c r="U628" s="80"/>
      <c r="V628" s="80"/>
      <c r="W628" s="80"/>
      <c r="X628" s="80"/>
      <c r="Y628" s="80"/>
      <c r="Z628" s="80"/>
    </row>
    <row r="629">
      <c r="A629" s="126"/>
      <c r="B629" s="126"/>
      <c r="C629" s="126"/>
      <c r="D629" s="126"/>
      <c r="E629" s="126"/>
      <c r="F629" s="126"/>
      <c r="G629" s="80"/>
      <c r="H629" s="80"/>
      <c r="I629" s="80"/>
      <c r="J629" s="80"/>
      <c r="K629" s="80"/>
      <c r="L629" s="80"/>
      <c r="M629" s="80"/>
      <c r="N629" s="80"/>
      <c r="O629" s="80"/>
      <c r="P629" s="80"/>
      <c r="Q629" s="80"/>
      <c r="R629" s="80"/>
      <c r="S629" s="80"/>
      <c r="T629" s="80"/>
      <c r="U629" s="80"/>
      <c r="V629" s="80"/>
      <c r="W629" s="80"/>
      <c r="X629" s="80"/>
      <c r="Y629" s="80"/>
      <c r="Z629" s="80"/>
    </row>
    <row r="630">
      <c r="A630" s="126"/>
      <c r="B630" s="126"/>
      <c r="C630" s="126"/>
      <c r="D630" s="126"/>
      <c r="E630" s="126"/>
      <c r="F630" s="126"/>
      <c r="G630" s="80"/>
      <c r="H630" s="80"/>
      <c r="I630" s="80"/>
      <c r="J630" s="80"/>
      <c r="K630" s="80"/>
      <c r="L630" s="80"/>
      <c r="M630" s="80"/>
      <c r="N630" s="80"/>
      <c r="O630" s="80"/>
      <c r="P630" s="80"/>
      <c r="Q630" s="80"/>
      <c r="R630" s="80"/>
      <c r="S630" s="80"/>
      <c r="T630" s="80"/>
      <c r="U630" s="80"/>
      <c r="V630" s="80"/>
      <c r="W630" s="80"/>
      <c r="X630" s="80"/>
      <c r="Y630" s="80"/>
      <c r="Z630" s="80"/>
    </row>
    <row r="631">
      <c r="A631" s="126"/>
      <c r="B631" s="126"/>
      <c r="C631" s="126"/>
      <c r="D631" s="126"/>
      <c r="E631" s="126"/>
      <c r="F631" s="126"/>
      <c r="G631" s="80"/>
      <c r="H631" s="80"/>
      <c r="I631" s="80"/>
      <c r="J631" s="80"/>
      <c r="K631" s="80"/>
      <c r="L631" s="80"/>
      <c r="M631" s="80"/>
      <c r="N631" s="80"/>
      <c r="O631" s="80"/>
      <c r="P631" s="80"/>
      <c r="Q631" s="80"/>
      <c r="R631" s="80"/>
      <c r="S631" s="80"/>
      <c r="T631" s="80"/>
      <c r="U631" s="80"/>
      <c r="V631" s="80"/>
      <c r="W631" s="80"/>
      <c r="X631" s="80"/>
      <c r="Y631" s="80"/>
      <c r="Z631" s="80"/>
    </row>
    <row r="632">
      <c r="A632" s="126"/>
      <c r="B632" s="126"/>
      <c r="C632" s="126"/>
      <c r="D632" s="126"/>
      <c r="E632" s="126"/>
      <c r="F632" s="126"/>
      <c r="G632" s="80"/>
      <c r="H632" s="80"/>
      <c r="I632" s="80"/>
      <c r="J632" s="80"/>
      <c r="K632" s="80"/>
      <c r="L632" s="80"/>
      <c r="M632" s="80"/>
      <c r="N632" s="80"/>
      <c r="O632" s="80"/>
      <c r="P632" s="80"/>
      <c r="Q632" s="80"/>
      <c r="R632" s="80"/>
      <c r="S632" s="80"/>
      <c r="T632" s="80"/>
      <c r="U632" s="80"/>
      <c r="V632" s="80"/>
      <c r="W632" s="80"/>
      <c r="X632" s="80"/>
      <c r="Y632" s="80"/>
      <c r="Z632" s="80"/>
    </row>
    <row r="633">
      <c r="A633" s="126"/>
      <c r="B633" s="126"/>
      <c r="C633" s="126"/>
      <c r="D633" s="126"/>
      <c r="E633" s="126"/>
      <c r="F633" s="126"/>
      <c r="G633" s="80"/>
      <c r="H633" s="80"/>
      <c r="I633" s="80"/>
      <c r="J633" s="80"/>
      <c r="K633" s="80"/>
      <c r="L633" s="80"/>
      <c r="M633" s="80"/>
      <c r="N633" s="80"/>
      <c r="O633" s="80"/>
      <c r="P633" s="80"/>
      <c r="Q633" s="80"/>
      <c r="R633" s="80"/>
      <c r="S633" s="80"/>
      <c r="T633" s="80"/>
      <c r="U633" s="80"/>
      <c r="V633" s="80"/>
      <c r="W633" s="80"/>
      <c r="X633" s="80"/>
      <c r="Y633" s="80"/>
      <c r="Z633" s="80"/>
    </row>
    <row r="634">
      <c r="A634" s="126"/>
      <c r="B634" s="126"/>
      <c r="C634" s="126"/>
      <c r="D634" s="126"/>
      <c r="E634" s="126"/>
      <c r="F634" s="126"/>
      <c r="G634" s="80"/>
      <c r="H634" s="80"/>
      <c r="I634" s="80"/>
      <c r="J634" s="80"/>
      <c r="K634" s="80"/>
      <c r="L634" s="80"/>
      <c r="M634" s="80"/>
      <c r="N634" s="80"/>
      <c r="O634" s="80"/>
      <c r="P634" s="80"/>
      <c r="Q634" s="80"/>
      <c r="R634" s="80"/>
      <c r="S634" s="80"/>
      <c r="T634" s="80"/>
      <c r="U634" s="80"/>
      <c r="V634" s="80"/>
      <c r="W634" s="80"/>
      <c r="X634" s="80"/>
      <c r="Y634" s="80"/>
      <c r="Z634" s="80"/>
    </row>
    <row r="635">
      <c r="A635" s="126"/>
      <c r="B635" s="126"/>
      <c r="C635" s="126"/>
      <c r="D635" s="126"/>
      <c r="E635" s="126"/>
      <c r="F635" s="126"/>
      <c r="G635" s="80"/>
      <c r="H635" s="80"/>
      <c r="I635" s="80"/>
      <c r="J635" s="80"/>
      <c r="K635" s="80"/>
      <c r="L635" s="80"/>
      <c r="M635" s="80"/>
      <c r="N635" s="80"/>
      <c r="O635" s="80"/>
      <c r="P635" s="80"/>
      <c r="Q635" s="80"/>
      <c r="R635" s="80"/>
      <c r="S635" s="80"/>
      <c r="T635" s="80"/>
      <c r="U635" s="80"/>
      <c r="V635" s="80"/>
      <c r="W635" s="80"/>
      <c r="X635" s="80"/>
      <c r="Y635" s="80"/>
      <c r="Z635" s="80"/>
    </row>
    <row r="636">
      <c r="A636" s="126"/>
      <c r="B636" s="126"/>
      <c r="C636" s="126"/>
      <c r="D636" s="126"/>
      <c r="E636" s="126"/>
      <c r="F636" s="126"/>
      <c r="G636" s="80"/>
      <c r="H636" s="80"/>
      <c r="I636" s="80"/>
      <c r="J636" s="80"/>
      <c r="K636" s="80"/>
      <c r="L636" s="80"/>
      <c r="M636" s="80"/>
      <c r="N636" s="80"/>
      <c r="O636" s="80"/>
      <c r="P636" s="80"/>
      <c r="Q636" s="80"/>
      <c r="R636" s="80"/>
      <c r="S636" s="80"/>
      <c r="T636" s="80"/>
      <c r="U636" s="80"/>
      <c r="V636" s="80"/>
      <c r="W636" s="80"/>
      <c r="X636" s="80"/>
      <c r="Y636" s="80"/>
      <c r="Z636" s="80"/>
    </row>
    <row r="637">
      <c r="A637" s="126"/>
      <c r="B637" s="126"/>
      <c r="C637" s="126"/>
      <c r="D637" s="126"/>
      <c r="E637" s="126"/>
      <c r="F637" s="126"/>
      <c r="G637" s="80"/>
      <c r="H637" s="80"/>
      <c r="I637" s="80"/>
      <c r="J637" s="80"/>
      <c r="K637" s="80"/>
      <c r="L637" s="80"/>
      <c r="M637" s="80"/>
      <c r="N637" s="80"/>
      <c r="O637" s="80"/>
      <c r="P637" s="80"/>
      <c r="Q637" s="80"/>
      <c r="R637" s="80"/>
      <c r="S637" s="80"/>
      <c r="T637" s="80"/>
      <c r="U637" s="80"/>
      <c r="V637" s="80"/>
      <c r="W637" s="80"/>
      <c r="X637" s="80"/>
      <c r="Y637" s="80"/>
      <c r="Z637" s="80"/>
    </row>
    <row r="638">
      <c r="A638" s="126"/>
      <c r="B638" s="126"/>
      <c r="C638" s="126"/>
      <c r="D638" s="126"/>
      <c r="E638" s="126"/>
      <c r="F638" s="126"/>
      <c r="G638" s="80"/>
      <c r="H638" s="80"/>
      <c r="I638" s="80"/>
      <c r="J638" s="80"/>
      <c r="K638" s="80"/>
      <c r="L638" s="80"/>
      <c r="M638" s="80"/>
      <c r="N638" s="80"/>
      <c r="O638" s="80"/>
      <c r="P638" s="80"/>
      <c r="Q638" s="80"/>
      <c r="R638" s="80"/>
      <c r="S638" s="80"/>
      <c r="T638" s="80"/>
      <c r="U638" s="80"/>
      <c r="V638" s="80"/>
      <c r="W638" s="80"/>
      <c r="X638" s="80"/>
      <c r="Y638" s="80"/>
      <c r="Z638" s="80"/>
    </row>
    <row r="639">
      <c r="A639" s="126"/>
      <c r="B639" s="126"/>
      <c r="C639" s="126"/>
      <c r="D639" s="126"/>
      <c r="E639" s="126"/>
      <c r="F639" s="126"/>
      <c r="G639" s="80"/>
      <c r="H639" s="80"/>
      <c r="I639" s="80"/>
      <c r="J639" s="80"/>
      <c r="K639" s="80"/>
      <c r="L639" s="80"/>
      <c r="M639" s="80"/>
      <c r="N639" s="80"/>
      <c r="O639" s="80"/>
      <c r="P639" s="80"/>
      <c r="Q639" s="80"/>
      <c r="R639" s="80"/>
      <c r="S639" s="80"/>
      <c r="T639" s="80"/>
      <c r="U639" s="80"/>
      <c r="V639" s="80"/>
      <c r="W639" s="80"/>
      <c r="X639" s="80"/>
      <c r="Y639" s="80"/>
      <c r="Z639" s="80"/>
    </row>
    <row r="640">
      <c r="A640" s="126"/>
      <c r="B640" s="126"/>
      <c r="C640" s="126"/>
      <c r="D640" s="126"/>
      <c r="E640" s="126"/>
      <c r="F640" s="126"/>
      <c r="G640" s="80"/>
      <c r="H640" s="80"/>
      <c r="I640" s="80"/>
      <c r="J640" s="80"/>
      <c r="K640" s="80"/>
      <c r="L640" s="80"/>
      <c r="M640" s="80"/>
      <c r="N640" s="80"/>
      <c r="O640" s="80"/>
      <c r="P640" s="80"/>
      <c r="Q640" s="80"/>
      <c r="R640" s="80"/>
      <c r="S640" s="80"/>
      <c r="T640" s="80"/>
      <c r="U640" s="80"/>
      <c r="V640" s="80"/>
      <c r="W640" s="80"/>
      <c r="X640" s="80"/>
      <c r="Y640" s="80"/>
      <c r="Z640" s="80"/>
    </row>
    <row r="641">
      <c r="A641" s="126"/>
      <c r="B641" s="126"/>
      <c r="C641" s="126"/>
      <c r="D641" s="126"/>
      <c r="E641" s="126"/>
      <c r="F641" s="126"/>
      <c r="G641" s="80"/>
      <c r="H641" s="80"/>
      <c r="I641" s="80"/>
      <c r="J641" s="80"/>
      <c r="K641" s="80"/>
      <c r="L641" s="80"/>
      <c r="M641" s="80"/>
      <c r="N641" s="80"/>
      <c r="O641" s="80"/>
      <c r="P641" s="80"/>
      <c r="Q641" s="80"/>
      <c r="R641" s="80"/>
      <c r="S641" s="80"/>
      <c r="T641" s="80"/>
      <c r="U641" s="80"/>
      <c r="V641" s="80"/>
      <c r="W641" s="80"/>
      <c r="X641" s="80"/>
      <c r="Y641" s="80"/>
      <c r="Z641" s="80"/>
    </row>
    <row r="642">
      <c r="A642" s="126"/>
      <c r="B642" s="126"/>
      <c r="C642" s="126"/>
      <c r="D642" s="126"/>
      <c r="E642" s="126"/>
      <c r="F642" s="126"/>
      <c r="G642" s="80"/>
      <c r="H642" s="80"/>
      <c r="I642" s="80"/>
      <c r="J642" s="80"/>
      <c r="K642" s="80"/>
      <c r="L642" s="80"/>
      <c r="M642" s="80"/>
      <c r="N642" s="80"/>
      <c r="O642" s="80"/>
      <c r="P642" s="80"/>
      <c r="Q642" s="80"/>
      <c r="R642" s="80"/>
      <c r="S642" s="80"/>
      <c r="T642" s="80"/>
      <c r="U642" s="80"/>
      <c r="V642" s="80"/>
      <c r="W642" s="80"/>
      <c r="X642" s="80"/>
      <c r="Y642" s="80"/>
      <c r="Z642" s="80"/>
    </row>
    <row r="643">
      <c r="A643" s="126"/>
      <c r="B643" s="126"/>
      <c r="C643" s="126"/>
      <c r="D643" s="126"/>
      <c r="E643" s="126"/>
      <c r="F643" s="126"/>
      <c r="G643" s="80"/>
      <c r="H643" s="80"/>
      <c r="I643" s="80"/>
      <c r="J643" s="80"/>
      <c r="K643" s="80"/>
      <c r="L643" s="80"/>
      <c r="M643" s="80"/>
      <c r="N643" s="80"/>
      <c r="O643" s="80"/>
      <c r="P643" s="80"/>
      <c r="Q643" s="80"/>
      <c r="R643" s="80"/>
      <c r="S643" s="80"/>
      <c r="T643" s="80"/>
      <c r="U643" s="80"/>
      <c r="V643" s="80"/>
      <c r="W643" s="80"/>
      <c r="X643" s="80"/>
      <c r="Y643" s="80"/>
      <c r="Z643" s="80"/>
    </row>
    <row r="644">
      <c r="A644" s="126"/>
      <c r="B644" s="126"/>
      <c r="C644" s="126"/>
      <c r="D644" s="126"/>
      <c r="E644" s="126"/>
      <c r="F644" s="126"/>
      <c r="G644" s="80"/>
      <c r="H644" s="80"/>
      <c r="I644" s="80"/>
      <c r="J644" s="80"/>
      <c r="K644" s="80"/>
      <c r="L644" s="80"/>
      <c r="M644" s="80"/>
      <c r="N644" s="80"/>
      <c r="O644" s="80"/>
      <c r="P644" s="80"/>
      <c r="Q644" s="80"/>
      <c r="R644" s="80"/>
      <c r="S644" s="80"/>
      <c r="T644" s="80"/>
      <c r="U644" s="80"/>
      <c r="V644" s="80"/>
      <c r="W644" s="80"/>
      <c r="X644" s="80"/>
      <c r="Y644" s="80"/>
      <c r="Z644" s="80"/>
    </row>
    <row r="645">
      <c r="A645" s="126"/>
      <c r="B645" s="126"/>
      <c r="C645" s="126"/>
      <c r="D645" s="126"/>
      <c r="E645" s="126"/>
      <c r="F645" s="126"/>
      <c r="G645" s="80"/>
      <c r="H645" s="80"/>
      <c r="I645" s="80"/>
      <c r="J645" s="80"/>
      <c r="K645" s="80"/>
      <c r="L645" s="80"/>
      <c r="M645" s="80"/>
      <c r="N645" s="80"/>
      <c r="O645" s="80"/>
      <c r="P645" s="80"/>
      <c r="Q645" s="80"/>
      <c r="R645" s="80"/>
      <c r="S645" s="80"/>
      <c r="T645" s="80"/>
      <c r="U645" s="80"/>
      <c r="V645" s="80"/>
      <c r="W645" s="80"/>
      <c r="X645" s="80"/>
      <c r="Y645" s="80"/>
      <c r="Z645" s="80"/>
    </row>
    <row r="646">
      <c r="A646" s="126"/>
      <c r="B646" s="126"/>
      <c r="C646" s="126"/>
      <c r="D646" s="126"/>
      <c r="E646" s="126"/>
      <c r="F646" s="126"/>
      <c r="G646" s="80"/>
      <c r="H646" s="80"/>
      <c r="I646" s="80"/>
      <c r="J646" s="80"/>
      <c r="K646" s="80"/>
      <c r="L646" s="80"/>
      <c r="M646" s="80"/>
      <c r="N646" s="80"/>
      <c r="O646" s="80"/>
      <c r="P646" s="80"/>
      <c r="Q646" s="80"/>
      <c r="R646" s="80"/>
      <c r="S646" s="80"/>
      <c r="T646" s="80"/>
      <c r="U646" s="80"/>
      <c r="V646" s="80"/>
      <c r="W646" s="80"/>
      <c r="X646" s="80"/>
      <c r="Y646" s="80"/>
      <c r="Z646" s="80"/>
    </row>
    <row r="647">
      <c r="A647" s="126"/>
      <c r="B647" s="126"/>
      <c r="C647" s="126"/>
      <c r="D647" s="126"/>
      <c r="E647" s="126"/>
      <c r="F647" s="126"/>
      <c r="G647" s="80"/>
      <c r="H647" s="80"/>
      <c r="I647" s="80"/>
      <c r="J647" s="80"/>
      <c r="K647" s="80"/>
      <c r="L647" s="80"/>
      <c r="M647" s="80"/>
      <c r="N647" s="80"/>
      <c r="O647" s="80"/>
      <c r="P647" s="80"/>
      <c r="Q647" s="80"/>
      <c r="R647" s="80"/>
      <c r="S647" s="80"/>
      <c r="T647" s="80"/>
      <c r="U647" s="80"/>
      <c r="V647" s="80"/>
      <c r="W647" s="80"/>
      <c r="X647" s="80"/>
      <c r="Y647" s="80"/>
      <c r="Z647" s="80"/>
    </row>
    <row r="648">
      <c r="A648" s="126"/>
      <c r="B648" s="126"/>
      <c r="C648" s="126"/>
      <c r="D648" s="126"/>
      <c r="E648" s="126"/>
      <c r="F648" s="126"/>
      <c r="G648" s="80"/>
      <c r="H648" s="80"/>
      <c r="I648" s="80"/>
      <c r="J648" s="80"/>
      <c r="K648" s="80"/>
      <c r="L648" s="80"/>
      <c r="M648" s="80"/>
      <c r="N648" s="80"/>
      <c r="O648" s="80"/>
      <c r="P648" s="80"/>
      <c r="Q648" s="80"/>
      <c r="R648" s="80"/>
      <c r="S648" s="80"/>
      <c r="T648" s="80"/>
      <c r="U648" s="80"/>
      <c r="V648" s="80"/>
      <c r="W648" s="80"/>
      <c r="X648" s="80"/>
      <c r="Y648" s="80"/>
      <c r="Z648" s="80"/>
    </row>
    <row r="649">
      <c r="A649" s="126"/>
      <c r="B649" s="126"/>
      <c r="C649" s="126"/>
      <c r="D649" s="126"/>
      <c r="E649" s="126"/>
      <c r="F649" s="126"/>
      <c r="G649" s="80"/>
      <c r="H649" s="80"/>
      <c r="I649" s="80"/>
      <c r="J649" s="80"/>
      <c r="K649" s="80"/>
      <c r="L649" s="80"/>
      <c r="M649" s="80"/>
      <c r="N649" s="80"/>
      <c r="O649" s="80"/>
      <c r="P649" s="80"/>
      <c r="Q649" s="80"/>
      <c r="R649" s="80"/>
      <c r="S649" s="80"/>
      <c r="T649" s="80"/>
      <c r="U649" s="80"/>
      <c r="V649" s="80"/>
      <c r="W649" s="80"/>
      <c r="X649" s="80"/>
      <c r="Y649" s="80"/>
      <c r="Z649" s="80"/>
    </row>
    <row r="650">
      <c r="A650" s="126"/>
      <c r="B650" s="126"/>
      <c r="C650" s="126"/>
      <c r="D650" s="126"/>
      <c r="E650" s="126"/>
      <c r="F650" s="126"/>
      <c r="G650" s="80"/>
      <c r="H650" s="80"/>
      <c r="I650" s="80"/>
      <c r="J650" s="80"/>
      <c r="K650" s="80"/>
      <c r="L650" s="80"/>
      <c r="M650" s="80"/>
      <c r="N650" s="80"/>
      <c r="O650" s="80"/>
      <c r="P650" s="80"/>
      <c r="Q650" s="80"/>
      <c r="R650" s="80"/>
      <c r="S650" s="80"/>
      <c r="T650" s="80"/>
      <c r="U650" s="80"/>
      <c r="V650" s="80"/>
      <c r="W650" s="80"/>
      <c r="X650" s="80"/>
      <c r="Y650" s="80"/>
      <c r="Z650" s="80"/>
    </row>
    <row r="651">
      <c r="A651" s="126"/>
      <c r="B651" s="126"/>
      <c r="C651" s="126"/>
      <c r="D651" s="126"/>
      <c r="E651" s="126"/>
      <c r="F651" s="126"/>
      <c r="G651" s="80"/>
      <c r="H651" s="80"/>
      <c r="I651" s="80"/>
      <c r="J651" s="80"/>
      <c r="K651" s="80"/>
      <c r="L651" s="80"/>
      <c r="M651" s="80"/>
      <c r="N651" s="80"/>
      <c r="O651" s="80"/>
      <c r="P651" s="80"/>
      <c r="Q651" s="80"/>
      <c r="R651" s="80"/>
      <c r="S651" s="80"/>
      <c r="T651" s="80"/>
      <c r="U651" s="80"/>
      <c r="V651" s="80"/>
      <c r="W651" s="80"/>
      <c r="X651" s="80"/>
      <c r="Y651" s="80"/>
      <c r="Z651" s="80"/>
    </row>
    <row r="652">
      <c r="A652" s="126"/>
      <c r="B652" s="126"/>
      <c r="C652" s="126"/>
      <c r="D652" s="126"/>
      <c r="E652" s="126"/>
      <c r="F652" s="126"/>
      <c r="G652" s="80"/>
      <c r="H652" s="80"/>
      <c r="I652" s="80"/>
      <c r="J652" s="80"/>
      <c r="K652" s="80"/>
      <c r="L652" s="80"/>
      <c r="M652" s="80"/>
      <c r="N652" s="80"/>
      <c r="O652" s="80"/>
      <c r="P652" s="80"/>
      <c r="Q652" s="80"/>
      <c r="R652" s="80"/>
      <c r="S652" s="80"/>
      <c r="T652" s="80"/>
      <c r="U652" s="80"/>
      <c r="V652" s="80"/>
      <c r="W652" s="80"/>
      <c r="X652" s="80"/>
      <c r="Y652" s="80"/>
      <c r="Z652" s="80"/>
    </row>
    <row r="653">
      <c r="A653" s="126"/>
      <c r="B653" s="126"/>
      <c r="C653" s="126"/>
      <c r="D653" s="126"/>
      <c r="E653" s="126"/>
      <c r="F653" s="126"/>
      <c r="G653" s="80"/>
      <c r="H653" s="80"/>
      <c r="I653" s="80"/>
      <c r="J653" s="80"/>
      <c r="K653" s="80"/>
      <c r="L653" s="80"/>
      <c r="M653" s="80"/>
      <c r="N653" s="80"/>
      <c r="O653" s="80"/>
      <c r="P653" s="80"/>
      <c r="Q653" s="80"/>
      <c r="R653" s="80"/>
      <c r="S653" s="80"/>
      <c r="T653" s="80"/>
      <c r="U653" s="80"/>
      <c r="V653" s="80"/>
      <c r="W653" s="80"/>
      <c r="X653" s="80"/>
      <c r="Y653" s="80"/>
      <c r="Z653" s="80"/>
    </row>
    <row r="654">
      <c r="A654" s="126"/>
      <c r="B654" s="126"/>
      <c r="C654" s="126"/>
      <c r="D654" s="126"/>
      <c r="E654" s="126"/>
      <c r="F654" s="126"/>
      <c r="G654" s="80"/>
      <c r="H654" s="80"/>
      <c r="I654" s="80"/>
      <c r="J654" s="80"/>
      <c r="K654" s="80"/>
      <c r="L654" s="80"/>
      <c r="M654" s="80"/>
      <c r="N654" s="80"/>
      <c r="O654" s="80"/>
      <c r="P654" s="80"/>
      <c r="Q654" s="80"/>
      <c r="R654" s="80"/>
      <c r="S654" s="80"/>
      <c r="T654" s="80"/>
      <c r="U654" s="80"/>
      <c r="V654" s="80"/>
      <c r="W654" s="80"/>
      <c r="X654" s="80"/>
      <c r="Y654" s="80"/>
      <c r="Z654" s="80"/>
    </row>
    <row r="655">
      <c r="A655" s="126"/>
      <c r="B655" s="126"/>
      <c r="C655" s="126"/>
      <c r="D655" s="126"/>
      <c r="E655" s="126"/>
      <c r="F655" s="126"/>
      <c r="G655" s="80"/>
      <c r="H655" s="80"/>
      <c r="I655" s="80"/>
      <c r="J655" s="80"/>
      <c r="K655" s="80"/>
      <c r="L655" s="80"/>
      <c r="M655" s="80"/>
      <c r="N655" s="80"/>
      <c r="O655" s="80"/>
      <c r="P655" s="80"/>
      <c r="Q655" s="80"/>
      <c r="R655" s="80"/>
      <c r="S655" s="80"/>
      <c r="T655" s="80"/>
      <c r="U655" s="80"/>
      <c r="V655" s="80"/>
      <c r="W655" s="80"/>
      <c r="X655" s="80"/>
      <c r="Y655" s="80"/>
      <c r="Z655" s="80"/>
    </row>
    <row r="656">
      <c r="A656" s="126"/>
      <c r="B656" s="126"/>
      <c r="C656" s="126"/>
      <c r="D656" s="126"/>
      <c r="E656" s="126"/>
      <c r="F656" s="126"/>
      <c r="G656" s="80"/>
      <c r="H656" s="80"/>
      <c r="I656" s="80"/>
      <c r="J656" s="80"/>
      <c r="K656" s="80"/>
      <c r="L656" s="80"/>
      <c r="M656" s="80"/>
      <c r="N656" s="80"/>
      <c r="O656" s="80"/>
      <c r="P656" s="80"/>
      <c r="Q656" s="80"/>
      <c r="R656" s="80"/>
      <c r="S656" s="80"/>
      <c r="T656" s="80"/>
      <c r="U656" s="80"/>
      <c r="V656" s="80"/>
      <c r="W656" s="80"/>
      <c r="X656" s="80"/>
      <c r="Y656" s="80"/>
      <c r="Z656" s="80"/>
    </row>
    <row r="657">
      <c r="A657" s="126"/>
      <c r="B657" s="126"/>
      <c r="C657" s="126"/>
      <c r="D657" s="126"/>
      <c r="E657" s="126"/>
      <c r="F657" s="126"/>
      <c r="G657" s="80"/>
      <c r="H657" s="80"/>
      <c r="I657" s="80"/>
      <c r="J657" s="80"/>
      <c r="K657" s="80"/>
      <c r="L657" s="80"/>
      <c r="M657" s="80"/>
      <c r="N657" s="80"/>
      <c r="O657" s="80"/>
      <c r="P657" s="80"/>
      <c r="Q657" s="80"/>
      <c r="R657" s="80"/>
      <c r="S657" s="80"/>
      <c r="T657" s="80"/>
      <c r="U657" s="80"/>
      <c r="V657" s="80"/>
      <c r="W657" s="80"/>
      <c r="X657" s="80"/>
      <c r="Y657" s="80"/>
      <c r="Z657" s="80"/>
    </row>
    <row r="658">
      <c r="A658" s="126"/>
      <c r="B658" s="126"/>
      <c r="C658" s="126"/>
      <c r="D658" s="126"/>
      <c r="E658" s="126"/>
      <c r="F658" s="126"/>
      <c r="G658" s="80"/>
      <c r="H658" s="80"/>
      <c r="I658" s="80"/>
      <c r="J658" s="80"/>
      <c r="K658" s="80"/>
      <c r="L658" s="80"/>
      <c r="M658" s="80"/>
      <c r="N658" s="80"/>
      <c r="O658" s="80"/>
      <c r="P658" s="80"/>
      <c r="Q658" s="80"/>
      <c r="R658" s="80"/>
      <c r="S658" s="80"/>
      <c r="T658" s="80"/>
      <c r="U658" s="80"/>
      <c r="V658" s="80"/>
      <c r="W658" s="80"/>
      <c r="X658" s="80"/>
      <c r="Y658" s="80"/>
      <c r="Z658" s="80"/>
    </row>
    <row r="659">
      <c r="A659" s="126"/>
      <c r="B659" s="126"/>
      <c r="C659" s="126"/>
      <c r="D659" s="126"/>
      <c r="E659" s="126"/>
      <c r="F659" s="126"/>
      <c r="G659" s="80"/>
      <c r="H659" s="80"/>
      <c r="I659" s="80"/>
      <c r="J659" s="80"/>
      <c r="K659" s="80"/>
      <c r="L659" s="80"/>
      <c r="M659" s="80"/>
      <c r="N659" s="80"/>
      <c r="O659" s="80"/>
      <c r="P659" s="80"/>
      <c r="Q659" s="80"/>
      <c r="R659" s="80"/>
      <c r="S659" s="80"/>
      <c r="T659" s="80"/>
      <c r="U659" s="80"/>
      <c r="V659" s="80"/>
      <c r="W659" s="80"/>
      <c r="X659" s="80"/>
      <c r="Y659" s="80"/>
      <c r="Z659" s="80"/>
    </row>
    <row r="660">
      <c r="A660" s="126"/>
      <c r="B660" s="126"/>
      <c r="C660" s="126"/>
      <c r="D660" s="126"/>
      <c r="E660" s="126"/>
      <c r="F660" s="126"/>
      <c r="G660" s="80"/>
      <c r="H660" s="80"/>
      <c r="I660" s="80"/>
      <c r="J660" s="80"/>
      <c r="K660" s="80"/>
      <c r="L660" s="80"/>
      <c r="M660" s="80"/>
      <c r="N660" s="80"/>
      <c r="O660" s="80"/>
      <c r="P660" s="80"/>
      <c r="Q660" s="80"/>
      <c r="R660" s="80"/>
      <c r="S660" s="80"/>
      <c r="T660" s="80"/>
      <c r="U660" s="80"/>
      <c r="V660" s="80"/>
      <c r="W660" s="80"/>
      <c r="X660" s="80"/>
      <c r="Y660" s="80"/>
      <c r="Z660" s="80"/>
    </row>
    <row r="661">
      <c r="A661" s="126"/>
      <c r="B661" s="126"/>
      <c r="C661" s="126"/>
      <c r="D661" s="126"/>
      <c r="E661" s="126"/>
      <c r="F661" s="126"/>
      <c r="G661" s="80"/>
      <c r="H661" s="80"/>
      <c r="I661" s="80"/>
      <c r="J661" s="80"/>
      <c r="K661" s="80"/>
      <c r="L661" s="80"/>
      <c r="M661" s="80"/>
      <c r="N661" s="80"/>
      <c r="O661" s="80"/>
      <c r="P661" s="80"/>
      <c r="Q661" s="80"/>
      <c r="R661" s="80"/>
      <c r="S661" s="80"/>
      <c r="T661" s="80"/>
      <c r="U661" s="80"/>
      <c r="V661" s="80"/>
      <c r="W661" s="80"/>
      <c r="X661" s="80"/>
      <c r="Y661" s="80"/>
      <c r="Z661" s="80"/>
    </row>
    <row r="662">
      <c r="A662" s="126"/>
      <c r="B662" s="126"/>
      <c r="C662" s="126"/>
      <c r="D662" s="126"/>
      <c r="E662" s="126"/>
      <c r="F662" s="126"/>
      <c r="G662" s="80"/>
      <c r="H662" s="80"/>
      <c r="I662" s="80"/>
      <c r="J662" s="80"/>
      <c r="K662" s="80"/>
      <c r="L662" s="80"/>
      <c r="M662" s="80"/>
      <c r="N662" s="80"/>
      <c r="O662" s="80"/>
      <c r="P662" s="80"/>
      <c r="Q662" s="80"/>
      <c r="R662" s="80"/>
      <c r="S662" s="80"/>
      <c r="T662" s="80"/>
      <c r="U662" s="80"/>
      <c r="V662" s="80"/>
      <c r="W662" s="80"/>
      <c r="X662" s="80"/>
      <c r="Y662" s="80"/>
      <c r="Z662" s="80"/>
    </row>
    <row r="663">
      <c r="A663" s="126"/>
      <c r="B663" s="126"/>
      <c r="C663" s="126"/>
      <c r="D663" s="126"/>
      <c r="E663" s="126"/>
      <c r="F663" s="126"/>
      <c r="G663" s="80"/>
      <c r="H663" s="80"/>
      <c r="I663" s="80"/>
      <c r="J663" s="80"/>
      <c r="K663" s="80"/>
      <c r="L663" s="80"/>
      <c r="M663" s="80"/>
      <c r="N663" s="80"/>
      <c r="O663" s="80"/>
      <c r="P663" s="80"/>
      <c r="Q663" s="80"/>
      <c r="R663" s="80"/>
      <c r="S663" s="80"/>
      <c r="T663" s="80"/>
      <c r="U663" s="80"/>
      <c r="V663" s="80"/>
      <c r="W663" s="80"/>
      <c r="X663" s="80"/>
      <c r="Y663" s="80"/>
      <c r="Z663" s="80"/>
    </row>
    <row r="664">
      <c r="A664" s="126"/>
      <c r="B664" s="126"/>
      <c r="C664" s="126"/>
      <c r="D664" s="126"/>
      <c r="E664" s="126"/>
      <c r="F664" s="126"/>
      <c r="G664" s="80"/>
      <c r="H664" s="80"/>
      <c r="I664" s="80"/>
      <c r="J664" s="80"/>
      <c r="K664" s="80"/>
      <c r="L664" s="80"/>
      <c r="M664" s="80"/>
      <c r="N664" s="80"/>
      <c r="O664" s="80"/>
      <c r="P664" s="80"/>
      <c r="Q664" s="80"/>
      <c r="R664" s="80"/>
      <c r="S664" s="80"/>
      <c r="T664" s="80"/>
      <c r="U664" s="80"/>
      <c r="V664" s="80"/>
      <c r="W664" s="80"/>
      <c r="X664" s="80"/>
      <c r="Y664" s="80"/>
      <c r="Z664" s="80"/>
    </row>
    <row r="665">
      <c r="A665" s="126"/>
      <c r="B665" s="126"/>
      <c r="C665" s="126"/>
      <c r="D665" s="126"/>
      <c r="E665" s="126"/>
      <c r="F665" s="126"/>
      <c r="G665" s="80"/>
      <c r="H665" s="80"/>
      <c r="I665" s="80"/>
      <c r="J665" s="80"/>
      <c r="K665" s="80"/>
      <c r="L665" s="80"/>
      <c r="M665" s="80"/>
      <c r="N665" s="80"/>
      <c r="O665" s="80"/>
      <c r="P665" s="80"/>
      <c r="Q665" s="80"/>
      <c r="R665" s="80"/>
      <c r="S665" s="80"/>
      <c r="T665" s="80"/>
      <c r="U665" s="80"/>
      <c r="V665" s="80"/>
      <c r="W665" s="80"/>
      <c r="X665" s="80"/>
      <c r="Y665" s="80"/>
      <c r="Z665" s="80"/>
    </row>
    <row r="666">
      <c r="A666" s="126"/>
      <c r="B666" s="126"/>
      <c r="C666" s="126"/>
      <c r="D666" s="126"/>
      <c r="E666" s="126"/>
      <c r="F666" s="126"/>
      <c r="G666" s="80"/>
      <c r="H666" s="80"/>
      <c r="I666" s="80"/>
      <c r="J666" s="80"/>
      <c r="K666" s="80"/>
      <c r="L666" s="80"/>
      <c r="M666" s="80"/>
      <c r="N666" s="80"/>
      <c r="O666" s="80"/>
      <c r="P666" s="80"/>
      <c r="Q666" s="80"/>
      <c r="R666" s="80"/>
      <c r="S666" s="80"/>
      <c r="T666" s="80"/>
      <c r="U666" s="80"/>
      <c r="V666" s="80"/>
      <c r="W666" s="80"/>
      <c r="X666" s="80"/>
      <c r="Y666" s="80"/>
      <c r="Z666" s="80"/>
    </row>
    <row r="667">
      <c r="A667" s="126"/>
      <c r="B667" s="126"/>
      <c r="C667" s="126"/>
      <c r="D667" s="126"/>
      <c r="E667" s="126"/>
      <c r="F667" s="126"/>
      <c r="G667" s="80"/>
      <c r="H667" s="80"/>
      <c r="I667" s="80"/>
      <c r="J667" s="80"/>
      <c r="K667" s="80"/>
      <c r="L667" s="80"/>
      <c r="M667" s="80"/>
      <c r="N667" s="80"/>
      <c r="O667" s="80"/>
      <c r="P667" s="80"/>
      <c r="Q667" s="80"/>
      <c r="R667" s="80"/>
      <c r="S667" s="80"/>
      <c r="T667" s="80"/>
      <c r="U667" s="80"/>
      <c r="V667" s="80"/>
      <c r="W667" s="80"/>
      <c r="X667" s="80"/>
      <c r="Y667" s="80"/>
      <c r="Z667" s="80"/>
    </row>
    <row r="668">
      <c r="A668" s="126"/>
      <c r="B668" s="126"/>
      <c r="C668" s="126"/>
      <c r="D668" s="126"/>
      <c r="E668" s="126"/>
      <c r="F668" s="126"/>
      <c r="G668" s="80"/>
      <c r="H668" s="80"/>
      <c r="I668" s="80"/>
      <c r="J668" s="80"/>
      <c r="K668" s="80"/>
      <c r="L668" s="80"/>
      <c r="M668" s="80"/>
      <c r="N668" s="80"/>
      <c r="O668" s="80"/>
      <c r="P668" s="80"/>
      <c r="Q668" s="80"/>
      <c r="R668" s="80"/>
      <c r="S668" s="80"/>
      <c r="T668" s="80"/>
      <c r="U668" s="80"/>
      <c r="V668" s="80"/>
      <c r="W668" s="80"/>
      <c r="X668" s="80"/>
      <c r="Y668" s="80"/>
      <c r="Z668" s="80"/>
    </row>
    <row r="669">
      <c r="A669" s="126"/>
      <c r="B669" s="126"/>
      <c r="C669" s="126"/>
      <c r="D669" s="126"/>
      <c r="E669" s="126"/>
      <c r="F669" s="126"/>
      <c r="G669" s="80"/>
      <c r="H669" s="80"/>
      <c r="I669" s="80"/>
      <c r="J669" s="80"/>
      <c r="K669" s="80"/>
      <c r="L669" s="80"/>
      <c r="M669" s="80"/>
      <c r="N669" s="80"/>
      <c r="O669" s="80"/>
      <c r="P669" s="80"/>
      <c r="Q669" s="80"/>
      <c r="R669" s="80"/>
      <c r="S669" s="80"/>
      <c r="T669" s="80"/>
      <c r="U669" s="80"/>
      <c r="V669" s="80"/>
      <c r="W669" s="80"/>
      <c r="X669" s="80"/>
      <c r="Y669" s="80"/>
      <c r="Z669" s="80"/>
    </row>
    <row r="670">
      <c r="A670" s="126"/>
      <c r="B670" s="126"/>
      <c r="C670" s="126"/>
      <c r="D670" s="126"/>
      <c r="E670" s="126"/>
      <c r="F670" s="126"/>
      <c r="G670" s="80"/>
      <c r="H670" s="80"/>
      <c r="I670" s="80"/>
      <c r="J670" s="80"/>
      <c r="K670" s="80"/>
      <c r="L670" s="80"/>
      <c r="M670" s="80"/>
      <c r="N670" s="80"/>
      <c r="O670" s="80"/>
      <c r="P670" s="80"/>
      <c r="Q670" s="80"/>
      <c r="R670" s="80"/>
      <c r="S670" s="80"/>
      <c r="T670" s="80"/>
      <c r="U670" s="80"/>
      <c r="V670" s="80"/>
      <c r="W670" s="80"/>
      <c r="X670" s="80"/>
      <c r="Y670" s="80"/>
      <c r="Z670" s="80"/>
    </row>
    <row r="671">
      <c r="A671" s="126"/>
      <c r="B671" s="126"/>
      <c r="C671" s="126"/>
      <c r="D671" s="126"/>
      <c r="E671" s="126"/>
      <c r="F671" s="126"/>
      <c r="G671" s="80"/>
      <c r="H671" s="80"/>
      <c r="I671" s="80"/>
      <c r="J671" s="80"/>
      <c r="K671" s="80"/>
      <c r="L671" s="80"/>
      <c r="M671" s="80"/>
      <c r="N671" s="80"/>
      <c r="O671" s="80"/>
      <c r="P671" s="80"/>
      <c r="Q671" s="80"/>
      <c r="R671" s="80"/>
      <c r="S671" s="80"/>
      <c r="T671" s="80"/>
      <c r="U671" s="80"/>
      <c r="V671" s="80"/>
      <c r="W671" s="80"/>
      <c r="X671" s="80"/>
      <c r="Y671" s="80"/>
      <c r="Z671" s="80"/>
    </row>
    <row r="672">
      <c r="A672" s="126"/>
      <c r="B672" s="126"/>
      <c r="C672" s="126"/>
      <c r="D672" s="126"/>
      <c r="E672" s="126"/>
      <c r="F672" s="126"/>
      <c r="G672" s="80"/>
      <c r="H672" s="80"/>
      <c r="I672" s="80"/>
      <c r="J672" s="80"/>
      <c r="K672" s="80"/>
      <c r="L672" s="80"/>
      <c r="M672" s="80"/>
      <c r="N672" s="80"/>
      <c r="O672" s="80"/>
      <c r="P672" s="80"/>
      <c r="Q672" s="80"/>
      <c r="R672" s="80"/>
      <c r="S672" s="80"/>
      <c r="T672" s="80"/>
      <c r="U672" s="80"/>
      <c r="V672" s="80"/>
      <c r="W672" s="80"/>
      <c r="X672" s="80"/>
      <c r="Y672" s="80"/>
      <c r="Z672" s="80"/>
    </row>
    <row r="673">
      <c r="A673" s="126"/>
      <c r="B673" s="126"/>
      <c r="C673" s="126"/>
      <c r="D673" s="126"/>
      <c r="E673" s="126"/>
      <c r="F673" s="126"/>
      <c r="G673" s="80"/>
      <c r="H673" s="80"/>
      <c r="I673" s="80"/>
      <c r="J673" s="80"/>
      <c r="K673" s="80"/>
      <c r="L673" s="80"/>
      <c r="M673" s="80"/>
      <c r="N673" s="80"/>
      <c r="O673" s="80"/>
      <c r="P673" s="80"/>
      <c r="Q673" s="80"/>
      <c r="R673" s="80"/>
      <c r="S673" s="80"/>
      <c r="T673" s="80"/>
      <c r="U673" s="80"/>
      <c r="V673" s="80"/>
      <c r="W673" s="80"/>
      <c r="X673" s="80"/>
      <c r="Y673" s="80"/>
      <c r="Z673" s="80"/>
    </row>
    <row r="674">
      <c r="A674" s="126"/>
      <c r="B674" s="126"/>
      <c r="C674" s="126"/>
      <c r="D674" s="126"/>
      <c r="E674" s="126"/>
      <c r="F674" s="126"/>
      <c r="G674" s="80"/>
      <c r="H674" s="80"/>
      <c r="I674" s="80"/>
      <c r="J674" s="80"/>
      <c r="K674" s="80"/>
      <c r="L674" s="80"/>
      <c r="M674" s="80"/>
      <c r="N674" s="80"/>
      <c r="O674" s="80"/>
      <c r="P674" s="80"/>
      <c r="Q674" s="80"/>
      <c r="R674" s="80"/>
      <c r="S674" s="80"/>
      <c r="T674" s="80"/>
      <c r="U674" s="80"/>
      <c r="V674" s="80"/>
      <c r="W674" s="80"/>
      <c r="X674" s="80"/>
      <c r="Y674" s="80"/>
      <c r="Z674" s="80"/>
    </row>
    <row r="675">
      <c r="A675" s="126"/>
      <c r="B675" s="126"/>
      <c r="C675" s="126"/>
      <c r="D675" s="126"/>
      <c r="E675" s="126"/>
      <c r="F675" s="126"/>
      <c r="G675" s="80"/>
      <c r="H675" s="80"/>
      <c r="I675" s="80"/>
      <c r="J675" s="80"/>
      <c r="K675" s="80"/>
      <c r="L675" s="80"/>
      <c r="M675" s="80"/>
      <c r="N675" s="80"/>
      <c r="O675" s="80"/>
      <c r="P675" s="80"/>
      <c r="Q675" s="80"/>
      <c r="R675" s="80"/>
      <c r="S675" s="80"/>
      <c r="T675" s="80"/>
      <c r="U675" s="80"/>
      <c r="V675" s="80"/>
      <c r="W675" s="80"/>
      <c r="X675" s="80"/>
      <c r="Y675" s="80"/>
      <c r="Z675" s="80"/>
    </row>
    <row r="676">
      <c r="A676" s="126"/>
      <c r="B676" s="126"/>
      <c r="C676" s="126"/>
      <c r="D676" s="126"/>
      <c r="E676" s="126"/>
      <c r="F676" s="126"/>
      <c r="G676" s="80"/>
      <c r="H676" s="80"/>
      <c r="I676" s="80"/>
      <c r="J676" s="80"/>
      <c r="K676" s="80"/>
      <c r="L676" s="80"/>
      <c r="M676" s="80"/>
      <c r="N676" s="80"/>
      <c r="O676" s="80"/>
      <c r="P676" s="80"/>
      <c r="Q676" s="80"/>
      <c r="R676" s="80"/>
      <c r="S676" s="80"/>
      <c r="T676" s="80"/>
      <c r="U676" s="80"/>
      <c r="V676" s="80"/>
      <c r="W676" s="80"/>
      <c r="X676" s="80"/>
      <c r="Y676" s="80"/>
      <c r="Z676" s="80"/>
    </row>
    <row r="677">
      <c r="A677" s="126"/>
      <c r="B677" s="126"/>
      <c r="C677" s="126"/>
      <c r="D677" s="126"/>
      <c r="E677" s="126"/>
      <c r="F677" s="126"/>
      <c r="G677" s="80"/>
      <c r="H677" s="80"/>
      <c r="I677" s="80"/>
      <c r="J677" s="80"/>
      <c r="K677" s="80"/>
      <c r="L677" s="80"/>
      <c r="M677" s="80"/>
      <c r="N677" s="80"/>
      <c r="O677" s="80"/>
      <c r="P677" s="80"/>
      <c r="Q677" s="80"/>
      <c r="R677" s="80"/>
      <c r="S677" s="80"/>
      <c r="T677" s="80"/>
      <c r="U677" s="80"/>
      <c r="V677" s="80"/>
      <c r="W677" s="80"/>
      <c r="X677" s="80"/>
      <c r="Y677" s="80"/>
      <c r="Z677" s="80"/>
    </row>
    <row r="678">
      <c r="A678" s="126"/>
      <c r="B678" s="126"/>
      <c r="C678" s="126"/>
      <c r="D678" s="126"/>
      <c r="E678" s="126"/>
      <c r="F678" s="126"/>
      <c r="G678" s="80"/>
      <c r="H678" s="80"/>
      <c r="I678" s="80"/>
      <c r="J678" s="80"/>
      <c r="K678" s="80"/>
      <c r="L678" s="80"/>
      <c r="M678" s="80"/>
      <c r="N678" s="80"/>
      <c r="O678" s="80"/>
      <c r="P678" s="80"/>
      <c r="Q678" s="80"/>
      <c r="R678" s="80"/>
      <c r="S678" s="80"/>
      <c r="T678" s="80"/>
      <c r="U678" s="80"/>
      <c r="V678" s="80"/>
      <c r="W678" s="80"/>
      <c r="X678" s="80"/>
      <c r="Y678" s="80"/>
      <c r="Z678" s="80"/>
    </row>
    <row r="679">
      <c r="A679" s="126"/>
      <c r="B679" s="126"/>
      <c r="C679" s="126"/>
      <c r="D679" s="126"/>
      <c r="E679" s="126"/>
      <c r="F679" s="126"/>
      <c r="G679" s="80"/>
      <c r="H679" s="80"/>
      <c r="I679" s="80"/>
      <c r="J679" s="80"/>
      <c r="K679" s="80"/>
      <c r="L679" s="80"/>
      <c r="M679" s="80"/>
      <c r="N679" s="80"/>
      <c r="O679" s="80"/>
      <c r="P679" s="80"/>
      <c r="Q679" s="80"/>
      <c r="R679" s="80"/>
      <c r="S679" s="80"/>
      <c r="T679" s="80"/>
      <c r="U679" s="80"/>
      <c r="V679" s="80"/>
      <c r="W679" s="80"/>
      <c r="X679" s="80"/>
      <c r="Y679" s="80"/>
      <c r="Z679" s="80"/>
    </row>
    <row r="680">
      <c r="A680" s="126"/>
      <c r="B680" s="126"/>
      <c r="C680" s="126"/>
      <c r="D680" s="126"/>
      <c r="E680" s="126"/>
      <c r="F680" s="126"/>
      <c r="G680" s="80"/>
      <c r="H680" s="80"/>
      <c r="I680" s="80"/>
      <c r="J680" s="80"/>
      <c r="K680" s="80"/>
      <c r="L680" s="80"/>
      <c r="M680" s="80"/>
      <c r="N680" s="80"/>
      <c r="O680" s="80"/>
      <c r="P680" s="80"/>
      <c r="Q680" s="80"/>
      <c r="R680" s="80"/>
      <c r="S680" s="80"/>
      <c r="T680" s="80"/>
      <c r="U680" s="80"/>
      <c r="V680" s="80"/>
      <c r="W680" s="80"/>
      <c r="X680" s="80"/>
      <c r="Y680" s="80"/>
      <c r="Z680" s="80"/>
    </row>
    <row r="681">
      <c r="A681" s="126"/>
      <c r="B681" s="126"/>
      <c r="C681" s="126"/>
      <c r="D681" s="126"/>
      <c r="E681" s="126"/>
      <c r="F681" s="126"/>
      <c r="G681" s="80"/>
      <c r="H681" s="80"/>
      <c r="I681" s="80"/>
      <c r="J681" s="80"/>
      <c r="K681" s="80"/>
      <c r="L681" s="80"/>
      <c r="M681" s="80"/>
      <c r="N681" s="80"/>
      <c r="O681" s="80"/>
      <c r="P681" s="80"/>
      <c r="Q681" s="80"/>
      <c r="R681" s="80"/>
      <c r="S681" s="80"/>
      <c r="T681" s="80"/>
      <c r="U681" s="80"/>
      <c r="V681" s="80"/>
      <c r="W681" s="80"/>
      <c r="X681" s="80"/>
      <c r="Y681" s="80"/>
      <c r="Z681" s="80"/>
    </row>
    <row r="682">
      <c r="A682" s="126"/>
      <c r="B682" s="126"/>
      <c r="C682" s="126"/>
      <c r="D682" s="126"/>
      <c r="E682" s="126"/>
      <c r="F682" s="126"/>
      <c r="G682" s="80"/>
      <c r="H682" s="80"/>
      <c r="I682" s="80"/>
      <c r="J682" s="80"/>
      <c r="K682" s="80"/>
      <c r="L682" s="80"/>
      <c r="M682" s="80"/>
      <c r="N682" s="80"/>
      <c r="O682" s="80"/>
      <c r="P682" s="80"/>
      <c r="Q682" s="80"/>
      <c r="R682" s="80"/>
      <c r="S682" s="80"/>
      <c r="T682" s="80"/>
      <c r="U682" s="80"/>
      <c r="V682" s="80"/>
      <c r="W682" s="80"/>
      <c r="X682" s="80"/>
      <c r="Y682" s="80"/>
      <c r="Z682" s="80"/>
    </row>
    <row r="683">
      <c r="A683" s="126"/>
      <c r="B683" s="126"/>
      <c r="C683" s="126"/>
      <c r="D683" s="126"/>
      <c r="E683" s="126"/>
      <c r="F683" s="126"/>
      <c r="G683" s="80"/>
      <c r="H683" s="80"/>
      <c r="I683" s="80"/>
      <c r="J683" s="80"/>
      <c r="K683" s="80"/>
      <c r="L683" s="80"/>
      <c r="M683" s="80"/>
      <c r="N683" s="80"/>
      <c r="O683" s="80"/>
      <c r="P683" s="80"/>
      <c r="Q683" s="80"/>
      <c r="R683" s="80"/>
      <c r="S683" s="80"/>
      <c r="T683" s="80"/>
      <c r="U683" s="80"/>
      <c r="V683" s="80"/>
      <c r="W683" s="80"/>
      <c r="X683" s="80"/>
      <c r="Y683" s="80"/>
      <c r="Z683" s="80"/>
    </row>
    <row r="684">
      <c r="A684" s="126"/>
      <c r="B684" s="126"/>
      <c r="C684" s="126"/>
      <c r="D684" s="126"/>
      <c r="E684" s="126"/>
      <c r="F684" s="126"/>
      <c r="G684" s="80"/>
      <c r="H684" s="80"/>
      <c r="I684" s="80"/>
      <c r="J684" s="80"/>
      <c r="K684" s="80"/>
      <c r="L684" s="80"/>
      <c r="M684" s="80"/>
      <c r="N684" s="80"/>
      <c r="O684" s="80"/>
      <c r="P684" s="80"/>
      <c r="Q684" s="80"/>
      <c r="R684" s="80"/>
      <c r="S684" s="80"/>
      <c r="T684" s="80"/>
      <c r="U684" s="80"/>
      <c r="V684" s="80"/>
      <c r="W684" s="80"/>
      <c r="X684" s="80"/>
      <c r="Y684" s="80"/>
      <c r="Z684" s="80"/>
    </row>
    <row r="685">
      <c r="A685" s="126"/>
      <c r="B685" s="126"/>
      <c r="C685" s="126"/>
      <c r="D685" s="126"/>
      <c r="E685" s="126"/>
      <c r="F685" s="126"/>
      <c r="G685" s="80"/>
      <c r="H685" s="80"/>
      <c r="I685" s="80"/>
      <c r="J685" s="80"/>
      <c r="K685" s="80"/>
      <c r="L685" s="80"/>
      <c r="M685" s="80"/>
      <c r="N685" s="80"/>
      <c r="O685" s="80"/>
      <c r="P685" s="80"/>
      <c r="Q685" s="80"/>
      <c r="R685" s="80"/>
      <c r="S685" s="80"/>
      <c r="T685" s="80"/>
      <c r="U685" s="80"/>
      <c r="V685" s="80"/>
      <c r="W685" s="80"/>
      <c r="X685" s="80"/>
      <c r="Y685" s="80"/>
      <c r="Z685" s="80"/>
    </row>
    <row r="686">
      <c r="A686" s="126"/>
      <c r="B686" s="126"/>
      <c r="C686" s="126"/>
      <c r="D686" s="126"/>
      <c r="E686" s="126"/>
      <c r="F686" s="126"/>
      <c r="G686" s="80"/>
      <c r="H686" s="80"/>
      <c r="I686" s="80"/>
      <c r="J686" s="80"/>
      <c r="K686" s="80"/>
      <c r="L686" s="80"/>
      <c r="M686" s="80"/>
      <c r="N686" s="80"/>
      <c r="O686" s="80"/>
      <c r="P686" s="80"/>
      <c r="Q686" s="80"/>
      <c r="R686" s="80"/>
      <c r="S686" s="80"/>
      <c r="T686" s="80"/>
      <c r="U686" s="80"/>
      <c r="V686" s="80"/>
      <c r="W686" s="80"/>
      <c r="X686" s="80"/>
      <c r="Y686" s="80"/>
      <c r="Z686" s="80"/>
    </row>
    <row r="687">
      <c r="A687" s="126"/>
      <c r="B687" s="126"/>
      <c r="C687" s="126"/>
      <c r="D687" s="126"/>
      <c r="E687" s="126"/>
      <c r="F687" s="126"/>
      <c r="G687" s="80"/>
      <c r="H687" s="80"/>
      <c r="I687" s="80"/>
      <c r="J687" s="80"/>
      <c r="K687" s="80"/>
      <c r="L687" s="80"/>
      <c r="M687" s="80"/>
      <c r="N687" s="80"/>
      <c r="O687" s="80"/>
      <c r="P687" s="80"/>
      <c r="Q687" s="80"/>
      <c r="R687" s="80"/>
      <c r="S687" s="80"/>
      <c r="T687" s="80"/>
      <c r="U687" s="80"/>
      <c r="V687" s="80"/>
      <c r="W687" s="80"/>
      <c r="X687" s="80"/>
      <c r="Y687" s="80"/>
      <c r="Z687" s="80"/>
    </row>
    <row r="688">
      <c r="A688" s="126"/>
      <c r="B688" s="126"/>
      <c r="C688" s="126"/>
      <c r="D688" s="126"/>
      <c r="E688" s="126"/>
      <c r="F688" s="126"/>
      <c r="G688" s="80"/>
      <c r="H688" s="80"/>
      <c r="I688" s="80"/>
      <c r="J688" s="80"/>
      <c r="K688" s="80"/>
      <c r="L688" s="80"/>
      <c r="M688" s="80"/>
      <c r="N688" s="80"/>
      <c r="O688" s="80"/>
      <c r="P688" s="80"/>
      <c r="Q688" s="80"/>
      <c r="R688" s="80"/>
      <c r="S688" s="80"/>
      <c r="T688" s="80"/>
      <c r="U688" s="80"/>
      <c r="V688" s="80"/>
      <c r="W688" s="80"/>
      <c r="X688" s="80"/>
      <c r="Y688" s="80"/>
      <c r="Z688" s="80"/>
    </row>
    <row r="689">
      <c r="A689" s="126"/>
      <c r="B689" s="126"/>
      <c r="C689" s="126"/>
      <c r="D689" s="126"/>
      <c r="E689" s="126"/>
      <c r="F689" s="126"/>
      <c r="G689" s="80"/>
      <c r="H689" s="80"/>
      <c r="I689" s="80"/>
      <c r="J689" s="80"/>
      <c r="K689" s="80"/>
      <c r="L689" s="80"/>
      <c r="M689" s="80"/>
      <c r="N689" s="80"/>
      <c r="O689" s="80"/>
      <c r="P689" s="80"/>
      <c r="Q689" s="80"/>
      <c r="R689" s="80"/>
      <c r="S689" s="80"/>
      <c r="T689" s="80"/>
      <c r="U689" s="80"/>
      <c r="V689" s="80"/>
      <c r="W689" s="80"/>
      <c r="X689" s="80"/>
      <c r="Y689" s="80"/>
      <c r="Z689" s="80"/>
    </row>
    <row r="690">
      <c r="A690" s="126"/>
      <c r="B690" s="126"/>
      <c r="C690" s="126"/>
      <c r="D690" s="126"/>
      <c r="E690" s="126"/>
      <c r="F690" s="126"/>
      <c r="G690" s="80"/>
      <c r="H690" s="80"/>
      <c r="I690" s="80"/>
      <c r="J690" s="80"/>
      <c r="K690" s="80"/>
      <c r="L690" s="80"/>
      <c r="M690" s="80"/>
      <c r="N690" s="80"/>
      <c r="O690" s="80"/>
      <c r="P690" s="80"/>
      <c r="Q690" s="80"/>
      <c r="R690" s="80"/>
      <c r="S690" s="80"/>
      <c r="T690" s="80"/>
      <c r="U690" s="80"/>
      <c r="V690" s="80"/>
      <c r="W690" s="80"/>
      <c r="X690" s="80"/>
      <c r="Y690" s="80"/>
      <c r="Z690" s="80"/>
    </row>
    <row r="691">
      <c r="A691" s="126"/>
      <c r="B691" s="126"/>
      <c r="C691" s="126"/>
      <c r="D691" s="126"/>
      <c r="E691" s="126"/>
      <c r="F691" s="126"/>
      <c r="G691" s="80"/>
      <c r="H691" s="80"/>
      <c r="I691" s="80"/>
      <c r="J691" s="80"/>
      <c r="K691" s="80"/>
      <c r="L691" s="80"/>
      <c r="M691" s="80"/>
      <c r="N691" s="80"/>
      <c r="O691" s="80"/>
      <c r="P691" s="80"/>
      <c r="Q691" s="80"/>
      <c r="R691" s="80"/>
      <c r="S691" s="80"/>
      <c r="T691" s="80"/>
      <c r="U691" s="80"/>
      <c r="V691" s="80"/>
      <c r="W691" s="80"/>
      <c r="X691" s="80"/>
      <c r="Y691" s="80"/>
      <c r="Z691" s="80"/>
    </row>
    <row r="692">
      <c r="A692" s="126"/>
      <c r="B692" s="126"/>
      <c r="C692" s="126"/>
      <c r="D692" s="126"/>
      <c r="E692" s="126"/>
      <c r="F692" s="126"/>
      <c r="G692" s="80"/>
      <c r="H692" s="80"/>
      <c r="I692" s="80"/>
      <c r="J692" s="80"/>
      <c r="K692" s="80"/>
      <c r="L692" s="80"/>
      <c r="M692" s="80"/>
      <c r="N692" s="80"/>
      <c r="O692" s="80"/>
      <c r="P692" s="80"/>
      <c r="Q692" s="80"/>
      <c r="R692" s="80"/>
      <c r="S692" s="80"/>
      <c r="T692" s="80"/>
      <c r="U692" s="80"/>
      <c r="V692" s="80"/>
      <c r="W692" s="80"/>
      <c r="X692" s="80"/>
      <c r="Y692" s="80"/>
      <c r="Z692" s="80"/>
    </row>
    <row r="693">
      <c r="A693" s="126"/>
      <c r="B693" s="126"/>
      <c r="C693" s="126"/>
      <c r="D693" s="126"/>
      <c r="E693" s="126"/>
      <c r="F693" s="126"/>
      <c r="G693" s="80"/>
      <c r="H693" s="80"/>
      <c r="I693" s="80"/>
      <c r="J693" s="80"/>
      <c r="K693" s="80"/>
      <c r="L693" s="80"/>
      <c r="M693" s="80"/>
      <c r="N693" s="80"/>
      <c r="O693" s="80"/>
      <c r="P693" s="80"/>
      <c r="Q693" s="80"/>
      <c r="R693" s="80"/>
      <c r="S693" s="80"/>
      <c r="T693" s="80"/>
      <c r="U693" s="80"/>
      <c r="V693" s="80"/>
      <c r="W693" s="80"/>
      <c r="X693" s="80"/>
      <c r="Y693" s="80"/>
      <c r="Z693" s="80"/>
    </row>
    <row r="694">
      <c r="A694" s="126"/>
      <c r="B694" s="126"/>
      <c r="C694" s="126"/>
      <c r="D694" s="126"/>
      <c r="E694" s="126"/>
      <c r="F694" s="126"/>
      <c r="G694" s="80"/>
      <c r="H694" s="80"/>
      <c r="I694" s="80"/>
      <c r="J694" s="80"/>
      <c r="K694" s="80"/>
      <c r="L694" s="80"/>
      <c r="M694" s="80"/>
      <c r="N694" s="80"/>
      <c r="O694" s="80"/>
      <c r="P694" s="80"/>
      <c r="Q694" s="80"/>
      <c r="R694" s="80"/>
      <c r="S694" s="80"/>
      <c r="T694" s="80"/>
      <c r="U694" s="80"/>
      <c r="V694" s="80"/>
      <c r="W694" s="80"/>
      <c r="X694" s="80"/>
      <c r="Y694" s="80"/>
      <c r="Z694" s="80"/>
    </row>
    <row r="695">
      <c r="A695" s="126"/>
      <c r="B695" s="126"/>
      <c r="C695" s="126"/>
      <c r="D695" s="126"/>
      <c r="E695" s="126"/>
      <c r="F695" s="126"/>
      <c r="G695" s="80"/>
      <c r="H695" s="80"/>
      <c r="I695" s="80"/>
      <c r="J695" s="80"/>
      <c r="K695" s="80"/>
      <c r="L695" s="80"/>
      <c r="M695" s="80"/>
      <c r="N695" s="80"/>
      <c r="O695" s="80"/>
      <c r="P695" s="80"/>
      <c r="Q695" s="80"/>
      <c r="R695" s="80"/>
      <c r="S695" s="80"/>
      <c r="T695" s="80"/>
      <c r="U695" s="80"/>
      <c r="V695" s="80"/>
      <c r="W695" s="80"/>
      <c r="X695" s="80"/>
      <c r="Y695" s="80"/>
      <c r="Z695" s="80"/>
    </row>
    <row r="696">
      <c r="A696" s="126"/>
      <c r="B696" s="126"/>
      <c r="C696" s="126"/>
      <c r="D696" s="126"/>
      <c r="E696" s="126"/>
      <c r="F696" s="126"/>
      <c r="G696" s="80"/>
      <c r="H696" s="80"/>
      <c r="I696" s="80"/>
      <c r="J696" s="80"/>
      <c r="K696" s="80"/>
      <c r="L696" s="80"/>
      <c r="M696" s="80"/>
      <c r="N696" s="80"/>
      <c r="O696" s="80"/>
      <c r="P696" s="80"/>
      <c r="Q696" s="80"/>
      <c r="R696" s="80"/>
      <c r="S696" s="80"/>
      <c r="T696" s="80"/>
      <c r="U696" s="80"/>
      <c r="V696" s="80"/>
      <c r="W696" s="80"/>
      <c r="X696" s="80"/>
      <c r="Y696" s="80"/>
      <c r="Z696" s="80"/>
    </row>
    <row r="697">
      <c r="A697" s="126"/>
      <c r="B697" s="126"/>
      <c r="C697" s="126"/>
      <c r="D697" s="126"/>
      <c r="E697" s="126"/>
      <c r="F697" s="126"/>
      <c r="G697" s="80"/>
      <c r="H697" s="80"/>
      <c r="I697" s="80"/>
      <c r="J697" s="80"/>
      <c r="K697" s="80"/>
      <c r="L697" s="80"/>
      <c r="M697" s="80"/>
      <c r="N697" s="80"/>
      <c r="O697" s="80"/>
      <c r="P697" s="80"/>
      <c r="Q697" s="80"/>
      <c r="R697" s="80"/>
      <c r="S697" s="80"/>
      <c r="T697" s="80"/>
      <c r="U697" s="80"/>
      <c r="V697" s="80"/>
      <c r="W697" s="80"/>
      <c r="X697" s="80"/>
      <c r="Y697" s="80"/>
      <c r="Z697" s="80"/>
    </row>
    <row r="698">
      <c r="A698" s="126"/>
      <c r="B698" s="126"/>
      <c r="C698" s="126"/>
      <c r="D698" s="126"/>
      <c r="E698" s="126"/>
      <c r="F698" s="126"/>
      <c r="G698" s="80"/>
      <c r="H698" s="80"/>
      <c r="I698" s="80"/>
      <c r="J698" s="80"/>
      <c r="K698" s="80"/>
      <c r="L698" s="80"/>
      <c r="M698" s="80"/>
      <c r="N698" s="80"/>
      <c r="O698" s="80"/>
      <c r="P698" s="80"/>
      <c r="Q698" s="80"/>
      <c r="R698" s="80"/>
      <c r="S698" s="80"/>
      <c r="T698" s="80"/>
      <c r="U698" s="80"/>
      <c r="V698" s="80"/>
      <c r="W698" s="80"/>
      <c r="X698" s="80"/>
      <c r="Y698" s="80"/>
      <c r="Z698" s="80"/>
    </row>
    <row r="699">
      <c r="A699" s="126"/>
      <c r="B699" s="126"/>
      <c r="C699" s="126"/>
      <c r="D699" s="126"/>
      <c r="E699" s="126"/>
      <c r="F699" s="126"/>
      <c r="G699" s="80"/>
      <c r="H699" s="80"/>
      <c r="I699" s="80"/>
      <c r="J699" s="80"/>
      <c r="K699" s="80"/>
      <c r="L699" s="80"/>
      <c r="M699" s="80"/>
      <c r="N699" s="80"/>
      <c r="O699" s="80"/>
      <c r="P699" s="80"/>
      <c r="Q699" s="80"/>
      <c r="R699" s="80"/>
      <c r="S699" s="80"/>
      <c r="T699" s="80"/>
      <c r="U699" s="80"/>
      <c r="V699" s="80"/>
      <c r="W699" s="80"/>
      <c r="X699" s="80"/>
      <c r="Y699" s="80"/>
      <c r="Z699" s="80"/>
    </row>
    <row r="700">
      <c r="A700" s="126"/>
      <c r="B700" s="126"/>
      <c r="C700" s="126"/>
      <c r="D700" s="126"/>
      <c r="E700" s="126"/>
      <c r="F700" s="126"/>
      <c r="G700" s="80"/>
      <c r="H700" s="80"/>
      <c r="I700" s="80"/>
      <c r="J700" s="80"/>
      <c r="K700" s="80"/>
      <c r="L700" s="80"/>
      <c r="M700" s="80"/>
      <c r="N700" s="80"/>
      <c r="O700" s="80"/>
      <c r="P700" s="80"/>
      <c r="Q700" s="80"/>
      <c r="R700" s="80"/>
      <c r="S700" s="80"/>
      <c r="T700" s="80"/>
      <c r="U700" s="80"/>
      <c r="V700" s="80"/>
      <c r="W700" s="80"/>
      <c r="X700" s="80"/>
      <c r="Y700" s="80"/>
      <c r="Z700" s="80"/>
    </row>
    <row r="701">
      <c r="A701" s="126"/>
      <c r="B701" s="126"/>
      <c r="C701" s="126"/>
      <c r="D701" s="126"/>
      <c r="E701" s="126"/>
      <c r="F701" s="126"/>
      <c r="G701" s="80"/>
      <c r="H701" s="80"/>
      <c r="I701" s="80"/>
      <c r="J701" s="80"/>
      <c r="K701" s="80"/>
      <c r="L701" s="80"/>
      <c r="M701" s="80"/>
      <c r="N701" s="80"/>
      <c r="O701" s="80"/>
      <c r="P701" s="80"/>
      <c r="Q701" s="80"/>
      <c r="R701" s="80"/>
      <c r="S701" s="80"/>
      <c r="T701" s="80"/>
      <c r="U701" s="80"/>
      <c r="V701" s="80"/>
      <c r="W701" s="80"/>
      <c r="X701" s="80"/>
      <c r="Y701" s="80"/>
      <c r="Z701" s="80"/>
    </row>
    <row r="702">
      <c r="A702" s="126"/>
      <c r="B702" s="126"/>
      <c r="C702" s="126"/>
      <c r="D702" s="126"/>
      <c r="E702" s="126"/>
      <c r="F702" s="126"/>
      <c r="G702" s="80"/>
      <c r="H702" s="80"/>
      <c r="I702" s="80"/>
      <c r="J702" s="80"/>
      <c r="K702" s="80"/>
      <c r="L702" s="80"/>
      <c r="M702" s="80"/>
      <c r="N702" s="80"/>
      <c r="O702" s="80"/>
      <c r="P702" s="80"/>
      <c r="Q702" s="80"/>
      <c r="R702" s="80"/>
      <c r="S702" s="80"/>
      <c r="T702" s="80"/>
      <c r="U702" s="80"/>
      <c r="V702" s="80"/>
      <c r="W702" s="80"/>
      <c r="X702" s="80"/>
      <c r="Y702" s="80"/>
      <c r="Z702" s="80"/>
    </row>
    <row r="703">
      <c r="A703" s="126"/>
      <c r="B703" s="126"/>
      <c r="C703" s="126"/>
      <c r="D703" s="126"/>
      <c r="E703" s="126"/>
      <c r="F703" s="126"/>
      <c r="G703" s="80"/>
      <c r="H703" s="80"/>
      <c r="I703" s="80"/>
      <c r="J703" s="80"/>
      <c r="K703" s="80"/>
      <c r="L703" s="80"/>
      <c r="M703" s="80"/>
      <c r="N703" s="80"/>
      <c r="O703" s="80"/>
      <c r="P703" s="80"/>
      <c r="Q703" s="80"/>
      <c r="R703" s="80"/>
      <c r="S703" s="80"/>
      <c r="T703" s="80"/>
      <c r="U703" s="80"/>
      <c r="V703" s="80"/>
      <c r="W703" s="80"/>
      <c r="X703" s="80"/>
      <c r="Y703" s="80"/>
      <c r="Z703" s="80"/>
    </row>
    <row r="704">
      <c r="A704" s="126"/>
      <c r="B704" s="126"/>
      <c r="C704" s="126"/>
      <c r="D704" s="126"/>
      <c r="E704" s="126"/>
      <c r="F704" s="126"/>
      <c r="G704" s="80"/>
      <c r="H704" s="80"/>
      <c r="I704" s="80"/>
      <c r="J704" s="80"/>
      <c r="K704" s="80"/>
      <c r="L704" s="80"/>
      <c r="M704" s="80"/>
      <c r="N704" s="80"/>
      <c r="O704" s="80"/>
      <c r="P704" s="80"/>
      <c r="Q704" s="80"/>
      <c r="R704" s="80"/>
      <c r="S704" s="80"/>
      <c r="T704" s="80"/>
      <c r="U704" s="80"/>
      <c r="V704" s="80"/>
      <c r="W704" s="80"/>
      <c r="X704" s="80"/>
      <c r="Y704" s="80"/>
      <c r="Z704" s="80"/>
    </row>
    <row r="705">
      <c r="A705" s="126"/>
      <c r="B705" s="126"/>
      <c r="C705" s="126"/>
      <c r="D705" s="126"/>
      <c r="E705" s="126"/>
      <c r="F705" s="126"/>
      <c r="G705" s="80"/>
      <c r="H705" s="80"/>
      <c r="I705" s="80"/>
      <c r="J705" s="80"/>
      <c r="K705" s="80"/>
      <c r="L705" s="80"/>
      <c r="M705" s="80"/>
      <c r="N705" s="80"/>
      <c r="O705" s="80"/>
      <c r="P705" s="80"/>
      <c r="Q705" s="80"/>
      <c r="R705" s="80"/>
      <c r="S705" s="80"/>
      <c r="T705" s="80"/>
      <c r="U705" s="80"/>
      <c r="V705" s="80"/>
      <c r="W705" s="80"/>
      <c r="X705" s="80"/>
      <c r="Y705" s="80"/>
      <c r="Z705" s="80"/>
    </row>
    <row r="706">
      <c r="A706" s="126"/>
      <c r="B706" s="126"/>
      <c r="C706" s="126"/>
      <c r="D706" s="126"/>
      <c r="E706" s="126"/>
      <c r="F706" s="126"/>
      <c r="G706" s="80"/>
      <c r="H706" s="80"/>
      <c r="I706" s="80"/>
      <c r="J706" s="80"/>
      <c r="K706" s="80"/>
      <c r="L706" s="80"/>
      <c r="M706" s="80"/>
      <c r="N706" s="80"/>
      <c r="O706" s="80"/>
      <c r="P706" s="80"/>
      <c r="Q706" s="80"/>
      <c r="R706" s="80"/>
      <c r="S706" s="80"/>
      <c r="T706" s="80"/>
      <c r="U706" s="80"/>
      <c r="V706" s="80"/>
      <c r="W706" s="80"/>
      <c r="X706" s="80"/>
      <c r="Y706" s="80"/>
      <c r="Z706" s="80"/>
    </row>
    <row r="707">
      <c r="A707" s="126"/>
      <c r="B707" s="126"/>
      <c r="C707" s="126"/>
      <c r="D707" s="126"/>
      <c r="E707" s="126"/>
      <c r="F707" s="126"/>
      <c r="G707" s="80"/>
      <c r="H707" s="80"/>
      <c r="I707" s="80"/>
      <c r="J707" s="80"/>
      <c r="K707" s="80"/>
      <c r="L707" s="80"/>
      <c r="M707" s="80"/>
      <c r="N707" s="80"/>
      <c r="O707" s="80"/>
      <c r="P707" s="80"/>
      <c r="Q707" s="80"/>
      <c r="R707" s="80"/>
      <c r="S707" s="80"/>
      <c r="T707" s="80"/>
      <c r="U707" s="80"/>
      <c r="V707" s="80"/>
      <c r="W707" s="80"/>
      <c r="X707" s="80"/>
      <c r="Y707" s="80"/>
      <c r="Z707" s="80"/>
    </row>
    <row r="708">
      <c r="A708" s="126"/>
      <c r="B708" s="126"/>
      <c r="C708" s="126"/>
      <c r="D708" s="126"/>
      <c r="E708" s="126"/>
      <c r="F708" s="126"/>
      <c r="G708" s="80"/>
      <c r="H708" s="80"/>
      <c r="I708" s="80"/>
      <c r="J708" s="80"/>
      <c r="K708" s="80"/>
      <c r="L708" s="80"/>
      <c r="M708" s="80"/>
      <c r="N708" s="80"/>
      <c r="O708" s="80"/>
      <c r="P708" s="80"/>
      <c r="Q708" s="80"/>
      <c r="R708" s="80"/>
      <c r="S708" s="80"/>
      <c r="T708" s="80"/>
      <c r="U708" s="80"/>
      <c r="V708" s="80"/>
      <c r="W708" s="80"/>
      <c r="X708" s="80"/>
      <c r="Y708" s="80"/>
      <c r="Z708" s="80"/>
    </row>
    <row r="709">
      <c r="A709" s="126"/>
      <c r="B709" s="126"/>
      <c r="C709" s="126"/>
      <c r="D709" s="126"/>
      <c r="E709" s="126"/>
      <c r="F709" s="126"/>
      <c r="G709" s="80"/>
      <c r="H709" s="80"/>
      <c r="I709" s="80"/>
      <c r="J709" s="80"/>
      <c r="K709" s="80"/>
      <c r="L709" s="80"/>
      <c r="M709" s="80"/>
      <c r="N709" s="80"/>
      <c r="O709" s="80"/>
      <c r="P709" s="80"/>
      <c r="Q709" s="80"/>
      <c r="R709" s="80"/>
      <c r="S709" s="80"/>
      <c r="T709" s="80"/>
      <c r="U709" s="80"/>
      <c r="V709" s="80"/>
      <c r="W709" s="80"/>
      <c r="X709" s="80"/>
      <c r="Y709" s="80"/>
      <c r="Z709" s="80"/>
    </row>
    <row r="710">
      <c r="A710" s="126"/>
      <c r="B710" s="126"/>
      <c r="C710" s="126"/>
      <c r="D710" s="126"/>
      <c r="E710" s="126"/>
      <c r="F710" s="126"/>
      <c r="G710" s="80"/>
      <c r="H710" s="80"/>
      <c r="I710" s="80"/>
      <c r="J710" s="80"/>
      <c r="K710" s="80"/>
      <c r="L710" s="80"/>
      <c r="M710" s="80"/>
      <c r="N710" s="80"/>
      <c r="O710" s="80"/>
      <c r="P710" s="80"/>
      <c r="Q710" s="80"/>
      <c r="R710" s="80"/>
      <c r="S710" s="80"/>
      <c r="T710" s="80"/>
      <c r="U710" s="80"/>
      <c r="V710" s="80"/>
      <c r="W710" s="80"/>
      <c r="X710" s="80"/>
      <c r="Y710" s="80"/>
      <c r="Z710" s="80"/>
    </row>
    <row r="711">
      <c r="A711" s="126"/>
      <c r="B711" s="126"/>
      <c r="C711" s="126"/>
      <c r="D711" s="126"/>
      <c r="E711" s="126"/>
      <c r="F711" s="126"/>
      <c r="G711" s="80"/>
      <c r="H711" s="80"/>
      <c r="I711" s="80"/>
      <c r="J711" s="80"/>
      <c r="K711" s="80"/>
      <c r="L711" s="80"/>
      <c r="M711" s="80"/>
      <c r="N711" s="80"/>
      <c r="O711" s="80"/>
      <c r="P711" s="80"/>
      <c r="Q711" s="80"/>
      <c r="R711" s="80"/>
      <c r="S711" s="80"/>
      <c r="T711" s="80"/>
      <c r="U711" s="80"/>
      <c r="V711" s="80"/>
      <c r="W711" s="80"/>
      <c r="X711" s="80"/>
      <c r="Y711" s="80"/>
      <c r="Z711" s="80"/>
    </row>
    <row r="712">
      <c r="A712" s="126"/>
      <c r="B712" s="126"/>
      <c r="C712" s="126"/>
      <c r="D712" s="126"/>
      <c r="E712" s="126"/>
      <c r="F712" s="126"/>
      <c r="G712" s="80"/>
      <c r="H712" s="80"/>
      <c r="I712" s="80"/>
      <c r="J712" s="80"/>
      <c r="K712" s="80"/>
      <c r="L712" s="80"/>
      <c r="M712" s="80"/>
      <c r="N712" s="80"/>
      <c r="O712" s="80"/>
      <c r="P712" s="80"/>
      <c r="Q712" s="80"/>
      <c r="R712" s="80"/>
      <c r="S712" s="80"/>
      <c r="T712" s="80"/>
      <c r="U712" s="80"/>
      <c r="V712" s="80"/>
      <c r="W712" s="80"/>
      <c r="X712" s="80"/>
      <c r="Y712" s="80"/>
      <c r="Z712" s="80"/>
    </row>
    <row r="713">
      <c r="A713" s="126"/>
      <c r="B713" s="126"/>
      <c r="C713" s="126"/>
      <c r="D713" s="126"/>
      <c r="E713" s="126"/>
      <c r="F713" s="126"/>
      <c r="G713" s="80"/>
      <c r="H713" s="80"/>
      <c r="I713" s="80"/>
      <c r="J713" s="80"/>
      <c r="K713" s="80"/>
      <c r="L713" s="80"/>
      <c r="M713" s="80"/>
      <c r="N713" s="80"/>
      <c r="O713" s="80"/>
      <c r="P713" s="80"/>
      <c r="Q713" s="80"/>
      <c r="R713" s="80"/>
      <c r="S713" s="80"/>
      <c r="T713" s="80"/>
      <c r="U713" s="80"/>
      <c r="V713" s="80"/>
      <c r="W713" s="80"/>
      <c r="X713" s="80"/>
      <c r="Y713" s="80"/>
      <c r="Z713" s="80"/>
    </row>
    <row r="714">
      <c r="A714" s="126"/>
      <c r="B714" s="126"/>
      <c r="C714" s="126"/>
      <c r="D714" s="126"/>
      <c r="E714" s="126"/>
      <c r="F714" s="126"/>
      <c r="G714" s="80"/>
      <c r="H714" s="80"/>
      <c r="I714" s="80"/>
      <c r="J714" s="80"/>
      <c r="K714" s="80"/>
      <c r="L714" s="80"/>
      <c r="M714" s="80"/>
      <c r="N714" s="80"/>
      <c r="O714" s="80"/>
      <c r="P714" s="80"/>
      <c r="Q714" s="80"/>
      <c r="R714" s="80"/>
      <c r="S714" s="80"/>
      <c r="T714" s="80"/>
      <c r="U714" s="80"/>
      <c r="V714" s="80"/>
      <c r="W714" s="80"/>
      <c r="X714" s="80"/>
      <c r="Y714" s="80"/>
      <c r="Z714" s="80"/>
    </row>
    <row r="715">
      <c r="A715" s="126"/>
      <c r="B715" s="126"/>
      <c r="C715" s="126"/>
      <c r="D715" s="126"/>
      <c r="E715" s="126"/>
      <c r="F715" s="126"/>
      <c r="G715" s="80"/>
      <c r="H715" s="80"/>
      <c r="I715" s="80"/>
      <c r="J715" s="80"/>
      <c r="K715" s="80"/>
      <c r="L715" s="80"/>
      <c r="M715" s="80"/>
      <c r="N715" s="80"/>
      <c r="O715" s="80"/>
      <c r="P715" s="80"/>
      <c r="Q715" s="80"/>
      <c r="R715" s="80"/>
      <c r="S715" s="80"/>
      <c r="T715" s="80"/>
      <c r="U715" s="80"/>
      <c r="V715" s="80"/>
      <c r="W715" s="80"/>
      <c r="X715" s="80"/>
      <c r="Y715" s="80"/>
      <c r="Z715" s="80"/>
    </row>
    <row r="716">
      <c r="A716" s="126"/>
      <c r="B716" s="126"/>
      <c r="C716" s="126"/>
      <c r="D716" s="126"/>
      <c r="E716" s="126"/>
      <c r="F716" s="126"/>
      <c r="G716" s="80"/>
      <c r="H716" s="80"/>
      <c r="I716" s="80"/>
      <c r="J716" s="80"/>
      <c r="K716" s="80"/>
      <c r="L716" s="80"/>
      <c r="M716" s="80"/>
      <c r="N716" s="80"/>
      <c r="O716" s="80"/>
      <c r="P716" s="80"/>
      <c r="Q716" s="80"/>
      <c r="R716" s="80"/>
      <c r="S716" s="80"/>
      <c r="T716" s="80"/>
      <c r="U716" s="80"/>
      <c r="V716" s="80"/>
      <c r="W716" s="80"/>
      <c r="X716" s="80"/>
      <c r="Y716" s="80"/>
      <c r="Z716" s="80"/>
    </row>
    <row r="717">
      <c r="A717" s="126"/>
      <c r="B717" s="126"/>
      <c r="C717" s="126"/>
      <c r="D717" s="126"/>
      <c r="E717" s="126"/>
      <c r="F717" s="126"/>
      <c r="G717" s="80"/>
      <c r="H717" s="80"/>
      <c r="I717" s="80"/>
      <c r="J717" s="80"/>
      <c r="K717" s="80"/>
      <c r="L717" s="80"/>
      <c r="M717" s="80"/>
      <c r="N717" s="80"/>
      <c r="O717" s="80"/>
      <c r="P717" s="80"/>
      <c r="Q717" s="80"/>
      <c r="R717" s="80"/>
      <c r="S717" s="80"/>
      <c r="T717" s="80"/>
      <c r="U717" s="80"/>
      <c r="V717" s="80"/>
      <c r="W717" s="80"/>
      <c r="X717" s="80"/>
      <c r="Y717" s="80"/>
      <c r="Z717" s="80"/>
    </row>
    <row r="718">
      <c r="A718" s="126"/>
      <c r="B718" s="126"/>
      <c r="C718" s="126"/>
      <c r="D718" s="126"/>
      <c r="E718" s="126"/>
      <c r="F718" s="126"/>
      <c r="G718" s="80"/>
      <c r="H718" s="80"/>
      <c r="I718" s="80"/>
      <c r="J718" s="80"/>
      <c r="K718" s="80"/>
      <c r="L718" s="80"/>
      <c r="M718" s="80"/>
      <c r="N718" s="80"/>
      <c r="O718" s="80"/>
      <c r="P718" s="80"/>
      <c r="Q718" s="80"/>
      <c r="R718" s="80"/>
      <c r="S718" s="80"/>
      <c r="T718" s="80"/>
      <c r="U718" s="80"/>
      <c r="V718" s="80"/>
      <c r="W718" s="80"/>
      <c r="X718" s="80"/>
      <c r="Y718" s="80"/>
      <c r="Z718" s="80"/>
    </row>
    <row r="719">
      <c r="A719" s="126"/>
      <c r="B719" s="126"/>
      <c r="C719" s="126"/>
      <c r="D719" s="126"/>
      <c r="E719" s="126"/>
      <c r="F719" s="126"/>
      <c r="G719" s="80"/>
      <c r="H719" s="80"/>
      <c r="I719" s="80"/>
      <c r="J719" s="80"/>
      <c r="K719" s="80"/>
      <c r="L719" s="80"/>
      <c r="M719" s="80"/>
      <c r="N719" s="80"/>
      <c r="O719" s="80"/>
      <c r="P719" s="80"/>
      <c r="Q719" s="80"/>
      <c r="R719" s="80"/>
      <c r="S719" s="80"/>
      <c r="T719" s="80"/>
      <c r="U719" s="80"/>
      <c r="V719" s="80"/>
      <c r="W719" s="80"/>
      <c r="X719" s="80"/>
      <c r="Y719" s="80"/>
      <c r="Z719" s="80"/>
    </row>
    <row r="720">
      <c r="A720" s="126"/>
      <c r="B720" s="126"/>
      <c r="C720" s="126"/>
      <c r="D720" s="126"/>
      <c r="E720" s="126"/>
      <c r="F720" s="126"/>
      <c r="G720" s="80"/>
      <c r="H720" s="80"/>
      <c r="I720" s="80"/>
      <c r="J720" s="80"/>
      <c r="K720" s="80"/>
      <c r="L720" s="80"/>
      <c r="M720" s="80"/>
      <c r="N720" s="80"/>
      <c r="O720" s="80"/>
      <c r="P720" s="80"/>
      <c r="Q720" s="80"/>
      <c r="R720" s="80"/>
      <c r="S720" s="80"/>
      <c r="T720" s="80"/>
      <c r="U720" s="80"/>
      <c r="V720" s="80"/>
      <c r="W720" s="80"/>
      <c r="X720" s="80"/>
      <c r="Y720" s="80"/>
      <c r="Z720" s="80"/>
    </row>
    <row r="721">
      <c r="A721" s="126"/>
      <c r="B721" s="126"/>
      <c r="C721" s="126"/>
      <c r="D721" s="126"/>
      <c r="E721" s="126"/>
      <c r="F721" s="126"/>
      <c r="G721" s="80"/>
      <c r="H721" s="80"/>
      <c r="I721" s="80"/>
      <c r="J721" s="80"/>
      <c r="K721" s="80"/>
      <c r="L721" s="80"/>
      <c r="M721" s="80"/>
      <c r="N721" s="80"/>
      <c r="O721" s="80"/>
      <c r="P721" s="80"/>
      <c r="Q721" s="80"/>
      <c r="R721" s="80"/>
      <c r="S721" s="80"/>
      <c r="T721" s="80"/>
      <c r="U721" s="80"/>
      <c r="V721" s="80"/>
      <c r="W721" s="80"/>
      <c r="X721" s="80"/>
      <c r="Y721" s="80"/>
      <c r="Z721" s="80"/>
    </row>
    <row r="722">
      <c r="A722" s="126"/>
      <c r="B722" s="126"/>
      <c r="C722" s="126"/>
      <c r="D722" s="126"/>
      <c r="E722" s="126"/>
      <c r="F722" s="126"/>
      <c r="G722" s="80"/>
      <c r="H722" s="80"/>
      <c r="I722" s="80"/>
      <c r="J722" s="80"/>
      <c r="K722" s="80"/>
      <c r="L722" s="80"/>
      <c r="M722" s="80"/>
      <c r="N722" s="80"/>
      <c r="O722" s="80"/>
      <c r="P722" s="80"/>
      <c r="Q722" s="80"/>
      <c r="R722" s="80"/>
      <c r="S722" s="80"/>
      <c r="T722" s="80"/>
      <c r="U722" s="80"/>
      <c r="V722" s="80"/>
      <c r="W722" s="80"/>
      <c r="X722" s="80"/>
      <c r="Y722" s="80"/>
      <c r="Z722" s="80"/>
    </row>
    <row r="723">
      <c r="A723" s="126"/>
      <c r="B723" s="126"/>
      <c r="C723" s="126"/>
      <c r="D723" s="126"/>
      <c r="E723" s="126"/>
      <c r="F723" s="126"/>
      <c r="G723" s="80"/>
      <c r="H723" s="80"/>
      <c r="I723" s="80"/>
      <c r="J723" s="80"/>
      <c r="K723" s="80"/>
      <c r="L723" s="80"/>
      <c r="M723" s="80"/>
      <c r="N723" s="80"/>
      <c r="O723" s="80"/>
      <c r="P723" s="80"/>
      <c r="Q723" s="80"/>
      <c r="R723" s="80"/>
      <c r="S723" s="80"/>
      <c r="T723" s="80"/>
      <c r="U723" s="80"/>
      <c r="V723" s="80"/>
      <c r="W723" s="80"/>
      <c r="X723" s="80"/>
      <c r="Y723" s="80"/>
      <c r="Z723" s="80"/>
    </row>
    <row r="724">
      <c r="A724" s="126"/>
      <c r="B724" s="126"/>
      <c r="C724" s="126"/>
      <c r="D724" s="126"/>
      <c r="E724" s="126"/>
      <c r="F724" s="126"/>
      <c r="G724" s="80"/>
      <c r="H724" s="80"/>
      <c r="I724" s="80"/>
      <c r="J724" s="80"/>
      <c r="K724" s="80"/>
      <c r="L724" s="80"/>
      <c r="M724" s="80"/>
      <c r="N724" s="80"/>
      <c r="O724" s="80"/>
      <c r="P724" s="80"/>
      <c r="Q724" s="80"/>
      <c r="R724" s="80"/>
      <c r="S724" s="80"/>
      <c r="T724" s="80"/>
      <c r="U724" s="80"/>
      <c r="V724" s="80"/>
      <c r="W724" s="80"/>
      <c r="X724" s="80"/>
      <c r="Y724" s="80"/>
      <c r="Z724" s="80"/>
    </row>
    <row r="725">
      <c r="A725" s="126"/>
      <c r="B725" s="126"/>
      <c r="C725" s="126"/>
      <c r="D725" s="126"/>
      <c r="E725" s="126"/>
      <c r="F725" s="126"/>
      <c r="G725" s="80"/>
      <c r="H725" s="80"/>
      <c r="I725" s="80"/>
      <c r="J725" s="80"/>
      <c r="K725" s="80"/>
      <c r="L725" s="80"/>
      <c r="M725" s="80"/>
      <c r="N725" s="80"/>
      <c r="O725" s="80"/>
      <c r="P725" s="80"/>
      <c r="Q725" s="80"/>
      <c r="R725" s="80"/>
      <c r="S725" s="80"/>
      <c r="T725" s="80"/>
      <c r="U725" s="80"/>
      <c r="V725" s="80"/>
      <c r="W725" s="80"/>
      <c r="X725" s="80"/>
      <c r="Y725" s="80"/>
      <c r="Z725" s="80"/>
    </row>
    <row r="726">
      <c r="A726" s="126"/>
      <c r="B726" s="126"/>
      <c r="C726" s="126"/>
      <c r="D726" s="126"/>
      <c r="E726" s="126"/>
      <c r="F726" s="126"/>
      <c r="G726" s="80"/>
      <c r="H726" s="80"/>
      <c r="I726" s="80"/>
      <c r="J726" s="80"/>
      <c r="K726" s="80"/>
      <c r="L726" s="80"/>
      <c r="M726" s="80"/>
      <c r="N726" s="80"/>
      <c r="O726" s="80"/>
      <c r="P726" s="80"/>
      <c r="Q726" s="80"/>
      <c r="R726" s="80"/>
      <c r="S726" s="80"/>
      <c r="T726" s="80"/>
      <c r="U726" s="80"/>
      <c r="V726" s="80"/>
      <c r="W726" s="80"/>
      <c r="X726" s="80"/>
      <c r="Y726" s="80"/>
      <c r="Z726" s="80"/>
    </row>
    <row r="727">
      <c r="A727" s="126"/>
      <c r="B727" s="126"/>
      <c r="C727" s="126"/>
      <c r="D727" s="126"/>
      <c r="E727" s="126"/>
      <c r="F727" s="126"/>
      <c r="G727" s="80"/>
      <c r="H727" s="80"/>
      <c r="I727" s="80"/>
      <c r="J727" s="80"/>
      <c r="K727" s="80"/>
      <c r="L727" s="80"/>
      <c r="M727" s="80"/>
      <c r="N727" s="80"/>
      <c r="O727" s="80"/>
      <c r="P727" s="80"/>
      <c r="Q727" s="80"/>
      <c r="R727" s="80"/>
      <c r="S727" s="80"/>
      <c r="T727" s="80"/>
      <c r="U727" s="80"/>
      <c r="V727" s="80"/>
      <c r="W727" s="80"/>
      <c r="X727" s="80"/>
      <c r="Y727" s="80"/>
      <c r="Z727" s="80"/>
    </row>
    <row r="728">
      <c r="A728" s="126"/>
      <c r="B728" s="126"/>
      <c r="C728" s="126"/>
      <c r="D728" s="126"/>
      <c r="E728" s="126"/>
      <c r="F728" s="126"/>
      <c r="G728" s="80"/>
      <c r="H728" s="80"/>
      <c r="I728" s="80"/>
      <c r="J728" s="80"/>
      <c r="K728" s="80"/>
      <c r="L728" s="80"/>
      <c r="M728" s="80"/>
      <c r="N728" s="80"/>
      <c r="O728" s="80"/>
      <c r="P728" s="80"/>
      <c r="Q728" s="80"/>
      <c r="R728" s="80"/>
      <c r="S728" s="80"/>
      <c r="T728" s="80"/>
      <c r="U728" s="80"/>
      <c r="V728" s="80"/>
      <c r="W728" s="80"/>
      <c r="X728" s="80"/>
      <c r="Y728" s="80"/>
      <c r="Z728" s="80"/>
    </row>
    <row r="729">
      <c r="A729" s="126"/>
      <c r="B729" s="126"/>
      <c r="C729" s="126"/>
      <c r="D729" s="126"/>
      <c r="E729" s="126"/>
      <c r="F729" s="126"/>
      <c r="G729" s="80"/>
      <c r="H729" s="80"/>
      <c r="I729" s="80"/>
      <c r="J729" s="80"/>
      <c r="K729" s="80"/>
      <c r="L729" s="80"/>
      <c r="M729" s="80"/>
      <c r="N729" s="80"/>
      <c r="O729" s="80"/>
      <c r="P729" s="80"/>
      <c r="Q729" s="80"/>
      <c r="R729" s="80"/>
      <c r="S729" s="80"/>
      <c r="T729" s="80"/>
      <c r="U729" s="80"/>
      <c r="V729" s="80"/>
      <c r="W729" s="80"/>
      <c r="X729" s="80"/>
      <c r="Y729" s="80"/>
      <c r="Z729" s="80"/>
    </row>
    <row r="730">
      <c r="A730" s="126"/>
      <c r="B730" s="126"/>
      <c r="C730" s="126"/>
      <c r="D730" s="126"/>
      <c r="E730" s="126"/>
      <c r="F730" s="126"/>
      <c r="G730" s="80"/>
      <c r="H730" s="80"/>
      <c r="I730" s="80"/>
      <c r="J730" s="80"/>
      <c r="K730" s="80"/>
      <c r="L730" s="80"/>
      <c r="M730" s="80"/>
      <c r="N730" s="80"/>
      <c r="O730" s="80"/>
      <c r="P730" s="80"/>
      <c r="Q730" s="80"/>
      <c r="R730" s="80"/>
      <c r="S730" s="80"/>
      <c r="T730" s="80"/>
      <c r="U730" s="80"/>
      <c r="V730" s="80"/>
      <c r="W730" s="80"/>
      <c r="X730" s="80"/>
      <c r="Y730" s="80"/>
      <c r="Z730" s="80"/>
    </row>
    <row r="731">
      <c r="A731" s="126"/>
      <c r="B731" s="126"/>
      <c r="C731" s="126"/>
      <c r="D731" s="126"/>
      <c r="E731" s="126"/>
      <c r="F731" s="126"/>
      <c r="G731" s="80"/>
      <c r="H731" s="80"/>
      <c r="I731" s="80"/>
      <c r="J731" s="80"/>
      <c r="K731" s="80"/>
      <c r="L731" s="80"/>
      <c r="M731" s="80"/>
      <c r="N731" s="80"/>
      <c r="O731" s="80"/>
      <c r="P731" s="80"/>
      <c r="Q731" s="80"/>
      <c r="R731" s="80"/>
      <c r="S731" s="80"/>
      <c r="T731" s="80"/>
      <c r="U731" s="80"/>
      <c r="V731" s="80"/>
      <c r="W731" s="80"/>
      <c r="X731" s="80"/>
      <c r="Y731" s="80"/>
      <c r="Z731" s="80"/>
    </row>
    <row r="732">
      <c r="A732" s="126"/>
      <c r="B732" s="126"/>
      <c r="C732" s="126"/>
      <c r="D732" s="126"/>
      <c r="E732" s="126"/>
      <c r="F732" s="126"/>
      <c r="G732" s="80"/>
      <c r="H732" s="80"/>
      <c r="I732" s="80"/>
      <c r="J732" s="80"/>
      <c r="K732" s="80"/>
      <c r="L732" s="80"/>
      <c r="M732" s="80"/>
      <c r="N732" s="80"/>
      <c r="O732" s="80"/>
      <c r="P732" s="80"/>
      <c r="Q732" s="80"/>
      <c r="R732" s="80"/>
      <c r="S732" s="80"/>
      <c r="T732" s="80"/>
      <c r="U732" s="80"/>
      <c r="V732" s="80"/>
      <c r="W732" s="80"/>
      <c r="X732" s="80"/>
      <c r="Y732" s="80"/>
      <c r="Z732" s="80"/>
    </row>
    <row r="733">
      <c r="A733" s="126"/>
      <c r="B733" s="126"/>
      <c r="C733" s="126"/>
      <c r="D733" s="126"/>
      <c r="E733" s="126"/>
      <c r="F733" s="126"/>
      <c r="G733" s="80"/>
      <c r="H733" s="80"/>
      <c r="I733" s="80"/>
      <c r="J733" s="80"/>
      <c r="K733" s="80"/>
      <c r="L733" s="80"/>
      <c r="M733" s="80"/>
      <c r="N733" s="80"/>
      <c r="O733" s="80"/>
      <c r="P733" s="80"/>
      <c r="Q733" s="80"/>
      <c r="R733" s="80"/>
      <c r="S733" s="80"/>
      <c r="T733" s="80"/>
      <c r="U733" s="80"/>
      <c r="V733" s="80"/>
      <c r="W733" s="80"/>
      <c r="X733" s="80"/>
      <c r="Y733" s="80"/>
      <c r="Z733" s="80"/>
    </row>
    <row r="734">
      <c r="A734" s="126"/>
      <c r="B734" s="126"/>
      <c r="C734" s="126"/>
      <c r="D734" s="126"/>
      <c r="E734" s="126"/>
      <c r="F734" s="126"/>
      <c r="G734" s="80"/>
      <c r="H734" s="80"/>
      <c r="I734" s="80"/>
      <c r="J734" s="80"/>
      <c r="K734" s="80"/>
      <c r="L734" s="80"/>
      <c r="M734" s="80"/>
      <c r="N734" s="80"/>
      <c r="O734" s="80"/>
      <c r="P734" s="80"/>
      <c r="Q734" s="80"/>
      <c r="R734" s="80"/>
      <c r="S734" s="80"/>
      <c r="T734" s="80"/>
      <c r="U734" s="80"/>
      <c r="V734" s="80"/>
      <c r="W734" s="80"/>
      <c r="X734" s="80"/>
      <c r="Y734" s="80"/>
      <c r="Z734" s="80"/>
    </row>
    <row r="735">
      <c r="A735" s="126"/>
      <c r="B735" s="126"/>
      <c r="C735" s="126"/>
      <c r="D735" s="126"/>
      <c r="E735" s="126"/>
      <c r="F735" s="126"/>
      <c r="G735" s="80"/>
      <c r="H735" s="80"/>
      <c r="I735" s="80"/>
      <c r="J735" s="80"/>
      <c r="K735" s="80"/>
      <c r="L735" s="80"/>
      <c r="M735" s="80"/>
      <c r="N735" s="80"/>
      <c r="O735" s="80"/>
      <c r="P735" s="80"/>
      <c r="Q735" s="80"/>
      <c r="R735" s="80"/>
      <c r="S735" s="80"/>
      <c r="T735" s="80"/>
      <c r="U735" s="80"/>
      <c r="V735" s="80"/>
      <c r="W735" s="80"/>
      <c r="X735" s="80"/>
      <c r="Y735" s="80"/>
      <c r="Z735" s="80"/>
    </row>
    <row r="736">
      <c r="A736" s="126"/>
      <c r="B736" s="126"/>
      <c r="C736" s="126"/>
      <c r="D736" s="126"/>
      <c r="E736" s="126"/>
      <c r="F736" s="126"/>
      <c r="G736" s="80"/>
      <c r="H736" s="80"/>
      <c r="I736" s="80"/>
      <c r="J736" s="80"/>
      <c r="K736" s="80"/>
      <c r="L736" s="80"/>
      <c r="M736" s="80"/>
      <c r="N736" s="80"/>
      <c r="O736" s="80"/>
      <c r="P736" s="80"/>
      <c r="Q736" s="80"/>
      <c r="R736" s="80"/>
      <c r="S736" s="80"/>
      <c r="T736" s="80"/>
      <c r="U736" s="80"/>
      <c r="V736" s="80"/>
      <c r="W736" s="80"/>
      <c r="X736" s="80"/>
      <c r="Y736" s="80"/>
      <c r="Z736" s="80"/>
    </row>
    <row r="737">
      <c r="A737" s="126"/>
      <c r="B737" s="126"/>
      <c r="C737" s="126"/>
      <c r="D737" s="126"/>
      <c r="E737" s="126"/>
      <c r="F737" s="126"/>
      <c r="G737" s="80"/>
      <c r="H737" s="80"/>
      <c r="I737" s="80"/>
      <c r="J737" s="80"/>
      <c r="K737" s="80"/>
      <c r="L737" s="80"/>
      <c r="M737" s="80"/>
      <c r="N737" s="80"/>
      <c r="O737" s="80"/>
      <c r="P737" s="80"/>
      <c r="Q737" s="80"/>
      <c r="R737" s="80"/>
      <c r="S737" s="80"/>
      <c r="T737" s="80"/>
      <c r="U737" s="80"/>
      <c r="V737" s="80"/>
      <c r="W737" s="80"/>
      <c r="X737" s="80"/>
      <c r="Y737" s="80"/>
      <c r="Z737" s="80"/>
    </row>
    <row r="738">
      <c r="A738" s="126"/>
      <c r="B738" s="126"/>
      <c r="C738" s="126"/>
      <c r="D738" s="126"/>
      <c r="E738" s="126"/>
      <c r="F738" s="126"/>
      <c r="G738" s="80"/>
      <c r="H738" s="80"/>
      <c r="I738" s="80"/>
      <c r="J738" s="80"/>
      <c r="K738" s="80"/>
      <c r="L738" s="80"/>
      <c r="M738" s="80"/>
      <c r="N738" s="80"/>
      <c r="O738" s="80"/>
      <c r="P738" s="80"/>
      <c r="Q738" s="80"/>
      <c r="R738" s="80"/>
      <c r="S738" s="80"/>
      <c r="T738" s="80"/>
      <c r="U738" s="80"/>
      <c r="V738" s="80"/>
      <c r="W738" s="80"/>
      <c r="X738" s="80"/>
      <c r="Y738" s="80"/>
      <c r="Z738" s="80"/>
    </row>
    <row r="739">
      <c r="A739" s="126"/>
      <c r="B739" s="126"/>
      <c r="C739" s="126"/>
      <c r="D739" s="126"/>
      <c r="E739" s="126"/>
      <c r="F739" s="126"/>
      <c r="G739" s="80"/>
      <c r="H739" s="80"/>
      <c r="I739" s="80"/>
      <c r="J739" s="80"/>
      <c r="K739" s="80"/>
      <c r="L739" s="80"/>
      <c r="M739" s="80"/>
      <c r="N739" s="80"/>
      <c r="O739" s="80"/>
      <c r="P739" s="80"/>
      <c r="Q739" s="80"/>
      <c r="R739" s="80"/>
      <c r="S739" s="80"/>
      <c r="T739" s="80"/>
      <c r="U739" s="80"/>
      <c r="V739" s="80"/>
      <c r="W739" s="80"/>
      <c r="X739" s="80"/>
      <c r="Y739" s="80"/>
      <c r="Z739" s="80"/>
    </row>
    <row r="740">
      <c r="A740" s="126"/>
      <c r="B740" s="126"/>
      <c r="C740" s="126"/>
      <c r="D740" s="126"/>
      <c r="E740" s="126"/>
      <c r="F740" s="126"/>
      <c r="G740" s="80"/>
      <c r="H740" s="80"/>
      <c r="I740" s="80"/>
      <c r="J740" s="80"/>
      <c r="K740" s="80"/>
      <c r="L740" s="80"/>
      <c r="M740" s="80"/>
      <c r="N740" s="80"/>
      <c r="O740" s="80"/>
      <c r="P740" s="80"/>
      <c r="Q740" s="80"/>
      <c r="R740" s="80"/>
      <c r="S740" s="80"/>
      <c r="T740" s="80"/>
      <c r="U740" s="80"/>
      <c r="V740" s="80"/>
      <c r="W740" s="80"/>
      <c r="X740" s="80"/>
      <c r="Y740" s="80"/>
      <c r="Z740" s="80"/>
    </row>
    <row r="741">
      <c r="A741" s="126"/>
      <c r="B741" s="126"/>
      <c r="C741" s="126"/>
      <c r="D741" s="126"/>
      <c r="E741" s="126"/>
      <c r="F741" s="126"/>
      <c r="G741" s="80"/>
      <c r="H741" s="80"/>
      <c r="I741" s="80"/>
      <c r="J741" s="80"/>
      <c r="K741" s="80"/>
      <c r="L741" s="80"/>
      <c r="M741" s="80"/>
      <c r="N741" s="80"/>
      <c r="O741" s="80"/>
      <c r="P741" s="80"/>
      <c r="Q741" s="80"/>
      <c r="R741" s="80"/>
      <c r="S741" s="80"/>
      <c r="T741" s="80"/>
      <c r="U741" s="80"/>
      <c r="V741" s="80"/>
      <c r="W741" s="80"/>
      <c r="X741" s="80"/>
      <c r="Y741" s="80"/>
      <c r="Z741" s="80"/>
    </row>
    <row r="742">
      <c r="A742" s="126"/>
      <c r="B742" s="126"/>
      <c r="C742" s="126"/>
      <c r="D742" s="126"/>
      <c r="E742" s="126"/>
      <c r="F742" s="126"/>
      <c r="G742" s="80"/>
      <c r="H742" s="80"/>
      <c r="I742" s="80"/>
      <c r="J742" s="80"/>
      <c r="K742" s="80"/>
      <c r="L742" s="80"/>
      <c r="M742" s="80"/>
      <c r="N742" s="80"/>
      <c r="O742" s="80"/>
      <c r="P742" s="80"/>
      <c r="Q742" s="80"/>
      <c r="R742" s="80"/>
      <c r="S742" s="80"/>
      <c r="T742" s="80"/>
      <c r="U742" s="80"/>
      <c r="V742" s="80"/>
      <c r="W742" s="80"/>
      <c r="X742" s="80"/>
      <c r="Y742" s="80"/>
      <c r="Z742" s="80"/>
    </row>
    <row r="743">
      <c r="A743" s="126"/>
      <c r="B743" s="126"/>
      <c r="C743" s="126"/>
      <c r="D743" s="126"/>
      <c r="E743" s="126"/>
      <c r="F743" s="126"/>
      <c r="G743" s="80"/>
      <c r="H743" s="80"/>
      <c r="I743" s="80"/>
      <c r="J743" s="80"/>
      <c r="K743" s="80"/>
      <c r="L743" s="80"/>
      <c r="M743" s="80"/>
      <c r="N743" s="80"/>
      <c r="O743" s="80"/>
      <c r="P743" s="80"/>
      <c r="Q743" s="80"/>
      <c r="R743" s="80"/>
      <c r="S743" s="80"/>
      <c r="T743" s="80"/>
      <c r="U743" s="80"/>
      <c r="V743" s="80"/>
      <c r="W743" s="80"/>
      <c r="X743" s="80"/>
      <c r="Y743" s="80"/>
      <c r="Z743" s="80"/>
    </row>
    <row r="744">
      <c r="A744" s="126"/>
      <c r="B744" s="126"/>
      <c r="C744" s="126"/>
      <c r="D744" s="126"/>
      <c r="E744" s="126"/>
      <c r="F744" s="126"/>
      <c r="G744" s="80"/>
      <c r="H744" s="80"/>
      <c r="I744" s="80"/>
      <c r="J744" s="80"/>
      <c r="K744" s="80"/>
      <c r="L744" s="80"/>
      <c r="M744" s="80"/>
      <c r="N744" s="80"/>
      <c r="O744" s="80"/>
      <c r="P744" s="80"/>
      <c r="Q744" s="80"/>
      <c r="R744" s="80"/>
      <c r="S744" s="80"/>
      <c r="T744" s="80"/>
      <c r="U744" s="80"/>
      <c r="V744" s="80"/>
      <c r="W744" s="80"/>
      <c r="X744" s="80"/>
      <c r="Y744" s="80"/>
      <c r="Z744" s="80"/>
    </row>
    <row r="745">
      <c r="A745" s="126"/>
      <c r="B745" s="126"/>
      <c r="C745" s="126"/>
      <c r="D745" s="126"/>
      <c r="E745" s="126"/>
      <c r="F745" s="126"/>
      <c r="G745" s="80"/>
      <c r="H745" s="80"/>
      <c r="I745" s="80"/>
      <c r="J745" s="80"/>
      <c r="K745" s="80"/>
      <c r="L745" s="80"/>
      <c r="M745" s="80"/>
      <c r="N745" s="80"/>
      <c r="O745" s="80"/>
      <c r="P745" s="80"/>
      <c r="Q745" s="80"/>
      <c r="R745" s="80"/>
      <c r="S745" s="80"/>
      <c r="T745" s="80"/>
      <c r="U745" s="80"/>
      <c r="V745" s="80"/>
      <c r="W745" s="80"/>
      <c r="X745" s="80"/>
      <c r="Y745" s="80"/>
      <c r="Z745" s="80"/>
    </row>
    <row r="746">
      <c r="A746" s="126"/>
      <c r="B746" s="126"/>
      <c r="C746" s="126"/>
      <c r="D746" s="126"/>
      <c r="E746" s="126"/>
      <c r="F746" s="126"/>
      <c r="G746" s="80"/>
      <c r="H746" s="80"/>
      <c r="I746" s="80"/>
      <c r="J746" s="80"/>
      <c r="K746" s="80"/>
      <c r="L746" s="80"/>
      <c r="M746" s="80"/>
      <c r="N746" s="80"/>
      <c r="O746" s="80"/>
      <c r="P746" s="80"/>
      <c r="Q746" s="80"/>
      <c r="R746" s="80"/>
      <c r="S746" s="80"/>
      <c r="T746" s="80"/>
      <c r="U746" s="80"/>
      <c r="V746" s="80"/>
      <c r="W746" s="80"/>
      <c r="X746" s="80"/>
      <c r="Y746" s="80"/>
      <c r="Z746" s="80"/>
    </row>
    <row r="747">
      <c r="A747" s="126"/>
      <c r="B747" s="126"/>
      <c r="C747" s="126"/>
      <c r="D747" s="126"/>
      <c r="E747" s="126"/>
      <c r="F747" s="126"/>
      <c r="G747" s="80"/>
      <c r="H747" s="80"/>
      <c r="I747" s="80"/>
      <c r="J747" s="80"/>
      <c r="K747" s="80"/>
      <c r="L747" s="80"/>
      <c r="M747" s="80"/>
      <c r="N747" s="80"/>
      <c r="O747" s="80"/>
      <c r="P747" s="80"/>
      <c r="Q747" s="80"/>
      <c r="R747" s="80"/>
      <c r="S747" s="80"/>
      <c r="T747" s="80"/>
      <c r="U747" s="80"/>
      <c r="V747" s="80"/>
      <c r="W747" s="80"/>
      <c r="X747" s="80"/>
      <c r="Y747" s="80"/>
      <c r="Z747" s="80"/>
    </row>
    <row r="748">
      <c r="A748" s="126"/>
      <c r="B748" s="126"/>
      <c r="C748" s="126"/>
      <c r="D748" s="126"/>
      <c r="E748" s="126"/>
      <c r="F748" s="126"/>
      <c r="G748" s="80"/>
      <c r="H748" s="80"/>
      <c r="I748" s="80"/>
      <c r="J748" s="80"/>
      <c r="K748" s="80"/>
      <c r="L748" s="80"/>
      <c r="M748" s="80"/>
      <c r="N748" s="80"/>
      <c r="O748" s="80"/>
      <c r="P748" s="80"/>
      <c r="Q748" s="80"/>
      <c r="R748" s="80"/>
      <c r="S748" s="80"/>
      <c r="T748" s="80"/>
      <c r="U748" s="80"/>
      <c r="V748" s="80"/>
      <c r="W748" s="80"/>
      <c r="X748" s="80"/>
      <c r="Y748" s="80"/>
      <c r="Z748" s="80"/>
    </row>
    <row r="749">
      <c r="A749" s="126"/>
      <c r="B749" s="126"/>
      <c r="C749" s="126"/>
      <c r="D749" s="126"/>
      <c r="E749" s="126"/>
      <c r="F749" s="126"/>
      <c r="G749" s="80"/>
      <c r="H749" s="80"/>
      <c r="I749" s="80"/>
      <c r="J749" s="80"/>
      <c r="K749" s="80"/>
      <c r="L749" s="80"/>
      <c r="M749" s="80"/>
      <c r="N749" s="80"/>
      <c r="O749" s="80"/>
      <c r="P749" s="80"/>
      <c r="Q749" s="80"/>
      <c r="R749" s="80"/>
      <c r="S749" s="80"/>
      <c r="T749" s="80"/>
      <c r="U749" s="80"/>
      <c r="V749" s="80"/>
      <c r="W749" s="80"/>
      <c r="X749" s="80"/>
      <c r="Y749" s="80"/>
      <c r="Z749" s="80"/>
    </row>
    <row r="750">
      <c r="A750" s="126"/>
      <c r="B750" s="126"/>
      <c r="C750" s="126"/>
      <c r="D750" s="126"/>
      <c r="E750" s="126"/>
      <c r="F750" s="126"/>
      <c r="G750" s="80"/>
      <c r="H750" s="80"/>
      <c r="I750" s="80"/>
      <c r="J750" s="80"/>
      <c r="K750" s="80"/>
      <c r="L750" s="80"/>
      <c r="M750" s="80"/>
      <c r="N750" s="80"/>
      <c r="O750" s="80"/>
      <c r="P750" s="80"/>
      <c r="Q750" s="80"/>
      <c r="R750" s="80"/>
      <c r="S750" s="80"/>
      <c r="T750" s="80"/>
      <c r="U750" s="80"/>
      <c r="V750" s="80"/>
      <c r="W750" s="80"/>
      <c r="X750" s="80"/>
      <c r="Y750" s="80"/>
      <c r="Z750" s="80"/>
    </row>
    <row r="751">
      <c r="A751" s="126"/>
      <c r="B751" s="126"/>
      <c r="C751" s="126"/>
      <c r="D751" s="126"/>
      <c r="E751" s="126"/>
      <c r="F751" s="126"/>
      <c r="G751" s="80"/>
      <c r="H751" s="80"/>
      <c r="I751" s="80"/>
      <c r="J751" s="80"/>
      <c r="K751" s="80"/>
      <c r="L751" s="80"/>
      <c r="M751" s="80"/>
      <c r="N751" s="80"/>
      <c r="O751" s="80"/>
      <c r="P751" s="80"/>
      <c r="Q751" s="80"/>
      <c r="R751" s="80"/>
      <c r="S751" s="80"/>
      <c r="T751" s="80"/>
      <c r="U751" s="80"/>
      <c r="V751" s="80"/>
      <c r="W751" s="80"/>
      <c r="X751" s="80"/>
      <c r="Y751" s="80"/>
      <c r="Z751" s="80"/>
    </row>
    <row r="752">
      <c r="A752" s="126"/>
      <c r="B752" s="126"/>
      <c r="C752" s="126"/>
      <c r="D752" s="126"/>
      <c r="E752" s="126"/>
      <c r="F752" s="126"/>
      <c r="G752" s="80"/>
      <c r="H752" s="80"/>
      <c r="I752" s="80"/>
      <c r="J752" s="80"/>
      <c r="K752" s="80"/>
      <c r="L752" s="80"/>
      <c r="M752" s="80"/>
      <c r="N752" s="80"/>
      <c r="O752" s="80"/>
      <c r="P752" s="80"/>
      <c r="Q752" s="80"/>
      <c r="R752" s="80"/>
      <c r="S752" s="80"/>
      <c r="T752" s="80"/>
      <c r="U752" s="80"/>
      <c r="V752" s="80"/>
      <c r="W752" s="80"/>
      <c r="X752" s="80"/>
      <c r="Y752" s="80"/>
      <c r="Z752" s="80"/>
    </row>
    <row r="753">
      <c r="A753" s="126"/>
      <c r="B753" s="126"/>
      <c r="C753" s="126"/>
      <c r="D753" s="126"/>
      <c r="E753" s="126"/>
      <c r="F753" s="126"/>
      <c r="G753" s="80"/>
      <c r="H753" s="80"/>
      <c r="I753" s="80"/>
      <c r="J753" s="80"/>
      <c r="K753" s="80"/>
      <c r="L753" s="80"/>
      <c r="M753" s="80"/>
      <c r="N753" s="80"/>
      <c r="O753" s="80"/>
      <c r="P753" s="80"/>
      <c r="Q753" s="80"/>
      <c r="R753" s="80"/>
      <c r="S753" s="80"/>
      <c r="T753" s="80"/>
      <c r="U753" s="80"/>
      <c r="V753" s="80"/>
      <c r="W753" s="80"/>
      <c r="X753" s="80"/>
      <c r="Y753" s="80"/>
      <c r="Z753" s="80"/>
    </row>
    <row r="754">
      <c r="A754" s="126"/>
      <c r="B754" s="126"/>
      <c r="C754" s="126"/>
      <c r="D754" s="126"/>
      <c r="E754" s="126"/>
      <c r="F754" s="126"/>
      <c r="G754" s="80"/>
      <c r="H754" s="80"/>
      <c r="I754" s="80"/>
      <c r="J754" s="80"/>
      <c r="K754" s="80"/>
      <c r="L754" s="80"/>
      <c r="M754" s="80"/>
      <c r="N754" s="80"/>
      <c r="O754" s="80"/>
      <c r="P754" s="80"/>
      <c r="Q754" s="80"/>
      <c r="R754" s="80"/>
      <c r="S754" s="80"/>
      <c r="T754" s="80"/>
      <c r="U754" s="80"/>
      <c r="V754" s="80"/>
      <c r="W754" s="80"/>
      <c r="X754" s="80"/>
      <c r="Y754" s="80"/>
      <c r="Z754" s="80"/>
    </row>
    <row r="755">
      <c r="A755" s="126"/>
      <c r="B755" s="126"/>
      <c r="C755" s="126"/>
      <c r="D755" s="126"/>
      <c r="E755" s="126"/>
      <c r="F755" s="126"/>
      <c r="G755" s="80"/>
      <c r="H755" s="80"/>
      <c r="I755" s="80"/>
      <c r="J755" s="80"/>
      <c r="K755" s="80"/>
      <c r="L755" s="80"/>
      <c r="M755" s="80"/>
      <c r="N755" s="80"/>
      <c r="O755" s="80"/>
      <c r="P755" s="80"/>
      <c r="Q755" s="80"/>
      <c r="R755" s="80"/>
      <c r="S755" s="80"/>
      <c r="T755" s="80"/>
      <c r="U755" s="80"/>
      <c r="V755" s="80"/>
      <c r="W755" s="80"/>
      <c r="X755" s="80"/>
      <c r="Y755" s="80"/>
      <c r="Z755" s="80"/>
    </row>
    <row r="756">
      <c r="A756" s="126"/>
      <c r="B756" s="126"/>
      <c r="C756" s="126"/>
      <c r="D756" s="126"/>
      <c r="E756" s="126"/>
      <c r="F756" s="126"/>
      <c r="G756" s="80"/>
      <c r="H756" s="80"/>
      <c r="I756" s="80"/>
      <c r="J756" s="80"/>
      <c r="K756" s="80"/>
      <c r="L756" s="80"/>
      <c r="M756" s="80"/>
      <c r="N756" s="80"/>
      <c r="O756" s="80"/>
      <c r="P756" s="80"/>
      <c r="Q756" s="80"/>
      <c r="R756" s="80"/>
      <c r="S756" s="80"/>
      <c r="T756" s="80"/>
      <c r="U756" s="80"/>
      <c r="V756" s="80"/>
      <c r="W756" s="80"/>
      <c r="X756" s="80"/>
      <c r="Y756" s="80"/>
      <c r="Z756" s="80"/>
    </row>
    <row r="757">
      <c r="A757" s="126"/>
      <c r="B757" s="126"/>
      <c r="C757" s="126"/>
      <c r="D757" s="126"/>
      <c r="E757" s="126"/>
      <c r="F757" s="126"/>
      <c r="G757" s="80"/>
      <c r="H757" s="80"/>
      <c r="I757" s="80"/>
      <c r="J757" s="80"/>
      <c r="K757" s="80"/>
      <c r="L757" s="80"/>
      <c r="M757" s="80"/>
      <c r="N757" s="80"/>
      <c r="O757" s="80"/>
      <c r="P757" s="80"/>
      <c r="Q757" s="80"/>
      <c r="R757" s="80"/>
      <c r="S757" s="80"/>
      <c r="T757" s="80"/>
      <c r="U757" s="80"/>
      <c r="V757" s="80"/>
      <c r="W757" s="80"/>
      <c r="X757" s="80"/>
      <c r="Y757" s="80"/>
      <c r="Z757" s="80"/>
    </row>
    <row r="758">
      <c r="A758" s="126"/>
      <c r="B758" s="126"/>
      <c r="C758" s="126"/>
      <c r="D758" s="126"/>
      <c r="E758" s="126"/>
      <c r="F758" s="126"/>
      <c r="G758" s="80"/>
      <c r="H758" s="80"/>
      <c r="I758" s="80"/>
      <c r="J758" s="80"/>
      <c r="K758" s="80"/>
      <c r="L758" s="80"/>
      <c r="M758" s="80"/>
      <c r="N758" s="80"/>
      <c r="O758" s="80"/>
      <c r="P758" s="80"/>
      <c r="Q758" s="80"/>
      <c r="R758" s="80"/>
      <c r="S758" s="80"/>
      <c r="T758" s="80"/>
      <c r="U758" s="80"/>
      <c r="V758" s="80"/>
      <c r="W758" s="80"/>
      <c r="X758" s="80"/>
      <c r="Y758" s="80"/>
      <c r="Z758" s="80"/>
    </row>
    <row r="759">
      <c r="A759" s="126"/>
      <c r="B759" s="126"/>
      <c r="C759" s="126"/>
      <c r="D759" s="126"/>
      <c r="E759" s="126"/>
      <c r="F759" s="126"/>
      <c r="G759" s="80"/>
      <c r="H759" s="80"/>
      <c r="I759" s="80"/>
      <c r="J759" s="80"/>
      <c r="K759" s="80"/>
      <c r="L759" s="80"/>
      <c r="M759" s="80"/>
      <c r="N759" s="80"/>
      <c r="O759" s="80"/>
      <c r="P759" s="80"/>
      <c r="Q759" s="80"/>
      <c r="R759" s="80"/>
      <c r="S759" s="80"/>
      <c r="T759" s="80"/>
      <c r="U759" s="80"/>
      <c r="V759" s="80"/>
      <c r="W759" s="80"/>
      <c r="X759" s="80"/>
      <c r="Y759" s="80"/>
      <c r="Z759" s="80"/>
    </row>
    <row r="760">
      <c r="A760" s="126"/>
      <c r="B760" s="126"/>
      <c r="C760" s="126"/>
      <c r="D760" s="126"/>
      <c r="E760" s="126"/>
      <c r="F760" s="126"/>
      <c r="G760" s="80"/>
      <c r="H760" s="80"/>
      <c r="I760" s="80"/>
      <c r="J760" s="80"/>
      <c r="K760" s="80"/>
      <c r="L760" s="80"/>
      <c r="M760" s="80"/>
      <c r="N760" s="80"/>
      <c r="O760" s="80"/>
      <c r="P760" s="80"/>
      <c r="Q760" s="80"/>
      <c r="R760" s="80"/>
      <c r="S760" s="80"/>
      <c r="T760" s="80"/>
      <c r="U760" s="80"/>
      <c r="V760" s="80"/>
      <c r="W760" s="80"/>
      <c r="X760" s="80"/>
      <c r="Y760" s="80"/>
      <c r="Z760" s="80"/>
    </row>
    <row r="761">
      <c r="A761" s="126"/>
      <c r="B761" s="126"/>
      <c r="C761" s="126"/>
      <c r="D761" s="126"/>
      <c r="E761" s="126"/>
      <c r="F761" s="126"/>
      <c r="G761" s="80"/>
      <c r="H761" s="80"/>
      <c r="I761" s="80"/>
      <c r="J761" s="80"/>
      <c r="K761" s="80"/>
      <c r="L761" s="80"/>
      <c r="M761" s="80"/>
      <c r="N761" s="80"/>
      <c r="O761" s="80"/>
      <c r="P761" s="80"/>
      <c r="Q761" s="80"/>
      <c r="R761" s="80"/>
      <c r="S761" s="80"/>
      <c r="T761" s="80"/>
      <c r="U761" s="80"/>
      <c r="V761" s="80"/>
      <c r="W761" s="80"/>
      <c r="X761" s="80"/>
      <c r="Y761" s="80"/>
      <c r="Z761" s="80"/>
    </row>
    <row r="762">
      <c r="A762" s="126"/>
      <c r="B762" s="126"/>
      <c r="C762" s="126"/>
      <c r="D762" s="126"/>
      <c r="E762" s="126"/>
      <c r="F762" s="126"/>
      <c r="G762" s="80"/>
      <c r="H762" s="80"/>
      <c r="I762" s="80"/>
      <c r="J762" s="80"/>
      <c r="K762" s="80"/>
      <c r="L762" s="80"/>
      <c r="M762" s="80"/>
      <c r="N762" s="80"/>
      <c r="O762" s="80"/>
      <c r="P762" s="80"/>
      <c r="Q762" s="80"/>
      <c r="R762" s="80"/>
      <c r="S762" s="80"/>
      <c r="T762" s="80"/>
      <c r="U762" s="80"/>
      <c r="V762" s="80"/>
      <c r="W762" s="80"/>
      <c r="X762" s="80"/>
      <c r="Y762" s="80"/>
      <c r="Z762" s="80"/>
    </row>
    <row r="763">
      <c r="A763" s="126"/>
      <c r="B763" s="126"/>
      <c r="C763" s="126"/>
      <c r="D763" s="126"/>
      <c r="E763" s="126"/>
      <c r="F763" s="126"/>
      <c r="G763" s="80"/>
      <c r="H763" s="80"/>
      <c r="I763" s="80"/>
      <c r="J763" s="80"/>
      <c r="K763" s="80"/>
      <c r="L763" s="80"/>
      <c r="M763" s="80"/>
      <c r="N763" s="80"/>
      <c r="O763" s="80"/>
      <c r="P763" s="80"/>
      <c r="Q763" s="80"/>
      <c r="R763" s="80"/>
      <c r="S763" s="80"/>
      <c r="T763" s="80"/>
      <c r="U763" s="80"/>
      <c r="V763" s="80"/>
      <c r="W763" s="80"/>
      <c r="X763" s="80"/>
      <c r="Y763" s="80"/>
      <c r="Z763" s="80"/>
    </row>
    <row r="764">
      <c r="A764" s="126"/>
      <c r="B764" s="126"/>
      <c r="C764" s="126"/>
      <c r="D764" s="126"/>
      <c r="E764" s="126"/>
      <c r="F764" s="126"/>
      <c r="G764" s="80"/>
      <c r="H764" s="80"/>
      <c r="I764" s="80"/>
      <c r="J764" s="80"/>
      <c r="K764" s="80"/>
      <c r="L764" s="80"/>
      <c r="M764" s="80"/>
      <c r="N764" s="80"/>
      <c r="O764" s="80"/>
      <c r="P764" s="80"/>
      <c r="Q764" s="80"/>
      <c r="R764" s="80"/>
      <c r="S764" s="80"/>
      <c r="T764" s="80"/>
      <c r="U764" s="80"/>
      <c r="V764" s="80"/>
      <c r="W764" s="80"/>
      <c r="X764" s="80"/>
      <c r="Y764" s="80"/>
      <c r="Z764" s="80"/>
    </row>
    <row r="765">
      <c r="A765" s="126"/>
      <c r="B765" s="126"/>
      <c r="C765" s="126"/>
      <c r="D765" s="126"/>
      <c r="E765" s="126"/>
      <c r="F765" s="126"/>
      <c r="G765" s="80"/>
      <c r="H765" s="80"/>
      <c r="I765" s="80"/>
      <c r="J765" s="80"/>
      <c r="K765" s="80"/>
      <c r="L765" s="80"/>
      <c r="M765" s="80"/>
      <c r="N765" s="80"/>
      <c r="O765" s="80"/>
      <c r="P765" s="80"/>
      <c r="Q765" s="80"/>
      <c r="R765" s="80"/>
      <c r="S765" s="80"/>
      <c r="T765" s="80"/>
      <c r="U765" s="80"/>
      <c r="V765" s="80"/>
      <c r="W765" s="80"/>
      <c r="X765" s="80"/>
      <c r="Y765" s="80"/>
      <c r="Z765" s="80"/>
    </row>
    <row r="766">
      <c r="A766" s="126"/>
      <c r="B766" s="126"/>
      <c r="C766" s="126"/>
      <c r="D766" s="126"/>
      <c r="E766" s="126"/>
      <c r="F766" s="126"/>
      <c r="G766" s="80"/>
      <c r="H766" s="80"/>
      <c r="I766" s="80"/>
      <c r="J766" s="80"/>
      <c r="K766" s="80"/>
      <c r="L766" s="80"/>
      <c r="M766" s="80"/>
      <c r="N766" s="80"/>
      <c r="O766" s="80"/>
      <c r="P766" s="80"/>
      <c r="Q766" s="80"/>
      <c r="R766" s="80"/>
      <c r="S766" s="80"/>
      <c r="T766" s="80"/>
      <c r="U766" s="80"/>
      <c r="V766" s="80"/>
      <c r="W766" s="80"/>
      <c r="X766" s="80"/>
      <c r="Y766" s="80"/>
      <c r="Z766" s="80"/>
    </row>
    <row r="767">
      <c r="A767" s="126"/>
      <c r="B767" s="126"/>
      <c r="C767" s="126"/>
      <c r="D767" s="126"/>
      <c r="E767" s="126"/>
      <c r="F767" s="126"/>
      <c r="G767" s="80"/>
      <c r="H767" s="80"/>
      <c r="I767" s="80"/>
      <c r="J767" s="80"/>
      <c r="K767" s="80"/>
      <c r="L767" s="80"/>
      <c r="M767" s="80"/>
      <c r="N767" s="80"/>
      <c r="O767" s="80"/>
      <c r="P767" s="80"/>
      <c r="Q767" s="80"/>
      <c r="R767" s="80"/>
      <c r="S767" s="80"/>
      <c r="T767" s="80"/>
      <c r="U767" s="80"/>
      <c r="V767" s="80"/>
      <c r="W767" s="80"/>
      <c r="X767" s="80"/>
      <c r="Y767" s="80"/>
      <c r="Z767" s="80"/>
    </row>
    <row r="768">
      <c r="A768" s="126"/>
      <c r="B768" s="126"/>
      <c r="C768" s="126"/>
      <c r="D768" s="126"/>
      <c r="E768" s="126"/>
      <c r="F768" s="126"/>
      <c r="G768" s="80"/>
      <c r="H768" s="80"/>
      <c r="I768" s="80"/>
      <c r="J768" s="80"/>
      <c r="K768" s="80"/>
      <c r="L768" s="80"/>
      <c r="M768" s="80"/>
      <c r="N768" s="80"/>
      <c r="O768" s="80"/>
      <c r="P768" s="80"/>
      <c r="Q768" s="80"/>
      <c r="R768" s="80"/>
      <c r="S768" s="80"/>
      <c r="T768" s="80"/>
      <c r="U768" s="80"/>
      <c r="V768" s="80"/>
      <c r="W768" s="80"/>
      <c r="X768" s="80"/>
      <c r="Y768" s="80"/>
      <c r="Z768" s="80"/>
    </row>
    <row r="769">
      <c r="A769" s="126"/>
      <c r="B769" s="126"/>
      <c r="C769" s="126"/>
      <c r="D769" s="126"/>
      <c r="E769" s="126"/>
      <c r="F769" s="126"/>
      <c r="G769" s="80"/>
      <c r="H769" s="80"/>
      <c r="I769" s="80"/>
      <c r="J769" s="80"/>
      <c r="K769" s="80"/>
      <c r="L769" s="80"/>
      <c r="M769" s="80"/>
      <c r="N769" s="80"/>
      <c r="O769" s="80"/>
      <c r="P769" s="80"/>
      <c r="Q769" s="80"/>
      <c r="R769" s="80"/>
      <c r="S769" s="80"/>
      <c r="T769" s="80"/>
      <c r="U769" s="80"/>
      <c r="V769" s="80"/>
      <c r="W769" s="80"/>
      <c r="X769" s="80"/>
      <c r="Y769" s="80"/>
      <c r="Z769" s="80"/>
    </row>
    <row r="770">
      <c r="A770" s="126"/>
      <c r="B770" s="126"/>
      <c r="C770" s="126"/>
      <c r="D770" s="126"/>
      <c r="E770" s="126"/>
      <c r="F770" s="126"/>
      <c r="G770" s="80"/>
      <c r="H770" s="80"/>
      <c r="I770" s="80"/>
      <c r="J770" s="80"/>
      <c r="K770" s="80"/>
      <c r="L770" s="80"/>
      <c r="M770" s="80"/>
      <c r="N770" s="80"/>
      <c r="O770" s="80"/>
      <c r="P770" s="80"/>
      <c r="Q770" s="80"/>
      <c r="R770" s="80"/>
      <c r="S770" s="80"/>
      <c r="T770" s="80"/>
      <c r="U770" s="80"/>
      <c r="V770" s="80"/>
      <c r="W770" s="80"/>
      <c r="X770" s="80"/>
      <c r="Y770" s="80"/>
      <c r="Z770" s="80"/>
    </row>
    <row r="771">
      <c r="A771" s="126"/>
      <c r="B771" s="126"/>
      <c r="C771" s="126"/>
      <c r="D771" s="126"/>
      <c r="E771" s="126"/>
      <c r="F771" s="126"/>
      <c r="G771" s="80"/>
      <c r="H771" s="80"/>
      <c r="I771" s="80"/>
      <c r="J771" s="80"/>
      <c r="K771" s="80"/>
      <c r="L771" s="80"/>
      <c r="M771" s="80"/>
      <c r="N771" s="80"/>
      <c r="O771" s="80"/>
      <c r="P771" s="80"/>
      <c r="Q771" s="80"/>
      <c r="R771" s="80"/>
      <c r="S771" s="80"/>
      <c r="T771" s="80"/>
      <c r="U771" s="80"/>
      <c r="V771" s="80"/>
      <c r="W771" s="80"/>
      <c r="X771" s="80"/>
      <c r="Y771" s="80"/>
      <c r="Z771" s="80"/>
    </row>
    <row r="772">
      <c r="A772" s="126"/>
      <c r="B772" s="126"/>
      <c r="C772" s="126"/>
      <c r="D772" s="126"/>
      <c r="E772" s="126"/>
      <c r="F772" s="126"/>
      <c r="G772" s="80"/>
      <c r="H772" s="80"/>
      <c r="I772" s="80"/>
      <c r="J772" s="80"/>
      <c r="K772" s="80"/>
      <c r="L772" s="80"/>
      <c r="M772" s="80"/>
      <c r="N772" s="80"/>
      <c r="O772" s="80"/>
      <c r="P772" s="80"/>
      <c r="Q772" s="80"/>
      <c r="R772" s="80"/>
      <c r="S772" s="80"/>
      <c r="T772" s="80"/>
      <c r="U772" s="80"/>
      <c r="V772" s="80"/>
      <c r="W772" s="80"/>
      <c r="X772" s="80"/>
      <c r="Y772" s="80"/>
      <c r="Z772" s="80"/>
    </row>
    <row r="773">
      <c r="A773" s="126"/>
      <c r="B773" s="126"/>
      <c r="C773" s="126"/>
      <c r="D773" s="126"/>
      <c r="E773" s="126"/>
      <c r="F773" s="126"/>
      <c r="G773" s="80"/>
      <c r="H773" s="80"/>
      <c r="I773" s="80"/>
      <c r="J773" s="80"/>
      <c r="K773" s="80"/>
      <c r="L773" s="80"/>
      <c r="M773" s="80"/>
      <c r="N773" s="80"/>
      <c r="O773" s="80"/>
      <c r="P773" s="80"/>
      <c r="Q773" s="80"/>
      <c r="R773" s="80"/>
      <c r="S773" s="80"/>
      <c r="T773" s="80"/>
      <c r="U773" s="80"/>
      <c r="V773" s="80"/>
      <c r="W773" s="80"/>
      <c r="X773" s="80"/>
      <c r="Y773" s="80"/>
      <c r="Z773" s="80"/>
    </row>
    <row r="774">
      <c r="A774" s="126"/>
      <c r="B774" s="126"/>
      <c r="C774" s="126"/>
      <c r="D774" s="126"/>
      <c r="E774" s="126"/>
      <c r="F774" s="126"/>
      <c r="G774" s="80"/>
      <c r="H774" s="80"/>
      <c r="I774" s="80"/>
      <c r="J774" s="80"/>
      <c r="K774" s="80"/>
      <c r="L774" s="80"/>
      <c r="M774" s="80"/>
      <c r="N774" s="80"/>
      <c r="O774" s="80"/>
      <c r="P774" s="80"/>
      <c r="Q774" s="80"/>
      <c r="R774" s="80"/>
      <c r="S774" s="80"/>
      <c r="T774" s="80"/>
      <c r="U774" s="80"/>
      <c r="V774" s="80"/>
      <c r="W774" s="80"/>
      <c r="X774" s="80"/>
      <c r="Y774" s="80"/>
      <c r="Z774" s="80"/>
    </row>
    <row r="775">
      <c r="A775" s="126"/>
      <c r="B775" s="126"/>
      <c r="C775" s="126"/>
      <c r="D775" s="126"/>
      <c r="E775" s="126"/>
      <c r="F775" s="126"/>
      <c r="G775" s="80"/>
      <c r="H775" s="80"/>
      <c r="I775" s="80"/>
      <c r="J775" s="80"/>
      <c r="K775" s="80"/>
      <c r="L775" s="80"/>
      <c r="M775" s="80"/>
      <c r="N775" s="80"/>
      <c r="O775" s="80"/>
      <c r="P775" s="80"/>
      <c r="Q775" s="80"/>
      <c r="R775" s="80"/>
      <c r="S775" s="80"/>
      <c r="T775" s="80"/>
      <c r="U775" s="80"/>
      <c r="V775" s="80"/>
      <c r="W775" s="80"/>
      <c r="X775" s="80"/>
      <c r="Y775" s="80"/>
      <c r="Z775" s="80"/>
    </row>
    <row r="776">
      <c r="A776" s="126"/>
      <c r="B776" s="126"/>
      <c r="C776" s="126"/>
      <c r="D776" s="126"/>
      <c r="E776" s="126"/>
      <c r="F776" s="126"/>
      <c r="G776" s="80"/>
      <c r="H776" s="80"/>
      <c r="I776" s="80"/>
      <c r="J776" s="80"/>
      <c r="K776" s="80"/>
      <c r="L776" s="80"/>
      <c r="M776" s="80"/>
      <c r="N776" s="80"/>
      <c r="O776" s="80"/>
      <c r="P776" s="80"/>
      <c r="Q776" s="80"/>
      <c r="R776" s="80"/>
      <c r="S776" s="80"/>
      <c r="T776" s="80"/>
      <c r="U776" s="80"/>
      <c r="V776" s="80"/>
      <c r="W776" s="80"/>
      <c r="X776" s="80"/>
      <c r="Y776" s="80"/>
      <c r="Z776" s="80"/>
    </row>
    <row r="777">
      <c r="A777" s="126"/>
      <c r="B777" s="126"/>
      <c r="C777" s="126"/>
      <c r="D777" s="126"/>
      <c r="E777" s="126"/>
      <c r="F777" s="126"/>
      <c r="G777" s="80"/>
      <c r="H777" s="80"/>
      <c r="I777" s="80"/>
      <c r="J777" s="80"/>
      <c r="K777" s="80"/>
      <c r="L777" s="80"/>
      <c r="M777" s="80"/>
      <c r="N777" s="80"/>
      <c r="O777" s="80"/>
      <c r="P777" s="80"/>
      <c r="Q777" s="80"/>
      <c r="R777" s="80"/>
      <c r="S777" s="80"/>
      <c r="T777" s="80"/>
      <c r="U777" s="80"/>
      <c r="V777" s="80"/>
      <c r="W777" s="80"/>
      <c r="X777" s="80"/>
      <c r="Y777" s="80"/>
      <c r="Z777" s="80"/>
    </row>
    <row r="778">
      <c r="A778" s="126"/>
      <c r="B778" s="126"/>
      <c r="C778" s="126"/>
      <c r="D778" s="126"/>
      <c r="E778" s="126"/>
      <c r="F778" s="126"/>
      <c r="G778" s="80"/>
      <c r="H778" s="80"/>
      <c r="I778" s="80"/>
      <c r="J778" s="80"/>
      <c r="K778" s="80"/>
      <c r="L778" s="80"/>
      <c r="M778" s="80"/>
      <c r="N778" s="80"/>
      <c r="O778" s="80"/>
      <c r="P778" s="80"/>
      <c r="Q778" s="80"/>
      <c r="R778" s="80"/>
      <c r="S778" s="80"/>
      <c r="T778" s="80"/>
      <c r="U778" s="80"/>
      <c r="V778" s="80"/>
      <c r="W778" s="80"/>
      <c r="X778" s="80"/>
      <c r="Y778" s="80"/>
      <c r="Z778" s="80"/>
    </row>
    <row r="779">
      <c r="A779" s="126"/>
      <c r="B779" s="126"/>
      <c r="C779" s="126"/>
      <c r="D779" s="126"/>
      <c r="E779" s="126"/>
      <c r="F779" s="126"/>
      <c r="G779" s="80"/>
      <c r="H779" s="80"/>
      <c r="I779" s="80"/>
      <c r="J779" s="80"/>
      <c r="K779" s="80"/>
      <c r="L779" s="80"/>
      <c r="M779" s="80"/>
      <c r="N779" s="80"/>
      <c r="O779" s="80"/>
      <c r="P779" s="80"/>
      <c r="Q779" s="80"/>
      <c r="R779" s="80"/>
      <c r="S779" s="80"/>
      <c r="T779" s="80"/>
      <c r="U779" s="80"/>
      <c r="V779" s="80"/>
      <c r="W779" s="80"/>
      <c r="X779" s="80"/>
      <c r="Y779" s="80"/>
      <c r="Z779" s="80"/>
    </row>
    <row r="780">
      <c r="A780" s="126"/>
      <c r="B780" s="126"/>
      <c r="C780" s="126"/>
      <c r="D780" s="126"/>
      <c r="E780" s="126"/>
      <c r="F780" s="126"/>
      <c r="G780" s="80"/>
      <c r="H780" s="80"/>
      <c r="I780" s="80"/>
      <c r="J780" s="80"/>
      <c r="K780" s="80"/>
      <c r="L780" s="80"/>
      <c r="M780" s="80"/>
      <c r="N780" s="80"/>
      <c r="O780" s="80"/>
      <c r="P780" s="80"/>
      <c r="Q780" s="80"/>
      <c r="R780" s="80"/>
      <c r="S780" s="80"/>
      <c r="T780" s="80"/>
      <c r="U780" s="80"/>
      <c r="V780" s="80"/>
      <c r="W780" s="80"/>
      <c r="X780" s="80"/>
      <c r="Y780" s="80"/>
      <c r="Z780" s="80"/>
    </row>
    <row r="781">
      <c r="A781" s="126"/>
      <c r="B781" s="126"/>
      <c r="C781" s="126"/>
      <c r="D781" s="126"/>
      <c r="E781" s="126"/>
      <c r="F781" s="126"/>
      <c r="G781" s="80"/>
      <c r="H781" s="80"/>
      <c r="I781" s="80"/>
      <c r="J781" s="80"/>
      <c r="K781" s="80"/>
      <c r="L781" s="80"/>
      <c r="M781" s="80"/>
      <c r="N781" s="80"/>
      <c r="O781" s="80"/>
      <c r="P781" s="80"/>
      <c r="Q781" s="80"/>
      <c r="R781" s="80"/>
      <c r="S781" s="80"/>
      <c r="T781" s="80"/>
      <c r="U781" s="80"/>
      <c r="V781" s="80"/>
      <c r="W781" s="80"/>
      <c r="X781" s="80"/>
      <c r="Y781" s="80"/>
      <c r="Z781" s="80"/>
    </row>
    <row r="782">
      <c r="A782" s="126"/>
      <c r="B782" s="126"/>
      <c r="C782" s="126"/>
      <c r="D782" s="126"/>
      <c r="E782" s="126"/>
      <c r="F782" s="126"/>
      <c r="G782" s="80"/>
      <c r="H782" s="80"/>
      <c r="I782" s="80"/>
      <c r="J782" s="80"/>
      <c r="K782" s="80"/>
      <c r="L782" s="80"/>
      <c r="M782" s="80"/>
      <c r="N782" s="80"/>
      <c r="O782" s="80"/>
      <c r="P782" s="80"/>
      <c r="Q782" s="80"/>
      <c r="R782" s="80"/>
      <c r="S782" s="80"/>
      <c r="T782" s="80"/>
      <c r="U782" s="80"/>
      <c r="V782" s="80"/>
      <c r="W782" s="80"/>
      <c r="X782" s="80"/>
      <c r="Y782" s="80"/>
      <c r="Z782" s="80"/>
    </row>
    <row r="783">
      <c r="A783" s="126"/>
      <c r="B783" s="126"/>
      <c r="C783" s="126"/>
      <c r="D783" s="126"/>
      <c r="E783" s="126"/>
      <c r="F783" s="126"/>
      <c r="G783" s="80"/>
      <c r="H783" s="80"/>
      <c r="I783" s="80"/>
      <c r="J783" s="80"/>
      <c r="K783" s="80"/>
      <c r="L783" s="80"/>
      <c r="M783" s="80"/>
      <c r="N783" s="80"/>
      <c r="O783" s="80"/>
      <c r="P783" s="80"/>
      <c r="Q783" s="80"/>
      <c r="R783" s="80"/>
      <c r="S783" s="80"/>
      <c r="T783" s="80"/>
      <c r="U783" s="80"/>
      <c r="V783" s="80"/>
      <c r="W783" s="80"/>
      <c r="X783" s="80"/>
      <c r="Y783" s="80"/>
      <c r="Z783" s="80"/>
    </row>
    <row r="784">
      <c r="A784" s="126"/>
      <c r="B784" s="126"/>
      <c r="C784" s="126"/>
      <c r="D784" s="126"/>
      <c r="E784" s="126"/>
      <c r="F784" s="126"/>
      <c r="G784" s="80"/>
      <c r="H784" s="80"/>
      <c r="I784" s="80"/>
      <c r="J784" s="80"/>
      <c r="K784" s="80"/>
      <c r="L784" s="80"/>
      <c r="M784" s="80"/>
      <c r="N784" s="80"/>
      <c r="O784" s="80"/>
      <c r="P784" s="80"/>
      <c r="Q784" s="80"/>
      <c r="R784" s="80"/>
      <c r="S784" s="80"/>
      <c r="T784" s="80"/>
      <c r="U784" s="80"/>
      <c r="V784" s="80"/>
      <c r="W784" s="80"/>
      <c r="X784" s="80"/>
      <c r="Y784" s="80"/>
      <c r="Z784" s="80"/>
    </row>
    <row r="785">
      <c r="A785" s="126"/>
      <c r="B785" s="126"/>
      <c r="C785" s="126"/>
      <c r="D785" s="126"/>
      <c r="E785" s="126"/>
      <c r="F785" s="126"/>
      <c r="G785" s="80"/>
      <c r="H785" s="80"/>
      <c r="I785" s="80"/>
      <c r="J785" s="80"/>
      <c r="K785" s="80"/>
      <c r="L785" s="80"/>
      <c r="M785" s="80"/>
      <c r="N785" s="80"/>
      <c r="O785" s="80"/>
      <c r="P785" s="80"/>
      <c r="Q785" s="80"/>
      <c r="R785" s="80"/>
      <c r="S785" s="80"/>
      <c r="T785" s="80"/>
      <c r="U785" s="80"/>
      <c r="V785" s="80"/>
      <c r="W785" s="80"/>
      <c r="X785" s="80"/>
      <c r="Y785" s="80"/>
      <c r="Z785" s="80"/>
    </row>
    <row r="786">
      <c r="A786" s="126"/>
      <c r="B786" s="126"/>
      <c r="C786" s="126"/>
      <c r="D786" s="126"/>
      <c r="E786" s="126"/>
      <c r="F786" s="126"/>
      <c r="G786" s="80"/>
      <c r="H786" s="80"/>
      <c r="I786" s="80"/>
      <c r="J786" s="80"/>
      <c r="K786" s="80"/>
      <c r="L786" s="80"/>
      <c r="M786" s="80"/>
      <c r="N786" s="80"/>
      <c r="O786" s="80"/>
      <c r="P786" s="80"/>
      <c r="Q786" s="80"/>
      <c r="R786" s="80"/>
      <c r="S786" s="80"/>
      <c r="T786" s="80"/>
      <c r="U786" s="80"/>
      <c r="V786" s="80"/>
      <c r="W786" s="80"/>
      <c r="X786" s="80"/>
      <c r="Y786" s="80"/>
      <c r="Z786" s="80"/>
    </row>
    <row r="787">
      <c r="A787" s="126"/>
      <c r="B787" s="126"/>
      <c r="C787" s="126"/>
      <c r="D787" s="126"/>
      <c r="E787" s="126"/>
      <c r="F787" s="126"/>
      <c r="G787" s="80"/>
      <c r="H787" s="80"/>
      <c r="I787" s="80"/>
      <c r="J787" s="80"/>
      <c r="K787" s="80"/>
      <c r="L787" s="80"/>
      <c r="M787" s="80"/>
      <c r="N787" s="80"/>
      <c r="O787" s="80"/>
      <c r="P787" s="80"/>
      <c r="Q787" s="80"/>
      <c r="R787" s="80"/>
      <c r="S787" s="80"/>
      <c r="T787" s="80"/>
      <c r="U787" s="80"/>
      <c r="V787" s="80"/>
      <c r="W787" s="80"/>
      <c r="X787" s="80"/>
      <c r="Y787" s="80"/>
      <c r="Z787" s="80"/>
    </row>
    <row r="788">
      <c r="A788" s="126"/>
      <c r="B788" s="126"/>
      <c r="C788" s="126"/>
      <c r="D788" s="126"/>
      <c r="E788" s="126"/>
      <c r="F788" s="126"/>
      <c r="G788" s="80"/>
      <c r="H788" s="80"/>
      <c r="I788" s="80"/>
      <c r="J788" s="80"/>
      <c r="K788" s="80"/>
      <c r="L788" s="80"/>
      <c r="M788" s="80"/>
      <c r="N788" s="80"/>
      <c r="O788" s="80"/>
      <c r="P788" s="80"/>
      <c r="Q788" s="80"/>
      <c r="R788" s="80"/>
      <c r="S788" s="80"/>
      <c r="T788" s="80"/>
      <c r="U788" s="80"/>
      <c r="V788" s="80"/>
      <c r="W788" s="80"/>
      <c r="X788" s="80"/>
      <c r="Y788" s="80"/>
      <c r="Z788" s="80"/>
    </row>
    <row r="789">
      <c r="A789" s="126"/>
      <c r="B789" s="126"/>
      <c r="C789" s="126"/>
      <c r="D789" s="126"/>
      <c r="E789" s="126"/>
      <c r="F789" s="126"/>
      <c r="G789" s="80"/>
      <c r="H789" s="80"/>
      <c r="I789" s="80"/>
      <c r="J789" s="80"/>
      <c r="K789" s="80"/>
      <c r="L789" s="80"/>
      <c r="M789" s="80"/>
      <c r="N789" s="80"/>
      <c r="O789" s="80"/>
      <c r="P789" s="80"/>
      <c r="Q789" s="80"/>
      <c r="R789" s="80"/>
      <c r="S789" s="80"/>
      <c r="T789" s="80"/>
      <c r="U789" s="80"/>
      <c r="V789" s="80"/>
      <c r="W789" s="80"/>
      <c r="X789" s="80"/>
      <c r="Y789" s="80"/>
      <c r="Z789" s="80"/>
    </row>
    <row r="790">
      <c r="A790" s="126"/>
      <c r="B790" s="126"/>
      <c r="C790" s="126"/>
      <c r="D790" s="126"/>
      <c r="E790" s="126"/>
      <c r="F790" s="126"/>
      <c r="G790" s="80"/>
      <c r="H790" s="80"/>
      <c r="I790" s="80"/>
      <c r="J790" s="80"/>
      <c r="K790" s="80"/>
      <c r="L790" s="80"/>
      <c r="M790" s="80"/>
      <c r="N790" s="80"/>
      <c r="O790" s="80"/>
      <c r="P790" s="80"/>
      <c r="Q790" s="80"/>
      <c r="R790" s="80"/>
      <c r="S790" s="80"/>
      <c r="T790" s="80"/>
      <c r="U790" s="80"/>
      <c r="V790" s="80"/>
      <c r="W790" s="80"/>
      <c r="X790" s="80"/>
      <c r="Y790" s="80"/>
      <c r="Z790" s="80"/>
    </row>
    <row r="791">
      <c r="A791" s="126"/>
      <c r="B791" s="126"/>
      <c r="C791" s="126"/>
      <c r="D791" s="126"/>
      <c r="E791" s="126"/>
      <c r="F791" s="126"/>
      <c r="G791" s="80"/>
      <c r="H791" s="80"/>
      <c r="I791" s="80"/>
      <c r="J791" s="80"/>
      <c r="K791" s="80"/>
      <c r="L791" s="80"/>
      <c r="M791" s="80"/>
      <c r="N791" s="80"/>
      <c r="O791" s="80"/>
      <c r="P791" s="80"/>
      <c r="Q791" s="80"/>
      <c r="R791" s="80"/>
      <c r="S791" s="80"/>
      <c r="T791" s="80"/>
      <c r="U791" s="80"/>
      <c r="V791" s="80"/>
      <c r="W791" s="80"/>
      <c r="X791" s="80"/>
      <c r="Y791" s="80"/>
      <c r="Z791" s="80"/>
    </row>
    <row r="792">
      <c r="A792" s="126"/>
      <c r="B792" s="126"/>
      <c r="C792" s="126"/>
      <c r="D792" s="126"/>
      <c r="E792" s="126"/>
      <c r="F792" s="126"/>
      <c r="G792" s="80"/>
      <c r="H792" s="80"/>
      <c r="I792" s="80"/>
      <c r="J792" s="80"/>
      <c r="K792" s="80"/>
      <c r="L792" s="80"/>
      <c r="M792" s="80"/>
      <c r="N792" s="80"/>
      <c r="O792" s="80"/>
      <c r="P792" s="80"/>
      <c r="Q792" s="80"/>
      <c r="R792" s="80"/>
      <c r="S792" s="80"/>
      <c r="T792" s="80"/>
      <c r="U792" s="80"/>
      <c r="V792" s="80"/>
      <c r="W792" s="80"/>
      <c r="X792" s="80"/>
      <c r="Y792" s="80"/>
      <c r="Z792" s="80"/>
    </row>
    <row r="793">
      <c r="A793" s="126"/>
      <c r="B793" s="126"/>
      <c r="C793" s="126"/>
      <c r="D793" s="126"/>
      <c r="E793" s="126"/>
      <c r="F793" s="126"/>
      <c r="G793" s="80"/>
      <c r="H793" s="80"/>
      <c r="I793" s="80"/>
      <c r="J793" s="80"/>
      <c r="K793" s="80"/>
      <c r="L793" s="80"/>
      <c r="M793" s="80"/>
      <c r="N793" s="80"/>
      <c r="O793" s="80"/>
      <c r="P793" s="80"/>
      <c r="Q793" s="80"/>
      <c r="R793" s="80"/>
      <c r="S793" s="80"/>
      <c r="T793" s="80"/>
      <c r="U793" s="80"/>
      <c r="V793" s="80"/>
      <c r="W793" s="80"/>
      <c r="X793" s="80"/>
      <c r="Y793" s="80"/>
      <c r="Z793" s="80"/>
    </row>
    <row r="794">
      <c r="A794" s="126"/>
      <c r="B794" s="126"/>
      <c r="C794" s="126"/>
      <c r="D794" s="126"/>
      <c r="E794" s="126"/>
      <c r="F794" s="126"/>
      <c r="G794" s="80"/>
      <c r="H794" s="80"/>
      <c r="I794" s="80"/>
      <c r="J794" s="80"/>
      <c r="K794" s="80"/>
      <c r="L794" s="80"/>
      <c r="M794" s="80"/>
      <c r="N794" s="80"/>
      <c r="O794" s="80"/>
      <c r="P794" s="80"/>
      <c r="Q794" s="80"/>
      <c r="R794" s="80"/>
      <c r="S794" s="80"/>
      <c r="T794" s="80"/>
      <c r="U794" s="80"/>
      <c r="V794" s="80"/>
      <c r="W794" s="80"/>
      <c r="X794" s="80"/>
      <c r="Y794" s="80"/>
      <c r="Z794" s="80"/>
    </row>
    <row r="795">
      <c r="A795" s="126"/>
      <c r="B795" s="126"/>
      <c r="C795" s="126"/>
      <c r="D795" s="126"/>
      <c r="E795" s="126"/>
      <c r="F795" s="126"/>
      <c r="G795" s="80"/>
      <c r="H795" s="80"/>
      <c r="I795" s="80"/>
      <c r="J795" s="80"/>
      <c r="K795" s="80"/>
      <c r="L795" s="80"/>
      <c r="M795" s="80"/>
      <c r="N795" s="80"/>
      <c r="O795" s="80"/>
      <c r="P795" s="80"/>
      <c r="Q795" s="80"/>
      <c r="R795" s="80"/>
      <c r="S795" s="80"/>
      <c r="T795" s="80"/>
      <c r="U795" s="80"/>
      <c r="V795" s="80"/>
      <c r="W795" s="80"/>
      <c r="X795" s="80"/>
      <c r="Y795" s="80"/>
      <c r="Z795" s="80"/>
    </row>
    <row r="796">
      <c r="A796" s="126"/>
      <c r="B796" s="126"/>
      <c r="C796" s="126"/>
      <c r="D796" s="126"/>
      <c r="E796" s="126"/>
      <c r="F796" s="126"/>
      <c r="G796" s="80"/>
      <c r="H796" s="80"/>
      <c r="I796" s="80"/>
      <c r="J796" s="80"/>
      <c r="K796" s="80"/>
      <c r="L796" s="80"/>
      <c r="M796" s="80"/>
      <c r="N796" s="80"/>
      <c r="O796" s="80"/>
      <c r="P796" s="80"/>
      <c r="Q796" s="80"/>
      <c r="R796" s="80"/>
      <c r="S796" s="80"/>
      <c r="T796" s="80"/>
      <c r="U796" s="80"/>
      <c r="V796" s="80"/>
      <c r="W796" s="80"/>
      <c r="X796" s="80"/>
      <c r="Y796" s="80"/>
      <c r="Z796" s="80"/>
    </row>
    <row r="797">
      <c r="A797" s="126"/>
      <c r="B797" s="126"/>
      <c r="C797" s="126"/>
      <c r="D797" s="126"/>
      <c r="E797" s="126"/>
      <c r="F797" s="126"/>
      <c r="G797" s="80"/>
      <c r="H797" s="80"/>
      <c r="I797" s="80"/>
      <c r="J797" s="80"/>
      <c r="K797" s="80"/>
      <c r="L797" s="80"/>
      <c r="M797" s="80"/>
      <c r="N797" s="80"/>
      <c r="O797" s="80"/>
      <c r="P797" s="80"/>
      <c r="Q797" s="80"/>
      <c r="R797" s="80"/>
      <c r="S797" s="80"/>
      <c r="T797" s="80"/>
      <c r="U797" s="80"/>
      <c r="V797" s="80"/>
      <c r="W797" s="80"/>
      <c r="X797" s="80"/>
      <c r="Y797" s="80"/>
      <c r="Z797" s="80"/>
    </row>
    <row r="798">
      <c r="A798" s="126"/>
      <c r="B798" s="126"/>
      <c r="C798" s="126"/>
      <c r="D798" s="126"/>
      <c r="E798" s="126"/>
      <c r="F798" s="126"/>
      <c r="G798" s="80"/>
      <c r="H798" s="80"/>
      <c r="I798" s="80"/>
      <c r="J798" s="80"/>
      <c r="K798" s="80"/>
      <c r="L798" s="80"/>
      <c r="M798" s="80"/>
      <c r="N798" s="80"/>
      <c r="O798" s="80"/>
      <c r="P798" s="80"/>
      <c r="Q798" s="80"/>
      <c r="R798" s="80"/>
      <c r="S798" s="80"/>
      <c r="T798" s="80"/>
      <c r="U798" s="80"/>
      <c r="V798" s="80"/>
      <c r="W798" s="80"/>
      <c r="X798" s="80"/>
      <c r="Y798" s="80"/>
      <c r="Z798" s="80"/>
    </row>
    <row r="799">
      <c r="A799" s="126"/>
      <c r="B799" s="126"/>
      <c r="C799" s="126"/>
      <c r="D799" s="126"/>
      <c r="E799" s="126"/>
      <c r="F799" s="126"/>
      <c r="G799" s="80"/>
      <c r="H799" s="80"/>
      <c r="I799" s="80"/>
      <c r="J799" s="80"/>
      <c r="K799" s="80"/>
      <c r="L799" s="80"/>
      <c r="M799" s="80"/>
      <c r="N799" s="80"/>
      <c r="O799" s="80"/>
      <c r="P799" s="80"/>
      <c r="Q799" s="80"/>
      <c r="R799" s="80"/>
      <c r="S799" s="80"/>
      <c r="T799" s="80"/>
      <c r="U799" s="80"/>
      <c r="V799" s="80"/>
      <c r="W799" s="80"/>
      <c r="X799" s="80"/>
      <c r="Y799" s="80"/>
      <c r="Z799" s="80"/>
    </row>
    <row r="800">
      <c r="A800" s="126"/>
      <c r="B800" s="126"/>
      <c r="C800" s="126"/>
      <c r="D800" s="126"/>
      <c r="E800" s="126"/>
      <c r="F800" s="126"/>
      <c r="G800" s="80"/>
      <c r="H800" s="80"/>
      <c r="I800" s="80"/>
      <c r="J800" s="80"/>
      <c r="K800" s="80"/>
      <c r="L800" s="80"/>
      <c r="M800" s="80"/>
      <c r="N800" s="80"/>
      <c r="O800" s="80"/>
      <c r="P800" s="80"/>
      <c r="Q800" s="80"/>
      <c r="R800" s="80"/>
      <c r="S800" s="80"/>
      <c r="T800" s="80"/>
      <c r="U800" s="80"/>
      <c r="V800" s="80"/>
      <c r="W800" s="80"/>
      <c r="X800" s="80"/>
      <c r="Y800" s="80"/>
      <c r="Z800" s="80"/>
    </row>
    <row r="801">
      <c r="A801" s="126"/>
      <c r="B801" s="126"/>
      <c r="C801" s="126"/>
      <c r="D801" s="126"/>
      <c r="E801" s="126"/>
      <c r="F801" s="126"/>
      <c r="G801" s="80"/>
      <c r="H801" s="80"/>
      <c r="I801" s="80"/>
      <c r="J801" s="80"/>
      <c r="K801" s="80"/>
      <c r="L801" s="80"/>
      <c r="M801" s="80"/>
      <c r="N801" s="80"/>
      <c r="O801" s="80"/>
      <c r="P801" s="80"/>
      <c r="Q801" s="80"/>
      <c r="R801" s="80"/>
      <c r="S801" s="80"/>
      <c r="T801" s="80"/>
      <c r="U801" s="80"/>
      <c r="V801" s="80"/>
      <c r="W801" s="80"/>
      <c r="X801" s="80"/>
      <c r="Y801" s="80"/>
      <c r="Z801" s="80"/>
    </row>
    <row r="802">
      <c r="A802" s="126"/>
      <c r="B802" s="126"/>
      <c r="C802" s="126"/>
      <c r="D802" s="126"/>
      <c r="E802" s="126"/>
      <c r="F802" s="126"/>
      <c r="G802" s="80"/>
      <c r="H802" s="80"/>
      <c r="I802" s="80"/>
      <c r="J802" s="80"/>
      <c r="K802" s="80"/>
      <c r="L802" s="80"/>
      <c r="M802" s="80"/>
      <c r="N802" s="80"/>
      <c r="O802" s="80"/>
      <c r="P802" s="80"/>
      <c r="Q802" s="80"/>
      <c r="R802" s="80"/>
      <c r="S802" s="80"/>
      <c r="T802" s="80"/>
      <c r="U802" s="80"/>
      <c r="V802" s="80"/>
      <c r="W802" s="80"/>
      <c r="X802" s="80"/>
      <c r="Y802" s="80"/>
      <c r="Z802" s="80"/>
    </row>
    <row r="803">
      <c r="A803" s="126"/>
      <c r="B803" s="126"/>
      <c r="C803" s="126"/>
      <c r="D803" s="126"/>
      <c r="E803" s="126"/>
      <c r="F803" s="126"/>
      <c r="G803" s="80"/>
      <c r="H803" s="80"/>
      <c r="I803" s="80"/>
      <c r="J803" s="80"/>
      <c r="K803" s="80"/>
      <c r="L803" s="80"/>
      <c r="M803" s="80"/>
      <c r="N803" s="80"/>
      <c r="O803" s="80"/>
      <c r="P803" s="80"/>
      <c r="Q803" s="80"/>
      <c r="R803" s="80"/>
      <c r="S803" s="80"/>
      <c r="T803" s="80"/>
      <c r="U803" s="80"/>
      <c r="V803" s="80"/>
      <c r="W803" s="80"/>
      <c r="X803" s="80"/>
      <c r="Y803" s="80"/>
      <c r="Z803" s="80"/>
    </row>
    <row r="804">
      <c r="A804" s="126"/>
      <c r="B804" s="126"/>
      <c r="C804" s="126"/>
      <c r="D804" s="126"/>
      <c r="E804" s="126"/>
      <c r="F804" s="126"/>
      <c r="G804" s="80"/>
      <c r="H804" s="80"/>
      <c r="I804" s="80"/>
      <c r="J804" s="80"/>
      <c r="K804" s="80"/>
      <c r="L804" s="80"/>
      <c r="M804" s="80"/>
      <c r="N804" s="80"/>
      <c r="O804" s="80"/>
      <c r="P804" s="80"/>
      <c r="Q804" s="80"/>
      <c r="R804" s="80"/>
      <c r="S804" s="80"/>
      <c r="T804" s="80"/>
      <c r="U804" s="80"/>
      <c r="V804" s="80"/>
      <c r="W804" s="80"/>
      <c r="X804" s="80"/>
      <c r="Y804" s="80"/>
      <c r="Z804" s="80"/>
    </row>
    <row r="805">
      <c r="A805" s="126"/>
      <c r="B805" s="126"/>
      <c r="C805" s="126"/>
      <c r="D805" s="126"/>
      <c r="E805" s="126"/>
      <c r="F805" s="126"/>
      <c r="G805" s="80"/>
      <c r="H805" s="80"/>
      <c r="I805" s="80"/>
      <c r="J805" s="80"/>
      <c r="K805" s="80"/>
      <c r="L805" s="80"/>
      <c r="M805" s="80"/>
      <c r="N805" s="80"/>
      <c r="O805" s="80"/>
      <c r="P805" s="80"/>
      <c r="Q805" s="80"/>
      <c r="R805" s="80"/>
      <c r="S805" s="80"/>
      <c r="T805" s="80"/>
      <c r="U805" s="80"/>
      <c r="V805" s="80"/>
      <c r="W805" s="80"/>
      <c r="X805" s="80"/>
      <c r="Y805" s="80"/>
      <c r="Z805" s="80"/>
    </row>
    <row r="806">
      <c r="A806" s="126"/>
      <c r="B806" s="126"/>
      <c r="C806" s="126"/>
      <c r="D806" s="126"/>
      <c r="E806" s="126"/>
      <c r="F806" s="126"/>
      <c r="G806" s="80"/>
      <c r="H806" s="80"/>
      <c r="I806" s="80"/>
      <c r="J806" s="80"/>
      <c r="K806" s="80"/>
      <c r="L806" s="80"/>
      <c r="M806" s="80"/>
      <c r="N806" s="80"/>
      <c r="O806" s="80"/>
      <c r="P806" s="80"/>
      <c r="Q806" s="80"/>
      <c r="R806" s="80"/>
      <c r="S806" s="80"/>
      <c r="T806" s="80"/>
      <c r="U806" s="80"/>
      <c r="V806" s="80"/>
      <c r="W806" s="80"/>
      <c r="X806" s="80"/>
      <c r="Y806" s="80"/>
      <c r="Z806" s="80"/>
    </row>
    <row r="807">
      <c r="A807" s="126"/>
      <c r="B807" s="126"/>
      <c r="C807" s="126"/>
      <c r="D807" s="126"/>
      <c r="E807" s="126"/>
      <c r="F807" s="126"/>
      <c r="G807" s="80"/>
      <c r="H807" s="80"/>
      <c r="I807" s="80"/>
      <c r="J807" s="80"/>
      <c r="K807" s="80"/>
      <c r="L807" s="80"/>
      <c r="M807" s="80"/>
      <c r="N807" s="80"/>
      <c r="O807" s="80"/>
      <c r="P807" s="80"/>
      <c r="Q807" s="80"/>
      <c r="R807" s="80"/>
      <c r="S807" s="80"/>
      <c r="T807" s="80"/>
      <c r="U807" s="80"/>
      <c r="V807" s="80"/>
      <c r="W807" s="80"/>
      <c r="X807" s="80"/>
      <c r="Y807" s="80"/>
      <c r="Z807" s="80"/>
    </row>
    <row r="808">
      <c r="A808" s="126"/>
      <c r="B808" s="126"/>
      <c r="C808" s="126"/>
      <c r="D808" s="126"/>
      <c r="E808" s="126"/>
      <c r="F808" s="126"/>
      <c r="G808" s="80"/>
      <c r="H808" s="80"/>
      <c r="I808" s="80"/>
      <c r="J808" s="80"/>
      <c r="K808" s="80"/>
      <c r="L808" s="80"/>
      <c r="M808" s="80"/>
      <c r="N808" s="80"/>
      <c r="O808" s="80"/>
      <c r="P808" s="80"/>
      <c r="Q808" s="80"/>
      <c r="R808" s="80"/>
      <c r="S808" s="80"/>
      <c r="T808" s="80"/>
      <c r="U808" s="80"/>
      <c r="V808" s="80"/>
      <c r="W808" s="80"/>
      <c r="X808" s="80"/>
      <c r="Y808" s="80"/>
      <c r="Z808" s="80"/>
    </row>
    <row r="809">
      <c r="A809" s="126"/>
      <c r="B809" s="126"/>
      <c r="C809" s="126"/>
      <c r="D809" s="126"/>
      <c r="E809" s="126"/>
      <c r="F809" s="126"/>
      <c r="G809" s="80"/>
      <c r="H809" s="80"/>
      <c r="I809" s="80"/>
      <c r="J809" s="80"/>
      <c r="K809" s="80"/>
      <c r="L809" s="80"/>
      <c r="M809" s="80"/>
      <c r="N809" s="80"/>
      <c r="O809" s="80"/>
      <c r="P809" s="80"/>
      <c r="Q809" s="80"/>
      <c r="R809" s="80"/>
      <c r="S809" s="80"/>
      <c r="T809" s="80"/>
      <c r="U809" s="80"/>
      <c r="V809" s="80"/>
      <c r="W809" s="80"/>
      <c r="X809" s="80"/>
      <c r="Y809" s="80"/>
      <c r="Z809" s="80"/>
    </row>
    <row r="810">
      <c r="A810" s="126"/>
      <c r="B810" s="126"/>
      <c r="C810" s="126"/>
      <c r="D810" s="126"/>
      <c r="E810" s="126"/>
      <c r="F810" s="126"/>
      <c r="G810" s="80"/>
      <c r="H810" s="80"/>
      <c r="I810" s="80"/>
      <c r="J810" s="80"/>
      <c r="K810" s="80"/>
      <c r="L810" s="80"/>
      <c r="M810" s="80"/>
      <c r="N810" s="80"/>
      <c r="O810" s="80"/>
      <c r="P810" s="80"/>
      <c r="Q810" s="80"/>
      <c r="R810" s="80"/>
      <c r="S810" s="80"/>
      <c r="T810" s="80"/>
      <c r="U810" s="80"/>
      <c r="V810" s="80"/>
      <c r="W810" s="80"/>
      <c r="X810" s="80"/>
      <c r="Y810" s="80"/>
      <c r="Z810" s="80"/>
    </row>
    <row r="811">
      <c r="A811" s="126"/>
      <c r="B811" s="126"/>
      <c r="C811" s="126"/>
      <c r="D811" s="126"/>
      <c r="E811" s="126"/>
      <c r="F811" s="126"/>
      <c r="G811" s="80"/>
      <c r="H811" s="80"/>
      <c r="I811" s="80"/>
      <c r="J811" s="80"/>
      <c r="K811" s="80"/>
      <c r="L811" s="80"/>
      <c r="M811" s="80"/>
      <c r="N811" s="80"/>
      <c r="O811" s="80"/>
      <c r="P811" s="80"/>
      <c r="Q811" s="80"/>
      <c r="R811" s="80"/>
      <c r="S811" s="80"/>
      <c r="T811" s="80"/>
      <c r="U811" s="80"/>
      <c r="V811" s="80"/>
      <c r="W811" s="80"/>
      <c r="X811" s="80"/>
      <c r="Y811" s="80"/>
      <c r="Z811" s="80"/>
    </row>
    <row r="812">
      <c r="A812" s="126"/>
      <c r="B812" s="126"/>
      <c r="C812" s="126"/>
      <c r="D812" s="126"/>
      <c r="E812" s="126"/>
      <c r="F812" s="126"/>
      <c r="G812" s="80"/>
      <c r="H812" s="80"/>
      <c r="I812" s="80"/>
      <c r="J812" s="80"/>
      <c r="K812" s="80"/>
      <c r="L812" s="80"/>
      <c r="M812" s="80"/>
      <c r="N812" s="80"/>
      <c r="O812" s="80"/>
      <c r="P812" s="80"/>
      <c r="Q812" s="80"/>
      <c r="R812" s="80"/>
      <c r="S812" s="80"/>
      <c r="T812" s="80"/>
      <c r="U812" s="80"/>
      <c r="V812" s="80"/>
      <c r="W812" s="80"/>
      <c r="X812" s="80"/>
      <c r="Y812" s="80"/>
      <c r="Z812" s="80"/>
    </row>
    <row r="813">
      <c r="A813" s="126"/>
      <c r="B813" s="126"/>
      <c r="C813" s="126"/>
      <c r="D813" s="126"/>
      <c r="E813" s="126"/>
      <c r="F813" s="126"/>
      <c r="G813" s="80"/>
      <c r="H813" s="80"/>
      <c r="I813" s="80"/>
      <c r="J813" s="80"/>
      <c r="K813" s="80"/>
      <c r="L813" s="80"/>
      <c r="M813" s="80"/>
      <c r="N813" s="80"/>
      <c r="O813" s="80"/>
      <c r="P813" s="80"/>
      <c r="Q813" s="80"/>
      <c r="R813" s="80"/>
      <c r="S813" s="80"/>
      <c r="T813" s="80"/>
      <c r="U813" s="80"/>
      <c r="V813" s="80"/>
      <c r="W813" s="80"/>
      <c r="X813" s="80"/>
      <c r="Y813" s="80"/>
      <c r="Z813" s="80"/>
    </row>
    <row r="814">
      <c r="A814" s="126"/>
      <c r="B814" s="126"/>
      <c r="C814" s="126"/>
      <c r="D814" s="126"/>
      <c r="E814" s="126"/>
      <c r="F814" s="126"/>
      <c r="G814" s="80"/>
      <c r="H814" s="80"/>
      <c r="I814" s="80"/>
      <c r="J814" s="80"/>
      <c r="K814" s="80"/>
      <c r="L814" s="80"/>
      <c r="M814" s="80"/>
      <c r="N814" s="80"/>
      <c r="O814" s="80"/>
      <c r="P814" s="80"/>
      <c r="Q814" s="80"/>
      <c r="R814" s="80"/>
      <c r="S814" s="80"/>
      <c r="T814" s="80"/>
      <c r="U814" s="80"/>
      <c r="V814" s="80"/>
      <c r="W814" s="80"/>
      <c r="X814" s="80"/>
      <c r="Y814" s="80"/>
      <c r="Z814" s="80"/>
    </row>
    <row r="815">
      <c r="A815" s="126"/>
      <c r="B815" s="126"/>
      <c r="C815" s="126"/>
      <c r="D815" s="126"/>
      <c r="E815" s="126"/>
      <c r="F815" s="126"/>
      <c r="G815" s="80"/>
      <c r="H815" s="80"/>
      <c r="I815" s="80"/>
      <c r="J815" s="80"/>
      <c r="K815" s="80"/>
      <c r="L815" s="80"/>
      <c r="M815" s="80"/>
      <c r="N815" s="80"/>
      <c r="O815" s="80"/>
      <c r="P815" s="80"/>
      <c r="Q815" s="80"/>
      <c r="R815" s="80"/>
      <c r="S815" s="80"/>
      <c r="T815" s="80"/>
      <c r="U815" s="80"/>
      <c r="V815" s="80"/>
      <c r="W815" s="80"/>
      <c r="X815" s="80"/>
      <c r="Y815" s="80"/>
      <c r="Z815" s="80"/>
    </row>
    <row r="816">
      <c r="A816" s="126"/>
      <c r="B816" s="126"/>
      <c r="C816" s="126"/>
      <c r="D816" s="126"/>
      <c r="E816" s="126"/>
      <c r="F816" s="126"/>
      <c r="G816" s="80"/>
      <c r="H816" s="80"/>
      <c r="I816" s="80"/>
      <c r="J816" s="80"/>
      <c r="K816" s="80"/>
      <c r="L816" s="80"/>
      <c r="M816" s="80"/>
      <c r="N816" s="80"/>
      <c r="O816" s="80"/>
      <c r="P816" s="80"/>
      <c r="Q816" s="80"/>
      <c r="R816" s="80"/>
      <c r="S816" s="80"/>
      <c r="T816" s="80"/>
      <c r="U816" s="80"/>
      <c r="V816" s="80"/>
      <c r="W816" s="80"/>
      <c r="X816" s="80"/>
      <c r="Y816" s="80"/>
      <c r="Z816" s="80"/>
    </row>
    <row r="817">
      <c r="A817" s="126"/>
      <c r="B817" s="126"/>
      <c r="C817" s="126"/>
      <c r="D817" s="126"/>
      <c r="E817" s="126"/>
      <c r="F817" s="126"/>
      <c r="G817" s="80"/>
      <c r="H817" s="80"/>
      <c r="I817" s="80"/>
      <c r="J817" s="80"/>
      <c r="K817" s="80"/>
      <c r="L817" s="80"/>
      <c r="M817" s="80"/>
      <c r="N817" s="80"/>
      <c r="O817" s="80"/>
      <c r="P817" s="80"/>
      <c r="Q817" s="80"/>
      <c r="R817" s="80"/>
      <c r="S817" s="80"/>
      <c r="T817" s="80"/>
      <c r="U817" s="80"/>
      <c r="V817" s="80"/>
      <c r="W817" s="80"/>
      <c r="X817" s="80"/>
      <c r="Y817" s="80"/>
      <c r="Z817" s="80"/>
    </row>
    <row r="818">
      <c r="A818" s="126"/>
      <c r="B818" s="126"/>
      <c r="C818" s="126"/>
      <c r="D818" s="126"/>
      <c r="E818" s="126"/>
      <c r="F818" s="126"/>
      <c r="G818" s="80"/>
      <c r="H818" s="80"/>
      <c r="I818" s="80"/>
      <c r="J818" s="80"/>
      <c r="K818" s="80"/>
      <c r="L818" s="80"/>
      <c r="M818" s="80"/>
      <c r="N818" s="80"/>
      <c r="O818" s="80"/>
      <c r="P818" s="80"/>
      <c r="Q818" s="80"/>
      <c r="R818" s="80"/>
      <c r="S818" s="80"/>
      <c r="T818" s="80"/>
      <c r="U818" s="80"/>
      <c r="V818" s="80"/>
      <c r="W818" s="80"/>
      <c r="X818" s="80"/>
      <c r="Y818" s="80"/>
      <c r="Z818" s="80"/>
    </row>
    <row r="819">
      <c r="A819" s="126"/>
      <c r="B819" s="126"/>
      <c r="C819" s="126"/>
      <c r="D819" s="126"/>
      <c r="E819" s="126"/>
      <c r="F819" s="126"/>
      <c r="G819" s="80"/>
      <c r="H819" s="80"/>
      <c r="I819" s="80"/>
      <c r="J819" s="80"/>
      <c r="K819" s="80"/>
      <c r="L819" s="80"/>
      <c r="M819" s="80"/>
      <c r="N819" s="80"/>
      <c r="O819" s="80"/>
      <c r="P819" s="80"/>
      <c r="Q819" s="80"/>
      <c r="R819" s="80"/>
      <c r="S819" s="80"/>
      <c r="T819" s="80"/>
      <c r="U819" s="80"/>
      <c r="V819" s="80"/>
      <c r="W819" s="80"/>
      <c r="X819" s="80"/>
      <c r="Y819" s="80"/>
      <c r="Z819" s="80"/>
    </row>
    <row r="820">
      <c r="A820" s="126"/>
      <c r="B820" s="126"/>
      <c r="C820" s="126"/>
      <c r="D820" s="126"/>
      <c r="E820" s="126"/>
      <c r="F820" s="126"/>
      <c r="G820" s="80"/>
      <c r="H820" s="80"/>
      <c r="I820" s="80"/>
      <c r="J820" s="80"/>
      <c r="K820" s="80"/>
      <c r="L820" s="80"/>
      <c r="M820" s="80"/>
      <c r="N820" s="80"/>
      <c r="O820" s="80"/>
      <c r="P820" s="80"/>
      <c r="Q820" s="80"/>
      <c r="R820" s="80"/>
      <c r="S820" s="80"/>
      <c r="T820" s="80"/>
      <c r="U820" s="80"/>
      <c r="V820" s="80"/>
      <c r="W820" s="80"/>
      <c r="X820" s="80"/>
      <c r="Y820" s="80"/>
      <c r="Z820" s="80"/>
    </row>
    <row r="821">
      <c r="A821" s="126"/>
      <c r="B821" s="126"/>
      <c r="C821" s="126"/>
      <c r="D821" s="126"/>
      <c r="E821" s="126"/>
      <c r="F821" s="126"/>
      <c r="G821" s="80"/>
      <c r="H821" s="80"/>
      <c r="I821" s="80"/>
      <c r="J821" s="80"/>
      <c r="K821" s="80"/>
      <c r="L821" s="80"/>
      <c r="M821" s="80"/>
      <c r="N821" s="80"/>
      <c r="O821" s="80"/>
      <c r="P821" s="80"/>
      <c r="Q821" s="80"/>
      <c r="R821" s="80"/>
      <c r="S821" s="80"/>
      <c r="T821" s="80"/>
      <c r="U821" s="80"/>
      <c r="V821" s="80"/>
      <c r="W821" s="80"/>
      <c r="X821" s="80"/>
      <c r="Y821" s="80"/>
      <c r="Z821" s="80"/>
    </row>
    <row r="822">
      <c r="A822" s="126"/>
      <c r="B822" s="126"/>
      <c r="C822" s="126"/>
      <c r="D822" s="126"/>
      <c r="E822" s="126"/>
      <c r="F822" s="126"/>
      <c r="G822" s="80"/>
      <c r="H822" s="80"/>
      <c r="I822" s="80"/>
      <c r="J822" s="80"/>
      <c r="K822" s="80"/>
      <c r="L822" s="80"/>
      <c r="M822" s="80"/>
      <c r="N822" s="80"/>
      <c r="O822" s="80"/>
      <c r="P822" s="80"/>
      <c r="Q822" s="80"/>
      <c r="R822" s="80"/>
      <c r="S822" s="80"/>
      <c r="T822" s="80"/>
      <c r="U822" s="80"/>
      <c r="V822" s="80"/>
      <c r="W822" s="80"/>
      <c r="X822" s="80"/>
      <c r="Y822" s="80"/>
      <c r="Z822" s="80"/>
    </row>
    <row r="823">
      <c r="A823" s="126"/>
      <c r="B823" s="126"/>
      <c r="C823" s="126"/>
      <c r="D823" s="126"/>
      <c r="E823" s="126"/>
      <c r="F823" s="126"/>
      <c r="G823" s="80"/>
      <c r="H823" s="80"/>
      <c r="I823" s="80"/>
      <c r="J823" s="80"/>
      <c r="K823" s="80"/>
      <c r="L823" s="80"/>
      <c r="M823" s="80"/>
      <c r="N823" s="80"/>
      <c r="O823" s="80"/>
      <c r="P823" s="80"/>
      <c r="Q823" s="80"/>
      <c r="R823" s="80"/>
      <c r="S823" s="80"/>
      <c r="T823" s="80"/>
      <c r="U823" s="80"/>
      <c r="V823" s="80"/>
      <c r="W823" s="80"/>
      <c r="X823" s="80"/>
      <c r="Y823" s="80"/>
      <c r="Z823" s="80"/>
    </row>
    <row r="824">
      <c r="A824" s="126"/>
      <c r="B824" s="126"/>
      <c r="C824" s="126"/>
      <c r="D824" s="126"/>
      <c r="E824" s="126"/>
      <c r="F824" s="126"/>
      <c r="G824" s="80"/>
      <c r="H824" s="80"/>
      <c r="I824" s="80"/>
      <c r="J824" s="80"/>
      <c r="K824" s="80"/>
      <c r="L824" s="80"/>
      <c r="M824" s="80"/>
      <c r="N824" s="80"/>
      <c r="O824" s="80"/>
      <c r="P824" s="80"/>
      <c r="Q824" s="80"/>
      <c r="R824" s="80"/>
      <c r="S824" s="80"/>
      <c r="T824" s="80"/>
      <c r="U824" s="80"/>
      <c r="V824" s="80"/>
      <c r="W824" s="80"/>
      <c r="X824" s="80"/>
      <c r="Y824" s="80"/>
      <c r="Z824" s="80"/>
    </row>
    <row r="825">
      <c r="A825" s="126"/>
      <c r="B825" s="126"/>
      <c r="C825" s="126"/>
      <c r="D825" s="126"/>
      <c r="E825" s="126"/>
      <c r="F825" s="126"/>
      <c r="G825" s="80"/>
      <c r="H825" s="80"/>
      <c r="I825" s="80"/>
      <c r="J825" s="80"/>
      <c r="K825" s="80"/>
      <c r="L825" s="80"/>
      <c r="M825" s="80"/>
      <c r="N825" s="80"/>
      <c r="O825" s="80"/>
      <c r="P825" s="80"/>
      <c r="Q825" s="80"/>
      <c r="R825" s="80"/>
      <c r="S825" s="80"/>
      <c r="T825" s="80"/>
      <c r="U825" s="80"/>
      <c r="V825" s="80"/>
      <c r="W825" s="80"/>
      <c r="X825" s="80"/>
      <c r="Y825" s="80"/>
      <c r="Z825" s="80"/>
    </row>
    <row r="826">
      <c r="A826" s="126"/>
      <c r="B826" s="126"/>
      <c r="C826" s="126"/>
      <c r="D826" s="126"/>
      <c r="E826" s="126"/>
      <c r="F826" s="126"/>
      <c r="G826" s="80"/>
      <c r="H826" s="80"/>
      <c r="I826" s="80"/>
      <c r="J826" s="80"/>
      <c r="K826" s="80"/>
      <c r="L826" s="80"/>
      <c r="M826" s="80"/>
      <c r="N826" s="80"/>
      <c r="O826" s="80"/>
      <c r="P826" s="80"/>
      <c r="Q826" s="80"/>
      <c r="R826" s="80"/>
      <c r="S826" s="80"/>
      <c r="T826" s="80"/>
      <c r="U826" s="80"/>
      <c r="V826" s="80"/>
      <c r="W826" s="80"/>
      <c r="X826" s="80"/>
      <c r="Y826" s="80"/>
      <c r="Z826" s="80"/>
    </row>
    <row r="827">
      <c r="A827" s="126"/>
      <c r="B827" s="126"/>
      <c r="C827" s="126"/>
      <c r="D827" s="126"/>
      <c r="E827" s="126"/>
      <c r="F827" s="126"/>
      <c r="G827" s="80"/>
      <c r="H827" s="80"/>
      <c r="I827" s="80"/>
      <c r="J827" s="80"/>
      <c r="K827" s="80"/>
      <c r="L827" s="80"/>
      <c r="M827" s="80"/>
      <c r="N827" s="80"/>
      <c r="O827" s="80"/>
      <c r="P827" s="80"/>
      <c r="Q827" s="80"/>
      <c r="R827" s="80"/>
      <c r="S827" s="80"/>
      <c r="T827" s="80"/>
      <c r="U827" s="80"/>
      <c r="V827" s="80"/>
      <c r="W827" s="80"/>
      <c r="X827" s="80"/>
      <c r="Y827" s="80"/>
      <c r="Z827" s="80"/>
    </row>
    <row r="828">
      <c r="A828" s="126"/>
      <c r="B828" s="126"/>
      <c r="C828" s="126"/>
      <c r="D828" s="126"/>
      <c r="E828" s="126"/>
      <c r="F828" s="126"/>
      <c r="G828" s="80"/>
      <c r="H828" s="80"/>
      <c r="I828" s="80"/>
      <c r="J828" s="80"/>
      <c r="K828" s="80"/>
      <c r="L828" s="80"/>
      <c r="M828" s="80"/>
      <c r="N828" s="80"/>
      <c r="O828" s="80"/>
      <c r="P828" s="80"/>
      <c r="Q828" s="80"/>
      <c r="R828" s="80"/>
      <c r="S828" s="80"/>
      <c r="T828" s="80"/>
      <c r="U828" s="80"/>
      <c r="V828" s="80"/>
      <c r="W828" s="80"/>
      <c r="X828" s="80"/>
      <c r="Y828" s="80"/>
      <c r="Z828" s="80"/>
    </row>
    <row r="829">
      <c r="A829" s="126"/>
      <c r="B829" s="126"/>
      <c r="C829" s="126"/>
      <c r="D829" s="126"/>
      <c r="E829" s="126"/>
      <c r="F829" s="126"/>
      <c r="G829" s="80"/>
      <c r="H829" s="80"/>
      <c r="I829" s="80"/>
      <c r="J829" s="80"/>
      <c r="K829" s="80"/>
      <c r="L829" s="80"/>
      <c r="M829" s="80"/>
      <c r="N829" s="80"/>
      <c r="O829" s="80"/>
      <c r="P829" s="80"/>
      <c r="Q829" s="80"/>
      <c r="R829" s="80"/>
      <c r="S829" s="80"/>
      <c r="T829" s="80"/>
      <c r="U829" s="80"/>
      <c r="V829" s="80"/>
      <c r="W829" s="80"/>
      <c r="X829" s="80"/>
      <c r="Y829" s="80"/>
      <c r="Z829" s="80"/>
    </row>
    <row r="830">
      <c r="A830" s="126"/>
      <c r="B830" s="126"/>
      <c r="C830" s="126"/>
      <c r="D830" s="126"/>
      <c r="E830" s="126"/>
      <c r="F830" s="126"/>
      <c r="G830" s="80"/>
      <c r="H830" s="80"/>
      <c r="I830" s="80"/>
      <c r="J830" s="80"/>
      <c r="K830" s="80"/>
      <c r="L830" s="80"/>
      <c r="M830" s="80"/>
      <c r="N830" s="80"/>
      <c r="O830" s="80"/>
      <c r="P830" s="80"/>
      <c r="Q830" s="80"/>
      <c r="R830" s="80"/>
      <c r="S830" s="80"/>
      <c r="T830" s="80"/>
      <c r="U830" s="80"/>
      <c r="V830" s="80"/>
      <c r="W830" s="80"/>
      <c r="X830" s="80"/>
      <c r="Y830" s="80"/>
      <c r="Z830" s="80"/>
    </row>
    <row r="831">
      <c r="A831" s="126"/>
      <c r="B831" s="126"/>
      <c r="C831" s="126"/>
      <c r="D831" s="126"/>
      <c r="E831" s="126"/>
      <c r="F831" s="126"/>
      <c r="G831" s="80"/>
      <c r="H831" s="80"/>
      <c r="I831" s="80"/>
      <c r="J831" s="80"/>
      <c r="K831" s="80"/>
      <c r="L831" s="80"/>
      <c r="M831" s="80"/>
      <c r="N831" s="80"/>
      <c r="O831" s="80"/>
      <c r="P831" s="80"/>
      <c r="Q831" s="80"/>
      <c r="R831" s="80"/>
      <c r="S831" s="80"/>
      <c r="T831" s="80"/>
      <c r="U831" s="80"/>
      <c r="V831" s="80"/>
      <c r="W831" s="80"/>
      <c r="X831" s="80"/>
      <c r="Y831" s="80"/>
      <c r="Z831" s="80"/>
    </row>
    <row r="832">
      <c r="A832" s="126"/>
      <c r="B832" s="126"/>
      <c r="C832" s="126"/>
      <c r="D832" s="126"/>
      <c r="E832" s="126"/>
      <c r="F832" s="126"/>
      <c r="G832" s="80"/>
      <c r="H832" s="80"/>
      <c r="I832" s="80"/>
      <c r="J832" s="80"/>
      <c r="K832" s="80"/>
      <c r="L832" s="80"/>
      <c r="M832" s="80"/>
      <c r="N832" s="80"/>
      <c r="O832" s="80"/>
      <c r="P832" s="80"/>
      <c r="Q832" s="80"/>
      <c r="R832" s="80"/>
      <c r="S832" s="80"/>
      <c r="T832" s="80"/>
      <c r="U832" s="80"/>
      <c r="V832" s="80"/>
      <c r="W832" s="80"/>
      <c r="X832" s="80"/>
      <c r="Y832" s="80"/>
      <c r="Z832" s="80"/>
    </row>
    <row r="833">
      <c r="A833" s="126"/>
      <c r="B833" s="126"/>
      <c r="C833" s="126"/>
      <c r="D833" s="126"/>
      <c r="E833" s="126"/>
      <c r="F833" s="126"/>
      <c r="G833" s="80"/>
      <c r="H833" s="80"/>
      <c r="I833" s="80"/>
      <c r="J833" s="80"/>
      <c r="K833" s="80"/>
      <c r="L833" s="80"/>
      <c r="M833" s="80"/>
      <c r="N833" s="80"/>
      <c r="O833" s="80"/>
      <c r="P833" s="80"/>
      <c r="Q833" s="80"/>
      <c r="R833" s="80"/>
      <c r="S833" s="80"/>
      <c r="T833" s="80"/>
      <c r="U833" s="80"/>
      <c r="V833" s="80"/>
      <c r="W833" s="80"/>
      <c r="X833" s="80"/>
      <c r="Y833" s="80"/>
      <c r="Z833" s="80"/>
    </row>
    <row r="834">
      <c r="A834" s="126"/>
      <c r="B834" s="126"/>
      <c r="C834" s="126"/>
      <c r="D834" s="126"/>
      <c r="E834" s="126"/>
      <c r="F834" s="126"/>
      <c r="G834" s="80"/>
      <c r="H834" s="80"/>
      <c r="I834" s="80"/>
      <c r="J834" s="80"/>
      <c r="K834" s="80"/>
      <c r="L834" s="80"/>
      <c r="M834" s="80"/>
      <c r="N834" s="80"/>
      <c r="O834" s="80"/>
      <c r="P834" s="80"/>
      <c r="Q834" s="80"/>
      <c r="R834" s="80"/>
      <c r="S834" s="80"/>
      <c r="T834" s="80"/>
      <c r="U834" s="80"/>
      <c r="V834" s="80"/>
      <c r="W834" s="80"/>
      <c r="X834" s="80"/>
      <c r="Y834" s="80"/>
      <c r="Z834" s="80"/>
    </row>
    <row r="835">
      <c r="A835" s="126"/>
      <c r="B835" s="126"/>
      <c r="C835" s="126"/>
      <c r="D835" s="126"/>
      <c r="E835" s="126"/>
      <c r="F835" s="126"/>
      <c r="G835" s="80"/>
      <c r="H835" s="80"/>
      <c r="I835" s="80"/>
      <c r="J835" s="80"/>
      <c r="K835" s="80"/>
      <c r="L835" s="80"/>
      <c r="M835" s="80"/>
      <c r="N835" s="80"/>
      <c r="O835" s="80"/>
      <c r="P835" s="80"/>
      <c r="Q835" s="80"/>
      <c r="R835" s="80"/>
      <c r="S835" s="80"/>
      <c r="T835" s="80"/>
      <c r="U835" s="80"/>
      <c r="V835" s="80"/>
      <c r="W835" s="80"/>
      <c r="X835" s="80"/>
      <c r="Y835" s="80"/>
      <c r="Z835" s="80"/>
    </row>
    <row r="836">
      <c r="A836" s="126"/>
      <c r="B836" s="126"/>
      <c r="C836" s="126"/>
      <c r="D836" s="126"/>
      <c r="E836" s="126"/>
      <c r="F836" s="126"/>
      <c r="G836" s="80"/>
      <c r="H836" s="80"/>
      <c r="I836" s="80"/>
      <c r="J836" s="80"/>
      <c r="K836" s="80"/>
      <c r="L836" s="80"/>
      <c r="M836" s="80"/>
      <c r="N836" s="80"/>
      <c r="O836" s="80"/>
      <c r="P836" s="80"/>
      <c r="Q836" s="80"/>
      <c r="R836" s="80"/>
      <c r="S836" s="80"/>
      <c r="T836" s="80"/>
      <c r="U836" s="80"/>
      <c r="V836" s="80"/>
      <c r="W836" s="80"/>
      <c r="X836" s="80"/>
      <c r="Y836" s="80"/>
      <c r="Z836" s="80"/>
    </row>
    <row r="837">
      <c r="A837" s="126"/>
      <c r="B837" s="126"/>
      <c r="C837" s="126"/>
      <c r="D837" s="126"/>
      <c r="E837" s="126"/>
      <c r="F837" s="126"/>
      <c r="G837" s="80"/>
      <c r="H837" s="80"/>
      <c r="I837" s="80"/>
      <c r="J837" s="80"/>
      <c r="K837" s="80"/>
      <c r="L837" s="80"/>
      <c r="M837" s="80"/>
      <c r="N837" s="80"/>
      <c r="O837" s="80"/>
      <c r="P837" s="80"/>
      <c r="Q837" s="80"/>
      <c r="R837" s="80"/>
      <c r="S837" s="80"/>
      <c r="T837" s="80"/>
      <c r="U837" s="80"/>
      <c r="V837" s="80"/>
      <c r="W837" s="80"/>
      <c r="X837" s="80"/>
      <c r="Y837" s="80"/>
      <c r="Z837" s="80"/>
    </row>
    <row r="838">
      <c r="A838" s="126"/>
      <c r="B838" s="126"/>
      <c r="C838" s="126"/>
      <c r="D838" s="126"/>
      <c r="E838" s="126"/>
      <c r="F838" s="126"/>
      <c r="G838" s="80"/>
      <c r="H838" s="80"/>
      <c r="I838" s="80"/>
      <c r="J838" s="80"/>
      <c r="K838" s="80"/>
      <c r="L838" s="80"/>
      <c r="M838" s="80"/>
      <c r="N838" s="80"/>
      <c r="O838" s="80"/>
      <c r="P838" s="80"/>
      <c r="Q838" s="80"/>
      <c r="R838" s="80"/>
      <c r="S838" s="80"/>
      <c r="T838" s="80"/>
      <c r="U838" s="80"/>
      <c r="V838" s="80"/>
      <c r="W838" s="80"/>
      <c r="X838" s="80"/>
      <c r="Y838" s="80"/>
      <c r="Z838" s="80"/>
    </row>
    <row r="839">
      <c r="A839" s="126"/>
      <c r="B839" s="126"/>
      <c r="C839" s="126"/>
      <c r="D839" s="126"/>
      <c r="E839" s="126"/>
      <c r="F839" s="126"/>
      <c r="G839" s="80"/>
      <c r="H839" s="80"/>
      <c r="I839" s="80"/>
      <c r="J839" s="80"/>
      <c r="K839" s="80"/>
      <c r="L839" s="80"/>
      <c r="M839" s="80"/>
      <c r="N839" s="80"/>
      <c r="O839" s="80"/>
      <c r="P839" s="80"/>
      <c r="Q839" s="80"/>
      <c r="R839" s="80"/>
      <c r="S839" s="80"/>
      <c r="T839" s="80"/>
      <c r="U839" s="80"/>
      <c r="V839" s="80"/>
      <c r="W839" s="80"/>
      <c r="X839" s="80"/>
      <c r="Y839" s="80"/>
      <c r="Z839" s="80"/>
    </row>
    <row r="840">
      <c r="A840" s="126"/>
      <c r="B840" s="126"/>
      <c r="C840" s="126"/>
      <c r="D840" s="126"/>
      <c r="E840" s="126"/>
      <c r="F840" s="126"/>
      <c r="G840" s="80"/>
      <c r="H840" s="80"/>
      <c r="I840" s="80"/>
      <c r="J840" s="80"/>
      <c r="K840" s="80"/>
      <c r="L840" s="80"/>
      <c r="M840" s="80"/>
      <c r="N840" s="80"/>
      <c r="O840" s="80"/>
      <c r="P840" s="80"/>
      <c r="Q840" s="80"/>
      <c r="R840" s="80"/>
      <c r="S840" s="80"/>
      <c r="T840" s="80"/>
      <c r="U840" s="80"/>
      <c r="V840" s="80"/>
      <c r="W840" s="80"/>
      <c r="X840" s="80"/>
      <c r="Y840" s="80"/>
      <c r="Z840" s="80"/>
    </row>
    <row r="841">
      <c r="A841" s="126"/>
      <c r="B841" s="126"/>
      <c r="C841" s="126"/>
      <c r="D841" s="126"/>
      <c r="E841" s="126"/>
      <c r="F841" s="126"/>
      <c r="G841" s="80"/>
      <c r="H841" s="80"/>
      <c r="I841" s="80"/>
      <c r="J841" s="80"/>
      <c r="K841" s="80"/>
      <c r="L841" s="80"/>
      <c r="M841" s="80"/>
      <c r="N841" s="80"/>
      <c r="O841" s="80"/>
      <c r="P841" s="80"/>
      <c r="Q841" s="80"/>
      <c r="R841" s="80"/>
      <c r="S841" s="80"/>
      <c r="T841" s="80"/>
      <c r="U841" s="80"/>
      <c r="V841" s="80"/>
      <c r="W841" s="80"/>
      <c r="X841" s="80"/>
      <c r="Y841" s="80"/>
      <c r="Z841" s="80"/>
    </row>
    <row r="842">
      <c r="A842" s="126"/>
      <c r="B842" s="126"/>
      <c r="C842" s="126"/>
      <c r="D842" s="126"/>
      <c r="E842" s="126"/>
      <c r="F842" s="126"/>
      <c r="G842" s="80"/>
      <c r="H842" s="80"/>
      <c r="I842" s="80"/>
      <c r="J842" s="80"/>
      <c r="K842" s="80"/>
      <c r="L842" s="80"/>
      <c r="M842" s="80"/>
      <c r="N842" s="80"/>
      <c r="O842" s="80"/>
      <c r="P842" s="80"/>
      <c r="Q842" s="80"/>
      <c r="R842" s="80"/>
      <c r="S842" s="80"/>
      <c r="T842" s="80"/>
      <c r="U842" s="80"/>
      <c r="V842" s="80"/>
      <c r="W842" s="80"/>
      <c r="X842" s="80"/>
      <c r="Y842" s="80"/>
      <c r="Z842" s="80"/>
    </row>
    <row r="843">
      <c r="A843" s="126"/>
      <c r="B843" s="126"/>
      <c r="C843" s="126"/>
      <c r="D843" s="126"/>
      <c r="E843" s="126"/>
      <c r="F843" s="126"/>
      <c r="G843" s="80"/>
      <c r="H843" s="80"/>
      <c r="I843" s="80"/>
      <c r="J843" s="80"/>
      <c r="K843" s="80"/>
      <c r="L843" s="80"/>
      <c r="M843" s="80"/>
      <c r="N843" s="80"/>
      <c r="O843" s="80"/>
      <c r="P843" s="80"/>
      <c r="Q843" s="80"/>
      <c r="R843" s="80"/>
      <c r="S843" s="80"/>
      <c r="T843" s="80"/>
      <c r="U843" s="80"/>
      <c r="V843" s="80"/>
      <c r="W843" s="80"/>
      <c r="X843" s="80"/>
      <c r="Y843" s="80"/>
      <c r="Z843" s="80"/>
    </row>
    <row r="844">
      <c r="A844" s="126"/>
      <c r="B844" s="126"/>
      <c r="C844" s="126"/>
      <c r="D844" s="126"/>
      <c r="E844" s="126"/>
      <c r="F844" s="126"/>
      <c r="G844" s="80"/>
      <c r="H844" s="80"/>
      <c r="I844" s="80"/>
      <c r="J844" s="80"/>
      <c r="K844" s="80"/>
      <c r="L844" s="80"/>
      <c r="M844" s="80"/>
      <c r="N844" s="80"/>
      <c r="O844" s="80"/>
      <c r="P844" s="80"/>
      <c r="Q844" s="80"/>
      <c r="R844" s="80"/>
      <c r="S844" s="80"/>
      <c r="T844" s="80"/>
      <c r="U844" s="80"/>
      <c r="V844" s="80"/>
      <c r="W844" s="80"/>
      <c r="X844" s="80"/>
      <c r="Y844" s="80"/>
      <c r="Z844" s="80"/>
    </row>
    <row r="845">
      <c r="A845" s="126"/>
      <c r="B845" s="126"/>
      <c r="C845" s="126"/>
      <c r="D845" s="126"/>
      <c r="E845" s="126"/>
      <c r="F845" s="126"/>
      <c r="G845" s="80"/>
      <c r="H845" s="80"/>
      <c r="I845" s="80"/>
      <c r="J845" s="80"/>
      <c r="K845" s="80"/>
      <c r="L845" s="80"/>
      <c r="M845" s="80"/>
      <c r="N845" s="80"/>
      <c r="O845" s="80"/>
      <c r="P845" s="80"/>
      <c r="Q845" s="80"/>
      <c r="R845" s="80"/>
      <c r="S845" s="80"/>
      <c r="T845" s="80"/>
      <c r="U845" s="80"/>
      <c r="V845" s="80"/>
      <c r="W845" s="80"/>
      <c r="X845" s="80"/>
      <c r="Y845" s="80"/>
      <c r="Z845" s="80"/>
    </row>
    <row r="846">
      <c r="A846" s="126"/>
      <c r="B846" s="126"/>
      <c r="C846" s="126"/>
      <c r="D846" s="126"/>
      <c r="E846" s="126"/>
      <c r="F846" s="126"/>
      <c r="G846" s="80"/>
      <c r="H846" s="80"/>
      <c r="I846" s="80"/>
      <c r="J846" s="80"/>
      <c r="K846" s="80"/>
      <c r="L846" s="80"/>
      <c r="M846" s="80"/>
      <c r="N846" s="80"/>
      <c r="O846" s="80"/>
      <c r="P846" s="80"/>
      <c r="Q846" s="80"/>
      <c r="R846" s="80"/>
      <c r="S846" s="80"/>
      <c r="T846" s="80"/>
      <c r="U846" s="80"/>
      <c r="V846" s="80"/>
      <c r="W846" s="80"/>
      <c r="X846" s="80"/>
      <c r="Y846" s="80"/>
      <c r="Z846" s="80"/>
    </row>
    <row r="847">
      <c r="A847" s="126"/>
      <c r="B847" s="126"/>
      <c r="C847" s="126"/>
      <c r="D847" s="126"/>
      <c r="E847" s="126"/>
      <c r="F847" s="126"/>
      <c r="G847" s="80"/>
      <c r="H847" s="80"/>
      <c r="I847" s="80"/>
      <c r="J847" s="80"/>
      <c r="K847" s="80"/>
      <c r="L847" s="80"/>
      <c r="M847" s="80"/>
      <c r="N847" s="80"/>
      <c r="O847" s="80"/>
      <c r="P847" s="80"/>
      <c r="Q847" s="80"/>
      <c r="R847" s="80"/>
      <c r="S847" s="80"/>
      <c r="T847" s="80"/>
      <c r="U847" s="80"/>
      <c r="V847" s="80"/>
      <c r="W847" s="80"/>
      <c r="X847" s="80"/>
      <c r="Y847" s="80"/>
      <c r="Z847" s="80"/>
    </row>
    <row r="848">
      <c r="A848" s="126"/>
      <c r="B848" s="126"/>
      <c r="C848" s="126"/>
      <c r="D848" s="126"/>
      <c r="E848" s="126"/>
      <c r="F848" s="126"/>
      <c r="G848" s="80"/>
      <c r="H848" s="80"/>
      <c r="I848" s="80"/>
      <c r="J848" s="80"/>
      <c r="K848" s="80"/>
      <c r="L848" s="80"/>
      <c r="M848" s="80"/>
      <c r="N848" s="80"/>
      <c r="O848" s="80"/>
      <c r="P848" s="80"/>
      <c r="Q848" s="80"/>
      <c r="R848" s="80"/>
      <c r="S848" s="80"/>
      <c r="T848" s="80"/>
      <c r="U848" s="80"/>
      <c r="V848" s="80"/>
      <c r="W848" s="80"/>
      <c r="X848" s="80"/>
      <c r="Y848" s="80"/>
      <c r="Z848" s="80"/>
    </row>
    <row r="849">
      <c r="A849" s="126"/>
      <c r="B849" s="126"/>
      <c r="C849" s="126"/>
      <c r="D849" s="126"/>
      <c r="E849" s="126"/>
      <c r="F849" s="126"/>
      <c r="G849" s="80"/>
      <c r="H849" s="80"/>
      <c r="I849" s="80"/>
      <c r="J849" s="80"/>
      <c r="K849" s="80"/>
      <c r="L849" s="80"/>
      <c r="M849" s="80"/>
      <c r="N849" s="80"/>
      <c r="O849" s="80"/>
      <c r="P849" s="80"/>
      <c r="Q849" s="80"/>
      <c r="R849" s="80"/>
      <c r="S849" s="80"/>
      <c r="T849" s="80"/>
      <c r="U849" s="80"/>
      <c r="V849" s="80"/>
      <c r="W849" s="80"/>
      <c r="X849" s="80"/>
      <c r="Y849" s="80"/>
      <c r="Z849" s="80"/>
    </row>
    <row r="850">
      <c r="A850" s="126"/>
      <c r="B850" s="126"/>
      <c r="C850" s="126"/>
      <c r="D850" s="126"/>
      <c r="E850" s="126"/>
      <c r="F850" s="126"/>
      <c r="G850" s="80"/>
      <c r="H850" s="80"/>
      <c r="I850" s="80"/>
      <c r="J850" s="80"/>
      <c r="K850" s="80"/>
      <c r="L850" s="80"/>
      <c r="M850" s="80"/>
      <c r="N850" s="80"/>
      <c r="O850" s="80"/>
      <c r="P850" s="80"/>
      <c r="Q850" s="80"/>
      <c r="R850" s="80"/>
      <c r="S850" s="80"/>
      <c r="T850" s="80"/>
      <c r="U850" s="80"/>
      <c r="V850" s="80"/>
      <c r="W850" s="80"/>
      <c r="X850" s="80"/>
      <c r="Y850" s="80"/>
      <c r="Z850" s="80"/>
    </row>
    <row r="851">
      <c r="A851" s="126"/>
      <c r="B851" s="126"/>
      <c r="C851" s="126"/>
      <c r="D851" s="126"/>
      <c r="E851" s="126"/>
      <c r="F851" s="126"/>
      <c r="G851" s="80"/>
      <c r="H851" s="80"/>
      <c r="I851" s="80"/>
      <c r="J851" s="80"/>
      <c r="K851" s="80"/>
      <c r="L851" s="80"/>
      <c r="M851" s="80"/>
      <c r="N851" s="80"/>
      <c r="O851" s="80"/>
      <c r="P851" s="80"/>
      <c r="Q851" s="80"/>
      <c r="R851" s="80"/>
      <c r="S851" s="80"/>
      <c r="T851" s="80"/>
      <c r="U851" s="80"/>
      <c r="V851" s="80"/>
      <c r="W851" s="80"/>
      <c r="X851" s="80"/>
      <c r="Y851" s="80"/>
      <c r="Z851" s="80"/>
    </row>
    <row r="852">
      <c r="A852" s="126"/>
      <c r="B852" s="126"/>
      <c r="C852" s="126"/>
      <c r="D852" s="126"/>
      <c r="E852" s="126"/>
      <c r="F852" s="126"/>
      <c r="G852" s="80"/>
      <c r="H852" s="80"/>
      <c r="I852" s="80"/>
      <c r="J852" s="80"/>
      <c r="K852" s="80"/>
      <c r="L852" s="80"/>
      <c r="M852" s="80"/>
      <c r="N852" s="80"/>
      <c r="O852" s="80"/>
      <c r="P852" s="80"/>
      <c r="Q852" s="80"/>
      <c r="R852" s="80"/>
      <c r="S852" s="80"/>
      <c r="T852" s="80"/>
      <c r="U852" s="80"/>
      <c r="V852" s="80"/>
      <c r="W852" s="80"/>
      <c r="X852" s="80"/>
      <c r="Y852" s="80"/>
      <c r="Z852" s="80"/>
    </row>
    <row r="853">
      <c r="A853" s="126"/>
      <c r="B853" s="126"/>
      <c r="C853" s="126"/>
      <c r="D853" s="126"/>
      <c r="E853" s="126"/>
      <c r="F853" s="126"/>
      <c r="G853" s="80"/>
      <c r="H853" s="80"/>
      <c r="I853" s="80"/>
      <c r="J853" s="80"/>
      <c r="K853" s="80"/>
      <c r="L853" s="80"/>
      <c r="M853" s="80"/>
      <c r="N853" s="80"/>
      <c r="O853" s="80"/>
      <c r="P853" s="80"/>
      <c r="Q853" s="80"/>
      <c r="R853" s="80"/>
      <c r="S853" s="80"/>
      <c r="T853" s="80"/>
      <c r="U853" s="80"/>
      <c r="V853" s="80"/>
      <c r="W853" s="80"/>
      <c r="X853" s="80"/>
      <c r="Y853" s="80"/>
      <c r="Z853" s="80"/>
    </row>
    <row r="854">
      <c r="A854" s="126"/>
      <c r="B854" s="126"/>
      <c r="C854" s="126"/>
      <c r="D854" s="126"/>
      <c r="E854" s="126"/>
      <c r="F854" s="126"/>
      <c r="G854" s="80"/>
      <c r="H854" s="80"/>
      <c r="I854" s="80"/>
      <c r="J854" s="80"/>
      <c r="K854" s="80"/>
      <c r="L854" s="80"/>
      <c r="M854" s="80"/>
      <c r="N854" s="80"/>
      <c r="O854" s="80"/>
      <c r="P854" s="80"/>
      <c r="Q854" s="80"/>
      <c r="R854" s="80"/>
      <c r="S854" s="80"/>
      <c r="T854" s="80"/>
      <c r="U854" s="80"/>
      <c r="V854" s="80"/>
      <c r="W854" s="80"/>
      <c r="X854" s="80"/>
      <c r="Y854" s="80"/>
      <c r="Z854" s="80"/>
    </row>
    <row r="855">
      <c r="A855" s="126"/>
      <c r="B855" s="126"/>
      <c r="C855" s="126"/>
      <c r="D855" s="126"/>
      <c r="E855" s="126"/>
      <c r="F855" s="126"/>
      <c r="G855" s="80"/>
      <c r="H855" s="80"/>
      <c r="I855" s="80"/>
      <c r="J855" s="80"/>
      <c r="K855" s="80"/>
      <c r="L855" s="80"/>
      <c r="M855" s="80"/>
      <c r="N855" s="80"/>
      <c r="O855" s="80"/>
      <c r="P855" s="80"/>
      <c r="Q855" s="80"/>
      <c r="R855" s="80"/>
      <c r="S855" s="80"/>
      <c r="T855" s="80"/>
      <c r="U855" s="80"/>
      <c r="V855" s="80"/>
      <c r="W855" s="80"/>
      <c r="X855" s="80"/>
      <c r="Y855" s="80"/>
      <c r="Z855" s="80"/>
    </row>
    <row r="856">
      <c r="A856" s="126"/>
      <c r="B856" s="126"/>
      <c r="C856" s="126"/>
      <c r="D856" s="126"/>
      <c r="E856" s="126"/>
      <c r="F856" s="126"/>
      <c r="G856" s="80"/>
      <c r="H856" s="80"/>
      <c r="I856" s="80"/>
      <c r="J856" s="80"/>
      <c r="K856" s="80"/>
      <c r="L856" s="80"/>
      <c r="M856" s="80"/>
      <c r="N856" s="80"/>
      <c r="O856" s="80"/>
      <c r="P856" s="80"/>
      <c r="Q856" s="80"/>
      <c r="R856" s="80"/>
      <c r="S856" s="80"/>
      <c r="T856" s="80"/>
      <c r="U856" s="80"/>
      <c r="V856" s="80"/>
      <c r="W856" s="80"/>
      <c r="X856" s="80"/>
      <c r="Y856" s="80"/>
      <c r="Z856" s="80"/>
    </row>
    <row r="857">
      <c r="A857" s="126"/>
      <c r="B857" s="126"/>
      <c r="C857" s="126"/>
      <c r="D857" s="126"/>
      <c r="E857" s="126"/>
      <c r="F857" s="126"/>
      <c r="G857" s="80"/>
      <c r="H857" s="80"/>
      <c r="I857" s="80"/>
      <c r="J857" s="80"/>
      <c r="K857" s="80"/>
      <c r="L857" s="80"/>
      <c r="M857" s="80"/>
      <c r="N857" s="80"/>
      <c r="O857" s="80"/>
      <c r="P857" s="80"/>
      <c r="Q857" s="80"/>
      <c r="R857" s="80"/>
      <c r="S857" s="80"/>
      <c r="T857" s="80"/>
      <c r="U857" s="80"/>
      <c r="V857" s="80"/>
      <c r="W857" s="80"/>
      <c r="X857" s="80"/>
      <c r="Y857" s="80"/>
      <c r="Z857" s="80"/>
    </row>
    <row r="858">
      <c r="A858" s="126"/>
      <c r="B858" s="126"/>
      <c r="C858" s="126"/>
      <c r="D858" s="126"/>
      <c r="E858" s="126"/>
      <c r="F858" s="126"/>
      <c r="G858" s="80"/>
      <c r="H858" s="80"/>
      <c r="I858" s="80"/>
      <c r="J858" s="80"/>
      <c r="K858" s="80"/>
      <c r="L858" s="80"/>
      <c r="M858" s="80"/>
      <c r="N858" s="80"/>
      <c r="O858" s="80"/>
      <c r="P858" s="80"/>
      <c r="Q858" s="80"/>
      <c r="R858" s="80"/>
      <c r="S858" s="80"/>
      <c r="T858" s="80"/>
      <c r="U858" s="80"/>
      <c r="V858" s="80"/>
      <c r="W858" s="80"/>
      <c r="X858" s="80"/>
      <c r="Y858" s="80"/>
      <c r="Z858" s="80"/>
    </row>
    <row r="859">
      <c r="A859" s="126"/>
      <c r="B859" s="126"/>
      <c r="C859" s="126"/>
      <c r="D859" s="126"/>
      <c r="E859" s="126"/>
      <c r="F859" s="126"/>
      <c r="G859" s="80"/>
      <c r="H859" s="80"/>
      <c r="I859" s="80"/>
      <c r="J859" s="80"/>
      <c r="K859" s="80"/>
      <c r="L859" s="80"/>
      <c r="M859" s="80"/>
      <c r="N859" s="80"/>
      <c r="O859" s="80"/>
      <c r="P859" s="80"/>
      <c r="Q859" s="80"/>
      <c r="R859" s="80"/>
      <c r="S859" s="80"/>
      <c r="T859" s="80"/>
      <c r="U859" s="80"/>
      <c r="V859" s="80"/>
      <c r="W859" s="80"/>
      <c r="X859" s="80"/>
      <c r="Y859" s="80"/>
      <c r="Z859" s="80"/>
    </row>
    <row r="860">
      <c r="A860" s="126"/>
      <c r="B860" s="126"/>
      <c r="C860" s="126"/>
      <c r="D860" s="126"/>
      <c r="E860" s="126"/>
      <c r="F860" s="126"/>
      <c r="G860" s="80"/>
      <c r="H860" s="80"/>
      <c r="I860" s="80"/>
      <c r="J860" s="80"/>
      <c r="K860" s="80"/>
      <c r="L860" s="80"/>
      <c r="M860" s="80"/>
      <c r="N860" s="80"/>
      <c r="O860" s="80"/>
      <c r="P860" s="80"/>
      <c r="Q860" s="80"/>
      <c r="R860" s="80"/>
      <c r="S860" s="80"/>
      <c r="T860" s="80"/>
      <c r="U860" s="80"/>
      <c r="V860" s="80"/>
      <c r="W860" s="80"/>
      <c r="X860" s="80"/>
      <c r="Y860" s="80"/>
      <c r="Z860" s="80"/>
    </row>
    <row r="861">
      <c r="A861" s="126"/>
      <c r="B861" s="126"/>
      <c r="C861" s="126"/>
      <c r="D861" s="126"/>
      <c r="E861" s="126"/>
      <c r="F861" s="126"/>
      <c r="G861" s="80"/>
      <c r="H861" s="80"/>
      <c r="I861" s="80"/>
      <c r="J861" s="80"/>
      <c r="K861" s="80"/>
      <c r="L861" s="80"/>
      <c r="M861" s="80"/>
      <c r="N861" s="80"/>
      <c r="O861" s="80"/>
      <c r="P861" s="80"/>
      <c r="Q861" s="80"/>
      <c r="R861" s="80"/>
      <c r="S861" s="80"/>
      <c r="T861" s="80"/>
      <c r="U861" s="80"/>
      <c r="V861" s="80"/>
      <c r="W861" s="80"/>
      <c r="X861" s="80"/>
      <c r="Y861" s="80"/>
      <c r="Z861" s="80"/>
    </row>
    <row r="862">
      <c r="A862" s="126"/>
      <c r="B862" s="126"/>
      <c r="C862" s="126"/>
      <c r="D862" s="126"/>
      <c r="E862" s="126"/>
      <c r="F862" s="126"/>
      <c r="G862" s="80"/>
      <c r="H862" s="80"/>
      <c r="I862" s="80"/>
      <c r="J862" s="80"/>
      <c r="K862" s="80"/>
      <c r="L862" s="80"/>
      <c r="M862" s="80"/>
      <c r="N862" s="80"/>
      <c r="O862" s="80"/>
      <c r="P862" s="80"/>
      <c r="Q862" s="80"/>
      <c r="R862" s="80"/>
      <c r="S862" s="80"/>
      <c r="T862" s="80"/>
      <c r="U862" s="80"/>
      <c r="V862" s="80"/>
      <c r="W862" s="80"/>
      <c r="X862" s="80"/>
      <c r="Y862" s="80"/>
      <c r="Z862" s="80"/>
    </row>
    <row r="863">
      <c r="A863" s="126"/>
      <c r="B863" s="126"/>
      <c r="C863" s="126"/>
      <c r="D863" s="126"/>
      <c r="E863" s="126"/>
      <c r="F863" s="126"/>
      <c r="G863" s="80"/>
      <c r="H863" s="80"/>
      <c r="I863" s="80"/>
      <c r="J863" s="80"/>
      <c r="K863" s="80"/>
      <c r="L863" s="80"/>
      <c r="M863" s="80"/>
      <c r="N863" s="80"/>
      <c r="O863" s="80"/>
      <c r="P863" s="80"/>
      <c r="Q863" s="80"/>
      <c r="R863" s="80"/>
      <c r="S863" s="80"/>
      <c r="T863" s="80"/>
      <c r="U863" s="80"/>
      <c r="V863" s="80"/>
      <c r="W863" s="80"/>
      <c r="X863" s="80"/>
      <c r="Y863" s="80"/>
      <c r="Z863" s="80"/>
    </row>
    <row r="864">
      <c r="A864" s="126"/>
      <c r="B864" s="126"/>
      <c r="C864" s="126"/>
      <c r="D864" s="126"/>
      <c r="E864" s="126"/>
      <c r="F864" s="126"/>
      <c r="G864" s="80"/>
      <c r="H864" s="80"/>
      <c r="I864" s="80"/>
      <c r="J864" s="80"/>
      <c r="K864" s="80"/>
      <c r="L864" s="80"/>
      <c r="M864" s="80"/>
      <c r="N864" s="80"/>
      <c r="O864" s="80"/>
      <c r="P864" s="80"/>
      <c r="Q864" s="80"/>
      <c r="R864" s="80"/>
      <c r="S864" s="80"/>
      <c r="T864" s="80"/>
      <c r="U864" s="80"/>
      <c r="V864" s="80"/>
      <c r="W864" s="80"/>
      <c r="X864" s="80"/>
      <c r="Y864" s="80"/>
      <c r="Z864" s="80"/>
    </row>
    <row r="865">
      <c r="A865" s="126"/>
      <c r="B865" s="126"/>
      <c r="C865" s="126"/>
      <c r="D865" s="126"/>
      <c r="E865" s="126"/>
      <c r="F865" s="126"/>
      <c r="G865" s="80"/>
      <c r="H865" s="80"/>
      <c r="I865" s="80"/>
      <c r="J865" s="80"/>
      <c r="K865" s="80"/>
      <c r="L865" s="80"/>
      <c r="M865" s="80"/>
      <c r="N865" s="80"/>
      <c r="O865" s="80"/>
      <c r="P865" s="80"/>
      <c r="Q865" s="80"/>
      <c r="R865" s="80"/>
      <c r="S865" s="80"/>
      <c r="T865" s="80"/>
      <c r="U865" s="80"/>
      <c r="V865" s="80"/>
      <c r="W865" s="80"/>
      <c r="X865" s="80"/>
      <c r="Y865" s="80"/>
      <c r="Z865" s="80"/>
    </row>
    <row r="866">
      <c r="A866" s="126"/>
      <c r="B866" s="126"/>
      <c r="C866" s="126"/>
      <c r="D866" s="126"/>
      <c r="E866" s="126"/>
      <c r="F866" s="126"/>
      <c r="G866" s="80"/>
      <c r="H866" s="80"/>
      <c r="I866" s="80"/>
      <c r="J866" s="80"/>
      <c r="K866" s="80"/>
      <c r="L866" s="80"/>
      <c r="M866" s="80"/>
      <c r="N866" s="80"/>
      <c r="O866" s="80"/>
      <c r="P866" s="80"/>
      <c r="Q866" s="80"/>
      <c r="R866" s="80"/>
      <c r="S866" s="80"/>
      <c r="T866" s="80"/>
      <c r="U866" s="80"/>
      <c r="V866" s="80"/>
      <c r="W866" s="80"/>
      <c r="X866" s="80"/>
      <c r="Y866" s="80"/>
      <c r="Z866" s="80"/>
    </row>
    <row r="867">
      <c r="A867" s="126"/>
      <c r="B867" s="126"/>
      <c r="C867" s="126"/>
      <c r="D867" s="126"/>
      <c r="E867" s="126"/>
      <c r="F867" s="126"/>
      <c r="G867" s="80"/>
      <c r="H867" s="80"/>
      <c r="I867" s="80"/>
      <c r="J867" s="80"/>
      <c r="K867" s="80"/>
      <c r="L867" s="80"/>
      <c r="M867" s="80"/>
      <c r="N867" s="80"/>
      <c r="O867" s="80"/>
      <c r="P867" s="80"/>
      <c r="Q867" s="80"/>
      <c r="R867" s="80"/>
      <c r="S867" s="80"/>
      <c r="T867" s="80"/>
      <c r="U867" s="80"/>
      <c r="V867" s="80"/>
      <c r="W867" s="80"/>
      <c r="X867" s="80"/>
      <c r="Y867" s="80"/>
      <c r="Z867" s="80"/>
    </row>
    <row r="868">
      <c r="A868" s="126"/>
      <c r="B868" s="126"/>
      <c r="C868" s="126"/>
      <c r="D868" s="126"/>
      <c r="E868" s="126"/>
      <c r="F868" s="126"/>
      <c r="G868" s="80"/>
      <c r="H868" s="80"/>
      <c r="I868" s="80"/>
      <c r="J868" s="80"/>
      <c r="K868" s="80"/>
      <c r="L868" s="80"/>
      <c r="M868" s="80"/>
      <c r="N868" s="80"/>
      <c r="O868" s="80"/>
      <c r="P868" s="80"/>
      <c r="Q868" s="80"/>
      <c r="R868" s="80"/>
      <c r="S868" s="80"/>
      <c r="T868" s="80"/>
      <c r="U868" s="80"/>
      <c r="V868" s="80"/>
      <c r="W868" s="80"/>
      <c r="X868" s="80"/>
      <c r="Y868" s="80"/>
      <c r="Z868" s="80"/>
    </row>
    <row r="869">
      <c r="A869" s="126"/>
      <c r="B869" s="126"/>
      <c r="C869" s="126"/>
      <c r="D869" s="126"/>
      <c r="E869" s="126"/>
      <c r="F869" s="126"/>
      <c r="G869" s="80"/>
      <c r="H869" s="80"/>
      <c r="I869" s="80"/>
      <c r="J869" s="80"/>
      <c r="K869" s="80"/>
      <c r="L869" s="80"/>
      <c r="M869" s="80"/>
      <c r="N869" s="80"/>
      <c r="O869" s="80"/>
      <c r="P869" s="80"/>
      <c r="Q869" s="80"/>
      <c r="R869" s="80"/>
      <c r="S869" s="80"/>
      <c r="T869" s="80"/>
      <c r="U869" s="80"/>
      <c r="V869" s="80"/>
      <c r="W869" s="80"/>
      <c r="X869" s="80"/>
      <c r="Y869" s="80"/>
      <c r="Z869" s="80"/>
    </row>
    <row r="870">
      <c r="A870" s="126"/>
      <c r="B870" s="126"/>
      <c r="C870" s="126"/>
      <c r="D870" s="126"/>
      <c r="E870" s="126"/>
      <c r="F870" s="126"/>
      <c r="G870" s="80"/>
      <c r="H870" s="80"/>
      <c r="I870" s="80"/>
      <c r="J870" s="80"/>
      <c r="K870" s="80"/>
      <c r="L870" s="80"/>
      <c r="M870" s="80"/>
      <c r="N870" s="80"/>
      <c r="O870" s="80"/>
      <c r="P870" s="80"/>
      <c r="Q870" s="80"/>
      <c r="R870" s="80"/>
      <c r="S870" s="80"/>
      <c r="T870" s="80"/>
      <c r="U870" s="80"/>
      <c r="V870" s="80"/>
      <c r="W870" s="80"/>
      <c r="X870" s="80"/>
      <c r="Y870" s="80"/>
      <c r="Z870" s="80"/>
    </row>
    <row r="871">
      <c r="A871" s="126"/>
      <c r="B871" s="126"/>
      <c r="C871" s="126"/>
      <c r="D871" s="126"/>
      <c r="E871" s="126"/>
      <c r="F871" s="126"/>
      <c r="G871" s="80"/>
      <c r="H871" s="80"/>
      <c r="I871" s="80"/>
      <c r="J871" s="80"/>
      <c r="K871" s="80"/>
      <c r="L871" s="80"/>
      <c r="M871" s="80"/>
      <c r="N871" s="80"/>
      <c r="O871" s="80"/>
      <c r="P871" s="80"/>
      <c r="Q871" s="80"/>
      <c r="R871" s="80"/>
      <c r="S871" s="80"/>
      <c r="T871" s="80"/>
      <c r="U871" s="80"/>
      <c r="V871" s="80"/>
      <c r="W871" s="80"/>
      <c r="X871" s="80"/>
      <c r="Y871" s="80"/>
      <c r="Z871" s="80"/>
    </row>
    <row r="872">
      <c r="A872" s="126"/>
      <c r="B872" s="126"/>
      <c r="C872" s="126"/>
      <c r="D872" s="126"/>
      <c r="E872" s="126"/>
      <c r="F872" s="126"/>
      <c r="G872" s="80"/>
      <c r="H872" s="80"/>
      <c r="I872" s="80"/>
      <c r="J872" s="80"/>
      <c r="K872" s="80"/>
      <c r="L872" s="80"/>
      <c r="M872" s="80"/>
      <c r="N872" s="80"/>
      <c r="O872" s="80"/>
      <c r="P872" s="80"/>
      <c r="Q872" s="80"/>
      <c r="R872" s="80"/>
      <c r="S872" s="80"/>
      <c r="T872" s="80"/>
      <c r="U872" s="80"/>
      <c r="V872" s="80"/>
      <c r="W872" s="80"/>
      <c r="X872" s="80"/>
      <c r="Y872" s="80"/>
      <c r="Z872" s="80"/>
    </row>
    <row r="873">
      <c r="A873" s="126"/>
      <c r="B873" s="126"/>
      <c r="C873" s="126"/>
      <c r="D873" s="126"/>
      <c r="E873" s="126"/>
      <c r="F873" s="126"/>
      <c r="G873" s="80"/>
      <c r="H873" s="80"/>
      <c r="I873" s="80"/>
      <c r="J873" s="80"/>
      <c r="K873" s="80"/>
      <c r="L873" s="80"/>
      <c r="M873" s="80"/>
      <c r="N873" s="80"/>
      <c r="O873" s="80"/>
      <c r="P873" s="80"/>
      <c r="Q873" s="80"/>
      <c r="R873" s="80"/>
      <c r="S873" s="80"/>
      <c r="T873" s="80"/>
      <c r="U873" s="80"/>
      <c r="V873" s="80"/>
      <c r="W873" s="80"/>
      <c r="X873" s="80"/>
      <c r="Y873" s="80"/>
      <c r="Z873" s="80"/>
    </row>
    <row r="874">
      <c r="A874" s="126"/>
      <c r="B874" s="126"/>
      <c r="C874" s="126"/>
      <c r="D874" s="126"/>
      <c r="E874" s="126"/>
      <c r="F874" s="126"/>
      <c r="G874" s="80"/>
      <c r="H874" s="80"/>
      <c r="I874" s="80"/>
      <c r="J874" s="80"/>
      <c r="K874" s="80"/>
      <c r="L874" s="80"/>
      <c r="M874" s="80"/>
      <c r="N874" s="80"/>
      <c r="O874" s="80"/>
      <c r="P874" s="80"/>
      <c r="Q874" s="80"/>
      <c r="R874" s="80"/>
      <c r="S874" s="80"/>
      <c r="T874" s="80"/>
      <c r="U874" s="80"/>
      <c r="V874" s="80"/>
      <c r="W874" s="80"/>
      <c r="X874" s="80"/>
      <c r="Y874" s="80"/>
      <c r="Z874" s="80"/>
    </row>
    <row r="875">
      <c r="A875" s="126"/>
      <c r="B875" s="126"/>
      <c r="C875" s="126"/>
      <c r="D875" s="126"/>
      <c r="E875" s="126"/>
      <c r="F875" s="126"/>
      <c r="G875" s="80"/>
      <c r="H875" s="80"/>
      <c r="I875" s="80"/>
      <c r="J875" s="80"/>
      <c r="K875" s="80"/>
      <c r="L875" s="80"/>
      <c r="M875" s="80"/>
      <c r="N875" s="80"/>
      <c r="O875" s="80"/>
      <c r="P875" s="80"/>
      <c r="Q875" s="80"/>
      <c r="R875" s="80"/>
      <c r="S875" s="80"/>
      <c r="T875" s="80"/>
      <c r="U875" s="80"/>
      <c r="V875" s="80"/>
      <c r="W875" s="80"/>
      <c r="X875" s="80"/>
      <c r="Y875" s="80"/>
      <c r="Z875" s="80"/>
    </row>
    <row r="876">
      <c r="A876" s="126"/>
      <c r="B876" s="126"/>
      <c r="C876" s="126"/>
      <c r="D876" s="126"/>
      <c r="E876" s="126"/>
      <c r="F876" s="126"/>
      <c r="G876" s="80"/>
      <c r="H876" s="80"/>
      <c r="I876" s="80"/>
      <c r="J876" s="80"/>
      <c r="K876" s="80"/>
      <c r="L876" s="80"/>
      <c r="M876" s="80"/>
      <c r="N876" s="80"/>
      <c r="O876" s="80"/>
      <c r="P876" s="80"/>
      <c r="Q876" s="80"/>
      <c r="R876" s="80"/>
      <c r="S876" s="80"/>
      <c r="T876" s="80"/>
      <c r="U876" s="80"/>
      <c r="V876" s="80"/>
      <c r="W876" s="80"/>
      <c r="X876" s="80"/>
      <c r="Y876" s="80"/>
      <c r="Z876" s="80"/>
    </row>
    <row r="877">
      <c r="A877" s="126"/>
      <c r="B877" s="126"/>
      <c r="C877" s="126"/>
      <c r="D877" s="126"/>
      <c r="E877" s="126"/>
      <c r="F877" s="126"/>
      <c r="G877" s="80"/>
      <c r="H877" s="80"/>
      <c r="I877" s="80"/>
      <c r="J877" s="80"/>
      <c r="K877" s="80"/>
      <c r="L877" s="80"/>
      <c r="M877" s="80"/>
      <c r="N877" s="80"/>
      <c r="O877" s="80"/>
      <c r="P877" s="80"/>
      <c r="Q877" s="80"/>
      <c r="R877" s="80"/>
      <c r="S877" s="80"/>
      <c r="T877" s="80"/>
      <c r="U877" s="80"/>
      <c r="V877" s="80"/>
      <c r="W877" s="80"/>
      <c r="X877" s="80"/>
      <c r="Y877" s="80"/>
      <c r="Z877" s="80"/>
    </row>
    <row r="878">
      <c r="A878" s="126"/>
      <c r="B878" s="126"/>
      <c r="C878" s="126"/>
      <c r="D878" s="126"/>
      <c r="E878" s="126"/>
      <c r="F878" s="126"/>
      <c r="G878" s="80"/>
      <c r="H878" s="80"/>
      <c r="I878" s="80"/>
      <c r="J878" s="80"/>
      <c r="K878" s="80"/>
      <c r="L878" s="80"/>
      <c r="M878" s="80"/>
      <c r="N878" s="80"/>
      <c r="O878" s="80"/>
      <c r="P878" s="80"/>
      <c r="Q878" s="80"/>
      <c r="R878" s="80"/>
      <c r="S878" s="80"/>
      <c r="T878" s="80"/>
      <c r="U878" s="80"/>
      <c r="V878" s="80"/>
      <c r="W878" s="80"/>
      <c r="X878" s="80"/>
      <c r="Y878" s="80"/>
      <c r="Z878" s="80"/>
    </row>
    <row r="879">
      <c r="A879" s="126"/>
      <c r="B879" s="126"/>
      <c r="C879" s="126"/>
      <c r="D879" s="126"/>
      <c r="E879" s="126"/>
      <c r="F879" s="126"/>
      <c r="G879" s="80"/>
      <c r="H879" s="80"/>
      <c r="I879" s="80"/>
      <c r="J879" s="80"/>
      <c r="K879" s="80"/>
      <c r="L879" s="80"/>
      <c r="M879" s="80"/>
      <c r="N879" s="80"/>
      <c r="O879" s="80"/>
      <c r="P879" s="80"/>
      <c r="Q879" s="80"/>
      <c r="R879" s="80"/>
      <c r="S879" s="80"/>
      <c r="T879" s="80"/>
      <c r="U879" s="80"/>
      <c r="V879" s="80"/>
      <c r="W879" s="80"/>
      <c r="X879" s="80"/>
      <c r="Y879" s="80"/>
      <c r="Z879" s="80"/>
    </row>
    <row r="880">
      <c r="A880" s="126"/>
      <c r="B880" s="126"/>
      <c r="C880" s="126"/>
      <c r="D880" s="126"/>
      <c r="E880" s="126"/>
      <c r="F880" s="126"/>
      <c r="G880" s="80"/>
      <c r="H880" s="80"/>
      <c r="I880" s="80"/>
      <c r="J880" s="80"/>
      <c r="K880" s="80"/>
      <c r="L880" s="80"/>
      <c r="M880" s="80"/>
      <c r="N880" s="80"/>
      <c r="O880" s="80"/>
      <c r="P880" s="80"/>
      <c r="Q880" s="80"/>
      <c r="R880" s="80"/>
      <c r="S880" s="80"/>
      <c r="T880" s="80"/>
      <c r="U880" s="80"/>
      <c r="V880" s="80"/>
      <c r="W880" s="80"/>
      <c r="X880" s="80"/>
      <c r="Y880" s="80"/>
      <c r="Z880" s="80"/>
    </row>
    <row r="881">
      <c r="A881" s="126"/>
      <c r="B881" s="126"/>
      <c r="C881" s="126"/>
      <c r="D881" s="126"/>
      <c r="E881" s="126"/>
      <c r="F881" s="126"/>
      <c r="G881" s="80"/>
      <c r="H881" s="80"/>
      <c r="I881" s="80"/>
      <c r="J881" s="80"/>
      <c r="K881" s="80"/>
      <c r="L881" s="80"/>
      <c r="M881" s="80"/>
      <c r="N881" s="80"/>
      <c r="O881" s="80"/>
      <c r="P881" s="80"/>
      <c r="Q881" s="80"/>
      <c r="R881" s="80"/>
      <c r="S881" s="80"/>
      <c r="T881" s="80"/>
      <c r="U881" s="80"/>
      <c r="V881" s="80"/>
      <c r="W881" s="80"/>
      <c r="X881" s="80"/>
      <c r="Y881" s="80"/>
      <c r="Z881" s="80"/>
    </row>
    <row r="882">
      <c r="A882" s="126"/>
      <c r="B882" s="126"/>
      <c r="C882" s="126"/>
      <c r="D882" s="126"/>
      <c r="E882" s="126"/>
      <c r="F882" s="126"/>
      <c r="G882" s="80"/>
      <c r="H882" s="80"/>
      <c r="I882" s="80"/>
      <c r="J882" s="80"/>
      <c r="K882" s="80"/>
      <c r="L882" s="80"/>
      <c r="M882" s="80"/>
      <c r="N882" s="80"/>
      <c r="O882" s="80"/>
      <c r="P882" s="80"/>
      <c r="Q882" s="80"/>
      <c r="R882" s="80"/>
      <c r="S882" s="80"/>
      <c r="T882" s="80"/>
      <c r="U882" s="80"/>
      <c r="V882" s="80"/>
      <c r="W882" s="80"/>
      <c r="X882" s="80"/>
      <c r="Y882" s="80"/>
      <c r="Z882" s="80"/>
    </row>
    <row r="883">
      <c r="A883" s="126"/>
      <c r="B883" s="126"/>
      <c r="C883" s="126"/>
      <c r="D883" s="126"/>
      <c r="E883" s="126"/>
      <c r="F883" s="126"/>
      <c r="G883" s="80"/>
      <c r="H883" s="80"/>
      <c r="I883" s="80"/>
      <c r="J883" s="80"/>
      <c r="K883" s="80"/>
      <c r="L883" s="80"/>
      <c r="M883" s="80"/>
      <c r="N883" s="80"/>
      <c r="O883" s="80"/>
      <c r="P883" s="80"/>
      <c r="Q883" s="80"/>
      <c r="R883" s="80"/>
      <c r="S883" s="80"/>
      <c r="T883" s="80"/>
      <c r="U883" s="80"/>
      <c r="V883" s="80"/>
      <c r="W883" s="80"/>
      <c r="X883" s="80"/>
      <c r="Y883" s="80"/>
      <c r="Z883" s="80"/>
    </row>
    <row r="884">
      <c r="A884" s="126"/>
      <c r="B884" s="126"/>
      <c r="C884" s="126"/>
      <c r="D884" s="126"/>
      <c r="E884" s="126"/>
      <c r="F884" s="126"/>
      <c r="G884" s="80"/>
      <c r="H884" s="80"/>
      <c r="I884" s="80"/>
      <c r="J884" s="80"/>
      <c r="K884" s="80"/>
      <c r="L884" s="80"/>
      <c r="M884" s="80"/>
      <c r="N884" s="80"/>
      <c r="O884" s="80"/>
      <c r="P884" s="80"/>
      <c r="Q884" s="80"/>
      <c r="R884" s="80"/>
      <c r="S884" s="80"/>
      <c r="T884" s="80"/>
      <c r="U884" s="80"/>
      <c r="V884" s="80"/>
      <c r="W884" s="80"/>
      <c r="X884" s="80"/>
      <c r="Y884" s="80"/>
      <c r="Z884" s="80"/>
    </row>
    <row r="885">
      <c r="A885" s="126"/>
      <c r="B885" s="126"/>
      <c r="C885" s="126"/>
      <c r="D885" s="126"/>
      <c r="E885" s="126"/>
      <c r="F885" s="126"/>
      <c r="G885" s="80"/>
      <c r="H885" s="80"/>
      <c r="I885" s="80"/>
      <c r="J885" s="80"/>
      <c r="K885" s="80"/>
      <c r="L885" s="80"/>
      <c r="M885" s="80"/>
      <c r="N885" s="80"/>
      <c r="O885" s="80"/>
      <c r="P885" s="80"/>
      <c r="Q885" s="80"/>
      <c r="R885" s="80"/>
      <c r="S885" s="80"/>
      <c r="T885" s="80"/>
      <c r="U885" s="80"/>
      <c r="V885" s="80"/>
      <c r="W885" s="80"/>
      <c r="X885" s="80"/>
      <c r="Y885" s="80"/>
      <c r="Z885" s="80"/>
    </row>
    <row r="886">
      <c r="A886" s="126"/>
      <c r="B886" s="126"/>
      <c r="C886" s="126"/>
      <c r="D886" s="126"/>
      <c r="E886" s="126"/>
      <c r="F886" s="126"/>
      <c r="G886" s="80"/>
      <c r="H886" s="80"/>
      <c r="I886" s="80"/>
      <c r="J886" s="80"/>
      <c r="K886" s="80"/>
      <c r="L886" s="80"/>
      <c r="M886" s="80"/>
      <c r="N886" s="80"/>
      <c r="O886" s="80"/>
      <c r="P886" s="80"/>
      <c r="Q886" s="80"/>
      <c r="R886" s="80"/>
      <c r="S886" s="80"/>
      <c r="T886" s="80"/>
      <c r="U886" s="80"/>
      <c r="V886" s="80"/>
      <c r="W886" s="80"/>
      <c r="X886" s="80"/>
      <c r="Y886" s="80"/>
      <c r="Z886" s="80"/>
    </row>
    <row r="887">
      <c r="A887" s="126"/>
      <c r="B887" s="126"/>
      <c r="C887" s="126"/>
      <c r="D887" s="126"/>
      <c r="E887" s="126"/>
      <c r="F887" s="126"/>
      <c r="G887" s="80"/>
      <c r="H887" s="80"/>
      <c r="I887" s="80"/>
      <c r="J887" s="80"/>
      <c r="K887" s="80"/>
      <c r="L887" s="80"/>
      <c r="M887" s="80"/>
      <c r="N887" s="80"/>
      <c r="O887" s="80"/>
      <c r="P887" s="80"/>
      <c r="Q887" s="80"/>
      <c r="R887" s="80"/>
      <c r="S887" s="80"/>
      <c r="T887" s="80"/>
      <c r="U887" s="80"/>
      <c r="V887" s="80"/>
      <c r="W887" s="80"/>
      <c r="X887" s="80"/>
      <c r="Y887" s="80"/>
      <c r="Z887" s="80"/>
    </row>
    <row r="888">
      <c r="A888" s="126"/>
      <c r="B888" s="126"/>
      <c r="C888" s="126"/>
      <c r="D888" s="126"/>
      <c r="E888" s="126"/>
      <c r="F888" s="126"/>
      <c r="G888" s="80"/>
      <c r="H888" s="80"/>
      <c r="I888" s="80"/>
      <c r="J888" s="80"/>
      <c r="K888" s="80"/>
      <c r="L888" s="80"/>
      <c r="M888" s="80"/>
      <c r="N888" s="80"/>
      <c r="O888" s="80"/>
      <c r="P888" s="80"/>
      <c r="Q888" s="80"/>
      <c r="R888" s="80"/>
      <c r="S888" s="80"/>
      <c r="T888" s="80"/>
      <c r="U888" s="80"/>
      <c r="V888" s="80"/>
      <c r="W888" s="80"/>
      <c r="X888" s="80"/>
      <c r="Y888" s="80"/>
      <c r="Z888" s="80"/>
    </row>
    <row r="889">
      <c r="A889" s="126"/>
      <c r="B889" s="126"/>
      <c r="C889" s="126"/>
      <c r="D889" s="126"/>
      <c r="E889" s="126"/>
      <c r="F889" s="126"/>
      <c r="G889" s="80"/>
      <c r="H889" s="80"/>
      <c r="I889" s="80"/>
      <c r="J889" s="80"/>
      <c r="K889" s="80"/>
      <c r="L889" s="80"/>
      <c r="M889" s="80"/>
      <c r="N889" s="80"/>
      <c r="O889" s="80"/>
      <c r="P889" s="80"/>
      <c r="Q889" s="80"/>
      <c r="R889" s="80"/>
      <c r="S889" s="80"/>
      <c r="T889" s="80"/>
      <c r="U889" s="80"/>
      <c r="V889" s="80"/>
      <c r="W889" s="80"/>
      <c r="X889" s="80"/>
      <c r="Y889" s="80"/>
      <c r="Z889" s="80"/>
    </row>
    <row r="890">
      <c r="A890" s="126"/>
      <c r="B890" s="126"/>
      <c r="C890" s="126"/>
      <c r="D890" s="126"/>
      <c r="E890" s="126"/>
      <c r="F890" s="126"/>
      <c r="G890" s="80"/>
      <c r="H890" s="80"/>
      <c r="I890" s="80"/>
      <c r="J890" s="80"/>
      <c r="K890" s="80"/>
      <c r="L890" s="80"/>
      <c r="M890" s="80"/>
      <c r="N890" s="80"/>
      <c r="O890" s="80"/>
      <c r="P890" s="80"/>
      <c r="Q890" s="80"/>
      <c r="R890" s="80"/>
      <c r="S890" s="80"/>
      <c r="T890" s="80"/>
      <c r="U890" s="80"/>
      <c r="V890" s="80"/>
      <c r="W890" s="80"/>
      <c r="X890" s="80"/>
      <c r="Y890" s="80"/>
      <c r="Z890" s="80"/>
    </row>
    <row r="891">
      <c r="A891" s="126"/>
      <c r="B891" s="126"/>
      <c r="C891" s="126"/>
      <c r="D891" s="126"/>
      <c r="E891" s="126"/>
      <c r="F891" s="126"/>
      <c r="G891" s="80"/>
      <c r="H891" s="80"/>
      <c r="I891" s="80"/>
      <c r="J891" s="80"/>
      <c r="K891" s="80"/>
      <c r="L891" s="80"/>
      <c r="M891" s="80"/>
      <c r="N891" s="80"/>
      <c r="O891" s="80"/>
      <c r="P891" s="80"/>
      <c r="Q891" s="80"/>
      <c r="R891" s="80"/>
      <c r="S891" s="80"/>
      <c r="T891" s="80"/>
      <c r="U891" s="80"/>
      <c r="V891" s="80"/>
      <c r="W891" s="80"/>
      <c r="X891" s="80"/>
      <c r="Y891" s="80"/>
      <c r="Z891" s="80"/>
    </row>
    <row r="892">
      <c r="A892" s="126"/>
      <c r="B892" s="126"/>
      <c r="C892" s="126"/>
      <c r="D892" s="126"/>
      <c r="E892" s="126"/>
      <c r="F892" s="126"/>
      <c r="G892" s="80"/>
      <c r="H892" s="80"/>
      <c r="I892" s="80"/>
      <c r="J892" s="80"/>
      <c r="K892" s="80"/>
      <c r="L892" s="80"/>
      <c r="M892" s="80"/>
      <c r="N892" s="80"/>
      <c r="O892" s="80"/>
      <c r="P892" s="80"/>
      <c r="Q892" s="80"/>
      <c r="R892" s="80"/>
      <c r="S892" s="80"/>
      <c r="T892" s="80"/>
      <c r="U892" s="80"/>
      <c r="V892" s="80"/>
      <c r="W892" s="80"/>
      <c r="X892" s="80"/>
      <c r="Y892" s="80"/>
      <c r="Z892" s="80"/>
    </row>
    <row r="893">
      <c r="A893" s="126"/>
      <c r="B893" s="126"/>
      <c r="C893" s="126"/>
      <c r="D893" s="126"/>
      <c r="E893" s="126"/>
      <c r="F893" s="126"/>
      <c r="G893" s="80"/>
      <c r="H893" s="80"/>
      <c r="I893" s="80"/>
      <c r="J893" s="80"/>
      <c r="K893" s="80"/>
      <c r="L893" s="80"/>
      <c r="M893" s="80"/>
      <c r="N893" s="80"/>
      <c r="O893" s="80"/>
      <c r="P893" s="80"/>
      <c r="Q893" s="80"/>
      <c r="R893" s="80"/>
      <c r="S893" s="80"/>
      <c r="T893" s="80"/>
      <c r="U893" s="80"/>
      <c r="V893" s="80"/>
      <c r="W893" s="80"/>
      <c r="X893" s="80"/>
      <c r="Y893" s="80"/>
      <c r="Z893" s="80"/>
    </row>
    <row r="894">
      <c r="A894" s="126"/>
      <c r="B894" s="126"/>
      <c r="C894" s="126"/>
      <c r="D894" s="126"/>
      <c r="E894" s="126"/>
      <c r="F894" s="126"/>
      <c r="G894" s="80"/>
      <c r="H894" s="80"/>
      <c r="I894" s="80"/>
      <c r="J894" s="80"/>
      <c r="K894" s="80"/>
      <c r="L894" s="80"/>
      <c r="M894" s="80"/>
      <c r="N894" s="80"/>
      <c r="O894" s="80"/>
      <c r="P894" s="80"/>
      <c r="Q894" s="80"/>
      <c r="R894" s="80"/>
      <c r="S894" s="80"/>
      <c r="T894" s="80"/>
      <c r="U894" s="80"/>
      <c r="V894" s="80"/>
      <c r="W894" s="80"/>
      <c r="X894" s="80"/>
      <c r="Y894" s="80"/>
      <c r="Z894" s="80"/>
    </row>
    <row r="895">
      <c r="A895" s="126"/>
      <c r="B895" s="126"/>
      <c r="C895" s="126"/>
      <c r="D895" s="126"/>
      <c r="E895" s="126"/>
      <c r="F895" s="126"/>
      <c r="G895" s="80"/>
      <c r="H895" s="80"/>
      <c r="I895" s="80"/>
      <c r="J895" s="80"/>
      <c r="K895" s="80"/>
      <c r="L895" s="80"/>
      <c r="M895" s="80"/>
      <c r="N895" s="80"/>
      <c r="O895" s="80"/>
      <c r="P895" s="80"/>
      <c r="Q895" s="80"/>
      <c r="R895" s="80"/>
      <c r="S895" s="80"/>
      <c r="T895" s="80"/>
      <c r="U895" s="80"/>
      <c r="V895" s="80"/>
      <c r="W895" s="80"/>
      <c r="X895" s="80"/>
      <c r="Y895" s="80"/>
      <c r="Z895" s="80"/>
    </row>
    <row r="896">
      <c r="A896" s="126"/>
      <c r="B896" s="126"/>
      <c r="C896" s="126"/>
      <c r="D896" s="126"/>
      <c r="E896" s="126"/>
      <c r="F896" s="126"/>
      <c r="G896" s="80"/>
      <c r="H896" s="80"/>
      <c r="I896" s="80"/>
      <c r="J896" s="80"/>
      <c r="K896" s="80"/>
      <c r="L896" s="80"/>
      <c r="M896" s="80"/>
      <c r="N896" s="80"/>
      <c r="O896" s="80"/>
      <c r="P896" s="80"/>
      <c r="Q896" s="80"/>
      <c r="R896" s="80"/>
      <c r="S896" s="80"/>
      <c r="T896" s="80"/>
      <c r="U896" s="80"/>
      <c r="V896" s="80"/>
      <c r="W896" s="80"/>
      <c r="X896" s="80"/>
      <c r="Y896" s="80"/>
      <c r="Z896" s="80"/>
    </row>
    <row r="897">
      <c r="A897" s="126"/>
      <c r="B897" s="126"/>
      <c r="C897" s="126"/>
      <c r="D897" s="126"/>
      <c r="E897" s="126"/>
      <c r="F897" s="126"/>
      <c r="G897" s="80"/>
      <c r="H897" s="80"/>
      <c r="I897" s="80"/>
      <c r="J897" s="80"/>
      <c r="K897" s="80"/>
      <c r="L897" s="80"/>
      <c r="M897" s="80"/>
      <c r="N897" s="80"/>
      <c r="O897" s="80"/>
      <c r="P897" s="80"/>
      <c r="Q897" s="80"/>
      <c r="R897" s="80"/>
      <c r="S897" s="80"/>
      <c r="T897" s="80"/>
      <c r="U897" s="80"/>
      <c r="V897" s="80"/>
      <c r="W897" s="80"/>
      <c r="X897" s="80"/>
      <c r="Y897" s="80"/>
      <c r="Z897" s="80"/>
    </row>
    <row r="898">
      <c r="A898" s="126"/>
      <c r="B898" s="126"/>
      <c r="C898" s="126"/>
      <c r="D898" s="126"/>
      <c r="E898" s="126"/>
      <c r="F898" s="126"/>
      <c r="G898" s="80"/>
      <c r="H898" s="80"/>
      <c r="I898" s="80"/>
      <c r="J898" s="80"/>
      <c r="K898" s="80"/>
      <c r="L898" s="80"/>
      <c r="M898" s="80"/>
      <c r="N898" s="80"/>
      <c r="O898" s="80"/>
      <c r="P898" s="80"/>
      <c r="Q898" s="80"/>
      <c r="R898" s="80"/>
      <c r="S898" s="80"/>
      <c r="T898" s="80"/>
      <c r="U898" s="80"/>
      <c r="V898" s="80"/>
      <c r="W898" s="80"/>
      <c r="X898" s="80"/>
      <c r="Y898" s="80"/>
      <c r="Z898" s="80"/>
    </row>
    <row r="899">
      <c r="A899" s="126"/>
      <c r="B899" s="126"/>
      <c r="C899" s="126"/>
      <c r="D899" s="126"/>
      <c r="E899" s="126"/>
      <c r="F899" s="126"/>
      <c r="G899" s="80"/>
      <c r="H899" s="80"/>
      <c r="I899" s="80"/>
      <c r="J899" s="80"/>
      <c r="K899" s="80"/>
      <c r="L899" s="80"/>
      <c r="M899" s="80"/>
      <c r="N899" s="80"/>
      <c r="O899" s="80"/>
      <c r="P899" s="80"/>
      <c r="Q899" s="80"/>
      <c r="R899" s="80"/>
      <c r="S899" s="80"/>
      <c r="T899" s="80"/>
      <c r="U899" s="80"/>
      <c r="V899" s="80"/>
      <c r="W899" s="80"/>
      <c r="X899" s="80"/>
      <c r="Y899" s="80"/>
      <c r="Z899" s="80"/>
    </row>
    <row r="900">
      <c r="A900" s="126"/>
      <c r="B900" s="126"/>
      <c r="C900" s="126"/>
      <c r="D900" s="126"/>
      <c r="E900" s="126"/>
      <c r="F900" s="126"/>
      <c r="G900" s="80"/>
      <c r="H900" s="80"/>
      <c r="I900" s="80"/>
      <c r="J900" s="80"/>
      <c r="K900" s="80"/>
      <c r="L900" s="80"/>
      <c r="M900" s="80"/>
      <c r="N900" s="80"/>
      <c r="O900" s="80"/>
      <c r="P900" s="80"/>
      <c r="Q900" s="80"/>
      <c r="R900" s="80"/>
      <c r="S900" s="80"/>
      <c r="T900" s="80"/>
      <c r="U900" s="80"/>
      <c r="V900" s="80"/>
      <c r="W900" s="80"/>
      <c r="X900" s="80"/>
      <c r="Y900" s="80"/>
      <c r="Z900" s="80"/>
    </row>
    <row r="901">
      <c r="A901" s="126"/>
      <c r="B901" s="126"/>
      <c r="C901" s="126"/>
      <c r="D901" s="126"/>
      <c r="E901" s="126"/>
      <c r="F901" s="126"/>
      <c r="G901" s="80"/>
      <c r="H901" s="80"/>
      <c r="I901" s="80"/>
      <c r="J901" s="80"/>
      <c r="K901" s="80"/>
      <c r="L901" s="80"/>
      <c r="M901" s="80"/>
      <c r="N901" s="80"/>
      <c r="O901" s="80"/>
      <c r="P901" s="80"/>
      <c r="Q901" s="80"/>
      <c r="R901" s="80"/>
      <c r="S901" s="80"/>
      <c r="T901" s="80"/>
      <c r="U901" s="80"/>
      <c r="V901" s="80"/>
      <c r="W901" s="80"/>
      <c r="X901" s="80"/>
      <c r="Y901" s="80"/>
      <c r="Z901" s="80"/>
    </row>
    <row r="902">
      <c r="A902" s="126"/>
      <c r="B902" s="126"/>
      <c r="C902" s="126"/>
      <c r="D902" s="126"/>
      <c r="E902" s="126"/>
      <c r="F902" s="126"/>
      <c r="G902" s="80"/>
      <c r="H902" s="80"/>
      <c r="I902" s="80"/>
      <c r="J902" s="80"/>
      <c r="K902" s="80"/>
      <c r="L902" s="80"/>
      <c r="M902" s="80"/>
      <c r="N902" s="80"/>
      <c r="O902" s="80"/>
      <c r="P902" s="80"/>
      <c r="Q902" s="80"/>
      <c r="R902" s="80"/>
      <c r="S902" s="80"/>
      <c r="T902" s="80"/>
      <c r="U902" s="80"/>
      <c r="V902" s="80"/>
      <c r="W902" s="80"/>
      <c r="X902" s="80"/>
      <c r="Y902" s="80"/>
      <c r="Z902" s="80"/>
    </row>
    <row r="903">
      <c r="A903" s="126"/>
      <c r="B903" s="126"/>
      <c r="C903" s="126"/>
      <c r="D903" s="126"/>
      <c r="E903" s="126"/>
      <c r="F903" s="126"/>
      <c r="G903" s="80"/>
      <c r="H903" s="80"/>
      <c r="I903" s="80"/>
      <c r="J903" s="80"/>
      <c r="K903" s="80"/>
      <c r="L903" s="80"/>
      <c r="M903" s="80"/>
      <c r="N903" s="80"/>
      <c r="O903" s="80"/>
      <c r="P903" s="80"/>
      <c r="Q903" s="80"/>
      <c r="R903" s="80"/>
      <c r="S903" s="80"/>
      <c r="T903" s="80"/>
      <c r="U903" s="80"/>
      <c r="V903" s="80"/>
      <c r="W903" s="80"/>
      <c r="X903" s="80"/>
      <c r="Y903" s="80"/>
      <c r="Z903" s="80"/>
    </row>
    <row r="904">
      <c r="A904" s="126"/>
      <c r="B904" s="126"/>
      <c r="C904" s="126"/>
      <c r="D904" s="126"/>
      <c r="E904" s="126"/>
      <c r="F904" s="126"/>
      <c r="G904" s="80"/>
      <c r="H904" s="80"/>
      <c r="I904" s="80"/>
      <c r="J904" s="80"/>
      <c r="K904" s="80"/>
      <c r="L904" s="80"/>
      <c r="M904" s="80"/>
      <c r="N904" s="80"/>
      <c r="O904" s="80"/>
      <c r="P904" s="80"/>
      <c r="Q904" s="80"/>
      <c r="R904" s="80"/>
      <c r="S904" s="80"/>
      <c r="T904" s="80"/>
      <c r="U904" s="80"/>
      <c r="V904" s="80"/>
      <c r="W904" s="80"/>
      <c r="X904" s="80"/>
      <c r="Y904" s="80"/>
      <c r="Z904" s="80"/>
    </row>
    <row r="905">
      <c r="A905" s="126"/>
      <c r="B905" s="126"/>
      <c r="C905" s="126"/>
      <c r="D905" s="126"/>
      <c r="E905" s="126"/>
      <c r="F905" s="126"/>
      <c r="G905" s="80"/>
      <c r="H905" s="80"/>
      <c r="I905" s="80"/>
      <c r="J905" s="80"/>
      <c r="K905" s="80"/>
      <c r="L905" s="80"/>
      <c r="M905" s="80"/>
      <c r="N905" s="80"/>
      <c r="O905" s="80"/>
      <c r="P905" s="80"/>
      <c r="Q905" s="80"/>
      <c r="R905" s="80"/>
      <c r="S905" s="80"/>
      <c r="T905" s="80"/>
      <c r="U905" s="80"/>
      <c r="V905" s="80"/>
      <c r="W905" s="80"/>
      <c r="X905" s="80"/>
      <c r="Y905" s="80"/>
      <c r="Z905" s="80"/>
    </row>
    <row r="906">
      <c r="A906" s="126"/>
      <c r="B906" s="126"/>
      <c r="C906" s="126"/>
      <c r="D906" s="126"/>
      <c r="E906" s="126"/>
      <c r="F906" s="126"/>
      <c r="G906" s="80"/>
      <c r="H906" s="80"/>
      <c r="I906" s="80"/>
      <c r="J906" s="80"/>
      <c r="K906" s="80"/>
      <c r="L906" s="80"/>
      <c r="M906" s="80"/>
      <c r="N906" s="80"/>
      <c r="O906" s="80"/>
      <c r="P906" s="80"/>
      <c r="Q906" s="80"/>
      <c r="R906" s="80"/>
      <c r="S906" s="80"/>
      <c r="T906" s="80"/>
      <c r="U906" s="80"/>
      <c r="V906" s="80"/>
      <c r="W906" s="80"/>
      <c r="X906" s="80"/>
      <c r="Y906" s="80"/>
      <c r="Z906" s="80"/>
    </row>
    <row r="907">
      <c r="A907" s="126"/>
      <c r="B907" s="126"/>
      <c r="C907" s="126"/>
      <c r="D907" s="126"/>
      <c r="E907" s="126"/>
      <c r="F907" s="126"/>
      <c r="G907" s="80"/>
      <c r="H907" s="80"/>
      <c r="I907" s="80"/>
      <c r="J907" s="80"/>
      <c r="K907" s="80"/>
      <c r="L907" s="80"/>
      <c r="M907" s="80"/>
      <c r="N907" s="80"/>
      <c r="O907" s="80"/>
      <c r="P907" s="80"/>
      <c r="Q907" s="80"/>
      <c r="R907" s="80"/>
      <c r="S907" s="80"/>
      <c r="T907" s="80"/>
      <c r="U907" s="80"/>
      <c r="V907" s="80"/>
      <c r="W907" s="80"/>
      <c r="X907" s="80"/>
      <c r="Y907" s="80"/>
      <c r="Z907" s="80"/>
    </row>
    <row r="908">
      <c r="A908" s="126"/>
      <c r="B908" s="126"/>
      <c r="C908" s="126"/>
      <c r="D908" s="126"/>
      <c r="E908" s="126"/>
      <c r="F908" s="126"/>
      <c r="G908" s="80"/>
      <c r="H908" s="80"/>
      <c r="I908" s="80"/>
      <c r="J908" s="80"/>
      <c r="K908" s="80"/>
      <c r="L908" s="80"/>
      <c r="M908" s="80"/>
      <c r="N908" s="80"/>
      <c r="O908" s="80"/>
      <c r="P908" s="80"/>
      <c r="Q908" s="80"/>
      <c r="R908" s="80"/>
      <c r="S908" s="80"/>
      <c r="T908" s="80"/>
      <c r="U908" s="80"/>
      <c r="V908" s="80"/>
      <c r="W908" s="80"/>
      <c r="X908" s="80"/>
      <c r="Y908" s="80"/>
      <c r="Z908" s="80"/>
    </row>
    <row r="909">
      <c r="A909" s="126"/>
      <c r="B909" s="126"/>
      <c r="C909" s="126"/>
      <c r="D909" s="126"/>
      <c r="E909" s="126"/>
      <c r="F909" s="126"/>
      <c r="G909" s="80"/>
      <c r="H909" s="80"/>
      <c r="I909" s="80"/>
      <c r="J909" s="80"/>
      <c r="K909" s="80"/>
      <c r="L909" s="80"/>
      <c r="M909" s="80"/>
      <c r="N909" s="80"/>
      <c r="O909" s="80"/>
      <c r="P909" s="80"/>
      <c r="Q909" s="80"/>
      <c r="R909" s="80"/>
      <c r="S909" s="80"/>
      <c r="T909" s="80"/>
      <c r="U909" s="80"/>
      <c r="V909" s="80"/>
      <c r="W909" s="80"/>
      <c r="X909" s="80"/>
      <c r="Y909" s="80"/>
      <c r="Z909" s="80"/>
    </row>
    <row r="910">
      <c r="A910" s="126"/>
      <c r="B910" s="126"/>
      <c r="C910" s="126"/>
      <c r="D910" s="126"/>
      <c r="E910" s="126"/>
      <c r="F910" s="126"/>
      <c r="G910" s="80"/>
      <c r="H910" s="80"/>
      <c r="I910" s="80"/>
      <c r="J910" s="80"/>
      <c r="K910" s="80"/>
      <c r="L910" s="80"/>
      <c r="M910" s="80"/>
      <c r="N910" s="80"/>
      <c r="O910" s="80"/>
      <c r="P910" s="80"/>
      <c r="Q910" s="80"/>
      <c r="R910" s="80"/>
      <c r="S910" s="80"/>
      <c r="T910" s="80"/>
      <c r="U910" s="80"/>
      <c r="V910" s="80"/>
      <c r="W910" s="80"/>
      <c r="X910" s="80"/>
      <c r="Y910" s="80"/>
      <c r="Z910" s="80"/>
    </row>
    <row r="911">
      <c r="A911" s="126"/>
      <c r="B911" s="126"/>
      <c r="C911" s="126"/>
      <c r="D911" s="126"/>
      <c r="E911" s="126"/>
      <c r="F911" s="126"/>
      <c r="G911" s="80"/>
      <c r="H911" s="80"/>
      <c r="I911" s="80"/>
      <c r="J911" s="80"/>
      <c r="K911" s="80"/>
      <c r="L911" s="80"/>
      <c r="M911" s="80"/>
      <c r="N911" s="80"/>
      <c r="O911" s="80"/>
      <c r="P911" s="80"/>
      <c r="Q911" s="80"/>
      <c r="R911" s="80"/>
      <c r="S911" s="80"/>
      <c r="T911" s="80"/>
      <c r="U911" s="80"/>
      <c r="V911" s="80"/>
      <c r="W911" s="80"/>
      <c r="X911" s="80"/>
      <c r="Y911" s="80"/>
      <c r="Z911" s="80"/>
    </row>
    <row r="912">
      <c r="A912" s="126"/>
      <c r="B912" s="126"/>
      <c r="C912" s="126"/>
      <c r="D912" s="126"/>
      <c r="E912" s="126"/>
      <c r="F912" s="126"/>
      <c r="G912" s="80"/>
      <c r="H912" s="80"/>
      <c r="I912" s="80"/>
      <c r="J912" s="80"/>
      <c r="K912" s="80"/>
      <c r="L912" s="80"/>
      <c r="M912" s="80"/>
      <c r="N912" s="80"/>
      <c r="O912" s="80"/>
      <c r="P912" s="80"/>
      <c r="Q912" s="80"/>
      <c r="R912" s="80"/>
      <c r="S912" s="80"/>
      <c r="T912" s="80"/>
      <c r="U912" s="80"/>
      <c r="V912" s="80"/>
      <c r="W912" s="80"/>
      <c r="X912" s="80"/>
      <c r="Y912" s="80"/>
      <c r="Z912" s="80"/>
    </row>
    <row r="913">
      <c r="A913" s="126"/>
      <c r="B913" s="126"/>
      <c r="C913" s="126"/>
      <c r="D913" s="126"/>
      <c r="E913" s="126"/>
      <c r="F913" s="126"/>
      <c r="G913" s="80"/>
      <c r="H913" s="80"/>
      <c r="I913" s="80"/>
      <c r="J913" s="80"/>
      <c r="K913" s="80"/>
      <c r="L913" s="80"/>
      <c r="M913" s="80"/>
      <c r="N913" s="80"/>
      <c r="O913" s="80"/>
      <c r="P913" s="80"/>
      <c r="Q913" s="80"/>
      <c r="R913" s="80"/>
      <c r="S913" s="80"/>
      <c r="T913" s="80"/>
      <c r="U913" s="80"/>
      <c r="V913" s="80"/>
      <c r="W913" s="80"/>
      <c r="X913" s="80"/>
      <c r="Y913" s="80"/>
      <c r="Z913" s="80"/>
    </row>
    <row r="914">
      <c r="A914" s="126"/>
      <c r="B914" s="126"/>
      <c r="C914" s="126"/>
      <c r="D914" s="126"/>
      <c r="E914" s="126"/>
      <c r="F914" s="126"/>
      <c r="G914" s="80"/>
      <c r="H914" s="80"/>
      <c r="I914" s="80"/>
      <c r="J914" s="80"/>
      <c r="K914" s="80"/>
      <c r="L914" s="80"/>
      <c r="M914" s="80"/>
      <c r="N914" s="80"/>
      <c r="O914" s="80"/>
      <c r="P914" s="80"/>
      <c r="Q914" s="80"/>
      <c r="R914" s="80"/>
      <c r="S914" s="80"/>
      <c r="T914" s="80"/>
      <c r="U914" s="80"/>
      <c r="V914" s="80"/>
      <c r="W914" s="80"/>
      <c r="X914" s="80"/>
      <c r="Y914" s="80"/>
      <c r="Z914" s="80"/>
    </row>
    <row r="915">
      <c r="A915" s="126"/>
      <c r="B915" s="126"/>
      <c r="C915" s="126"/>
      <c r="D915" s="126"/>
      <c r="E915" s="126"/>
      <c r="F915" s="126"/>
      <c r="G915" s="80"/>
      <c r="H915" s="80"/>
      <c r="I915" s="80"/>
      <c r="J915" s="80"/>
      <c r="K915" s="80"/>
      <c r="L915" s="80"/>
      <c r="M915" s="80"/>
      <c r="N915" s="80"/>
      <c r="O915" s="80"/>
      <c r="P915" s="80"/>
      <c r="Q915" s="80"/>
      <c r="R915" s="80"/>
      <c r="S915" s="80"/>
      <c r="T915" s="80"/>
      <c r="U915" s="80"/>
      <c r="V915" s="80"/>
      <c r="W915" s="80"/>
      <c r="X915" s="80"/>
      <c r="Y915" s="80"/>
      <c r="Z915" s="80"/>
    </row>
    <row r="916">
      <c r="A916" s="126"/>
      <c r="B916" s="126"/>
      <c r="C916" s="126"/>
      <c r="D916" s="126"/>
      <c r="E916" s="126"/>
      <c r="F916" s="126"/>
      <c r="G916" s="80"/>
      <c r="H916" s="80"/>
      <c r="I916" s="80"/>
      <c r="J916" s="80"/>
      <c r="K916" s="80"/>
      <c r="L916" s="80"/>
      <c r="M916" s="80"/>
      <c r="N916" s="80"/>
      <c r="O916" s="80"/>
      <c r="P916" s="80"/>
      <c r="Q916" s="80"/>
      <c r="R916" s="80"/>
      <c r="S916" s="80"/>
      <c r="T916" s="80"/>
      <c r="U916" s="80"/>
      <c r="V916" s="80"/>
      <c r="W916" s="80"/>
      <c r="X916" s="80"/>
      <c r="Y916" s="80"/>
      <c r="Z916" s="80"/>
    </row>
    <row r="917">
      <c r="A917" s="126"/>
      <c r="B917" s="126"/>
      <c r="C917" s="126"/>
      <c r="D917" s="126"/>
      <c r="E917" s="126"/>
      <c r="F917" s="126"/>
      <c r="G917" s="80"/>
      <c r="H917" s="80"/>
      <c r="I917" s="80"/>
      <c r="J917" s="80"/>
      <c r="K917" s="80"/>
      <c r="L917" s="80"/>
      <c r="M917" s="80"/>
      <c r="N917" s="80"/>
      <c r="O917" s="80"/>
      <c r="P917" s="80"/>
      <c r="Q917" s="80"/>
      <c r="R917" s="80"/>
      <c r="S917" s="80"/>
      <c r="T917" s="80"/>
      <c r="U917" s="80"/>
      <c r="V917" s="80"/>
      <c r="W917" s="80"/>
      <c r="X917" s="80"/>
      <c r="Y917" s="80"/>
      <c r="Z917" s="80"/>
    </row>
    <row r="918">
      <c r="A918" s="126"/>
      <c r="B918" s="126"/>
      <c r="C918" s="126"/>
      <c r="D918" s="126"/>
      <c r="E918" s="126"/>
      <c r="F918" s="126"/>
      <c r="G918" s="80"/>
      <c r="H918" s="80"/>
      <c r="I918" s="80"/>
      <c r="J918" s="80"/>
      <c r="K918" s="80"/>
      <c r="L918" s="80"/>
      <c r="M918" s="80"/>
      <c r="N918" s="80"/>
      <c r="O918" s="80"/>
      <c r="P918" s="80"/>
      <c r="Q918" s="80"/>
      <c r="R918" s="80"/>
      <c r="S918" s="80"/>
      <c r="T918" s="80"/>
      <c r="U918" s="80"/>
      <c r="V918" s="80"/>
      <c r="W918" s="80"/>
      <c r="X918" s="80"/>
      <c r="Y918" s="80"/>
      <c r="Z918" s="80"/>
    </row>
    <row r="919">
      <c r="A919" s="126"/>
      <c r="B919" s="126"/>
      <c r="C919" s="126"/>
      <c r="D919" s="126"/>
      <c r="E919" s="126"/>
      <c r="F919" s="126"/>
      <c r="G919" s="80"/>
      <c r="H919" s="80"/>
      <c r="I919" s="80"/>
      <c r="J919" s="80"/>
      <c r="K919" s="80"/>
      <c r="L919" s="80"/>
      <c r="M919" s="80"/>
      <c r="N919" s="80"/>
      <c r="O919" s="80"/>
      <c r="P919" s="80"/>
      <c r="Q919" s="80"/>
      <c r="R919" s="80"/>
      <c r="S919" s="80"/>
      <c r="T919" s="80"/>
      <c r="U919" s="80"/>
      <c r="V919" s="80"/>
      <c r="W919" s="80"/>
      <c r="X919" s="80"/>
      <c r="Y919" s="80"/>
      <c r="Z919" s="80"/>
    </row>
    <row r="920">
      <c r="A920" s="126"/>
      <c r="B920" s="126"/>
      <c r="C920" s="126"/>
      <c r="D920" s="126"/>
      <c r="E920" s="126"/>
      <c r="F920" s="126"/>
      <c r="G920" s="80"/>
      <c r="H920" s="80"/>
      <c r="I920" s="80"/>
      <c r="J920" s="80"/>
      <c r="K920" s="80"/>
      <c r="L920" s="80"/>
      <c r="M920" s="80"/>
      <c r="N920" s="80"/>
      <c r="O920" s="80"/>
      <c r="P920" s="80"/>
      <c r="Q920" s="80"/>
      <c r="R920" s="80"/>
      <c r="S920" s="80"/>
      <c r="T920" s="80"/>
      <c r="U920" s="80"/>
      <c r="V920" s="80"/>
      <c r="W920" s="80"/>
      <c r="X920" s="80"/>
      <c r="Y920" s="80"/>
      <c r="Z920" s="80"/>
    </row>
    <row r="921">
      <c r="A921" s="126"/>
      <c r="B921" s="126"/>
      <c r="C921" s="126"/>
      <c r="D921" s="126"/>
      <c r="E921" s="126"/>
      <c r="F921" s="126"/>
      <c r="G921" s="80"/>
      <c r="H921" s="80"/>
      <c r="I921" s="80"/>
      <c r="J921" s="80"/>
      <c r="K921" s="80"/>
      <c r="L921" s="80"/>
      <c r="M921" s="80"/>
      <c r="N921" s="80"/>
      <c r="O921" s="80"/>
      <c r="P921" s="80"/>
      <c r="Q921" s="80"/>
      <c r="R921" s="80"/>
      <c r="S921" s="80"/>
      <c r="T921" s="80"/>
      <c r="U921" s="80"/>
      <c r="V921" s="80"/>
      <c r="W921" s="80"/>
      <c r="X921" s="80"/>
      <c r="Y921" s="80"/>
      <c r="Z921" s="80"/>
    </row>
    <row r="922">
      <c r="A922" s="126"/>
      <c r="B922" s="126"/>
      <c r="C922" s="126"/>
      <c r="D922" s="126"/>
      <c r="E922" s="126"/>
      <c r="F922" s="126"/>
      <c r="G922" s="80"/>
      <c r="H922" s="80"/>
      <c r="I922" s="80"/>
      <c r="J922" s="80"/>
      <c r="K922" s="80"/>
      <c r="L922" s="80"/>
      <c r="M922" s="80"/>
      <c r="N922" s="80"/>
      <c r="O922" s="80"/>
      <c r="P922" s="80"/>
      <c r="Q922" s="80"/>
      <c r="R922" s="80"/>
      <c r="S922" s="80"/>
      <c r="T922" s="80"/>
      <c r="U922" s="80"/>
      <c r="V922" s="80"/>
      <c r="W922" s="80"/>
      <c r="X922" s="80"/>
      <c r="Y922" s="80"/>
      <c r="Z922" s="80"/>
    </row>
    <row r="923">
      <c r="A923" s="126"/>
      <c r="B923" s="126"/>
      <c r="C923" s="126"/>
      <c r="D923" s="126"/>
      <c r="E923" s="126"/>
      <c r="F923" s="126"/>
      <c r="G923" s="80"/>
      <c r="H923" s="80"/>
      <c r="I923" s="80"/>
      <c r="J923" s="80"/>
      <c r="K923" s="80"/>
      <c r="L923" s="80"/>
      <c r="M923" s="80"/>
      <c r="N923" s="80"/>
      <c r="O923" s="80"/>
      <c r="P923" s="80"/>
      <c r="Q923" s="80"/>
      <c r="R923" s="80"/>
      <c r="S923" s="80"/>
      <c r="T923" s="80"/>
      <c r="U923" s="80"/>
      <c r="V923" s="80"/>
      <c r="W923" s="80"/>
      <c r="X923" s="80"/>
      <c r="Y923" s="80"/>
      <c r="Z923" s="80"/>
    </row>
    <row r="924">
      <c r="A924" s="126"/>
      <c r="B924" s="126"/>
      <c r="C924" s="126"/>
      <c r="D924" s="126"/>
      <c r="E924" s="126"/>
      <c r="F924" s="126"/>
      <c r="G924" s="80"/>
      <c r="H924" s="80"/>
      <c r="I924" s="80"/>
      <c r="J924" s="80"/>
      <c r="K924" s="80"/>
      <c r="L924" s="80"/>
      <c r="M924" s="80"/>
      <c r="N924" s="80"/>
      <c r="O924" s="80"/>
      <c r="P924" s="80"/>
      <c r="Q924" s="80"/>
      <c r="R924" s="80"/>
      <c r="S924" s="80"/>
      <c r="T924" s="80"/>
      <c r="U924" s="80"/>
      <c r="V924" s="80"/>
      <c r="W924" s="80"/>
      <c r="X924" s="80"/>
      <c r="Y924" s="80"/>
      <c r="Z924" s="80"/>
    </row>
    <row r="925">
      <c r="A925" s="126"/>
      <c r="B925" s="126"/>
      <c r="C925" s="126"/>
      <c r="D925" s="126"/>
      <c r="E925" s="126"/>
      <c r="F925" s="126"/>
      <c r="G925" s="80"/>
      <c r="H925" s="80"/>
      <c r="I925" s="80"/>
      <c r="J925" s="80"/>
      <c r="K925" s="80"/>
      <c r="L925" s="80"/>
      <c r="M925" s="80"/>
      <c r="N925" s="80"/>
      <c r="O925" s="80"/>
      <c r="P925" s="80"/>
      <c r="Q925" s="80"/>
      <c r="R925" s="80"/>
      <c r="S925" s="80"/>
      <c r="T925" s="80"/>
      <c r="U925" s="80"/>
      <c r="V925" s="80"/>
      <c r="W925" s="80"/>
      <c r="X925" s="80"/>
      <c r="Y925" s="80"/>
      <c r="Z925" s="80"/>
    </row>
    <row r="926">
      <c r="A926" s="126"/>
      <c r="B926" s="126"/>
      <c r="C926" s="126"/>
      <c r="D926" s="126"/>
      <c r="E926" s="126"/>
      <c r="F926" s="126"/>
      <c r="G926" s="80"/>
      <c r="H926" s="80"/>
      <c r="I926" s="80"/>
      <c r="J926" s="80"/>
      <c r="K926" s="80"/>
      <c r="L926" s="80"/>
      <c r="M926" s="80"/>
      <c r="N926" s="80"/>
      <c r="O926" s="80"/>
      <c r="P926" s="80"/>
      <c r="Q926" s="80"/>
      <c r="R926" s="80"/>
      <c r="S926" s="80"/>
      <c r="T926" s="80"/>
      <c r="U926" s="80"/>
      <c r="V926" s="80"/>
      <c r="W926" s="80"/>
      <c r="X926" s="80"/>
      <c r="Y926" s="80"/>
      <c r="Z926" s="80"/>
    </row>
    <row r="927">
      <c r="A927" s="126"/>
      <c r="B927" s="126"/>
      <c r="C927" s="126"/>
      <c r="D927" s="126"/>
      <c r="E927" s="126"/>
      <c r="F927" s="126"/>
      <c r="G927" s="80"/>
      <c r="H927" s="80"/>
      <c r="I927" s="80"/>
      <c r="J927" s="80"/>
      <c r="K927" s="80"/>
      <c r="L927" s="80"/>
      <c r="M927" s="80"/>
      <c r="N927" s="80"/>
      <c r="O927" s="80"/>
      <c r="P927" s="80"/>
      <c r="Q927" s="80"/>
      <c r="R927" s="80"/>
      <c r="S927" s="80"/>
      <c r="T927" s="80"/>
      <c r="U927" s="80"/>
      <c r="V927" s="80"/>
      <c r="W927" s="80"/>
      <c r="X927" s="80"/>
      <c r="Y927" s="80"/>
      <c r="Z927" s="80"/>
    </row>
    <row r="928">
      <c r="A928" s="126"/>
      <c r="B928" s="126"/>
      <c r="C928" s="126"/>
      <c r="D928" s="126"/>
      <c r="E928" s="126"/>
      <c r="F928" s="126"/>
      <c r="G928" s="80"/>
      <c r="H928" s="80"/>
      <c r="I928" s="80"/>
      <c r="J928" s="80"/>
      <c r="K928" s="80"/>
      <c r="L928" s="80"/>
      <c r="M928" s="80"/>
      <c r="N928" s="80"/>
      <c r="O928" s="80"/>
      <c r="P928" s="80"/>
      <c r="Q928" s="80"/>
      <c r="R928" s="80"/>
      <c r="S928" s="80"/>
      <c r="T928" s="80"/>
      <c r="U928" s="80"/>
      <c r="V928" s="80"/>
      <c r="W928" s="80"/>
      <c r="X928" s="80"/>
      <c r="Y928" s="80"/>
      <c r="Z928" s="80"/>
    </row>
    <row r="929">
      <c r="A929" s="126"/>
      <c r="B929" s="126"/>
      <c r="C929" s="126"/>
      <c r="D929" s="126"/>
      <c r="E929" s="126"/>
      <c r="F929" s="126"/>
      <c r="G929" s="80"/>
      <c r="H929" s="80"/>
      <c r="I929" s="80"/>
      <c r="J929" s="80"/>
      <c r="K929" s="80"/>
      <c r="L929" s="80"/>
      <c r="M929" s="80"/>
      <c r="N929" s="80"/>
      <c r="O929" s="80"/>
      <c r="P929" s="80"/>
      <c r="Q929" s="80"/>
      <c r="R929" s="80"/>
      <c r="S929" s="80"/>
      <c r="T929" s="80"/>
      <c r="U929" s="80"/>
      <c r="V929" s="80"/>
      <c r="W929" s="80"/>
      <c r="X929" s="80"/>
      <c r="Y929" s="80"/>
      <c r="Z929" s="80"/>
    </row>
    <row r="930">
      <c r="A930" s="126"/>
      <c r="B930" s="126"/>
      <c r="C930" s="126"/>
      <c r="D930" s="126"/>
      <c r="E930" s="126"/>
      <c r="F930" s="126"/>
      <c r="G930" s="80"/>
      <c r="H930" s="80"/>
      <c r="I930" s="80"/>
      <c r="J930" s="80"/>
      <c r="K930" s="80"/>
      <c r="L930" s="80"/>
      <c r="M930" s="80"/>
      <c r="N930" s="80"/>
      <c r="O930" s="80"/>
      <c r="P930" s="80"/>
      <c r="Q930" s="80"/>
      <c r="R930" s="80"/>
      <c r="S930" s="80"/>
      <c r="T930" s="80"/>
      <c r="U930" s="80"/>
      <c r="V930" s="80"/>
      <c r="W930" s="80"/>
      <c r="X930" s="80"/>
      <c r="Y930" s="80"/>
      <c r="Z930" s="80"/>
    </row>
    <row r="931">
      <c r="A931" s="126"/>
      <c r="B931" s="126"/>
      <c r="C931" s="126"/>
      <c r="D931" s="126"/>
      <c r="E931" s="126"/>
      <c r="F931" s="126"/>
      <c r="G931" s="80"/>
      <c r="H931" s="80"/>
      <c r="I931" s="80"/>
      <c r="J931" s="80"/>
      <c r="K931" s="80"/>
      <c r="L931" s="80"/>
      <c r="M931" s="80"/>
      <c r="N931" s="80"/>
      <c r="O931" s="80"/>
      <c r="P931" s="80"/>
      <c r="Q931" s="80"/>
      <c r="R931" s="80"/>
      <c r="S931" s="80"/>
      <c r="T931" s="80"/>
      <c r="U931" s="80"/>
      <c r="V931" s="80"/>
      <c r="W931" s="80"/>
      <c r="X931" s="80"/>
      <c r="Y931" s="80"/>
      <c r="Z931" s="80"/>
    </row>
    <row r="932">
      <c r="A932" s="126"/>
      <c r="B932" s="126"/>
      <c r="C932" s="126"/>
      <c r="D932" s="126"/>
      <c r="E932" s="126"/>
      <c r="F932" s="126"/>
      <c r="G932" s="80"/>
      <c r="H932" s="80"/>
      <c r="I932" s="80"/>
      <c r="J932" s="80"/>
      <c r="K932" s="80"/>
      <c r="L932" s="80"/>
      <c r="M932" s="80"/>
      <c r="N932" s="80"/>
      <c r="O932" s="80"/>
      <c r="P932" s="80"/>
      <c r="Q932" s="80"/>
      <c r="R932" s="80"/>
      <c r="S932" s="80"/>
      <c r="T932" s="80"/>
      <c r="U932" s="80"/>
      <c r="V932" s="80"/>
      <c r="W932" s="80"/>
      <c r="X932" s="80"/>
      <c r="Y932" s="80"/>
      <c r="Z932" s="80"/>
    </row>
    <row r="933">
      <c r="A933" s="126"/>
      <c r="B933" s="126"/>
      <c r="C933" s="126"/>
      <c r="D933" s="126"/>
      <c r="E933" s="126"/>
      <c r="F933" s="126"/>
      <c r="G933" s="80"/>
      <c r="H933" s="80"/>
      <c r="I933" s="80"/>
      <c r="J933" s="80"/>
      <c r="K933" s="80"/>
      <c r="L933" s="80"/>
      <c r="M933" s="80"/>
      <c r="N933" s="80"/>
      <c r="O933" s="80"/>
      <c r="P933" s="80"/>
      <c r="Q933" s="80"/>
      <c r="R933" s="80"/>
      <c r="S933" s="80"/>
      <c r="T933" s="80"/>
      <c r="U933" s="80"/>
      <c r="V933" s="80"/>
      <c r="W933" s="80"/>
      <c r="X933" s="80"/>
      <c r="Y933" s="80"/>
      <c r="Z933" s="80"/>
    </row>
    <row r="934">
      <c r="A934" s="126"/>
      <c r="B934" s="126"/>
      <c r="C934" s="126"/>
      <c r="D934" s="126"/>
      <c r="E934" s="126"/>
      <c r="F934" s="126"/>
      <c r="G934" s="80"/>
      <c r="H934" s="80"/>
      <c r="I934" s="80"/>
      <c r="J934" s="80"/>
      <c r="K934" s="80"/>
      <c r="L934" s="80"/>
      <c r="M934" s="80"/>
      <c r="N934" s="80"/>
      <c r="O934" s="80"/>
      <c r="P934" s="80"/>
      <c r="Q934" s="80"/>
      <c r="R934" s="80"/>
      <c r="S934" s="80"/>
      <c r="T934" s="80"/>
      <c r="U934" s="80"/>
      <c r="V934" s="80"/>
      <c r="W934" s="80"/>
      <c r="X934" s="80"/>
      <c r="Y934" s="80"/>
      <c r="Z934" s="80"/>
    </row>
    <row r="935">
      <c r="A935" s="126"/>
      <c r="B935" s="126"/>
      <c r="C935" s="126"/>
      <c r="D935" s="126"/>
      <c r="E935" s="126"/>
      <c r="F935" s="126"/>
      <c r="G935" s="80"/>
      <c r="H935" s="80"/>
      <c r="I935" s="80"/>
      <c r="J935" s="80"/>
      <c r="K935" s="80"/>
      <c r="L935" s="80"/>
      <c r="M935" s="80"/>
      <c r="N935" s="80"/>
      <c r="O935" s="80"/>
      <c r="P935" s="80"/>
      <c r="Q935" s="80"/>
      <c r="R935" s="80"/>
      <c r="S935" s="80"/>
      <c r="T935" s="80"/>
      <c r="U935" s="80"/>
      <c r="V935" s="80"/>
      <c r="W935" s="80"/>
      <c r="X935" s="80"/>
      <c r="Y935" s="80"/>
      <c r="Z935" s="80"/>
    </row>
    <row r="936">
      <c r="A936" s="126"/>
      <c r="B936" s="126"/>
      <c r="C936" s="126"/>
      <c r="D936" s="126"/>
      <c r="E936" s="126"/>
      <c r="F936" s="126"/>
      <c r="G936" s="80"/>
      <c r="H936" s="80"/>
      <c r="I936" s="80"/>
      <c r="J936" s="80"/>
      <c r="K936" s="80"/>
      <c r="L936" s="80"/>
      <c r="M936" s="80"/>
      <c r="N936" s="80"/>
      <c r="O936" s="80"/>
      <c r="P936" s="80"/>
      <c r="Q936" s="80"/>
      <c r="R936" s="80"/>
      <c r="S936" s="80"/>
      <c r="T936" s="80"/>
      <c r="U936" s="80"/>
      <c r="V936" s="80"/>
      <c r="W936" s="80"/>
      <c r="X936" s="80"/>
      <c r="Y936" s="80"/>
      <c r="Z936" s="80"/>
    </row>
    <row r="937">
      <c r="A937" s="126"/>
      <c r="B937" s="126"/>
      <c r="C937" s="126"/>
      <c r="D937" s="126"/>
      <c r="E937" s="126"/>
      <c r="F937" s="126"/>
      <c r="G937" s="80"/>
      <c r="H937" s="80"/>
      <c r="I937" s="80"/>
      <c r="J937" s="80"/>
      <c r="K937" s="80"/>
      <c r="L937" s="80"/>
      <c r="M937" s="80"/>
      <c r="N937" s="80"/>
      <c r="O937" s="80"/>
      <c r="P937" s="80"/>
      <c r="Q937" s="80"/>
      <c r="R937" s="80"/>
      <c r="S937" s="80"/>
      <c r="T937" s="80"/>
      <c r="U937" s="80"/>
      <c r="V937" s="80"/>
      <c r="W937" s="80"/>
      <c r="X937" s="80"/>
      <c r="Y937" s="80"/>
      <c r="Z937" s="80"/>
    </row>
    <row r="938">
      <c r="A938" s="126"/>
      <c r="B938" s="126"/>
      <c r="C938" s="126"/>
      <c r="D938" s="126"/>
      <c r="E938" s="126"/>
      <c r="F938" s="126"/>
      <c r="G938" s="80"/>
      <c r="H938" s="80"/>
      <c r="I938" s="80"/>
      <c r="J938" s="80"/>
      <c r="K938" s="80"/>
      <c r="L938" s="80"/>
      <c r="M938" s="80"/>
      <c r="N938" s="80"/>
      <c r="O938" s="80"/>
      <c r="P938" s="80"/>
      <c r="Q938" s="80"/>
      <c r="R938" s="80"/>
      <c r="S938" s="80"/>
      <c r="T938" s="80"/>
      <c r="U938" s="80"/>
      <c r="V938" s="80"/>
      <c r="W938" s="80"/>
      <c r="X938" s="80"/>
      <c r="Y938" s="80"/>
      <c r="Z938" s="80"/>
    </row>
    <row r="939">
      <c r="A939" s="126"/>
      <c r="B939" s="126"/>
      <c r="C939" s="126"/>
      <c r="D939" s="126"/>
      <c r="E939" s="126"/>
      <c r="F939" s="126"/>
      <c r="G939" s="80"/>
      <c r="H939" s="80"/>
      <c r="I939" s="80"/>
      <c r="J939" s="80"/>
      <c r="K939" s="80"/>
      <c r="L939" s="80"/>
      <c r="M939" s="80"/>
      <c r="N939" s="80"/>
      <c r="O939" s="80"/>
      <c r="P939" s="80"/>
      <c r="Q939" s="80"/>
      <c r="R939" s="80"/>
      <c r="S939" s="80"/>
      <c r="T939" s="80"/>
      <c r="U939" s="80"/>
      <c r="V939" s="80"/>
      <c r="W939" s="80"/>
      <c r="X939" s="80"/>
      <c r="Y939" s="80"/>
      <c r="Z939" s="80"/>
    </row>
    <row r="940">
      <c r="A940" s="126"/>
      <c r="B940" s="126"/>
      <c r="C940" s="126"/>
      <c r="D940" s="126"/>
      <c r="E940" s="126"/>
      <c r="F940" s="126"/>
      <c r="G940" s="80"/>
      <c r="H940" s="80"/>
      <c r="I940" s="80"/>
      <c r="J940" s="80"/>
      <c r="K940" s="80"/>
      <c r="L940" s="80"/>
      <c r="M940" s="80"/>
      <c r="N940" s="80"/>
      <c r="O940" s="80"/>
      <c r="P940" s="80"/>
      <c r="Q940" s="80"/>
      <c r="R940" s="80"/>
      <c r="S940" s="80"/>
      <c r="T940" s="80"/>
      <c r="U940" s="80"/>
      <c r="V940" s="80"/>
      <c r="W940" s="80"/>
      <c r="X940" s="80"/>
      <c r="Y940" s="80"/>
      <c r="Z940" s="80"/>
    </row>
    <row r="941">
      <c r="A941" s="126"/>
      <c r="B941" s="126"/>
      <c r="C941" s="126"/>
      <c r="D941" s="126"/>
      <c r="E941" s="126"/>
      <c r="F941" s="126"/>
      <c r="G941" s="80"/>
      <c r="H941" s="80"/>
      <c r="I941" s="80"/>
      <c r="J941" s="80"/>
      <c r="K941" s="80"/>
      <c r="L941" s="80"/>
      <c r="M941" s="80"/>
      <c r="N941" s="80"/>
      <c r="O941" s="80"/>
      <c r="P941" s="80"/>
      <c r="Q941" s="80"/>
      <c r="R941" s="80"/>
      <c r="S941" s="80"/>
      <c r="T941" s="80"/>
      <c r="U941" s="80"/>
      <c r="V941" s="80"/>
      <c r="W941" s="80"/>
      <c r="X941" s="80"/>
      <c r="Y941" s="80"/>
      <c r="Z941" s="80"/>
    </row>
    <row r="942">
      <c r="A942" s="126"/>
      <c r="B942" s="126"/>
      <c r="C942" s="126"/>
      <c r="D942" s="126"/>
      <c r="E942" s="126"/>
      <c r="F942" s="126"/>
      <c r="G942" s="80"/>
      <c r="H942" s="80"/>
      <c r="I942" s="80"/>
      <c r="J942" s="80"/>
      <c r="K942" s="80"/>
      <c r="L942" s="80"/>
      <c r="M942" s="80"/>
      <c r="N942" s="80"/>
      <c r="O942" s="80"/>
      <c r="P942" s="80"/>
      <c r="Q942" s="80"/>
      <c r="R942" s="80"/>
      <c r="S942" s="80"/>
      <c r="T942" s="80"/>
      <c r="U942" s="80"/>
      <c r="V942" s="80"/>
      <c r="W942" s="80"/>
      <c r="X942" s="80"/>
      <c r="Y942" s="80"/>
      <c r="Z942" s="80"/>
    </row>
    <row r="943">
      <c r="A943" s="126"/>
      <c r="B943" s="126"/>
      <c r="C943" s="126"/>
      <c r="D943" s="126"/>
      <c r="E943" s="126"/>
      <c r="F943" s="126"/>
      <c r="G943" s="80"/>
      <c r="H943" s="80"/>
      <c r="I943" s="80"/>
      <c r="J943" s="80"/>
      <c r="K943" s="80"/>
      <c r="L943" s="80"/>
      <c r="M943" s="80"/>
      <c r="N943" s="80"/>
      <c r="O943" s="80"/>
      <c r="P943" s="80"/>
      <c r="Q943" s="80"/>
      <c r="R943" s="80"/>
      <c r="S943" s="80"/>
      <c r="T943" s="80"/>
      <c r="U943" s="80"/>
      <c r="V943" s="80"/>
      <c r="W943" s="80"/>
      <c r="X943" s="80"/>
      <c r="Y943" s="80"/>
      <c r="Z943" s="80"/>
    </row>
    <row r="944">
      <c r="A944" s="126"/>
      <c r="B944" s="126"/>
      <c r="C944" s="126"/>
      <c r="D944" s="126"/>
      <c r="E944" s="126"/>
      <c r="F944" s="126"/>
      <c r="G944" s="80"/>
      <c r="H944" s="80"/>
      <c r="I944" s="80"/>
      <c r="J944" s="80"/>
      <c r="K944" s="80"/>
      <c r="L944" s="80"/>
      <c r="M944" s="80"/>
      <c r="N944" s="80"/>
      <c r="O944" s="80"/>
      <c r="P944" s="80"/>
      <c r="Q944" s="80"/>
      <c r="R944" s="80"/>
      <c r="S944" s="80"/>
      <c r="T944" s="80"/>
      <c r="U944" s="80"/>
      <c r="V944" s="80"/>
      <c r="W944" s="80"/>
      <c r="X944" s="80"/>
      <c r="Y944" s="80"/>
      <c r="Z944" s="80"/>
    </row>
    <row r="945">
      <c r="A945" s="126"/>
      <c r="B945" s="126"/>
      <c r="C945" s="126"/>
      <c r="D945" s="126"/>
      <c r="E945" s="126"/>
      <c r="F945" s="126"/>
      <c r="G945" s="80"/>
      <c r="H945" s="80"/>
      <c r="I945" s="80"/>
      <c r="J945" s="80"/>
      <c r="K945" s="80"/>
      <c r="L945" s="80"/>
      <c r="M945" s="80"/>
      <c r="N945" s="80"/>
      <c r="O945" s="80"/>
      <c r="P945" s="80"/>
      <c r="Q945" s="80"/>
      <c r="R945" s="80"/>
      <c r="S945" s="80"/>
      <c r="T945" s="80"/>
      <c r="U945" s="80"/>
      <c r="V945" s="80"/>
      <c r="W945" s="80"/>
      <c r="X945" s="80"/>
      <c r="Y945" s="80"/>
      <c r="Z945" s="80"/>
    </row>
    <row r="946">
      <c r="A946" s="126"/>
      <c r="B946" s="126"/>
      <c r="C946" s="126"/>
      <c r="D946" s="126"/>
      <c r="E946" s="126"/>
      <c r="F946" s="126"/>
      <c r="G946" s="80"/>
      <c r="H946" s="80"/>
      <c r="I946" s="80"/>
      <c r="J946" s="80"/>
      <c r="K946" s="80"/>
      <c r="L946" s="80"/>
      <c r="M946" s="80"/>
      <c r="N946" s="80"/>
      <c r="O946" s="80"/>
      <c r="P946" s="80"/>
      <c r="Q946" s="80"/>
      <c r="R946" s="80"/>
      <c r="S946" s="80"/>
      <c r="T946" s="80"/>
      <c r="U946" s="80"/>
      <c r="V946" s="80"/>
      <c r="W946" s="80"/>
      <c r="X946" s="80"/>
      <c r="Y946" s="80"/>
      <c r="Z946" s="80"/>
    </row>
    <row r="947">
      <c r="A947" s="126"/>
      <c r="B947" s="126"/>
      <c r="C947" s="126"/>
      <c r="D947" s="126"/>
      <c r="E947" s="126"/>
      <c r="F947" s="126"/>
      <c r="G947" s="80"/>
      <c r="H947" s="80"/>
      <c r="I947" s="80"/>
      <c r="J947" s="80"/>
      <c r="K947" s="80"/>
      <c r="L947" s="80"/>
      <c r="M947" s="80"/>
      <c r="N947" s="80"/>
      <c r="O947" s="80"/>
      <c r="P947" s="80"/>
      <c r="Q947" s="80"/>
      <c r="R947" s="80"/>
      <c r="S947" s="80"/>
      <c r="T947" s="80"/>
      <c r="U947" s="80"/>
      <c r="V947" s="80"/>
      <c r="W947" s="80"/>
      <c r="X947" s="80"/>
      <c r="Y947" s="80"/>
      <c r="Z947" s="80"/>
    </row>
    <row r="948">
      <c r="A948" s="126"/>
      <c r="B948" s="126"/>
      <c r="C948" s="126"/>
      <c r="D948" s="126"/>
      <c r="E948" s="126"/>
      <c r="F948" s="126"/>
      <c r="G948" s="80"/>
      <c r="H948" s="80"/>
      <c r="I948" s="80"/>
      <c r="J948" s="80"/>
      <c r="K948" s="80"/>
      <c r="L948" s="80"/>
      <c r="M948" s="80"/>
      <c r="N948" s="80"/>
      <c r="O948" s="80"/>
      <c r="P948" s="80"/>
      <c r="Q948" s="80"/>
      <c r="R948" s="80"/>
      <c r="S948" s="80"/>
      <c r="T948" s="80"/>
      <c r="U948" s="80"/>
      <c r="V948" s="80"/>
      <c r="W948" s="80"/>
      <c r="X948" s="80"/>
      <c r="Y948" s="80"/>
      <c r="Z948" s="80"/>
    </row>
    <row r="949">
      <c r="A949" s="126"/>
      <c r="B949" s="126"/>
      <c r="C949" s="126"/>
      <c r="D949" s="126"/>
      <c r="E949" s="126"/>
      <c r="F949" s="126"/>
      <c r="G949" s="80"/>
      <c r="H949" s="80"/>
      <c r="I949" s="80"/>
      <c r="J949" s="80"/>
      <c r="K949" s="80"/>
      <c r="L949" s="80"/>
      <c r="M949" s="80"/>
      <c r="N949" s="80"/>
      <c r="O949" s="80"/>
      <c r="P949" s="80"/>
      <c r="Q949" s="80"/>
      <c r="R949" s="80"/>
      <c r="S949" s="80"/>
      <c r="T949" s="80"/>
      <c r="U949" s="80"/>
      <c r="V949" s="80"/>
      <c r="W949" s="80"/>
      <c r="X949" s="80"/>
      <c r="Y949" s="80"/>
      <c r="Z949" s="80"/>
    </row>
    <row r="950">
      <c r="A950" s="126"/>
      <c r="B950" s="126"/>
      <c r="C950" s="126"/>
      <c r="D950" s="126"/>
      <c r="E950" s="126"/>
      <c r="F950" s="126"/>
      <c r="G950" s="80"/>
      <c r="H950" s="80"/>
      <c r="I950" s="80"/>
      <c r="J950" s="80"/>
      <c r="K950" s="80"/>
      <c r="L950" s="80"/>
      <c r="M950" s="80"/>
      <c r="N950" s="80"/>
      <c r="O950" s="80"/>
      <c r="P950" s="80"/>
      <c r="Q950" s="80"/>
      <c r="R950" s="80"/>
      <c r="S950" s="80"/>
      <c r="T950" s="80"/>
      <c r="U950" s="80"/>
      <c r="V950" s="80"/>
      <c r="W950" s="80"/>
      <c r="X950" s="80"/>
      <c r="Y950" s="80"/>
      <c r="Z950" s="80"/>
    </row>
    <row r="951">
      <c r="A951" s="126"/>
      <c r="B951" s="126"/>
      <c r="C951" s="126"/>
      <c r="D951" s="126"/>
      <c r="E951" s="126"/>
      <c r="F951" s="126"/>
      <c r="G951" s="80"/>
      <c r="H951" s="80"/>
      <c r="I951" s="80"/>
      <c r="J951" s="80"/>
      <c r="K951" s="80"/>
      <c r="L951" s="80"/>
      <c r="M951" s="80"/>
      <c r="N951" s="80"/>
      <c r="O951" s="80"/>
      <c r="P951" s="80"/>
      <c r="Q951" s="80"/>
      <c r="R951" s="80"/>
      <c r="S951" s="80"/>
      <c r="T951" s="80"/>
      <c r="U951" s="80"/>
      <c r="V951" s="80"/>
      <c r="W951" s="80"/>
      <c r="X951" s="80"/>
      <c r="Y951" s="80"/>
      <c r="Z951" s="80"/>
    </row>
    <row r="952">
      <c r="A952" s="126"/>
      <c r="B952" s="126"/>
      <c r="C952" s="126"/>
      <c r="D952" s="126"/>
      <c r="E952" s="126"/>
      <c r="F952" s="126"/>
      <c r="G952" s="80"/>
      <c r="H952" s="80"/>
      <c r="I952" s="80"/>
      <c r="J952" s="80"/>
      <c r="K952" s="80"/>
      <c r="L952" s="80"/>
      <c r="M952" s="80"/>
      <c r="N952" s="80"/>
      <c r="O952" s="80"/>
      <c r="P952" s="80"/>
      <c r="Q952" s="80"/>
      <c r="R952" s="80"/>
      <c r="S952" s="80"/>
      <c r="T952" s="80"/>
      <c r="U952" s="80"/>
      <c r="V952" s="80"/>
      <c r="W952" s="80"/>
      <c r="X952" s="80"/>
      <c r="Y952" s="80"/>
      <c r="Z952" s="80"/>
    </row>
    <row r="953">
      <c r="A953" s="126"/>
      <c r="B953" s="126"/>
      <c r="C953" s="126"/>
      <c r="D953" s="126"/>
      <c r="E953" s="126"/>
      <c r="F953" s="126"/>
      <c r="G953" s="80"/>
      <c r="H953" s="80"/>
      <c r="I953" s="80"/>
      <c r="J953" s="80"/>
      <c r="K953" s="80"/>
      <c r="L953" s="80"/>
      <c r="M953" s="80"/>
      <c r="N953" s="80"/>
      <c r="O953" s="80"/>
      <c r="P953" s="80"/>
      <c r="Q953" s="80"/>
      <c r="R953" s="80"/>
      <c r="S953" s="80"/>
      <c r="T953" s="80"/>
      <c r="U953" s="80"/>
      <c r="V953" s="80"/>
      <c r="W953" s="80"/>
      <c r="X953" s="80"/>
      <c r="Y953" s="80"/>
      <c r="Z953" s="80"/>
    </row>
    <row r="954">
      <c r="A954" s="126"/>
      <c r="B954" s="126"/>
      <c r="C954" s="126"/>
      <c r="D954" s="126"/>
      <c r="E954" s="126"/>
      <c r="F954" s="126"/>
      <c r="G954" s="80"/>
      <c r="H954" s="80"/>
      <c r="I954" s="80"/>
      <c r="J954" s="80"/>
      <c r="K954" s="80"/>
      <c r="L954" s="80"/>
      <c r="M954" s="80"/>
      <c r="N954" s="80"/>
      <c r="O954" s="80"/>
      <c r="P954" s="80"/>
      <c r="Q954" s="80"/>
      <c r="R954" s="80"/>
      <c r="S954" s="80"/>
      <c r="T954" s="80"/>
      <c r="U954" s="80"/>
      <c r="V954" s="80"/>
      <c r="W954" s="80"/>
      <c r="X954" s="80"/>
      <c r="Y954" s="80"/>
      <c r="Z954" s="80"/>
    </row>
    <row r="955">
      <c r="A955" s="126"/>
      <c r="B955" s="126"/>
      <c r="C955" s="126"/>
      <c r="D955" s="126"/>
      <c r="E955" s="126"/>
      <c r="F955" s="126"/>
      <c r="G955" s="80"/>
      <c r="H955" s="80"/>
      <c r="I955" s="80"/>
      <c r="J955" s="80"/>
      <c r="K955" s="80"/>
      <c r="L955" s="80"/>
      <c r="M955" s="80"/>
      <c r="N955" s="80"/>
      <c r="O955" s="80"/>
      <c r="P955" s="80"/>
      <c r="Q955" s="80"/>
      <c r="R955" s="80"/>
      <c r="S955" s="80"/>
      <c r="T955" s="80"/>
      <c r="U955" s="80"/>
      <c r="V955" s="80"/>
      <c r="W955" s="80"/>
      <c r="X955" s="80"/>
      <c r="Y955" s="80"/>
      <c r="Z955" s="80"/>
    </row>
    <row r="956">
      <c r="A956" s="126"/>
      <c r="B956" s="126"/>
      <c r="C956" s="126"/>
      <c r="D956" s="126"/>
      <c r="E956" s="126"/>
      <c r="F956" s="126"/>
      <c r="G956" s="80"/>
      <c r="H956" s="80"/>
      <c r="I956" s="80"/>
      <c r="J956" s="80"/>
      <c r="K956" s="80"/>
      <c r="L956" s="80"/>
      <c r="M956" s="80"/>
      <c r="N956" s="80"/>
      <c r="O956" s="80"/>
      <c r="P956" s="80"/>
      <c r="Q956" s="80"/>
      <c r="R956" s="80"/>
      <c r="S956" s="80"/>
      <c r="T956" s="80"/>
      <c r="U956" s="80"/>
      <c r="V956" s="80"/>
      <c r="W956" s="80"/>
      <c r="X956" s="80"/>
      <c r="Y956" s="80"/>
      <c r="Z956" s="80"/>
    </row>
    <row r="957">
      <c r="A957" s="126"/>
      <c r="B957" s="126"/>
      <c r="C957" s="126"/>
      <c r="D957" s="126"/>
      <c r="E957" s="126"/>
      <c r="F957" s="126"/>
      <c r="G957" s="80"/>
      <c r="H957" s="80"/>
      <c r="I957" s="80"/>
      <c r="J957" s="80"/>
      <c r="K957" s="80"/>
      <c r="L957" s="80"/>
      <c r="M957" s="80"/>
      <c r="N957" s="80"/>
      <c r="O957" s="80"/>
      <c r="P957" s="80"/>
      <c r="Q957" s="80"/>
      <c r="R957" s="80"/>
      <c r="S957" s="80"/>
      <c r="T957" s="80"/>
      <c r="U957" s="80"/>
      <c r="V957" s="80"/>
      <c r="W957" s="80"/>
      <c r="X957" s="80"/>
      <c r="Y957" s="80"/>
      <c r="Z957" s="80"/>
    </row>
    <row r="958">
      <c r="A958" s="126"/>
      <c r="B958" s="126"/>
      <c r="C958" s="126"/>
      <c r="D958" s="126"/>
      <c r="E958" s="126"/>
      <c r="F958" s="126"/>
      <c r="G958" s="80"/>
      <c r="H958" s="80"/>
      <c r="I958" s="80"/>
      <c r="J958" s="80"/>
      <c r="K958" s="80"/>
      <c r="L958" s="80"/>
      <c r="M958" s="80"/>
      <c r="N958" s="80"/>
      <c r="O958" s="80"/>
      <c r="P958" s="80"/>
      <c r="Q958" s="80"/>
      <c r="R958" s="80"/>
      <c r="S958" s="80"/>
      <c r="T958" s="80"/>
      <c r="U958" s="80"/>
      <c r="V958" s="80"/>
      <c r="W958" s="80"/>
      <c r="X958" s="80"/>
      <c r="Y958" s="80"/>
      <c r="Z958" s="80"/>
    </row>
    <row r="959">
      <c r="A959" s="126"/>
      <c r="B959" s="126"/>
      <c r="C959" s="126"/>
      <c r="D959" s="126"/>
      <c r="E959" s="126"/>
      <c r="F959" s="126"/>
      <c r="G959" s="80"/>
      <c r="H959" s="80"/>
      <c r="I959" s="80"/>
      <c r="J959" s="80"/>
      <c r="K959" s="80"/>
      <c r="L959" s="80"/>
      <c r="M959" s="80"/>
      <c r="N959" s="80"/>
      <c r="O959" s="80"/>
      <c r="P959" s="80"/>
      <c r="Q959" s="80"/>
      <c r="R959" s="80"/>
      <c r="S959" s="80"/>
      <c r="T959" s="80"/>
      <c r="U959" s="80"/>
      <c r="V959" s="80"/>
      <c r="W959" s="80"/>
      <c r="X959" s="80"/>
      <c r="Y959" s="80"/>
      <c r="Z959" s="80"/>
    </row>
    <row r="960">
      <c r="A960" s="126"/>
      <c r="B960" s="126"/>
      <c r="C960" s="126"/>
      <c r="D960" s="126"/>
      <c r="E960" s="126"/>
      <c r="F960" s="126"/>
      <c r="G960" s="80"/>
      <c r="H960" s="80"/>
      <c r="I960" s="80"/>
      <c r="J960" s="80"/>
      <c r="K960" s="80"/>
      <c r="L960" s="80"/>
      <c r="M960" s="80"/>
      <c r="N960" s="80"/>
      <c r="O960" s="80"/>
      <c r="P960" s="80"/>
      <c r="Q960" s="80"/>
      <c r="R960" s="80"/>
      <c r="S960" s="80"/>
      <c r="T960" s="80"/>
      <c r="U960" s="80"/>
      <c r="V960" s="80"/>
      <c r="W960" s="80"/>
      <c r="X960" s="80"/>
      <c r="Y960" s="80"/>
      <c r="Z960" s="80"/>
    </row>
    <row r="961">
      <c r="A961" s="126"/>
      <c r="B961" s="126"/>
      <c r="C961" s="126"/>
      <c r="D961" s="126"/>
      <c r="E961" s="126"/>
      <c r="F961" s="126"/>
      <c r="G961" s="80"/>
      <c r="H961" s="80"/>
      <c r="I961" s="80"/>
      <c r="J961" s="80"/>
      <c r="K961" s="80"/>
      <c r="L961" s="80"/>
      <c r="M961" s="80"/>
      <c r="N961" s="80"/>
      <c r="O961" s="80"/>
      <c r="P961" s="80"/>
      <c r="Q961" s="80"/>
      <c r="R961" s="80"/>
      <c r="S961" s="80"/>
      <c r="T961" s="80"/>
      <c r="U961" s="80"/>
      <c r="V961" s="80"/>
      <c r="W961" s="80"/>
      <c r="X961" s="80"/>
      <c r="Y961" s="80"/>
      <c r="Z961" s="80"/>
    </row>
    <row r="962">
      <c r="A962" s="126"/>
      <c r="B962" s="126"/>
      <c r="C962" s="126"/>
      <c r="D962" s="126"/>
      <c r="E962" s="126"/>
      <c r="F962" s="126"/>
      <c r="G962" s="80"/>
      <c r="H962" s="80"/>
      <c r="I962" s="80"/>
      <c r="J962" s="80"/>
      <c r="K962" s="80"/>
      <c r="L962" s="80"/>
      <c r="M962" s="80"/>
      <c r="N962" s="80"/>
      <c r="O962" s="80"/>
      <c r="P962" s="80"/>
      <c r="Q962" s="80"/>
      <c r="R962" s="80"/>
      <c r="S962" s="80"/>
      <c r="T962" s="80"/>
      <c r="U962" s="80"/>
      <c r="V962" s="80"/>
      <c r="W962" s="80"/>
      <c r="X962" s="80"/>
      <c r="Y962" s="80"/>
      <c r="Z962" s="80"/>
    </row>
    <row r="963">
      <c r="A963" s="126"/>
      <c r="B963" s="126"/>
      <c r="C963" s="126"/>
      <c r="D963" s="126"/>
      <c r="E963" s="126"/>
      <c r="F963" s="126"/>
      <c r="G963" s="80"/>
      <c r="H963" s="80"/>
      <c r="I963" s="80"/>
      <c r="J963" s="80"/>
      <c r="K963" s="80"/>
      <c r="L963" s="80"/>
      <c r="M963" s="80"/>
      <c r="N963" s="80"/>
      <c r="O963" s="80"/>
      <c r="P963" s="80"/>
      <c r="Q963" s="80"/>
      <c r="R963" s="80"/>
      <c r="S963" s="80"/>
      <c r="T963" s="80"/>
      <c r="U963" s="80"/>
      <c r="V963" s="80"/>
      <c r="W963" s="80"/>
      <c r="X963" s="80"/>
      <c r="Y963" s="80"/>
      <c r="Z963" s="80"/>
    </row>
    <row r="964">
      <c r="A964" s="126"/>
      <c r="B964" s="126"/>
      <c r="C964" s="126"/>
      <c r="D964" s="126"/>
      <c r="E964" s="126"/>
      <c r="F964" s="126"/>
      <c r="G964" s="80"/>
      <c r="H964" s="80"/>
      <c r="I964" s="80"/>
      <c r="J964" s="80"/>
      <c r="K964" s="80"/>
      <c r="L964" s="80"/>
      <c r="M964" s="80"/>
      <c r="N964" s="80"/>
      <c r="O964" s="80"/>
      <c r="P964" s="80"/>
      <c r="Q964" s="80"/>
      <c r="R964" s="80"/>
      <c r="S964" s="80"/>
      <c r="T964" s="80"/>
      <c r="U964" s="80"/>
      <c r="V964" s="80"/>
      <c r="W964" s="80"/>
      <c r="X964" s="80"/>
      <c r="Y964" s="80"/>
      <c r="Z964" s="80"/>
    </row>
    <row r="965">
      <c r="A965" s="126"/>
      <c r="B965" s="126"/>
      <c r="C965" s="126"/>
      <c r="D965" s="126"/>
      <c r="E965" s="126"/>
      <c r="F965" s="126"/>
      <c r="G965" s="80"/>
      <c r="H965" s="80"/>
      <c r="I965" s="80"/>
      <c r="J965" s="80"/>
      <c r="K965" s="80"/>
      <c r="L965" s="80"/>
      <c r="M965" s="80"/>
      <c r="N965" s="80"/>
      <c r="O965" s="80"/>
      <c r="P965" s="80"/>
      <c r="Q965" s="80"/>
      <c r="R965" s="80"/>
      <c r="S965" s="80"/>
      <c r="T965" s="80"/>
      <c r="U965" s="80"/>
      <c r="V965" s="80"/>
      <c r="W965" s="80"/>
      <c r="X965" s="80"/>
      <c r="Y965" s="80"/>
      <c r="Z965" s="80"/>
    </row>
    <row r="966">
      <c r="A966" s="126"/>
      <c r="B966" s="126"/>
      <c r="C966" s="126"/>
      <c r="D966" s="126"/>
      <c r="E966" s="126"/>
      <c r="F966" s="126"/>
      <c r="G966" s="80"/>
      <c r="H966" s="80"/>
      <c r="I966" s="80"/>
      <c r="J966" s="80"/>
      <c r="K966" s="80"/>
      <c r="L966" s="80"/>
      <c r="M966" s="80"/>
      <c r="N966" s="80"/>
      <c r="O966" s="80"/>
      <c r="P966" s="80"/>
      <c r="Q966" s="80"/>
      <c r="R966" s="80"/>
      <c r="S966" s="80"/>
      <c r="T966" s="80"/>
      <c r="U966" s="80"/>
      <c r="V966" s="80"/>
      <c r="W966" s="80"/>
      <c r="X966" s="80"/>
      <c r="Y966" s="80"/>
      <c r="Z966" s="80"/>
    </row>
    <row r="967">
      <c r="A967" s="126"/>
      <c r="B967" s="126"/>
      <c r="C967" s="126"/>
      <c r="D967" s="126"/>
      <c r="E967" s="126"/>
      <c r="F967" s="126"/>
      <c r="G967" s="80"/>
      <c r="H967" s="80"/>
      <c r="I967" s="80"/>
      <c r="J967" s="80"/>
      <c r="K967" s="80"/>
      <c r="L967" s="80"/>
      <c r="M967" s="80"/>
      <c r="N967" s="80"/>
      <c r="O967" s="80"/>
      <c r="P967" s="80"/>
      <c r="Q967" s="80"/>
      <c r="R967" s="80"/>
      <c r="S967" s="80"/>
      <c r="T967" s="80"/>
      <c r="U967" s="80"/>
      <c r="V967" s="80"/>
      <c r="W967" s="80"/>
      <c r="X967" s="80"/>
      <c r="Y967" s="80"/>
      <c r="Z967" s="80"/>
    </row>
    <row r="968">
      <c r="A968" s="126"/>
      <c r="B968" s="126"/>
      <c r="C968" s="126"/>
      <c r="D968" s="126"/>
      <c r="E968" s="126"/>
      <c r="F968" s="126"/>
      <c r="G968" s="80"/>
      <c r="H968" s="80"/>
      <c r="I968" s="80"/>
      <c r="J968" s="80"/>
      <c r="K968" s="80"/>
      <c r="L968" s="80"/>
      <c r="M968" s="80"/>
      <c r="N968" s="80"/>
      <c r="O968" s="80"/>
      <c r="P968" s="80"/>
      <c r="Q968" s="80"/>
      <c r="R968" s="80"/>
      <c r="S968" s="80"/>
      <c r="T968" s="80"/>
      <c r="U968" s="80"/>
      <c r="V968" s="80"/>
      <c r="W968" s="80"/>
      <c r="X968" s="80"/>
      <c r="Y968" s="80"/>
      <c r="Z968" s="80"/>
    </row>
    <row r="969">
      <c r="A969" s="126"/>
      <c r="B969" s="126"/>
      <c r="C969" s="126"/>
      <c r="D969" s="126"/>
      <c r="E969" s="126"/>
      <c r="F969" s="126"/>
      <c r="G969" s="80"/>
      <c r="H969" s="80"/>
      <c r="I969" s="80"/>
      <c r="J969" s="80"/>
      <c r="K969" s="80"/>
      <c r="L969" s="80"/>
      <c r="M969" s="80"/>
      <c r="N969" s="80"/>
      <c r="O969" s="80"/>
      <c r="P969" s="80"/>
      <c r="Q969" s="80"/>
      <c r="R969" s="80"/>
      <c r="S969" s="80"/>
      <c r="T969" s="80"/>
      <c r="U969" s="80"/>
      <c r="V969" s="80"/>
      <c r="W969" s="80"/>
      <c r="X969" s="80"/>
      <c r="Y969" s="80"/>
      <c r="Z969" s="80"/>
    </row>
    <row r="970">
      <c r="A970" s="126"/>
      <c r="B970" s="126"/>
      <c r="C970" s="126"/>
      <c r="D970" s="126"/>
      <c r="E970" s="126"/>
      <c r="F970" s="126"/>
      <c r="G970" s="80"/>
      <c r="H970" s="80"/>
      <c r="I970" s="80"/>
      <c r="J970" s="80"/>
      <c r="K970" s="80"/>
      <c r="L970" s="80"/>
      <c r="M970" s="80"/>
      <c r="N970" s="80"/>
      <c r="O970" s="80"/>
      <c r="P970" s="80"/>
      <c r="Q970" s="80"/>
      <c r="R970" s="80"/>
      <c r="S970" s="80"/>
      <c r="T970" s="80"/>
      <c r="U970" s="80"/>
      <c r="V970" s="80"/>
      <c r="W970" s="80"/>
      <c r="X970" s="80"/>
      <c r="Y970" s="80"/>
      <c r="Z970" s="80"/>
    </row>
    <row r="971">
      <c r="A971" s="126"/>
      <c r="B971" s="126"/>
      <c r="C971" s="126"/>
      <c r="D971" s="126"/>
      <c r="E971" s="126"/>
      <c r="F971" s="126"/>
      <c r="G971" s="80"/>
      <c r="H971" s="80"/>
      <c r="I971" s="80"/>
      <c r="J971" s="80"/>
      <c r="K971" s="80"/>
      <c r="L971" s="80"/>
      <c r="M971" s="80"/>
      <c r="N971" s="80"/>
      <c r="O971" s="80"/>
      <c r="P971" s="80"/>
      <c r="Q971" s="80"/>
      <c r="R971" s="80"/>
      <c r="S971" s="80"/>
      <c r="T971" s="80"/>
      <c r="U971" s="80"/>
      <c r="V971" s="80"/>
      <c r="W971" s="80"/>
      <c r="X971" s="80"/>
      <c r="Y971" s="80"/>
      <c r="Z971" s="80"/>
    </row>
    <row r="972">
      <c r="A972" s="126"/>
      <c r="B972" s="126"/>
      <c r="C972" s="126"/>
      <c r="D972" s="126"/>
      <c r="E972" s="126"/>
      <c r="F972" s="126"/>
      <c r="G972" s="80"/>
      <c r="H972" s="80"/>
      <c r="I972" s="80"/>
      <c r="J972" s="80"/>
      <c r="K972" s="80"/>
      <c r="L972" s="80"/>
      <c r="M972" s="80"/>
      <c r="N972" s="80"/>
      <c r="O972" s="80"/>
      <c r="P972" s="80"/>
      <c r="Q972" s="80"/>
      <c r="R972" s="80"/>
      <c r="S972" s="80"/>
      <c r="T972" s="80"/>
      <c r="U972" s="80"/>
      <c r="V972" s="80"/>
      <c r="W972" s="80"/>
      <c r="X972" s="80"/>
      <c r="Y972" s="80"/>
      <c r="Z972" s="80"/>
    </row>
    <row r="973">
      <c r="A973" s="126"/>
      <c r="B973" s="126"/>
      <c r="C973" s="126"/>
      <c r="D973" s="126"/>
      <c r="E973" s="126"/>
      <c r="F973" s="126"/>
      <c r="G973" s="80"/>
      <c r="H973" s="80"/>
      <c r="I973" s="80"/>
      <c r="J973" s="80"/>
      <c r="K973" s="80"/>
      <c r="L973" s="80"/>
      <c r="M973" s="80"/>
      <c r="N973" s="80"/>
      <c r="O973" s="80"/>
      <c r="P973" s="80"/>
      <c r="Q973" s="80"/>
      <c r="R973" s="80"/>
      <c r="S973" s="80"/>
      <c r="T973" s="80"/>
      <c r="U973" s="80"/>
      <c r="V973" s="80"/>
      <c r="W973" s="80"/>
      <c r="X973" s="80"/>
      <c r="Y973" s="80"/>
      <c r="Z973" s="80"/>
    </row>
    <row r="974">
      <c r="A974" s="126"/>
      <c r="B974" s="126"/>
      <c r="C974" s="126"/>
      <c r="D974" s="126"/>
      <c r="E974" s="126"/>
      <c r="F974" s="126"/>
      <c r="G974" s="80"/>
      <c r="H974" s="80"/>
      <c r="I974" s="80"/>
      <c r="J974" s="80"/>
      <c r="K974" s="80"/>
      <c r="L974" s="80"/>
      <c r="M974" s="80"/>
      <c r="N974" s="80"/>
      <c r="O974" s="80"/>
      <c r="P974" s="80"/>
      <c r="Q974" s="80"/>
      <c r="R974" s="80"/>
      <c r="S974" s="80"/>
      <c r="T974" s="80"/>
      <c r="U974" s="80"/>
      <c r="V974" s="80"/>
      <c r="W974" s="80"/>
      <c r="X974" s="80"/>
      <c r="Y974" s="80"/>
      <c r="Z974" s="80"/>
    </row>
    <row r="975">
      <c r="A975" s="126"/>
      <c r="B975" s="126"/>
      <c r="C975" s="126"/>
      <c r="D975" s="126"/>
      <c r="E975" s="126"/>
      <c r="F975" s="126"/>
      <c r="G975" s="80"/>
      <c r="H975" s="80"/>
      <c r="I975" s="80"/>
      <c r="J975" s="80"/>
      <c r="K975" s="80"/>
      <c r="L975" s="80"/>
      <c r="M975" s="80"/>
      <c r="N975" s="80"/>
      <c r="O975" s="80"/>
      <c r="P975" s="80"/>
      <c r="Q975" s="80"/>
      <c r="R975" s="80"/>
      <c r="S975" s="80"/>
      <c r="T975" s="80"/>
      <c r="U975" s="80"/>
      <c r="V975" s="80"/>
      <c r="W975" s="80"/>
      <c r="X975" s="80"/>
      <c r="Y975" s="80"/>
      <c r="Z975" s="80"/>
    </row>
    <row r="976">
      <c r="A976" s="126"/>
      <c r="B976" s="126"/>
      <c r="C976" s="126"/>
      <c r="D976" s="126"/>
      <c r="E976" s="126"/>
      <c r="F976" s="126"/>
      <c r="G976" s="80"/>
      <c r="H976" s="80"/>
      <c r="I976" s="80"/>
      <c r="J976" s="80"/>
      <c r="K976" s="80"/>
      <c r="L976" s="80"/>
      <c r="M976" s="80"/>
      <c r="N976" s="80"/>
      <c r="O976" s="80"/>
      <c r="P976" s="80"/>
      <c r="Q976" s="80"/>
      <c r="R976" s="80"/>
      <c r="S976" s="80"/>
      <c r="T976" s="80"/>
      <c r="U976" s="80"/>
      <c r="V976" s="80"/>
      <c r="W976" s="80"/>
      <c r="X976" s="80"/>
      <c r="Y976" s="80"/>
      <c r="Z976" s="80"/>
    </row>
    <row r="977">
      <c r="A977" s="126"/>
      <c r="B977" s="126"/>
      <c r="C977" s="126"/>
      <c r="D977" s="126"/>
      <c r="E977" s="126"/>
      <c r="F977" s="126"/>
      <c r="G977" s="80"/>
      <c r="H977" s="80"/>
      <c r="I977" s="80"/>
      <c r="J977" s="80"/>
      <c r="K977" s="80"/>
      <c r="L977" s="80"/>
      <c r="M977" s="80"/>
      <c r="N977" s="80"/>
      <c r="O977" s="80"/>
      <c r="P977" s="80"/>
      <c r="Q977" s="80"/>
      <c r="R977" s="80"/>
      <c r="S977" s="80"/>
      <c r="T977" s="80"/>
      <c r="U977" s="80"/>
      <c r="V977" s="80"/>
      <c r="W977" s="80"/>
      <c r="X977" s="80"/>
      <c r="Y977" s="80"/>
      <c r="Z977" s="80"/>
    </row>
    <row r="978">
      <c r="A978" s="126"/>
      <c r="B978" s="126"/>
      <c r="C978" s="126"/>
      <c r="D978" s="126"/>
      <c r="E978" s="126"/>
      <c r="F978" s="126"/>
      <c r="G978" s="80"/>
      <c r="H978" s="80"/>
      <c r="I978" s="80"/>
      <c r="J978" s="80"/>
      <c r="K978" s="80"/>
      <c r="L978" s="80"/>
      <c r="M978" s="80"/>
      <c r="N978" s="80"/>
      <c r="O978" s="80"/>
      <c r="P978" s="80"/>
      <c r="Q978" s="80"/>
      <c r="R978" s="80"/>
      <c r="S978" s="80"/>
      <c r="T978" s="80"/>
      <c r="U978" s="80"/>
      <c r="V978" s="80"/>
      <c r="W978" s="80"/>
      <c r="X978" s="80"/>
      <c r="Y978" s="80"/>
      <c r="Z978" s="80"/>
    </row>
    <row r="979">
      <c r="A979" s="126"/>
      <c r="B979" s="126"/>
      <c r="C979" s="126"/>
      <c r="D979" s="126"/>
      <c r="E979" s="126"/>
      <c r="F979" s="126"/>
      <c r="G979" s="80"/>
      <c r="H979" s="80"/>
      <c r="I979" s="80"/>
      <c r="J979" s="80"/>
      <c r="K979" s="80"/>
      <c r="L979" s="80"/>
      <c r="M979" s="80"/>
      <c r="N979" s="80"/>
      <c r="O979" s="80"/>
      <c r="P979" s="80"/>
      <c r="Q979" s="80"/>
      <c r="R979" s="80"/>
      <c r="S979" s="80"/>
      <c r="T979" s="80"/>
      <c r="U979" s="80"/>
      <c r="V979" s="80"/>
      <c r="W979" s="80"/>
      <c r="X979" s="80"/>
      <c r="Y979" s="80"/>
      <c r="Z979" s="80"/>
    </row>
    <row r="980">
      <c r="A980" s="126"/>
      <c r="B980" s="126"/>
      <c r="C980" s="126"/>
      <c r="D980" s="126"/>
      <c r="E980" s="126"/>
      <c r="F980" s="126"/>
      <c r="G980" s="80"/>
      <c r="H980" s="80"/>
      <c r="I980" s="80"/>
      <c r="J980" s="80"/>
      <c r="K980" s="80"/>
      <c r="L980" s="80"/>
      <c r="M980" s="80"/>
      <c r="N980" s="80"/>
      <c r="O980" s="80"/>
      <c r="P980" s="80"/>
      <c r="Q980" s="80"/>
      <c r="R980" s="80"/>
      <c r="S980" s="80"/>
      <c r="T980" s="80"/>
      <c r="U980" s="80"/>
      <c r="V980" s="80"/>
      <c r="W980" s="80"/>
      <c r="X980" s="80"/>
      <c r="Y980" s="80"/>
      <c r="Z980" s="80"/>
    </row>
    <row r="981">
      <c r="A981" s="126"/>
      <c r="B981" s="126"/>
      <c r="C981" s="126"/>
      <c r="D981" s="126"/>
      <c r="E981" s="126"/>
      <c r="F981" s="126"/>
      <c r="G981" s="80"/>
      <c r="H981" s="80"/>
      <c r="I981" s="80"/>
      <c r="J981" s="80"/>
      <c r="K981" s="80"/>
      <c r="L981" s="80"/>
      <c r="M981" s="80"/>
      <c r="N981" s="80"/>
      <c r="O981" s="80"/>
      <c r="P981" s="80"/>
      <c r="Q981" s="80"/>
      <c r="R981" s="80"/>
      <c r="S981" s="80"/>
      <c r="T981" s="80"/>
      <c r="U981" s="80"/>
      <c r="V981" s="80"/>
      <c r="W981" s="80"/>
      <c r="X981" s="80"/>
      <c r="Y981" s="80"/>
      <c r="Z981" s="80"/>
    </row>
    <row r="982">
      <c r="A982" s="126"/>
      <c r="B982" s="126"/>
      <c r="C982" s="126"/>
      <c r="D982" s="126"/>
      <c r="E982" s="126"/>
      <c r="F982" s="126"/>
      <c r="G982" s="80"/>
      <c r="H982" s="80"/>
      <c r="I982" s="80"/>
      <c r="J982" s="80"/>
      <c r="K982" s="80"/>
      <c r="L982" s="80"/>
      <c r="M982" s="80"/>
      <c r="N982" s="80"/>
      <c r="O982" s="80"/>
      <c r="P982" s="80"/>
      <c r="Q982" s="80"/>
      <c r="R982" s="80"/>
      <c r="S982" s="80"/>
      <c r="T982" s="80"/>
      <c r="U982" s="80"/>
      <c r="V982" s="80"/>
      <c r="W982" s="80"/>
      <c r="X982" s="80"/>
      <c r="Y982" s="80"/>
      <c r="Z982" s="80"/>
    </row>
    <row r="983">
      <c r="A983" s="126"/>
      <c r="B983" s="126"/>
      <c r="C983" s="126"/>
      <c r="D983" s="126"/>
      <c r="E983" s="126"/>
      <c r="F983" s="126"/>
      <c r="G983" s="80"/>
      <c r="H983" s="80"/>
      <c r="I983" s="80"/>
      <c r="J983" s="80"/>
      <c r="K983" s="80"/>
      <c r="L983" s="80"/>
      <c r="M983" s="80"/>
      <c r="N983" s="80"/>
      <c r="O983" s="80"/>
      <c r="P983" s="80"/>
      <c r="Q983" s="80"/>
      <c r="R983" s="80"/>
      <c r="S983" s="80"/>
      <c r="T983" s="80"/>
      <c r="U983" s="80"/>
      <c r="V983" s="80"/>
      <c r="W983" s="80"/>
      <c r="X983" s="80"/>
      <c r="Y983" s="80"/>
      <c r="Z983" s="80"/>
    </row>
    <row r="984">
      <c r="A984" s="126"/>
      <c r="B984" s="126"/>
      <c r="C984" s="126"/>
      <c r="D984" s="126"/>
      <c r="E984" s="126"/>
      <c r="F984" s="126"/>
      <c r="G984" s="80"/>
      <c r="H984" s="80"/>
      <c r="I984" s="80"/>
      <c r="J984" s="80"/>
      <c r="K984" s="80"/>
      <c r="L984" s="80"/>
      <c r="M984" s="80"/>
      <c r="N984" s="80"/>
      <c r="O984" s="80"/>
      <c r="P984" s="80"/>
      <c r="Q984" s="80"/>
      <c r="R984" s="80"/>
      <c r="S984" s="80"/>
      <c r="T984" s="80"/>
      <c r="U984" s="80"/>
      <c r="V984" s="80"/>
      <c r="W984" s="80"/>
      <c r="X984" s="80"/>
      <c r="Y984" s="80"/>
      <c r="Z984" s="80"/>
    </row>
    <row r="985">
      <c r="A985" s="126"/>
      <c r="B985" s="126"/>
      <c r="C985" s="126"/>
      <c r="D985" s="126"/>
      <c r="E985" s="126"/>
      <c r="F985" s="126"/>
      <c r="G985" s="80"/>
      <c r="H985" s="80"/>
      <c r="I985" s="80"/>
      <c r="J985" s="80"/>
      <c r="K985" s="80"/>
      <c r="L985" s="80"/>
      <c r="M985" s="80"/>
      <c r="N985" s="80"/>
      <c r="O985" s="80"/>
      <c r="P985" s="80"/>
      <c r="Q985" s="80"/>
      <c r="R985" s="80"/>
      <c r="S985" s="80"/>
      <c r="T985" s="80"/>
      <c r="U985" s="80"/>
      <c r="V985" s="80"/>
      <c r="W985" s="80"/>
      <c r="X985" s="80"/>
      <c r="Y985" s="80"/>
      <c r="Z985" s="80"/>
    </row>
    <row r="986">
      <c r="A986" s="126"/>
      <c r="B986" s="126"/>
      <c r="C986" s="126"/>
      <c r="D986" s="126"/>
      <c r="E986" s="126"/>
      <c r="F986" s="126"/>
      <c r="G986" s="80"/>
      <c r="H986" s="80"/>
      <c r="I986" s="80"/>
      <c r="J986" s="80"/>
      <c r="K986" s="80"/>
      <c r="L986" s="80"/>
      <c r="M986" s="80"/>
      <c r="N986" s="80"/>
      <c r="O986" s="80"/>
      <c r="P986" s="80"/>
      <c r="Q986" s="80"/>
      <c r="R986" s="80"/>
      <c r="S986" s="80"/>
      <c r="T986" s="80"/>
      <c r="U986" s="80"/>
      <c r="V986" s="80"/>
      <c r="W986" s="80"/>
      <c r="X986" s="80"/>
      <c r="Y986" s="80"/>
      <c r="Z986" s="80"/>
    </row>
    <row r="987">
      <c r="A987" s="126"/>
      <c r="B987" s="126"/>
      <c r="C987" s="126"/>
      <c r="D987" s="126"/>
      <c r="E987" s="126"/>
      <c r="F987" s="126"/>
      <c r="G987" s="80"/>
      <c r="H987" s="80"/>
      <c r="I987" s="80"/>
      <c r="J987" s="80"/>
      <c r="K987" s="80"/>
      <c r="L987" s="80"/>
      <c r="M987" s="80"/>
      <c r="N987" s="80"/>
      <c r="O987" s="80"/>
      <c r="P987" s="80"/>
      <c r="Q987" s="80"/>
      <c r="R987" s="80"/>
      <c r="S987" s="80"/>
      <c r="T987" s="80"/>
      <c r="U987" s="80"/>
      <c r="V987" s="80"/>
      <c r="W987" s="80"/>
      <c r="X987" s="80"/>
      <c r="Y987" s="80"/>
      <c r="Z987" s="80"/>
    </row>
    <row r="988">
      <c r="A988" s="126"/>
      <c r="B988" s="126"/>
      <c r="C988" s="126"/>
      <c r="D988" s="126"/>
      <c r="E988" s="126"/>
      <c r="F988" s="126"/>
      <c r="G988" s="80"/>
      <c r="H988" s="80"/>
      <c r="I988" s="80"/>
      <c r="J988" s="80"/>
      <c r="K988" s="80"/>
      <c r="L988" s="80"/>
      <c r="M988" s="80"/>
      <c r="N988" s="80"/>
      <c r="O988" s="80"/>
      <c r="P988" s="80"/>
      <c r="Q988" s="80"/>
      <c r="R988" s="80"/>
      <c r="S988" s="80"/>
      <c r="T988" s="80"/>
      <c r="U988" s="80"/>
      <c r="V988" s="80"/>
      <c r="W988" s="80"/>
      <c r="X988" s="80"/>
      <c r="Y988" s="80"/>
      <c r="Z988" s="80"/>
    </row>
    <row r="989">
      <c r="A989" s="126"/>
      <c r="B989" s="126"/>
      <c r="C989" s="126"/>
      <c r="D989" s="126"/>
      <c r="E989" s="126"/>
      <c r="F989" s="126"/>
      <c r="G989" s="80"/>
      <c r="H989" s="80"/>
      <c r="I989" s="80"/>
      <c r="J989" s="80"/>
      <c r="K989" s="80"/>
      <c r="L989" s="80"/>
      <c r="M989" s="80"/>
      <c r="N989" s="80"/>
      <c r="O989" s="80"/>
      <c r="P989" s="80"/>
      <c r="Q989" s="80"/>
      <c r="R989" s="80"/>
      <c r="S989" s="80"/>
      <c r="T989" s="80"/>
      <c r="U989" s="80"/>
      <c r="V989" s="80"/>
      <c r="W989" s="80"/>
      <c r="X989" s="80"/>
      <c r="Y989" s="80"/>
      <c r="Z989" s="80"/>
    </row>
    <row r="990">
      <c r="A990" s="126"/>
      <c r="B990" s="126"/>
      <c r="C990" s="126"/>
      <c r="D990" s="126"/>
      <c r="E990" s="126"/>
      <c r="F990" s="126"/>
      <c r="G990" s="80"/>
      <c r="H990" s="80"/>
      <c r="I990" s="80"/>
      <c r="J990" s="80"/>
      <c r="K990" s="80"/>
      <c r="L990" s="80"/>
      <c r="M990" s="80"/>
      <c r="N990" s="80"/>
      <c r="O990" s="80"/>
      <c r="P990" s="80"/>
      <c r="Q990" s="80"/>
      <c r="R990" s="80"/>
      <c r="S990" s="80"/>
      <c r="T990" s="80"/>
      <c r="U990" s="80"/>
      <c r="V990" s="80"/>
      <c r="W990" s="80"/>
      <c r="X990" s="80"/>
      <c r="Y990" s="80"/>
      <c r="Z990" s="80"/>
    </row>
    <row r="991">
      <c r="A991" s="126"/>
      <c r="B991" s="126"/>
      <c r="C991" s="126"/>
      <c r="D991" s="126"/>
      <c r="E991" s="126"/>
      <c r="F991" s="126"/>
      <c r="G991" s="80"/>
      <c r="H991" s="80"/>
      <c r="I991" s="80"/>
      <c r="J991" s="80"/>
      <c r="K991" s="80"/>
      <c r="L991" s="80"/>
      <c r="M991" s="80"/>
      <c r="N991" s="80"/>
      <c r="O991" s="80"/>
      <c r="P991" s="80"/>
      <c r="Q991" s="80"/>
      <c r="R991" s="80"/>
      <c r="S991" s="80"/>
      <c r="T991" s="80"/>
      <c r="U991" s="80"/>
      <c r="V991" s="80"/>
      <c r="W991" s="80"/>
      <c r="X991" s="80"/>
      <c r="Y991" s="80"/>
      <c r="Z991" s="80"/>
    </row>
    <row r="992">
      <c r="A992" s="126"/>
      <c r="B992" s="126"/>
      <c r="C992" s="126"/>
      <c r="D992" s="126"/>
      <c r="E992" s="126"/>
      <c r="F992" s="126"/>
      <c r="G992" s="80"/>
      <c r="H992" s="80"/>
      <c r="I992" s="80"/>
      <c r="J992" s="80"/>
      <c r="K992" s="80"/>
      <c r="L992" s="80"/>
      <c r="M992" s="80"/>
      <c r="N992" s="80"/>
      <c r="O992" s="80"/>
      <c r="P992" s="80"/>
      <c r="Q992" s="80"/>
      <c r="R992" s="80"/>
      <c r="S992" s="80"/>
      <c r="T992" s="80"/>
      <c r="U992" s="80"/>
      <c r="V992" s="80"/>
      <c r="W992" s="80"/>
      <c r="X992" s="80"/>
      <c r="Y992" s="80"/>
      <c r="Z992" s="80"/>
    </row>
    <row r="993">
      <c r="A993" s="126"/>
      <c r="B993" s="126"/>
      <c r="C993" s="126"/>
      <c r="D993" s="126"/>
      <c r="E993" s="126"/>
      <c r="F993" s="126"/>
      <c r="G993" s="80"/>
      <c r="H993" s="80"/>
      <c r="I993" s="80"/>
      <c r="J993" s="80"/>
      <c r="K993" s="80"/>
      <c r="L993" s="80"/>
      <c r="M993" s="80"/>
      <c r="N993" s="80"/>
      <c r="O993" s="80"/>
      <c r="P993" s="80"/>
      <c r="Q993" s="80"/>
      <c r="R993" s="80"/>
      <c r="S993" s="80"/>
      <c r="T993" s="80"/>
      <c r="U993" s="80"/>
      <c r="V993" s="80"/>
      <c r="W993" s="80"/>
      <c r="X993" s="80"/>
      <c r="Y993" s="80"/>
      <c r="Z993" s="80"/>
    </row>
    <row r="994">
      <c r="A994" s="126"/>
      <c r="B994" s="126"/>
      <c r="C994" s="126"/>
      <c r="D994" s="126"/>
      <c r="E994" s="126"/>
      <c r="F994" s="126"/>
      <c r="G994" s="80"/>
      <c r="H994" s="80"/>
      <c r="I994" s="80"/>
      <c r="J994" s="80"/>
      <c r="K994" s="80"/>
      <c r="L994" s="80"/>
      <c r="M994" s="80"/>
      <c r="N994" s="80"/>
      <c r="O994" s="80"/>
      <c r="P994" s="80"/>
      <c r="Q994" s="80"/>
      <c r="R994" s="80"/>
      <c r="S994" s="80"/>
      <c r="T994" s="80"/>
      <c r="U994" s="80"/>
      <c r="V994" s="80"/>
      <c r="W994" s="80"/>
      <c r="X994" s="80"/>
      <c r="Y994" s="80"/>
      <c r="Z994" s="80"/>
    </row>
    <row r="995">
      <c r="A995" s="126"/>
      <c r="B995" s="126"/>
      <c r="C995" s="126"/>
      <c r="D995" s="126"/>
      <c r="E995" s="126"/>
      <c r="F995" s="126"/>
      <c r="G995" s="80"/>
      <c r="H995" s="80"/>
      <c r="I995" s="80"/>
      <c r="J995" s="80"/>
      <c r="K995" s="80"/>
      <c r="L995" s="80"/>
      <c r="M995" s="80"/>
      <c r="N995" s="80"/>
      <c r="O995" s="80"/>
      <c r="P995" s="80"/>
      <c r="Q995" s="80"/>
      <c r="R995" s="80"/>
      <c r="S995" s="80"/>
      <c r="T995" s="80"/>
      <c r="U995" s="80"/>
      <c r="V995" s="80"/>
      <c r="W995" s="80"/>
      <c r="X995" s="80"/>
      <c r="Y995" s="80"/>
      <c r="Z995" s="80"/>
    </row>
    <row r="996">
      <c r="A996" s="126"/>
      <c r="B996" s="126"/>
      <c r="C996" s="126"/>
      <c r="D996" s="126"/>
      <c r="E996" s="126"/>
      <c r="F996" s="126"/>
      <c r="G996" s="80"/>
      <c r="H996" s="80"/>
      <c r="I996" s="80"/>
      <c r="J996" s="80"/>
      <c r="K996" s="80"/>
      <c r="L996" s="80"/>
      <c r="M996" s="80"/>
      <c r="N996" s="80"/>
      <c r="O996" s="80"/>
      <c r="P996" s="80"/>
      <c r="Q996" s="80"/>
      <c r="R996" s="80"/>
      <c r="S996" s="80"/>
      <c r="T996" s="80"/>
      <c r="U996" s="80"/>
      <c r="V996" s="80"/>
      <c r="W996" s="80"/>
      <c r="X996" s="80"/>
      <c r="Y996" s="80"/>
      <c r="Z996" s="80"/>
    </row>
    <row r="997">
      <c r="A997" s="126"/>
      <c r="B997" s="126"/>
      <c r="C997" s="126"/>
      <c r="D997" s="126"/>
      <c r="E997" s="126"/>
      <c r="F997" s="126"/>
      <c r="G997" s="80"/>
      <c r="H997" s="80"/>
      <c r="I997" s="80"/>
      <c r="J997" s="80"/>
      <c r="K997" s="80"/>
      <c r="L997" s="80"/>
      <c r="M997" s="80"/>
      <c r="N997" s="80"/>
      <c r="O997" s="80"/>
      <c r="P997" s="80"/>
      <c r="Q997" s="80"/>
      <c r="R997" s="80"/>
      <c r="S997" s="80"/>
      <c r="T997" s="80"/>
      <c r="U997" s="80"/>
      <c r="V997" s="80"/>
      <c r="W997" s="80"/>
      <c r="X997" s="80"/>
      <c r="Y997" s="80"/>
      <c r="Z997" s="80"/>
    </row>
    <row r="998">
      <c r="A998" s="126"/>
      <c r="B998" s="126"/>
      <c r="C998" s="126"/>
      <c r="D998" s="126"/>
      <c r="E998" s="126"/>
      <c r="F998" s="126"/>
      <c r="G998" s="80"/>
      <c r="H998" s="80"/>
      <c r="I998" s="80"/>
      <c r="J998" s="80"/>
      <c r="K998" s="80"/>
      <c r="L998" s="80"/>
      <c r="M998" s="80"/>
      <c r="N998" s="80"/>
      <c r="O998" s="80"/>
      <c r="P998" s="80"/>
      <c r="Q998" s="80"/>
      <c r="R998" s="80"/>
      <c r="S998" s="80"/>
      <c r="T998" s="80"/>
      <c r="U998" s="80"/>
      <c r="V998" s="80"/>
      <c r="W998" s="80"/>
      <c r="X998" s="80"/>
      <c r="Y998" s="80"/>
      <c r="Z998" s="80"/>
    </row>
    <row r="999">
      <c r="A999" s="126"/>
      <c r="B999" s="126"/>
      <c r="C999" s="126"/>
      <c r="D999" s="126"/>
      <c r="E999" s="126"/>
      <c r="F999" s="126"/>
      <c r="G999" s="80"/>
      <c r="H999" s="80"/>
      <c r="I999" s="80"/>
      <c r="J999" s="80"/>
      <c r="K999" s="80"/>
      <c r="L999" s="80"/>
      <c r="M999" s="80"/>
      <c r="N999" s="80"/>
      <c r="O999" s="80"/>
      <c r="P999" s="80"/>
      <c r="Q999" s="80"/>
      <c r="R999" s="80"/>
      <c r="S999" s="80"/>
      <c r="T999" s="80"/>
      <c r="U999" s="80"/>
      <c r="V999" s="80"/>
      <c r="W999" s="80"/>
      <c r="X999" s="80"/>
      <c r="Y999" s="80"/>
      <c r="Z999" s="80"/>
    </row>
    <row r="1000">
      <c r="A1000" s="126"/>
      <c r="B1000" s="126"/>
      <c r="C1000" s="126"/>
      <c r="D1000" s="126"/>
      <c r="E1000" s="126"/>
      <c r="F1000" s="126"/>
      <c r="G1000" s="80"/>
      <c r="H1000" s="80"/>
      <c r="I1000" s="80"/>
      <c r="J1000" s="80"/>
      <c r="K1000" s="80"/>
      <c r="L1000" s="80"/>
      <c r="M1000" s="80"/>
      <c r="N1000" s="80"/>
      <c r="O1000" s="80"/>
      <c r="P1000" s="80"/>
      <c r="Q1000" s="80"/>
      <c r="R1000" s="80"/>
      <c r="S1000" s="80"/>
      <c r="T1000" s="80"/>
      <c r="U1000" s="80"/>
      <c r="V1000" s="80"/>
      <c r="W1000" s="80"/>
      <c r="X1000" s="80"/>
      <c r="Y1000" s="80"/>
      <c r="Z1000" s="80"/>
    </row>
    <row r="1001">
      <c r="A1001" s="126"/>
      <c r="B1001" s="126"/>
      <c r="C1001" s="126"/>
      <c r="D1001" s="126"/>
      <c r="E1001" s="126"/>
      <c r="F1001" s="126"/>
      <c r="G1001" s="80"/>
      <c r="H1001" s="80"/>
      <c r="I1001" s="80"/>
      <c r="J1001" s="80"/>
      <c r="K1001" s="80"/>
      <c r="L1001" s="80"/>
      <c r="M1001" s="80"/>
      <c r="N1001" s="80"/>
      <c r="O1001" s="80"/>
      <c r="P1001" s="80"/>
      <c r="Q1001" s="80"/>
      <c r="R1001" s="80"/>
      <c r="S1001" s="80"/>
      <c r="T1001" s="80"/>
      <c r="U1001" s="80"/>
      <c r="V1001" s="80"/>
      <c r="W1001" s="80"/>
      <c r="X1001" s="80"/>
      <c r="Y1001" s="80"/>
      <c r="Z1001" s="80"/>
    </row>
    <row r="1002">
      <c r="A1002" s="126"/>
      <c r="B1002" s="126"/>
      <c r="C1002" s="126"/>
      <c r="D1002" s="126"/>
      <c r="E1002" s="126"/>
      <c r="F1002" s="126"/>
      <c r="G1002" s="80"/>
      <c r="H1002" s="80"/>
      <c r="I1002" s="80"/>
      <c r="J1002" s="80"/>
      <c r="K1002" s="80"/>
      <c r="L1002" s="80"/>
      <c r="M1002" s="80"/>
      <c r="N1002" s="80"/>
      <c r="O1002" s="80"/>
      <c r="P1002" s="80"/>
      <c r="Q1002" s="80"/>
      <c r="R1002" s="80"/>
      <c r="S1002" s="80"/>
      <c r="T1002" s="80"/>
      <c r="U1002" s="80"/>
      <c r="V1002" s="80"/>
      <c r="W1002" s="80"/>
      <c r="X1002" s="80"/>
      <c r="Y1002" s="80"/>
      <c r="Z1002" s="80"/>
    </row>
    <row r="1003">
      <c r="A1003" s="126"/>
      <c r="B1003" s="126"/>
      <c r="C1003" s="126"/>
      <c r="D1003" s="126"/>
      <c r="E1003" s="126"/>
      <c r="F1003" s="126"/>
      <c r="G1003" s="80"/>
      <c r="H1003" s="80"/>
      <c r="I1003" s="80"/>
      <c r="J1003" s="80"/>
      <c r="K1003" s="80"/>
      <c r="L1003" s="80"/>
      <c r="M1003" s="80"/>
      <c r="N1003" s="80"/>
      <c r="O1003" s="80"/>
      <c r="P1003" s="80"/>
      <c r="Q1003" s="80"/>
      <c r="R1003" s="80"/>
      <c r="S1003" s="80"/>
      <c r="T1003" s="80"/>
      <c r="U1003" s="80"/>
      <c r="V1003" s="80"/>
      <c r="W1003" s="80"/>
      <c r="X1003" s="80"/>
      <c r="Y1003" s="80"/>
      <c r="Z1003" s="80"/>
    </row>
    <row r="1004">
      <c r="A1004" s="126"/>
      <c r="B1004" s="126"/>
      <c r="C1004" s="126"/>
      <c r="D1004" s="126"/>
      <c r="E1004" s="126"/>
      <c r="F1004" s="126"/>
      <c r="G1004" s="80"/>
      <c r="H1004" s="80"/>
      <c r="I1004" s="80"/>
      <c r="J1004" s="80"/>
      <c r="K1004" s="80"/>
      <c r="L1004" s="80"/>
      <c r="M1004" s="80"/>
      <c r="N1004" s="80"/>
      <c r="O1004" s="80"/>
      <c r="P1004" s="80"/>
      <c r="Q1004" s="80"/>
      <c r="R1004" s="80"/>
      <c r="S1004" s="80"/>
      <c r="T1004" s="80"/>
      <c r="U1004" s="80"/>
      <c r="V1004" s="80"/>
      <c r="W1004" s="80"/>
      <c r="X1004" s="80"/>
      <c r="Y1004" s="80"/>
      <c r="Z1004" s="80"/>
    </row>
    <row r="1005">
      <c r="A1005" s="126"/>
      <c r="B1005" s="126"/>
      <c r="C1005" s="126"/>
      <c r="D1005" s="126"/>
      <c r="E1005" s="126"/>
      <c r="F1005" s="126"/>
      <c r="G1005" s="80"/>
      <c r="H1005" s="80"/>
      <c r="I1005" s="80"/>
      <c r="J1005" s="80"/>
      <c r="K1005" s="80"/>
      <c r="L1005" s="80"/>
      <c r="M1005" s="80"/>
      <c r="N1005" s="80"/>
      <c r="O1005" s="80"/>
      <c r="P1005" s="80"/>
      <c r="Q1005" s="80"/>
      <c r="R1005" s="80"/>
      <c r="S1005" s="80"/>
      <c r="T1005" s="80"/>
      <c r="U1005" s="80"/>
      <c r="V1005" s="80"/>
      <c r="W1005" s="80"/>
      <c r="X1005" s="80"/>
      <c r="Y1005" s="80"/>
      <c r="Z1005" s="80"/>
    </row>
    <row r="1006">
      <c r="A1006" s="126"/>
      <c r="B1006" s="126"/>
      <c r="C1006" s="126"/>
      <c r="D1006" s="126"/>
      <c r="E1006" s="126"/>
      <c r="F1006" s="126"/>
      <c r="G1006" s="80"/>
      <c r="H1006" s="80"/>
      <c r="I1006" s="80"/>
      <c r="J1006" s="80"/>
      <c r="K1006" s="80"/>
      <c r="L1006" s="80"/>
      <c r="M1006" s="80"/>
      <c r="N1006" s="80"/>
      <c r="O1006" s="80"/>
      <c r="P1006" s="80"/>
      <c r="Q1006" s="80"/>
      <c r="R1006" s="80"/>
      <c r="S1006" s="80"/>
      <c r="T1006" s="80"/>
      <c r="U1006" s="80"/>
      <c r="V1006" s="80"/>
      <c r="W1006" s="80"/>
      <c r="X1006" s="80"/>
      <c r="Y1006" s="80"/>
      <c r="Z1006" s="80"/>
    </row>
  </sheetData>
  <mergeCells count="2">
    <mergeCell ref="C23:E23"/>
    <mergeCell ref="G26:H26"/>
  </mergeCells>
  <conditionalFormatting sqref="H22">
    <cfRule type="notContainsBlanks" dxfId="0" priority="1">
      <formula>LEN(TRIM(H22))&gt;0</formula>
    </cfRule>
  </conditionalFormatting>
  <conditionalFormatting sqref="G5:G19 O5:O19">
    <cfRule type="expression" dxfId="0" priority="2">
      <formula>$D:$D="Bullish"</formula>
    </cfRule>
  </conditionalFormatting>
  <conditionalFormatting sqref="G5:G19 O5:O19">
    <cfRule type="expression" dxfId="1" priority="3">
      <formula>$D:$D="Bearish"</formula>
    </cfRule>
  </conditionalFormatting>
  <conditionalFormatting sqref="G21 O21">
    <cfRule type="cellIs" dxfId="0" priority="4" operator="greaterThan">
      <formula>"G16 &gt;0"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34.25"/>
    <col customWidth="1" min="3" max="3" width="11.5"/>
    <col customWidth="1" min="4" max="4" width="12.5"/>
    <col customWidth="1" min="9" max="9" width="54.75"/>
  </cols>
  <sheetData>
    <row r="1">
      <c r="A1" s="140"/>
      <c r="B1" s="141" t="s">
        <v>147</v>
      </c>
      <c r="C1" s="142"/>
      <c r="D1" s="80"/>
      <c r="E1" s="143" t="s">
        <v>148</v>
      </c>
      <c r="F1" s="80"/>
      <c r="G1" s="80"/>
      <c r="H1" s="80"/>
      <c r="I1" s="80"/>
      <c r="J1" s="80"/>
      <c r="K1" s="80"/>
      <c r="L1" s="80"/>
      <c r="M1" s="80"/>
      <c r="N1" s="80"/>
      <c r="O1" s="80"/>
      <c r="P1" s="80"/>
      <c r="Q1" s="80"/>
      <c r="R1" s="80"/>
      <c r="S1" s="80"/>
      <c r="T1" s="80"/>
      <c r="U1" s="80"/>
      <c r="V1" s="80"/>
      <c r="W1" s="80"/>
      <c r="X1" s="80"/>
      <c r="Y1" s="80"/>
      <c r="Z1" s="80"/>
    </row>
    <row r="2">
      <c r="A2" s="80"/>
      <c r="B2" s="144" t="s">
        <v>149</v>
      </c>
      <c r="C2" s="145" t="s">
        <v>150</v>
      </c>
      <c r="D2" s="80"/>
      <c r="E2" s="146" t="s">
        <v>151</v>
      </c>
      <c r="F2" s="147"/>
      <c r="G2" s="80"/>
      <c r="H2" s="148" t="s">
        <v>152</v>
      </c>
      <c r="I2" s="149" t="s">
        <v>153</v>
      </c>
      <c r="J2" s="80"/>
      <c r="K2" s="80"/>
      <c r="L2" s="80"/>
      <c r="M2" s="80"/>
      <c r="N2" s="80"/>
      <c r="O2" s="80"/>
      <c r="P2" s="80"/>
      <c r="Q2" s="80"/>
      <c r="R2" s="80"/>
      <c r="S2" s="80"/>
      <c r="T2" s="80"/>
      <c r="U2" s="80"/>
      <c r="V2" s="80"/>
      <c r="W2" s="80"/>
      <c r="X2" s="80"/>
      <c r="Y2" s="80"/>
      <c r="Z2" s="80"/>
    </row>
    <row r="3">
      <c r="A3" s="106" t="s">
        <v>20</v>
      </c>
      <c r="B3" s="106" t="s">
        <v>21</v>
      </c>
      <c r="C3" s="106" t="s">
        <v>25</v>
      </c>
      <c r="D3" s="150" t="s">
        <v>23</v>
      </c>
      <c r="E3" s="150" t="s">
        <v>154</v>
      </c>
      <c r="F3" s="150" t="s">
        <v>155</v>
      </c>
      <c r="G3" s="80"/>
      <c r="H3" s="106" t="s">
        <v>24</v>
      </c>
      <c r="I3" s="151" t="s">
        <v>156</v>
      </c>
      <c r="J3" s="80"/>
      <c r="K3" s="80"/>
      <c r="L3" s="80"/>
      <c r="M3" s="80"/>
      <c r="N3" s="80"/>
      <c r="O3" s="80"/>
      <c r="P3" s="80"/>
      <c r="Q3" s="80"/>
      <c r="R3" s="80"/>
      <c r="S3" s="80"/>
      <c r="T3" s="80"/>
      <c r="U3" s="80"/>
      <c r="V3" s="80"/>
      <c r="W3" s="80"/>
      <c r="X3" s="80"/>
      <c r="Y3" s="80"/>
      <c r="Z3" s="80"/>
    </row>
    <row r="4">
      <c r="A4" s="152"/>
      <c r="B4" s="80"/>
      <c r="C4" s="80"/>
      <c r="D4" s="80"/>
      <c r="E4" s="153"/>
      <c r="F4" s="80"/>
      <c r="G4" s="80"/>
      <c r="H4" s="80"/>
      <c r="I4" s="80"/>
      <c r="J4" s="80"/>
      <c r="K4" s="80"/>
      <c r="L4" s="80"/>
      <c r="M4" s="80"/>
      <c r="N4" s="80"/>
      <c r="O4" s="80"/>
      <c r="P4" s="80"/>
      <c r="Q4" s="80"/>
      <c r="R4" s="80"/>
      <c r="S4" s="80"/>
      <c r="T4" s="80"/>
      <c r="U4" s="80"/>
      <c r="V4" s="80"/>
      <c r="W4" s="80"/>
      <c r="X4" s="80"/>
      <c r="Y4" s="80"/>
      <c r="Z4" s="80"/>
    </row>
    <row r="5">
      <c r="A5" s="104" t="s">
        <v>157</v>
      </c>
      <c r="B5" s="105"/>
      <c r="C5" s="117"/>
      <c r="D5" s="154"/>
      <c r="E5" s="155"/>
      <c r="F5" s="156"/>
      <c r="G5" s="80"/>
      <c r="H5" s="110"/>
      <c r="I5" s="154"/>
      <c r="J5" s="80"/>
      <c r="K5" s="80"/>
      <c r="L5" s="80"/>
      <c r="M5" s="80"/>
      <c r="N5" s="80"/>
      <c r="O5" s="80"/>
      <c r="P5" s="80"/>
      <c r="Q5" s="80"/>
      <c r="R5" s="80"/>
      <c r="S5" s="80"/>
      <c r="T5" s="80"/>
      <c r="U5" s="80"/>
      <c r="V5" s="80"/>
      <c r="W5" s="80"/>
      <c r="X5" s="80"/>
      <c r="Y5" s="80"/>
      <c r="Z5" s="80"/>
    </row>
    <row r="6">
      <c r="A6" s="152"/>
      <c r="B6" s="109" t="s">
        <v>158</v>
      </c>
      <c r="C6" s="117" t="str">
        <f t="shared" ref="C6:C7" si="1">ifs(H6&lt;=-0.5,"Bearish",AND(H6&lt;0,H6&gt;-0.5),"Slight Bear",H6=0,"Neutral",AND(0&lt;H6,H6&lt;0.5),"Slight Bull",H6&gt;=0.5,"Bullish")</f>
        <v>Bullish</v>
      </c>
      <c r="D6" s="154"/>
      <c r="E6" s="156" t="s">
        <v>159</v>
      </c>
      <c r="F6" s="156" t="s">
        <v>160</v>
      </c>
      <c r="G6" s="80"/>
      <c r="H6" s="110">
        <v>1.0</v>
      </c>
      <c r="I6" s="154"/>
      <c r="J6" s="80"/>
      <c r="K6" s="80"/>
      <c r="L6" s="80"/>
      <c r="M6" s="80"/>
      <c r="N6" s="80"/>
      <c r="O6" s="80"/>
      <c r="P6" s="80"/>
      <c r="Q6" s="80"/>
      <c r="R6" s="80"/>
      <c r="S6" s="80"/>
      <c r="T6" s="80"/>
      <c r="U6" s="80"/>
      <c r="V6" s="80"/>
      <c r="W6" s="80"/>
      <c r="X6" s="80"/>
      <c r="Y6" s="80"/>
      <c r="Z6" s="80"/>
    </row>
    <row r="7">
      <c r="A7" s="152"/>
      <c r="B7" s="109" t="s">
        <v>161</v>
      </c>
      <c r="C7" s="117" t="str">
        <f t="shared" si="1"/>
        <v>Neutral</v>
      </c>
      <c r="D7" s="154"/>
      <c r="E7" s="157" t="s">
        <v>162</v>
      </c>
      <c r="F7" s="156" t="s">
        <v>162</v>
      </c>
      <c r="G7" s="80"/>
      <c r="H7" s="110">
        <v>0.0</v>
      </c>
      <c r="I7" s="154"/>
      <c r="J7" s="80"/>
      <c r="K7" s="80"/>
      <c r="L7" s="80"/>
      <c r="M7" s="80"/>
      <c r="N7" s="80"/>
      <c r="O7" s="80"/>
      <c r="P7" s="80"/>
      <c r="Q7" s="80"/>
      <c r="R7" s="80"/>
      <c r="S7" s="80"/>
      <c r="T7" s="80"/>
      <c r="U7" s="80"/>
      <c r="V7" s="80"/>
      <c r="W7" s="80"/>
      <c r="X7" s="80"/>
      <c r="Y7" s="80"/>
      <c r="Z7" s="80"/>
    </row>
    <row r="8">
      <c r="A8" s="152"/>
      <c r="B8" s="80"/>
      <c r="C8" s="80"/>
      <c r="D8" s="80"/>
      <c r="E8" s="153"/>
      <c r="F8" s="74"/>
      <c r="G8" s="80"/>
      <c r="H8" s="80"/>
      <c r="I8" s="80"/>
      <c r="J8" s="80"/>
      <c r="K8" s="80"/>
      <c r="L8" s="80"/>
      <c r="M8" s="80"/>
      <c r="N8" s="80"/>
      <c r="O8" s="80"/>
      <c r="P8" s="80"/>
      <c r="Q8" s="80"/>
      <c r="R8" s="80"/>
      <c r="S8" s="80"/>
      <c r="T8" s="80"/>
      <c r="U8" s="80"/>
      <c r="V8" s="80"/>
      <c r="W8" s="80"/>
      <c r="X8" s="80"/>
      <c r="Y8" s="80"/>
      <c r="Z8" s="80"/>
    </row>
    <row r="9">
      <c r="A9" s="152"/>
      <c r="B9" s="80"/>
      <c r="C9" s="80"/>
      <c r="D9" s="80"/>
      <c r="E9" s="153"/>
      <c r="F9" s="74"/>
      <c r="G9" s="80"/>
      <c r="H9" s="80"/>
      <c r="I9" s="80"/>
      <c r="J9" s="80"/>
      <c r="K9" s="80"/>
      <c r="L9" s="80"/>
      <c r="M9" s="80"/>
      <c r="N9" s="80"/>
      <c r="O9" s="80"/>
      <c r="P9" s="80"/>
      <c r="Q9" s="80"/>
      <c r="R9" s="80"/>
      <c r="S9" s="80"/>
      <c r="T9" s="80"/>
      <c r="U9" s="80"/>
      <c r="V9" s="80"/>
      <c r="W9" s="80"/>
      <c r="X9" s="80"/>
      <c r="Y9" s="80"/>
      <c r="Z9" s="80"/>
    </row>
    <row r="10">
      <c r="A10" s="80"/>
      <c r="B10" s="80"/>
      <c r="C10" s="80"/>
      <c r="D10" s="80"/>
      <c r="E10" s="153"/>
      <c r="F10" s="74"/>
      <c r="G10" s="80"/>
      <c r="H10" s="80"/>
      <c r="I10" s="80"/>
      <c r="J10" s="80"/>
      <c r="K10" s="80"/>
      <c r="L10" s="80"/>
      <c r="M10" s="80"/>
      <c r="N10" s="80"/>
      <c r="O10" s="80"/>
      <c r="P10" s="80"/>
      <c r="Q10" s="80"/>
      <c r="R10" s="80"/>
      <c r="S10" s="80"/>
      <c r="T10" s="80"/>
      <c r="U10" s="80"/>
      <c r="V10" s="80"/>
      <c r="W10" s="80"/>
      <c r="X10" s="80"/>
      <c r="Y10" s="80"/>
      <c r="Z10" s="80"/>
    </row>
    <row r="11">
      <c r="A11" s="109" t="s">
        <v>163</v>
      </c>
      <c r="B11" s="105" t="s">
        <v>164</v>
      </c>
      <c r="C11" s="117" t="str">
        <f t="shared" ref="C11:C16" si="2">ifs(H11&lt;=-0.5,"Bearish",AND(H11&lt;0,H11&gt;-0.5),"Slight Bear",H11=0,"Neutral",AND(0&lt;H11,H11&lt;0.5),"Slight Bull",H11&gt;=0.5,"Bullish")</f>
        <v>Bearish</v>
      </c>
      <c r="D11" s="156" t="s">
        <v>165</v>
      </c>
      <c r="E11" s="158"/>
      <c r="F11" s="156" t="s">
        <v>166</v>
      </c>
      <c r="G11" s="80"/>
      <c r="H11" s="110">
        <v>-1.0</v>
      </c>
      <c r="I11" s="154"/>
      <c r="J11" s="80"/>
      <c r="K11" s="80"/>
      <c r="L11" s="80"/>
      <c r="M11" s="80"/>
      <c r="N11" s="80"/>
      <c r="O11" s="80"/>
      <c r="P11" s="80"/>
      <c r="Q11" s="80"/>
      <c r="R11" s="80"/>
      <c r="S11" s="80"/>
      <c r="T11" s="80"/>
      <c r="U11" s="80"/>
      <c r="V11" s="80"/>
      <c r="W11" s="80"/>
      <c r="X11" s="80"/>
      <c r="Y11" s="80"/>
      <c r="Z11" s="80"/>
    </row>
    <row r="12">
      <c r="A12" s="159"/>
      <c r="B12" s="105" t="s">
        <v>167</v>
      </c>
      <c r="C12" s="117" t="str">
        <f t="shared" si="2"/>
        <v>Bearish</v>
      </c>
      <c r="D12" s="156" t="s">
        <v>168</v>
      </c>
      <c r="E12" s="158"/>
      <c r="F12" s="156" t="s">
        <v>166</v>
      </c>
      <c r="G12" s="80"/>
      <c r="H12" s="110">
        <v>-1.0</v>
      </c>
      <c r="I12" s="154"/>
      <c r="J12" s="80"/>
      <c r="K12" s="80"/>
      <c r="L12" s="80"/>
      <c r="M12" s="80"/>
      <c r="N12" s="80"/>
      <c r="O12" s="80"/>
      <c r="P12" s="80"/>
      <c r="Q12" s="80"/>
      <c r="R12" s="80"/>
      <c r="S12" s="80"/>
      <c r="T12" s="80"/>
      <c r="U12" s="80"/>
      <c r="V12" s="80"/>
      <c r="W12" s="80"/>
      <c r="X12" s="80"/>
      <c r="Y12" s="80"/>
      <c r="Z12" s="80"/>
    </row>
    <row r="13">
      <c r="A13" s="159"/>
      <c r="B13" s="105" t="s">
        <v>169</v>
      </c>
      <c r="C13" s="160" t="str">
        <f t="shared" si="2"/>
        <v>Bearish</v>
      </c>
      <c r="D13" s="156" t="s">
        <v>170</v>
      </c>
      <c r="E13" s="158"/>
      <c r="F13" s="156" t="s">
        <v>166</v>
      </c>
      <c r="G13" s="80"/>
      <c r="H13" s="110">
        <v>-1.0</v>
      </c>
      <c r="I13" s="154"/>
      <c r="J13" s="80"/>
      <c r="K13" s="80"/>
      <c r="L13" s="80"/>
      <c r="M13" s="80"/>
      <c r="N13" s="80"/>
      <c r="O13" s="80"/>
      <c r="P13" s="80"/>
      <c r="Q13" s="80"/>
      <c r="R13" s="80"/>
      <c r="S13" s="80"/>
      <c r="T13" s="80"/>
      <c r="U13" s="80"/>
      <c r="V13" s="80"/>
      <c r="W13" s="80"/>
      <c r="X13" s="80"/>
      <c r="Y13" s="80"/>
      <c r="Z13" s="80"/>
    </row>
    <row r="14">
      <c r="A14" s="159"/>
      <c r="B14" s="161" t="s">
        <v>171</v>
      </c>
      <c r="C14" s="162" t="str">
        <f t="shared" si="2"/>
        <v>Bearish</v>
      </c>
      <c r="D14" s="163" t="s">
        <v>172</v>
      </c>
      <c r="E14" s="164"/>
      <c r="F14" s="156" t="s">
        <v>166</v>
      </c>
      <c r="G14" s="80"/>
      <c r="H14" s="110">
        <v>-1.0</v>
      </c>
      <c r="I14" s="165"/>
      <c r="J14" s="80"/>
      <c r="K14" s="80"/>
      <c r="L14" s="80"/>
      <c r="M14" s="80"/>
      <c r="N14" s="80"/>
      <c r="O14" s="80"/>
      <c r="P14" s="80"/>
      <c r="Q14" s="80"/>
      <c r="R14" s="80"/>
      <c r="S14" s="80"/>
      <c r="T14" s="80"/>
      <c r="U14" s="80"/>
      <c r="V14" s="80"/>
      <c r="W14" s="80"/>
      <c r="X14" s="80"/>
      <c r="Y14" s="80"/>
      <c r="Z14" s="80"/>
    </row>
    <row r="15">
      <c r="A15" s="159"/>
      <c r="B15" s="161" t="s">
        <v>173</v>
      </c>
      <c r="C15" s="162" t="str">
        <f t="shared" si="2"/>
        <v>Bearish</v>
      </c>
      <c r="D15" s="163" t="s">
        <v>174</v>
      </c>
      <c r="E15" s="165"/>
      <c r="F15" s="163" t="s">
        <v>166</v>
      </c>
      <c r="G15" s="80"/>
      <c r="H15" s="110">
        <v>-1.0</v>
      </c>
      <c r="I15" s="154"/>
      <c r="J15" s="80"/>
      <c r="K15" s="80"/>
      <c r="L15" s="80"/>
      <c r="M15" s="80"/>
      <c r="N15" s="80"/>
      <c r="O15" s="80"/>
      <c r="P15" s="80"/>
      <c r="Q15" s="80"/>
      <c r="R15" s="80"/>
      <c r="S15" s="80"/>
      <c r="T15" s="80"/>
      <c r="U15" s="80"/>
      <c r="V15" s="80"/>
      <c r="W15" s="80"/>
      <c r="X15" s="80"/>
      <c r="Y15" s="80"/>
      <c r="Z15" s="80"/>
    </row>
    <row r="16" ht="55.5" customHeight="1">
      <c r="A16" s="80"/>
      <c r="B16" s="166" t="s">
        <v>175</v>
      </c>
      <c r="C16" s="162" t="str">
        <f t="shared" si="2"/>
        <v>Bearish</v>
      </c>
      <c r="D16" s="167" t="s">
        <v>176</v>
      </c>
      <c r="E16" s="165"/>
      <c r="F16" s="163" t="s">
        <v>166</v>
      </c>
      <c r="G16" s="80"/>
      <c r="H16" s="110">
        <v>-1.0</v>
      </c>
      <c r="I16" s="154"/>
      <c r="J16" s="80"/>
      <c r="K16" s="80"/>
      <c r="L16" s="80"/>
      <c r="M16" s="80"/>
      <c r="N16" s="80"/>
      <c r="O16" s="80"/>
      <c r="P16" s="80"/>
      <c r="Q16" s="80"/>
      <c r="R16" s="80"/>
      <c r="S16" s="80"/>
      <c r="T16" s="80"/>
      <c r="U16" s="80"/>
      <c r="V16" s="80"/>
      <c r="W16" s="80"/>
      <c r="X16" s="80"/>
      <c r="Y16" s="80"/>
      <c r="Z16" s="80"/>
    </row>
    <row r="17" ht="55.5" customHeight="1">
      <c r="A17" s="80"/>
      <c r="B17" s="111" t="s">
        <v>37</v>
      </c>
      <c r="C17" s="117" t="str">
        <f t="shared" ref="C17:C18" si="3">ifs(H17&lt;=-0.5,"Bearish",AND(H17&lt;0,H16&gt;-0.5),"Slight Bear",H17=0,"Neutral",AND(0&lt;H17,H16&lt;0.5),"Slight Bull",H17&gt;=0.5,"Bullish")</f>
        <v>Bearish</v>
      </c>
      <c r="D17" s="168" t="s">
        <v>43</v>
      </c>
      <c r="E17" s="154"/>
      <c r="F17" s="156"/>
      <c r="G17" s="80"/>
      <c r="H17" s="110">
        <v>-1.0</v>
      </c>
      <c r="I17" s="154"/>
      <c r="J17" s="80"/>
      <c r="K17" s="80"/>
      <c r="L17" s="80"/>
      <c r="M17" s="80"/>
      <c r="N17" s="80"/>
      <c r="O17" s="80"/>
      <c r="P17" s="80"/>
      <c r="Q17" s="80"/>
      <c r="R17" s="80"/>
      <c r="S17" s="80"/>
      <c r="T17" s="80"/>
      <c r="U17" s="80"/>
      <c r="V17" s="80"/>
      <c r="W17" s="80"/>
      <c r="X17" s="80"/>
      <c r="Y17" s="80"/>
      <c r="Z17" s="80"/>
    </row>
    <row r="18" ht="45.0" customHeight="1">
      <c r="A18" s="80"/>
      <c r="B18" s="113" t="s">
        <v>41</v>
      </c>
      <c r="C18" s="117" t="str">
        <f t="shared" si="3"/>
        <v>Bearish</v>
      </c>
      <c r="D18" s="168" t="s">
        <v>43</v>
      </c>
      <c r="E18" s="154"/>
      <c r="F18" s="156"/>
      <c r="G18" s="80"/>
      <c r="H18" s="110">
        <v>-1.0</v>
      </c>
      <c r="I18" s="154"/>
      <c r="J18" s="80"/>
      <c r="K18" s="80"/>
      <c r="L18" s="80"/>
      <c r="M18" s="80"/>
      <c r="N18" s="80"/>
      <c r="O18" s="80"/>
      <c r="P18" s="80"/>
      <c r="Q18" s="80"/>
      <c r="R18" s="80"/>
      <c r="S18" s="80"/>
      <c r="T18" s="80"/>
      <c r="U18" s="80"/>
      <c r="V18" s="80"/>
      <c r="W18" s="80"/>
      <c r="X18" s="80"/>
      <c r="Y18" s="80"/>
      <c r="Z18" s="80"/>
    </row>
    <row r="19">
      <c r="A19" s="80"/>
      <c r="B19" s="80"/>
      <c r="C19" s="80"/>
      <c r="D19" s="80"/>
      <c r="E19" s="80"/>
      <c r="F19" s="169"/>
      <c r="G19" s="80"/>
      <c r="H19" s="80"/>
      <c r="I19" s="80"/>
      <c r="J19" s="80"/>
      <c r="K19" s="80"/>
      <c r="L19" s="80"/>
      <c r="M19" s="80"/>
      <c r="N19" s="80"/>
      <c r="O19" s="80"/>
      <c r="P19" s="80"/>
      <c r="Q19" s="80"/>
      <c r="R19" s="80"/>
      <c r="S19" s="80"/>
      <c r="T19" s="80"/>
      <c r="U19" s="80"/>
      <c r="V19" s="80"/>
      <c r="W19" s="80"/>
      <c r="X19" s="80"/>
      <c r="Y19" s="80"/>
      <c r="Z19" s="80"/>
    </row>
    <row r="20">
      <c r="A20" s="170" t="s">
        <v>177</v>
      </c>
      <c r="B20" s="105" t="s">
        <v>178</v>
      </c>
      <c r="C20" s="117" t="str">
        <f t="shared" ref="C20:C23" si="4">ifs(H20&lt;=-0.5,"Bearish",AND(H20&lt;0,H20&gt;-0.5),"Slight Bear",H20=0,"Neutral",AND(0&lt;H20,H20&lt;0.5),"Slight Bull",H20&gt;=0.5,"Bullish")</f>
        <v>Bearish</v>
      </c>
      <c r="D20" s="156" t="s">
        <v>179</v>
      </c>
      <c r="E20" s="154"/>
      <c r="F20" s="156" t="s">
        <v>166</v>
      </c>
      <c r="G20" s="80"/>
      <c r="H20" s="110">
        <v>-1.0</v>
      </c>
      <c r="I20" s="154"/>
      <c r="J20" s="80"/>
      <c r="K20" s="80"/>
      <c r="L20" s="80"/>
      <c r="M20" s="80"/>
      <c r="N20" s="80"/>
      <c r="O20" s="80"/>
      <c r="P20" s="80"/>
      <c r="Q20" s="80"/>
      <c r="R20" s="80"/>
      <c r="S20" s="80"/>
      <c r="T20" s="80"/>
      <c r="U20" s="80"/>
      <c r="V20" s="80"/>
      <c r="W20" s="80"/>
      <c r="X20" s="80"/>
      <c r="Y20" s="80"/>
      <c r="Z20" s="80"/>
    </row>
    <row r="21">
      <c r="A21" s="171"/>
      <c r="B21" s="172" t="s">
        <v>180</v>
      </c>
      <c r="C21" s="173" t="str">
        <f t="shared" si="4"/>
        <v>Bearish</v>
      </c>
      <c r="D21" s="174" t="s">
        <v>181</v>
      </c>
      <c r="E21" s="175"/>
      <c r="F21" s="156" t="s">
        <v>166</v>
      </c>
      <c r="G21" s="80"/>
      <c r="H21" s="110">
        <v>-1.0</v>
      </c>
      <c r="I21" s="175"/>
      <c r="J21" s="80"/>
      <c r="K21" s="80"/>
      <c r="L21" s="80"/>
      <c r="M21" s="80"/>
      <c r="N21" s="80"/>
      <c r="O21" s="80"/>
      <c r="P21" s="80"/>
      <c r="Q21" s="80"/>
      <c r="R21" s="80"/>
      <c r="S21" s="80"/>
      <c r="T21" s="80"/>
      <c r="U21" s="80"/>
      <c r="V21" s="80"/>
      <c r="W21" s="80"/>
      <c r="X21" s="80"/>
      <c r="Y21" s="80"/>
      <c r="Z21" s="80"/>
    </row>
    <row r="22">
      <c r="A22" s="159"/>
      <c r="B22" s="105" t="s">
        <v>182</v>
      </c>
      <c r="C22" s="117" t="str">
        <f t="shared" si="4"/>
        <v>Bearish</v>
      </c>
      <c r="D22" s="156" t="s">
        <v>183</v>
      </c>
      <c r="E22" s="154"/>
      <c r="F22" s="156" t="s">
        <v>166</v>
      </c>
      <c r="G22" s="80"/>
      <c r="H22" s="110">
        <v>-1.0</v>
      </c>
      <c r="I22" s="154"/>
      <c r="J22" s="80"/>
      <c r="K22" s="80"/>
      <c r="N22" s="80"/>
      <c r="O22" s="80"/>
      <c r="P22" s="80"/>
      <c r="Q22" s="80"/>
      <c r="R22" s="80"/>
      <c r="S22" s="80"/>
      <c r="T22" s="80"/>
      <c r="U22" s="80"/>
      <c r="V22" s="80"/>
      <c r="W22" s="80"/>
      <c r="X22" s="80"/>
      <c r="Y22" s="80"/>
      <c r="Z22" s="80"/>
    </row>
    <row r="23">
      <c r="A23" s="159"/>
      <c r="B23" s="105" t="s">
        <v>184</v>
      </c>
      <c r="C23" s="117" t="str">
        <f t="shared" si="4"/>
        <v>Bearish</v>
      </c>
      <c r="D23" s="119" t="s">
        <v>185</v>
      </c>
      <c r="E23" s="154"/>
      <c r="F23" s="156" t="s">
        <v>166</v>
      </c>
      <c r="G23" s="80"/>
      <c r="H23" s="110">
        <v>-1.0</v>
      </c>
      <c r="I23" s="154"/>
      <c r="J23" s="80"/>
      <c r="K23" s="80"/>
      <c r="L23" s="80"/>
      <c r="M23" s="80"/>
      <c r="N23" s="80"/>
      <c r="O23" s="80"/>
      <c r="P23" s="80"/>
      <c r="Q23" s="80"/>
      <c r="R23" s="80"/>
      <c r="S23" s="80"/>
      <c r="T23" s="80"/>
      <c r="U23" s="80"/>
      <c r="V23" s="80"/>
      <c r="W23" s="80"/>
      <c r="X23" s="80"/>
      <c r="Y23" s="80"/>
      <c r="Z23" s="80"/>
    </row>
    <row r="24">
      <c r="A24" s="80"/>
      <c r="B24" s="80"/>
      <c r="C24" s="80"/>
      <c r="D24" s="80"/>
      <c r="E24" s="80"/>
      <c r="F24" s="74"/>
      <c r="G24" s="80"/>
      <c r="H24" s="80"/>
      <c r="I24" s="80"/>
      <c r="J24" s="80"/>
      <c r="K24" s="80"/>
      <c r="L24" s="80"/>
      <c r="M24" s="80"/>
      <c r="N24" s="80"/>
      <c r="O24" s="80"/>
      <c r="P24" s="80"/>
      <c r="Q24" s="80"/>
      <c r="R24" s="80"/>
      <c r="S24" s="80"/>
      <c r="T24" s="80"/>
      <c r="U24" s="80"/>
      <c r="V24" s="80"/>
      <c r="W24" s="80"/>
      <c r="X24" s="80"/>
      <c r="Y24" s="80"/>
      <c r="Z24" s="80"/>
    </row>
    <row r="25">
      <c r="A25" s="80"/>
      <c r="B25" s="80"/>
      <c r="C25" s="80"/>
      <c r="D25" s="80"/>
      <c r="E25" s="80"/>
      <c r="F25" s="74"/>
      <c r="G25" s="80"/>
      <c r="H25" s="80"/>
      <c r="I25" s="80"/>
      <c r="J25" s="80"/>
      <c r="K25" s="80"/>
      <c r="L25" s="80"/>
      <c r="M25" s="80"/>
      <c r="N25" s="80"/>
      <c r="O25" s="80"/>
      <c r="P25" s="80"/>
      <c r="Q25" s="80"/>
      <c r="R25" s="80"/>
      <c r="S25" s="80"/>
      <c r="T25" s="80"/>
      <c r="U25" s="80"/>
      <c r="V25" s="80"/>
      <c r="W25" s="80"/>
      <c r="X25" s="80"/>
      <c r="Y25" s="80"/>
      <c r="Z25" s="80"/>
    </row>
    <row r="26">
      <c r="A26" s="176" t="s">
        <v>186</v>
      </c>
      <c r="B26" s="105" t="s">
        <v>187</v>
      </c>
      <c r="C26" s="177" t="str">
        <f t="shared" ref="C26:C28" si="5">ifs(H26&lt;=-0.5,"Bearish",AND(H26&lt;0,H26&gt;-0.5),"Slight Bear",H26=0,"Neutral",AND(0&lt;H26,H26&lt;0.5),"Slight Bull",H26&gt;=0.5,"Bullish")</f>
        <v>Bearish</v>
      </c>
      <c r="D26" s="178"/>
      <c r="E26" s="179"/>
      <c r="F26" s="119" t="s">
        <v>188</v>
      </c>
      <c r="G26" s="80"/>
      <c r="H26" s="110">
        <v>-1.0</v>
      </c>
      <c r="I26" s="180" t="s">
        <v>189</v>
      </c>
      <c r="J26" s="80"/>
      <c r="K26" s="80"/>
      <c r="L26" s="80"/>
      <c r="M26" s="80"/>
      <c r="N26" s="80"/>
      <c r="O26" s="80"/>
      <c r="P26" s="80"/>
      <c r="Q26" s="80"/>
      <c r="R26" s="80"/>
      <c r="S26" s="80"/>
      <c r="T26" s="80"/>
      <c r="U26" s="80"/>
      <c r="V26" s="80"/>
      <c r="W26" s="80"/>
      <c r="X26" s="80"/>
      <c r="Y26" s="80"/>
      <c r="Z26" s="80"/>
    </row>
    <row r="27">
      <c r="A27" s="159"/>
      <c r="B27" s="105" t="s">
        <v>190</v>
      </c>
      <c r="C27" s="177" t="str">
        <f t="shared" si="5"/>
        <v>Bearish</v>
      </c>
      <c r="D27" s="119" t="s">
        <v>191</v>
      </c>
      <c r="E27" s="179"/>
      <c r="F27" s="119" t="s">
        <v>192</v>
      </c>
      <c r="G27" s="80"/>
      <c r="H27" s="110">
        <v>-1.0</v>
      </c>
      <c r="I27" s="181" t="s">
        <v>193</v>
      </c>
      <c r="J27" s="80"/>
      <c r="K27" s="80"/>
      <c r="L27" s="80"/>
      <c r="M27" s="80"/>
      <c r="N27" s="80"/>
      <c r="O27" s="80"/>
      <c r="P27" s="80"/>
      <c r="Q27" s="80"/>
      <c r="R27" s="80"/>
      <c r="S27" s="80"/>
      <c r="T27" s="80"/>
      <c r="U27" s="80"/>
      <c r="V27" s="80"/>
      <c r="W27" s="80"/>
      <c r="X27" s="80"/>
      <c r="Y27" s="80"/>
      <c r="Z27" s="80"/>
    </row>
    <row r="28">
      <c r="A28" s="159"/>
      <c r="B28" s="105" t="s">
        <v>194</v>
      </c>
      <c r="C28" s="177" t="str">
        <f t="shared" si="5"/>
        <v>Bearish</v>
      </c>
      <c r="D28" s="119" t="s">
        <v>195</v>
      </c>
      <c r="E28" s="179"/>
      <c r="F28" s="182" t="s">
        <v>196</v>
      </c>
      <c r="G28" s="80"/>
      <c r="H28" s="110">
        <v>-1.0</v>
      </c>
      <c r="I28" s="181" t="s">
        <v>193</v>
      </c>
      <c r="J28" s="80"/>
      <c r="K28" s="80"/>
      <c r="L28" s="80"/>
      <c r="M28" s="80"/>
      <c r="N28" s="80"/>
      <c r="O28" s="80"/>
      <c r="P28" s="80"/>
      <c r="Q28" s="80"/>
      <c r="R28" s="80"/>
      <c r="S28" s="80"/>
      <c r="T28" s="80"/>
      <c r="U28" s="80"/>
      <c r="V28" s="80"/>
      <c r="W28" s="80"/>
      <c r="X28" s="80"/>
      <c r="Y28" s="80"/>
      <c r="Z28" s="80"/>
    </row>
    <row r="29">
      <c r="A29" s="80"/>
      <c r="B29" s="80"/>
      <c r="C29" s="80"/>
      <c r="D29" s="80"/>
      <c r="E29" s="80"/>
      <c r="F29" s="74"/>
      <c r="G29" s="80"/>
      <c r="H29" s="80"/>
      <c r="I29" s="80"/>
      <c r="J29" s="80"/>
      <c r="K29" s="80"/>
      <c r="L29" s="80"/>
      <c r="M29" s="80"/>
      <c r="N29" s="80"/>
      <c r="O29" s="80"/>
      <c r="P29" s="80"/>
      <c r="Q29" s="80"/>
      <c r="R29" s="80"/>
      <c r="S29" s="80"/>
      <c r="T29" s="80"/>
      <c r="U29" s="80"/>
      <c r="V29" s="80"/>
      <c r="W29" s="80"/>
      <c r="X29" s="80"/>
      <c r="Y29" s="80"/>
      <c r="Z29" s="80"/>
    </row>
    <row r="30">
      <c r="A30" s="80"/>
      <c r="B30" s="80"/>
      <c r="C30" s="80"/>
      <c r="D30" s="80"/>
      <c r="E30" s="80"/>
      <c r="F30" s="74"/>
      <c r="G30" s="80"/>
      <c r="H30" s="80"/>
      <c r="I30" s="80"/>
      <c r="J30" s="80"/>
      <c r="K30" s="80"/>
      <c r="L30" s="80"/>
      <c r="M30" s="80"/>
      <c r="N30" s="80"/>
      <c r="O30" s="80"/>
      <c r="P30" s="80"/>
      <c r="Q30" s="80"/>
      <c r="R30" s="80"/>
      <c r="S30" s="80"/>
      <c r="T30" s="80"/>
      <c r="U30" s="80"/>
      <c r="V30" s="80"/>
      <c r="W30" s="80"/>
      <c r="X30" s="80"/>
      <c r="Y30" s="80"/>
      <c r="Z30" s="80"/>
    </row>
    <row r="3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c r="A32" s="80"/>
      <c r="B32" s="80"/>
      <c r="C32" s="183" t="s">
        <v>197</v>
      </c>
      <c r="D32" s="184"/>
      <c r="E32" s="184"/>
      <c r="F32" s="184"/>
      <c r="G32" s="185"/>
      <c r="H32" s="186">
        <f>AVERAGE(H5:H28)</f>
        <v>-0.8235294118</v>
      </c>
      <c r="I32" s="184"/>
      <c r="J32" s="183" t="str">
        <f>Ifs(H32&lt;=-0.5,"Bearish",AND(H32&gt;-0.5,H32&lt;0),"Slight Bear",AND(H32&gt;0,H32&lt;0.5),"Slight Bull",H32&gt;=0.5,"Bullish",H32=0,"Neutral")</f>
        <v>Bearish</v>
      </c>
      <c r="K32" s="80"/>
      <c r="L32" s="80"/>
      <c r="M32" s="80"/>
      <c r="N32" s="80"/>
      <c r="O32" s="80"/>
      <c r="P32" s="80"/>
      <c r="Q32" s="80"/>
      <c r="R32" s="80"/>
      <c r="S32" s="80"/>
      <c r="T32" s="80"/>
      <c r="U32" s="80"/>
      <c r="V32" s="80"/>
      <c r="W32" s="80"/>
      <c r="X32" s="80"/>
      <c r="Y32" s="80"/>
      <c r="Z32" s="80"/>
    </row>
    <row r="33">
      <c r="A33" s="80"/>
      <c r="B33" s="80"/>
      <c r="C33" s="80"/>
      <c r="D33" s="80"/>
      <c r="E33" s="80"/>
      <c r="F33" s="80"/>
      <c r="G33" s="80"/>
      <c r="H33" s="145" t="s">
        <v>198</v>
      </c>
      <c r="K33" s="80"/>
      <c r="L33" s="80"/>
      <c r="M33" s="80"/>
      <c r="N33" s="80"/>
      <c r="O33" s="80"/>
      <c r="P33" s="80"/>
      <c r="Q33" s="80"/>
      <c r="R33" s="80"/>
      <c r="S33" s="80"/>
      <c r="T33" s="80"/>
      <c r="U33" s="80"/>
      <c r="V33" s="80"/>
      <c r="W33" s="80"/>
      <c r="X33" s="80"/>
      <c r="Y33" s="80"/>
      <c r="Z33" s="80"/>
    </row>
    <row r="34">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c r="A35" s="80"/>
      <c r="B35" s="80"/>
      <c r="C35" s="80"/>
      <c r="D35" s="80"/>
      <c r="E35" s="80"/>
      <c r="F35" s="80"/>
      <c r="G35" s="187"/>
      <c r="H35" s="187"/>
      <c r="I35" s="80"/>
      <c r="J35" s="80"/>
      <c r="K35" s="80"/>
      <c r="L35" s="80"/>
      <c r="M35" s="80"/>
      <c r="N35" s="80"/>
      <c r="O35" s="80"/>
      <c r="P35" s="80"/>
      <c r="Q35" s="80"/>
      <c r="R35" s="80"/>
      <c r="S35" s="80"/>
      <c r="T35" s="80"/>
      <c r="U35" s="80"/>
      <c r="V35" s="80"/>
      <c r="W35" s="80"/>
      <c r="X35" s="80"/>
      <c r="Y35" s="80"/>
      <c r="Z35" s="80"/>
    </row>
    <row r="36">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c r="A38" s="80"/>
      <c r="B38" s="80"/>
      <c r="C38" s="80"/>
      <c r="D38" s="80"/>
      <c r="E38" s="80"/>
      <c r="F38" s="80"/>
      <c r="G38" s="188"/>
      <c r="H38" s="188"/>
      <c r="I38" s="80"/>
      <c r="J38" s="80"/>
      <c r="K38" s="80"/>
      <c r="L38" s="80"/>
      <c r="M38" s="80"/>
      <c r="N38" s="80"/>
      <c r="O38" s="80"/>
      <c r="P38" s="80"/>
      <c r="Q38" s="80"/>
      <c r="R38" s="80"/>
      <c r="S38" s="80"/>
      <c r="T38" s="80"/>
      <c r="U38" s="80"/>
      <c r="V38" s="80"/>
      <c r="W38" s="80"/>
      <c r="X38" s="80"/>
      <c r="Y38" s="80"/>
      <c r="Z38" s="80"/>
    </row>
    <row r="39">
      <c r="A39" s="80"/>
      <c r="B39" s="80"/>
      <c r="C39" s="80"/>
      <c r="D39" s="80"/>
      <c r="E39" s="80"/>
      <c r="F39" s="80"/>
      <c r="G39" s="188"/>
      <c r="H39" s="188"/>
      <c r="I39" s="80"/>
      <c r="J39" s="80"/>
      <c r="K39" s="80"/>
      <c r="L39" s="80"/>
      <c r="M39" s="80"/>
      <c r="N39" s="80"/>
      <c r="O39" s="80"/>
      <c r="P39" s="80"/>
      <c r="Q39" s="80"/>
      <c r="R39" s="80"/>
      <c r="S39" s="80"/>
      <c r="T39" s="80"/>
      <c r="U39" s="80"/>
      <c r="V39" s="80"/>
      <c r="W39" s="80"/>
      <c r="X39" s="80"/>
      <c r="Y39" s="80"/>
      <c r="Z39" s="80"/>
    </row>
    <row r="40">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c r="A41" s="80"/>
      <c r="B41" s="80"/>
      <c r="C41" s="80"/>
      <c r="D41" s="80"/>
      <c r="E41" s="80"/>
      <c r="F41" s="80"/>
      <c r="G41" s="187"/>
      <c r="H41" s="187"/>
      <c r="I41" s="80"/>
      <c r="J41" s="80"/>
      <c r="K41" s="80"/>
      <c r="L41" s="80"/>
      <c r="M41" s="80"/>
      <c r="N41" s="80"/>
      <c r="O41" s="80"/>
      <c r="P41" s="80"/>
      <c r="Q41" s="80"/>
      <c r="R41" s="80"/>
      <c r="S41" s="80"/>
      <c r="T41" s="80"/>
      <c r="U41" s="80"/>
      <c r="V41" s="80"/>
      <c r="W41" s="80"/>
      <c r="X41" s="80"/>
      <c r="Y41" s="80"/>
      <c r="Z41" s="80"/>
    </row>
    <row r="42">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c r="A44" s="189" t="s">
        <v>71</v>
      </c>
      <c r="B44" s="189" t="s">
        <v>199</v>
      </c>
      <c r="C44" s="80"/>
      <c r="D44" s="80"/>
      <c r="E44" s="80"/>
      <c r="F44" s="80"/>
      <c r="G44" s="80"/>
      <c r="H44" s="80"/>
      <c r="I44" s="80"/>
      <c r="J44" s="80"/>
      <c r="K44" s="80"/>
      <c r="L44" s="80"/>
      <c r="M44" s="80"/>
      <c r="N44" s="80"/>
      <c r="O44" s="80"/>
      <c r="P44" s="80"/>
      <c r="Q44" s="80"/>
      <c r="R44" s="80"/>
      <c r="S44" s="80"/>
      <c r="T44" s="80"/>
      <c r="U44" s="80"/>
      <c r="V44" s="80"/>
      <c r="W44" s="80"/>
      <c r="X44" s="80"/>
      <c r="Y44" s="80"/>
      <c r="Z44" s="80"/>
    </row>
    <row r="45">
      <c r="A45" s="190">
        <v>45677.0</v>
      </c>
      <c r="B45" s="189">
        <v>0.07</v>
      </c>
      <c r="C45" s="80"/>
      <c r="D45" s="80"/>
      <c r="E45" s="80"/>
      <c r="F45" s="80"/>
      <c r="G45" s="80"/>
      <c r="H45" s="80"/>
      <c r="I45" s="80"/>
      <c r="J45" s="80"/>
      <c r="K45" s="80"/>
      <c r="L45" s="80"/>
      <c r="M45" s="80"/>
      <c r="N45" s="80"/>
      <c r="O45" s="80"/>
      <c r="P45" s="80"/>
      <c r="Q45" s="80"/>
      <c r="R45" s="80"/>
      <c r="S45" s="80"/>
      <c r="T45" s="80"/>
      <c r="U45" s="80"/>
      <c r="V45" s="80"/>
      <c r="W45" s="80"/>
      <c r="X45" s="80"/>
      <c r="Y45" s="80"/>
      <c r="Z45" s="80"/>
    </row>
    <row r="46">
      <c r="A46" s="190">
        <v>45678.0</v>
      </c>
      <c r="B46" s="189">
        <v>0.07</v>
      </c>
      <c r="C46" s="80"/>
      <c r="D46" s="80"/>
      <c r="E46" s="80"/>
      <c r="F46" s="80"/>
      <c r="G46" s="80"/>
      <c r="H46" s="80"/>
      <c r="I46" s="80"/>
      <c r="J46" s="80"/>
      <c r="K46" s="80"/>
      <c r="L46" s="80"/>
      <c r="M46" s="80"/>
      <c r="N46" s="80"/>
      <c r="O46" s="80"/>
      <c r="P46" s="80"/>
      <c r="Q46" s="80"/>
      <c r="R46" s="80"/>
      <c r="S46" s="80"/>
      <c r="T46" s="80"/>
      <c r="U46" s="80"/>
      <c r="V46" s="80"/>
      <c r="W46" s="80"/>
      <c r="X46" s="80"/>
      <c r="Y46" s="80"/>
      <c r="Z46" s="80"/>
    </row>
    <row r="47">
      <c r="A47" s="190">
        <v>45679.0</v>
      </c>
      <c r="B47" s="189">
        <v>0.07</v>
      </c>
      <c r="C47" s="80"/>
      <c r="D47" s="80"/>
      <c r="E47" s="80"/>
      <c r="F47" s="80"/>
      <c r="G47" s="80"/>
      <c r="H47" s="80"/>
      <c r="I47" s="80"/>
      <c r="J47" s="80"/>
      <c r="K47" s="80"/>
      <c r="L47" s="80"/>
      <c r="M47" s="80"/>
      <c r="N47" s="80"/>
      <c r="O47" s="80"/>
      <c r="P47" s="80"/>
      <c r="Q47" s="80"/>
      <c r="R47" s="80"/>
      <c r="S47" s="80"/>
      <c r="T47" s="80"/>
      <c r="U47" s="80"/>
      <c r="V47" s="80"/>
      <c r="W47" s="80"/>
      <c r="X47" s="80"/>
      <c r="Y47" s="80"/>
      <c r="Z47" s="80"/>
    </row>
    <row r="48">
      <c r="A48" s="190">
        <v>45681.0</v>
      </c>
      <c r="B48" s="189">
        <v>0.07</v>
      </c>
      <c r="C48" s="80"/>
      <c r="D48" s="80"/>
      <c r="E48" s="80"/>
      <c r="F48" s="80"/>
      <c r="G48" s="80"/>
      <c r="H48" s="80"/>
      <c r="I48" s="80"/>
      <c r="J48" s="80"/>
      <c r="K48" s="80"/>
      <c r="L48" s="80"/>
      <c r="M48" s="80"/>
      <c r="N48" s="80"/>
      <c r="O48" s="80"/>
      <c r="P48" s="80"/>
      <c r="Q48" s="80"/>
      <c r="R48" s="80"/>
      <c r="S48" s="80"/>
      <c r="T48" s="80"/>
      <c r="U48" s="80"/>
      <c r="V48" s="80"/>
      <c r="W48" s="80"/>
      <c r="X48" s="80"/>
      <c r="Y48" s="80"/>
      <c r="Z48" s="80"/>
    </row>
    <row r="49">
      <c r="A49" s="190">
        <v>45682.0</v>
      </c>
      <c r="B49" s="189">
        <v>0.07</v>
      </c>
      <c r="C49" s="80"/>
      <c r="D49" s="80"/>
      <c r="E49" s="80"/>
      <c r="F49" s="80"/>
      <c r="G49" s="80"/>
      <c r="H49" s="80"/>
      <c r="I49" s="80"/>
      <c r="J49" s="80"/>
      <c r="K49" s="80"/>
      <c r="L49" s="80"/>
      <c r="M49" s="80"/>
      <c r="N49" s="80"/>
      <c r="O49" s="80"/>
      <c r="P49" s="80"/>
      <c r="Q49" s="80"/>
      <c r="R49" s="80"/>
      <c r="S49" s="80"/>
      <c r="T49" s="80"/>
      <c r="U49" s="80"/>
      <c r="V49" s="80"/>
      <c r="W49" s="80"/>
      <c r="X49" s="80"/>
      <c r="Y49" s="80"/>
      <c r="Z49" s="80"/>
    </row>
    <row r="50">
      <c r="A50" s="190">
        <v>45684.0</v>
      </c>
      <c r="B50" s="189">
        <v>0.07</v>
      </c>
      <c r="C50" s="80"/>
      <c r="D50" s="80"/>
      <c r="E50" s="80"/>
      <c r="F50" s="80"/>
      <c r="G50" s="80"/>
      <c r="H50" s="80"/>
      <c r="I50" s="80"/>
      <c r="J50" s="80"/>
      <c r="K50" s="80"/>
      <c r="L50" s="80"/>
      <c r="M50" s="80"/>
      <c r="N50" s="80"/>
      <c r="O50" s="80"/>
      <c r="P50" s="80"/>
      <c r="Q50" s="80"/>
      <c r="R50" s="80"/>
      <c r="S50" s="80"/>
      <c r="T50" s="80"/>
      <c r="U50" s="80"/>
      <c r="V50" s="80"/>
      <c r="W50" s="80"/>
      <c r="X50" s="80"/>
      <c r="Y50" s="80"/>
      <c r="Z50" s="80"/>
    </row>
    <row r="51">
      <c r="A51" s="190">
        <v>45685.0</v>
      </c>
      <c r="B51" s="189">
        <v>0.07</v>
      </c>
      <c r="C51" s="80"/>
      <c r="D51" s="80"/>
      <c r="E51" s="80"/>
      <c r="F51" s="80"/>
      <c r="G51" s="80"/>
      <c r="H51" s="80"/>
      <c r="I51" s="80"/>
      <c r="J51" s="80"/>
      <c r="K51" s="80"/>
      <c r="L51" s="80"/>
      <c r="M51" s="80"/>
      <c r="N51" s="80"/>
      <c r="O51" s="80"/>
      <c r="P51" s="80"/>
      <c r="Q51" s="80"/>
      <c r="R51" s="80"/>
      <c r="S51" s="80"/>
      <c r="T51" s="80"/>
      <c r="U51" s="80"/>
      <c r="V51" s="80"/>
      <c r="W51" s="80"/>
      <c r="X51" s="80"/>
      <c r="Y51" s="80"/>
      <c r="Z51" s="80"/>
    </row>
    <row r="52">
      <c r="A52" s="190">
        <v>45686.0</v>
      </c>
      <c r="B52" s="189">
        <v>0.07</v>
      </c>
      <c r="C52" s="80"/>
      <c r="D52" s="80"/>
      <c r="E52" s="80"/>
      <c r="F52" s="80"/>
      <c r="G52" s="80"/>
      <c r="H52" s="80"/>
      <c r="I52" s="80"/>
      <c r="J52" s="80"/>
      <c r="K52" s="80"/>
      <c r="L52" s="80"/>
      <c r="M52" s="80"/>
      <c r="N52" s="80"/>
      <c r="O52" s="80"/>
      <c r="P52" s="80"/>
      <c r="Q52" s="80"/>
      <c r="R52" s="80"/>
      <c r="S52" s="80"/>
      <c r="T52" s="80"/>
      <c r="U52" s="80"/>
      <c r="V52" s="80"/>
      <c r="W52" s="80"/>
      <c r="X52" s="80"/>
      <c r="Y52" s="80"/>
      <c r="Z52" s="80"/>
    </row>
    <row r="53">
      <c r="A53" s="190">
        <v>45687.0</v>
      </c>
      <c r="B53" s="189">
        <v>0.07</v>
      </c>
      <c r="C53" s="80"/>
      <c r="D53" s="80"/>
      <c r="E53" s="80"/>
      <c r="F53" s="80"/>
      <c r="G53" s="80"/>
      <c r="H53" s="80"/>
      <c r="I53" s="80"/>
      <c r="J53" s="80"/>
      <c r="K53" s="80"/>
      <c r="L53" s="80"/>
      <c r="M53" s="80"/>
      <c r="N53" s="80"/>
      <c r="O53" s="80"/>
      <c r="P53" s="80"/>
      <c r="Q53" s="80"/>
      <c r="R53" s="80"/>
      <c r="S53" s="80"/>
      <c r="T53" s="80"/>
      <c r="U53" s="80"/>
      <c r="V53" s="80"/>
      <c r="W53" s="80"/>
      <c r="X53" s="80"/>
      <c r="Y53" s="80"/>
      <c r="Z53" s="80"/>
    </row>
    <row r="54">
      <c r="A54" s="190">
        <v>45688.0</v>
      </c>
      <c r="B54" s="189">
        <v>0.07</v>
      </c>
      <c r="C54" s="80"/>
      <c r="D54" s="80"/>
      <c r="E54" s="80"/>
      <c r="F54" s="80"/>
      <c r="G54" s="80"/>
      <c r="H54" s="80"/>
      <c r="I54" s="80"/>
      <c r="J54" s="80"/>
      <c r="K54" s="80"/>
      <c r="L54" s="80"/>
      <c r="M54" s="80"/>
      <c r="N54" s="80"/>
      <c r="O54" s="80"/>
      <c r="P54" s="80"/>
      <c r="Q54" s="80"/>
      <c r="R54" s="80"/>
      <c r="S54" s="80"/>
      <c r="T54" s="80"/>
      <c r="U54" s="80"/>
      <c r="V54" s="80"/>
      <c r="W54" s="80"/>
      <c r="X54" s="80"/>
      <c r="Y54" s="80"/>
      <c r="Z54" s="80"/>
    </row>
    <row r="55">
      <c r="A55" s="190">
        <v>45689.0</v>
      </c>
      <c r="B55" s="189">
        <v>0.07</v>
      </c>
      <c r="C55" s="80"/>
      <c r="D55" s="80"/>
      <c r="E55" s="80"/>
      <c r="F55" s="80"/>
      <c r="G55" s="80"/>
      <c r="H55" s="80"/>
      <c r="I55" s="80"/>
      <c r="J55" s="80"/>
      <c r="K55" s="80"/>
      <c r="L55" s="80"/>
      <c r="M55" s="80"/>
      <c r="N55" s="80"/>
      <c r="O55" s="80"/>
      <c r="P55" s="80"/>
      <c r="Q55" s="80"/>
      <c r="R55" s="80"/>
      <c r="S55" s="80"/>
      <c r="T55" s="80"/>
      <c r="U55" s="80"/>
      <c r="V55" s="80"/>
      <c r="W55" s="80"/>
      <c r="X55" s="80"/>
      <c r="Y55" s="80"/>
      <c r="Z55" s="80"/>
    </row>
    <row r="56">
      <c r="A56" s="190">
        <v>45690.0</v>
      </c>
      <c r="B56" s="189">
        <v>0.07</v>
      </c>
      <c r="C56" s="80"/>
      <c r="D56" s="80"/>
      <c r="E56" s="80"/>
      <c r="F56" s="80"/>
      <c r="G56" s="80"/>
      <c r="H56" s="80"/>
      <c r="I56" s="80"/>
      <c r="J56" s="80"/>
      <c r="K56" s="80"/>
      <c r="L56" s="80"/>
      <c r="M56" s="80"/>
      <c r="N56" s="80"/>
      <c r="O56" s="80"/>
      <c r="P56" s="80"/>
      <c r="Q56" s="80"/>
      <c r="R56" s="80"/>
      <c r="S56" s="80"/>
      <c r="T56" s="80"/>
      <c r="U56" s="80"/>
      <c r="V56" s="80"/>
      <c r="W56" s="80"/>
      <c r="X56" s="80"/>
      <c r="Y56" s="80"/>
      <c r="Z56" s="80"/>
    </row>
    <row r="57">
      <c r="A57" s="190">
        <v>45691.0</v>
      </c>
      <c r="B57" s="189">
        <v>0.07</v>
      </c>
      <c r="C57" s="80"/>
      <c r="D57" s="80"/>
      <c r="E57" s="80"/>
      <c r="F57" s="80"/>
      <c r="G57" s="80"/>
      <c r="H57" s="80"/>
      <c r="I57" s="80"/>
      <c r="J57" s="80"/>
      <c r="K57" s="80"/>
      <c r="L57" s="80"/>
      <c r="M57" s="80"/>
      <c r="N57" s="80"/>
      <c r="O57" s="80"/>
      <c r="P57" s="80"/>
      <c r="Q57" s="80"/>
      <c r="R57" s="80"/>
      <c r="S57" s="80"/>
      <c r="T57" s="80"/>
      <c r="U57" s="80"/>
      <c r="V57" s="80"/>
      <c r="W57" s="80"/>
      <c r="X57" s="80"/>
      <c r="Y57" s="80"/>
      <c r="Z57" s="80"/>
    </row>
    <row r="58">
      <c r="A58" s="190">
        <v>45692.0</v>
      </c>
      <c r="B58" s="189">
        <v>0.07</v>
      </c>
      <c r="C58" s="80"/>
      <c r="D58" s="80"/>
      <c r="E58" s="80"/>
      <c r="F58" s="80"/>
      <c r="G58" s="80"/>
      <c r="H58" s="80"/>
      <c r="I58" s="80"/>
      <c r="J58" s="80"/>
      <c r="K58" s="80"/>
      <c r="L58" s="80"/>
      <c r="M58" s="80"/>
      <c r="N58" s="80"/>
      <c r="O58" s="80"/>
      <c r="P58" s="80"/>
      <c r="Q58" s="80"/>
      <c r="R58" s="80"/>
      <c r="S58" s="80"/>
      <c r="T58" s="80"/>
      <c r="U58" s="80"/>
      <c r="V58" s="80"/>
      <c r="W58" s="80"/>
      <c r="X58" s="80"/>
      <c r="Y58" s="80"/>
      <c r="Z58" s="80"/>
    </row>
    <row r="59">
      <c r="A59" s="190">
        <v>45693.0</v>
      </c>
      <c r="B59" s="189">
        <v>0.07</v>
      </c>
      <c r="C59" s="80"/>
      <c r="D59" s="80"/>
      <c r="E59" s="80"/>
      <c r="F59" s="80"/>
      <c r="G59" s="80"/>
      <c r="H59" s="80"/>
      <c r="I59" s="80"/>
      <c r="J59" s="80"/>
      <c r="K59" s="80"/>
      <c r="L59" s="80"/>
      <c r="M59" s="80"/>
      <c r="N59" s="80"/>
      <c r="O59" s="80"/>
      <c r="P59" s="80"/>
      <c r="Q59" s="80"/>
      <c r="R59" s="80"/>
      <c r="S59" s="80"/>
      <c r="T59" s="80"/>
      <c r="U59" s="80"/>
      <c r="V59" s="80"/>
      <c r="W59" s="80"/>
      <c r="X59" s="80"/>
      <c r="Y59" s="80"/>
      <c r="Z59" s="80"/>
    </row>
    <row r="60">
      <c r="A60" s="190">
        <v>45694.0</v>
      </c>
      <c r="B60" s="189">
        <v>0.07</v>
      </c>
      <c r="C60" s="80"/>
      <c r="D60" s="80"/>
      <c r="E60" s="80"/>
      <c r="F60" s="80"/>
      <c r="G60" s="80"/>
      <c r="H60" s="80"/>
      <c r="I60" s="80"/>
      <c r="J60" s="80"/>
      <c r="K60" s="80"/>
      <c r="L60" s="80"/>
      <c r="M60" s="80"/>
      <c r="N60" s="80"/>
      <c r="O60" s="80"/>
      <c r="P60" s="80"/>
      <c r="Q60" s="80"/>
      <c r="R60" s="80"/>
      <c r="S60" s="80"/>
      <c r="T60" s="80"/>
      <c r="U60" s="80"/>
      <c r="V60" s="80"/>
      <c r="W60" s="80"/>
      <c r="X60" s="80"/>
      <c r="Y60" s="80"/>
      <c r="Z60" s="80"/>
    </row>
    <row r="61">
      <c r="A61" s="190">
        <v>45695.0</v>
      </c>
      <c r="B61" s="189">
        <v>0.07</v>
      </c>
      <c r="C61" s="80"/>
      <c r="D61" s="80"/>
      <c r="E61" s="80"/>
      <c r="F61" s="80"/>
      <c r="G61" s="80"/>
      <c r="H61" s="80"/>
      <c r="I61" s="80"/>
      <c r="J61" s="80"/>
      <c r="K61" s="80"/>
      <c r="L61" s="80"/>
      <c r="M61" s="80"/>
      <c r="N61" s="80"/>
      <c r="O61" s="80"/>
      <c r="P61" s="80"/>
      <c r="Q61" s="80"/>
      <c r="R61" s="80"/>
      <c r="S61" s="80"/>
      <c r="T61" s="80"/>
      <c r="U61" s="80"/>
      <c r="V61" s="80"/>
      <c r="W61" s="80"/>
      <c r="X61" s="80"/>
      <c r="Y61" s="80"/>
      <c r="Z61" s="80"/>
    </row>
    <row r="62">
      <c r="A62" s="190">
        <v>45696.0</v>
      </c>
      <c r="B62" s="189">
        <v>0.07</v>
      </c>
      <c r="C62" s="80"/>
      <c r="D62" s="80"/>
      <c r="E62" s="80"/>
      <c r="F62" s="80"/>
      <c r="G62" s="80"/>
      <c r="H62" s="80"/>
      <c r="I62" s="80"/>
      <c r="J62" s="80"/>
      <c r="K62" s="80"/>
      <c r="L62" s="80"/>
      <c r="M62" s="80"/>
      <c r="N62" s="80"/>
      <c r="O62" s="80"/>
      <c r="P62" s="80"/>
      <c r="Q62" s="80"/>
      <c r="R62" s="80"/>
      <c r="S62" s="80"/>
      <c r="T62" s="80"/>
      <c r="U62" s="80"/>
      <c r="V62" s="80"/>
      <c r="W62" s="80"/>
      <c r="X62" s="80"/>
      <c r="Y62" s="80"/>
      <c r="Z62" s="80"/>
    </row>
    <row r="63">
      <c r="A63" s="190">
        <v>45697.0</v>
      </c>
      <c r="B63" s="189">
        <v>0.13</v>
      </c>
      <c r="C63" s="80"/>
      <c r="D63" s="80"/>
      <c r="E63" s="80"/>
      <c r="F63" s="80"/>
      <c r="G63" s="80"/>
      <c r="H63" s="80"/>
      <c r="I63" s="80"/>
      <c r="J63" s="80"/>
      <c r="K63" s="80"/>
      <c r="L63" s="80"/>
      <c r="M63" s="80"/>
      <c r="N63" s="80"/>
      <c r="O63" s="80"/>
      <c r="P63" s="80"/>
      <c r="Q63" s="80"/>
      <c r="R63" s="80"/>
      <c r="S63" s="80"/>
      <c r="T63" s="80"/>
      <c r="U63" s="80"/>
      <c r="V63" s="80"/>
      <c r="W63" s="80"/>
      <c r="X63" s="80"/>
      <c r="Y63" s="80"/>
      <c r="Z63" s="80"/>
    </row>
    <row r="64">
      <c r="A64" s="190">
        <v>45698.0</v>
      </c>
      <c r="B64" s="189">
        <v>0.13</v>
      </c>
      <c r="C64" s="80"/>
      <c r="D64" s="80"/>
      <c r="E64" s="80"/>
      <c r="F64" s="80"/>
      <c r="G64" s="80"/>
      <c r="H64" s="80"/>
      <c r="I64" s="80"/>
      <c r="J64" s="80"/>
      <c r="K64" s="80"/>
      <c r="L64" s="80"/>
      <c r="M64" s="80"/>
      <c r="N64" s="80"/>
      <c r="O64" s="80"/>
      <c r="P64" s="80"/>
      <c r="Q64" s="80"/>
      <c r="R64" s="80"/>
      <c r="S64" s="80"/>
      <c r="T64" s="80"/>
      <c r="U64" s="80"/>
      <c r="V64" s="80"/>
      <c r="W64" s="80"/>
      <c r="X64" s="80"/>
      <c r="Y64" s="80"/>
      <c r="Z64" s="80"/>
    </row>
    <row r="65">
      <c r="A65" s="190">
        <v>45699.0</v>
      </c>
      <c r="B65" s="189">
        <v>0.13</v>
      </c>
      <c r="C65" s="80"/>
      <c r="D65" s="80"/>
      <c r="E65" s="80"/>
      <c r="F65" s="80"/>
      <c r="G65" s="80"/>
      <c r="H65" s="80"/>
      <c r="I65" s="80"/>
      <c r="J65" s="80"/>
      <c r="K65" s="80"/>
      <c r="L65" s="80"/>
      <c r="M65" s="80"/>
      <c r="N65" s="80"/>
      <c r="O65" s="80"/>
      <c r="P65" s="80"/>
      <c r="Q65" s="80"/>
      <c r="R65" s="80"/>
      <c r="S65" s="80"/>
      <c r="T65" s="80"/>
      <c r="U65" s="80"/>
      <c r="V65" s="80"/>
      <c r="W65" s="80"/>
      <c r="X65" s="80"/>
      <c r="Y65" s="80"/>
      <c r="Z65" s="80"/>
    </row>
    <row r="66">
      <c r="A66" s="190">
        <v>45700.0</v>
      </c>
      <c r="B66" s="189">
        <v>0.13</v>
      </c>
      <c r="C66" s="80"/>
      <c r="D66" s="80"/>
      <c r="E66" s="80"/>
      <c r="F66" s="80"/>
      <c r="G66" s="80"/>
      <c r="H66" s="80"/>
      <c r="I66" s="80"/>
      <c r="J66" s="80"/>
      <c r="K66" s="80"/>
      <c r="L66" s="80"/>
      <c r="M66" s="80"/>
      <c r="N66" s="80"/>
      <c r="O66" s="80"/>
      <c r="P66" s="80"/>
      <c r="Q66" s="80"/>
      <c r="R66" s="80"/>
      <c r="S66" s="80"/>
      <c r="T66" s="80"/>
      <c r="U66" s="80"/>
      <c r="V66" s="80"/>
      <c r="W66" s="80"/>
      <c r="X66" s="80"/>
      <c r="Y66" s="80"/>
      <c r="Z66" s="80"/>
    </row>
    <row r="67">
      <c r="A67" s="190">
        <v>45701.0</v>
      </c>
      <c r="B67" s="189">
        <v>0.13</v>
      </c>
      <c r="C67" s="80"/>
      <c r="D67" s="80"/>
      <c r="E67" s="80"/>
      <c r="F67" s="80"/>
      <c r="G67" s="80"/>
      <c r="H67" s="80"/>
      <c r="I67" s="80"/>
      <c r="J67" s="80"/>
      <c r="K67" s="80"/>
      <c r="L67" s="80"/>
      <c r="M67" s="80"/>
      <c r="N67" s="80"/>
      <c r="O67" s="80"/>
      <c r="P67" s="80"/>
      <c r="Q67" s="80"/>
      <c r="R67" s="80"/>
      <c r="S67" s="80"/>
      <c r="T67" s="80"/>
      <c r="U67" s="80"/>
      <c r="V67" s="80"/>
      <c r="W67" s="80"/>
      <c r="X67" s="80"/>
      <c r="Y67" s="80"/>
      <c r="Z67" s="80"/>
    </row>
    <row r="68">
      <c r="A68" s="190">
        <v>45701.0</v>
      </c>
      <c r="B68" s="189">
        <v>0.22</v>
      </c>
      <c r="C68" s="80"/>
      <c r="D68" s="80"/>
      <c r="E68" s="80"/>
      <c r="F68" s="80"/>
      <c r="G68" s="80"/>
      <c r="H68" s="80"/>
      <c r="I68" s="80"/>
      <c r="J68" s="80"/>
      <c r="K68" s="80"/>
      <c r="L68" s="80"/>
      <c r="M68" s="80"/>
      <c r="N68" s="80"/>
      <c r="O68" s="80"/>
      <c r="P68" s="80"/>
      <c r="Q68" s="80"/>
      <c r="R68" s="80"/>
      <c r="S68" s="80"/>
      <c r="T68" s="80"/>
      <c r="U68" s="80"/>
      <c r="V68" s="80"/>
      <c r="W68" s="80"/>
      <c r="X68" s="80"/>
      <c r="Y68" s="80"/>
      <c r="Z68" s="80"/>
    </row>
    <row r="69">
      <c r="A69" s="190">
        <v>45702.0</v>
      </c>
      <c r="B69" s="189">
        <v>0.22</v>
      </c>
      <c r="C69" s="80"/>
      <c r="D69" s="80"/>
      <c r="E69" s="80"/>
      <c r="F69" s="80"/>
      <c r="G69" s="80"/>
      <c r="H69" s="80"/>
      <c r="I69" s="80"/>
      <c r="J69" s="80"/>
      <c r="K69" s="80"/>
      <c r="L69" s="80"/>
      <c r="M69" s="80"/>
      <c r="N69" s="80"/>
      <c r="O69" s="80"/>
      <c r="P69" s="80"/>
      <c r="Q69" s="80"/>
      <c r="R69" s="80"/>
      <c r="S69" s="80"/>
      <c r="T69" s="80"/>
      <c r="U69" s="80"/>
      <c r="V69" s="80"/>
      <c r="W69" s="80"/>
      <c r="X69" s="80"/>
      <c r="Y69" s="80"/>
      <c r="Z69" s="80"/>
    </row>
    <row r="70">
      <c r="A70" s="190">
        <v>45703.0</v>
      </c>
      <c r="B70" s="189">
        <v>0.22</v>
      </c>
      <c r="C70" s="80"/>
      <c r="D70" s="80"/>
      <c r="E70" s="80"/>
      <c r="F70" s="80"/>
      <c r="G70" s="80"/>
      <c r="H70" s="80"/>
      <c r="I70" s="80"/>
      <c r="J70" s="80"/>
      <c r="K70" s="80"/>
      <c r="L70" s="80"/>
      <c r="M70" s="80"/>
      <c r="N70" s="80"/>
      <c r="O70" s="80"/>
      <c r="P70" s="80"/>
      <c r="Q70" s="80"/>
      <c r="R70" s="80"/>
      <c r="S70" s="80"/>
      <c r="T70" s="80"/>
      <c r="U70" s="80"/>
      <c r="V70" s="80"/>
      <c r="W70" s="80"/>
      <c r="X70" s="80"/>
      <c r="Y70" s="80"/>
      <c r="Z70" s="80"/>
    </row>
    <row r="71">
      <c r="A71" s="190">
        <v>45704.0</v>
      </c>
      <c r="B71" s="189">
        <v>0.22</v>
      </c>
      <c r="C71" s="80"/>
      <c r="D71" s="80"/>
      <c r="E71" s="80"/>
      <c r="F71" s="80"/>
      <c r="G71" s="80"/>
      <c r="H71" s="80"/>
      <c r="I71" s="80"/>
      <c r="J71" s="80"/>
      <c r="K71" s="80"/>
      <c r="L71" s="80"/>
      <c r="M71" s="80"/>
      <c r="N71" s="80"/>
      <c r="O71" s="80"/>
      <c r="P71" s="80"/>
      <c r="Q71" s="80"/>
      <c r="R71" s="80"/>
      <c r="S71" s="80"/>
      <c r="T71" s="80"/>
      <c r="U71" s="80"/>
      <c r="V71" s="80"/>
      <c r="W71" s="80"/>
      <c r="X71" s="80"/>
      <c r="Y71" s="80"/>
      <c r="Z71" s="80"/>
    </row>
    <row r="72">
      <c r="A72" s="190">
        <v>45705.0</v>
      </c>
      <c r="B72" s="189">
        <v>0.22</v>
      </c>
      <c r="C72" s="80"/>
      <c r="D72" s="80"/>
      <c r="E72" s="80"/>
      <c r="F72" s="80"/>
      <c r="G72" s="80"/>
      <c r="H72" s="80"/>
      <c r="I72" s="80"/>
      <c r="J72" s="80"/>
      <c r="K72" s="80"/>
      <c r="L72" s="80"/>
      <c r="M72" s="80"/>
      <c r="N72" s="80"/>
      <c r="O72" s="80"/>
      <c r="P72" s="80"/>
      <c r="Q72" s="80"/>
      <c r="R72" s="80"/>
      <c r="S72" s="80"/>
      <c r="T72" s="80"/>
      <c r="U72" s="80"/>
      <c r="V72" s="80"/>
      <c r="W72" s="80"/>
      <c r="X72" s="80"/>
      <c r="Y72" s="80"/>
      <c r="Z72" s="80"/>
    </row>
    <row r="73">
      <c r="A73" s="190">
        <v>45706.0</v>
      </c>
      <c r="B73" s="189">
        <v>0.22</v>
      </c>
      <c r="C73" s="80"/>
      <c r="D73" s="80"/>
      <c r="E73" s="80"/>
      <c r="F73" s="80"/>
      <c r="G73" s="80"/>
      <c r="H73" s="80"/>
      <c r="I73" s="80"/>
      <c r="J73" s="80"/>
      <c r="K73" s="80"/>
      <c r="L73" s="80"/>
      <c r="M73" s="80"/>
      <c r="N73" s="80"/>
      <c r="O73" s="80"/>
      <c r="P73" s="80"/>
      <c r="Q73" s="80"/>
      <c r="R73" s="80"/>
      <c r="S73" s="80"/>
      <c r="T73" s="80"/>
      <c r="U73" s="80"/>
      <c r="V73" s="80"/>
      <c r="W73" s="80"/>
      <c r="X73" s="80"/>
      <c r="Y73" s="80"/>
      <c r="Z73" s="80"/>
    </row>
    <row r="74">
      <c r="A74" s="190">
        <v>45707.0</v>
      </c>
      <c r="B74" s="189">
        <v>0.34</v>
      </c>
      <c r="C74" s="80"/>
      <c r="D74" s="80"/>
      <c r="E74" s="80"/>
      <c r="F74" s="80"/>
      <c r="G74" s="80"/>
      <c r="H74" s="80"/>
      <c r="I74" s="80"/>
      <c r="J74" s="80"/>
      <c r="K74" s="80"/>
      <c r="L74" s="80"/>
      <c r="M74" s="80"/>
      <c r="N74" s="80"/>
      <c r="O74" s="80"/>
      <c r="P74" s="80"/>
      <c r="Q74" s="80"/>
      <c r="R74" s="80"/>
      <c r="S74" s="80"/>
      <c r="T74" s="80"/>
      <c r="U74" s="80"/>
      <c r="V74" s="80"/>
      <c r="W74" s="80"/>
      <c r="X74" s="80"/>
      <c r="Y74" s="80"/>
      <c r="Z74" s="80"/>
    </row>
    <row r="75">
      <c r="A75" s="190">
        <v>45708.0</v>
      </c>
      <c r="B75" s="189">
        <v>0.22</v>
      </c>
      <c r="C75" s="80"/>
      <c r="D75" s="80"/>
      <c r="E75" s="80"/>
      <c r="F75" s="80"/>
      <c r="G75" s="80"/>
      <c r="H75" s="80"/>
      <c r="I75" s="80"/>
      <c r="J75" s="80"/>
      <c r="K75" s="80"/>
      <c r="L75" s="80"/>
      <c r="M75" s="80"/>
      <c r="N75" s="80"/>
      <c r="O75" s="80"/>
      <c r="P75" s="80"/>
      <c r="Q75" s="80"/>
      <c r="R75" s="80"/>
      <c r="S75" s="80"/>
      <c r="T75" s="80"/>
      <c r="U75" s="80"/>
      <c r="V75" s="80"/>
      <c r="W75" s="80"/>
      <c r="X75" s="80"/>
      <c r="Y75" s="80"/>
      <c r="Z75" s="80"/>
    </row>
    <row r="76">
      <c r="A76" s="190">
        <v>45709.0</v>
      </c>
      <c r="B76" s="189">
        <v>0.22</v>
      </c>
      <c r="C76" s="80"/>
      <c r="D76" s="80"/>
      <c r="E76" s="80"/>
      <c r="F76" s="80"/>
      <c r="G76" s="80"/>
      <c r="H76" s="80"/>
      <c r="I76" s="80"/>
      <c r="J76" s="80"/>
      <c r="K76" s="80"/>
      <c r="L76" s="80"/>
      <c r="M76" s="80"/>
      <c r="N76" s="80"/>
      <c r="O76" s="80"/>
      <c r="P76" s="80"/>
      <c r="Q76" s="80"/>
      <c r="R76" s="80"/>
      <c r="S76" s="80"/>
      <c r="T76" s="80"/>
      <c r="U76" s="80"/>
      <c r="V76" s="80"/>
      <c r="W76" s="80"/>
      <c r="X76" s="80"/>
      <c r="Y76" s="80"/>
      <c r="Z76" s="80"/>
    </row>
    <row r="77">
      <c r="A77" s="190">
        <v>45710.0</v>
      </c>
      <c r="B77" s="189">
        <v>0.22</v>
      </c>
      <c r="C77" s="80"/>
      <c r="D77" s="80"/>
      <c r="E77" s="80"/>
      <c r="F77" s="80"/>
      <c r="G77" s="80"/>
      <c r="H77" s="80"/>
      <c r="I77" s="80"/>
      <c r="J77" s="80"/>
      <c r="K77" s="80"/>
      <c r="L77" s="80"/>
      <c r="M77" s="80"/>
      <c r="N77" s="80"/>
      <c r="O77" s="80"/>
      <c r="P77" s="80"/>
      <c r="Q77" s="80"/>
      <c r="R77" s="80"/>
      <c r="S77" s="80"/>
      <c r="T77" s="80"/>
      <c r="U77" s="80"/>
      <c r="V77" s="80"/>
      <c r="W77" s="80"/>
      <c r="X77" s="80"/>
      <c r="Y77" s="80"/>
      <c r="Z77" s="80"/>
    </row>
    <row r="78">
      <c r="A78" s="190">
        <v>45711.0</v>
      </c>
      <c r="B78" s="189">
        <v>0.34</v>
      </c>
      <c r="C78" s="80"/>
      <c r="D78" s="80"/>
      <c r="E78" s="80"/>
      <c r="F78" s="80"/>
      <c r="G78" s="80"/>
      <c r="H78" s="80"/>
      <c r="I78" s="80"/>
      <c r="J78" s="80"/>
      <c r="K78" s="80"/>
      <c r="L78" s="80"/>
      <c r="M78" s="80"/>
      <c r="N78" s="80"/>
      <c r="O78" s="80"/>
      <c r="P78" s="80"/>
      <c r="Q78" s="80"/>
      <c r="R78" s="80"/>
      <c r="S78" s="80"/>
      <c r="T78" s="80"/>
      <c r="U78" s="80"/>
      <c r="V78" s="80"/>
      <c r="W78" s="80"/>
      <c r="X78" s="80"/>
      <c r="Y78" s="80"/>
      <c r="Z78" s="80"/>
    </row>
    <row r="79">
      <c r="A79" s="190">
        <v>45712.0</v>
      </c>
      <c r="B79" s="189">
        <v>0.34</v>
      </c>
      <c r="C79" s="80"/>
      <c r="D79" s="80"/>
      <c r="E79" s="80"/>
      <c r="F79" s="80"/>
      <c r="G79" s="80"/>
      <c r="H79" s="80"/>
      <c r="I79" s="80"/>
      <c r="J79" s="80"/>
      <c r="K79" s="80"/>
      <c r="L79" s="80"/>
      <c r="M79" s="80"/>
      <c r="N79" s="80"/>
      <c r="O79" s="80"/>
      <c r="P79" s="80"/>
      <c r="Q79" s="80"/>
      <c r="R79" s="80"/>
      <c r="S79" s="80"/>
      <c r="T79" s="80"/>
      <c r="U79" s="80"/>
      <c r="V79" s="80"/>
      <c r="W79" s="80"/>
      <c r="X79" s="80"/>
      <c r="Y79" s="80"/>
      <c r="Z79" s="80"/>
    </row>
    <row r="80">
      <c r="A80" s="190">
        <v>45713.0</v>
      </c>
      <c r="B80" s="189">
        <v>0.09</v>
      </c>
      <c r="C80" s="80"/>
      <c r="D80" s="80"/>
      <c r="E80" s="80"/>
      <c r="F80" s="80"/>
      <c r="G80" s="80"/>
      <c r="H80" s="80"/>
      <c r="I80" s="80"/>
      <c r="J80" s="80"/>
      <c r="K80" s="80"/>
      <c r="L80" s="80"/>
      <c r="M80" s="80"/>
      <c r="N80" s="80"/>
      <c r="O80" s="80"/>
      <c r="P80" s="80"/>
      <c r="Q80" s="80"/>
      <c r="R80" s="80"/>
      <c r="S80" s="80"/>
      <c r="T80" s="80"/>
      <c r="U80" s="80"/>
      <c r="V80" s="80"/>
      <c r="W80" s="80"/>
      <c r="X80" s="80"/>
      <c r="Y80" s="80"/>
      <c r="Z80" s="80"/>
    </row>
    <row r="81">
      <c r="A81" s="190">
        <v>45714.0</v>
      </c>
      <c r="B81" s="189">
        <v>-0.28</v>
      </c>
      <c r="C81" s="80"/>
      <c r="D81" s="80"/>
      <c r="E81" s="80"/>
      <c r="F81" s="80"/>
      <c r="G81" s="80"/>
      <c r="H81" s="80"/>
      <c r="I81" s="80"/>
      <c r="J81" s="80"/>
      <c r="K81" s="80"/>
      <c r="L81" s="80"/>
      <c r="M81" s="80"/>
      <c r="N81" s="80"/>
      <c r="O81" s="80"/>
      <c r="P81" s="80"/>
      <c r="Q81" s="80"/>
      <c r="R81" s="80"/>
      <c r="S81" s="80"/>
      <c r="T81" s="80"/>
      <c r="U81" s="80"/>
      <c r="V81" s="80"/>
      <c r="W81" s="80"/>
      <c r="X81" s="80"/>
      <c r="Y81" s="80"/>
      <c r="Z81" s="80"/>
    </row>
    <row r="82">
      <c r="A82" s="190">
        <v>45715.0</v>
      </c>
      <c r="B82" s="189">
        <v>-0.41</v>
      </c>
      <c r="C82" s="80"/>
      <c r="D82" s="80"/>
      <c r="E82" s="80"/>
      <c r="F82" s="80"/>
      <c r="G82" s="80"/>
      <c r="H82" s="80"/>
      <c r="I82" s="80"/>
      <c r="J82" s="80"/>
      <c r="K82" s="80"/>
      <c r="L82" s="80"/>
      <c r="M82" s="80"/>
      <c r="N82" s="80"/>
      <c r="O82" s="80"/>
      <c r="P82" s="80"/>
      <c r="Q82" s="80"/>
      <c r="R82" s="80"/>
      <c r="S82" s="80"/>
      <c r="T82" s="80"/>
      <c r="U82" s="80"/>
      <c r="V82" s="80"/>
      <c r="W82" s="80"/>
      <c r="X82" s="80"/>
      <c r="Y82" s="80"/>
      <c r="Z82" s="80"/>
    </row>
    <row r="83">
      <c r="A83" s="190">
        <v>45716.0</v>
      </c>
      <c r="B83" s="189">
        <v>-0.41</v>
      </c>
      <c r="C83" s="80"/>
      <c r="D83" s="80"/>
      <c r="E83" s="80"/>
      <c r="F83" s="80"/>
      <c r="G83" s="80"/>
      <c r="H83" s="80"/>
      <c r="I83" s="80"/>
      <c r="J83" s="80"/>
      <c r="K83" s="80"/>
      <c r="L83" s="80"/>
      <c r="M83" s="80"/>
      <c r="N83" s="80"/>
      <c r="O83" s="80"/>
      <c r="P83" s="80"/>
      <c r="Q83" s="80"/>
      <c r="R83" s="80"/>
      <c r="S83" s="80"/>
      <c r="T83" s="80"/>
      <c r="U83" s="80"/>
      <c r="V83" s="80"/>
      <c r="W83" s="80"/>
      <c r="X83" s="80"/>
      <c r="Y83" s="80"/>
      <c r="Z83" s="80"/>
    </row>
    <row r="84">
      <c r="A84" s="190">
        <v>45717.0</v>
      </c>
      <c r="B84" s="189">
        <v>-0.41</v>
      </c>
      <c r="C84" s="80"/>
      <c r="D84" s="80"/>
      <c r="E84" s="80"/>
      <c r="F84" s="80"/>
      <c r="G84" s="80"/>
      <c r="H84" s="80"/>
      <c r="I84" s="80"/>
      <c r="J84" s="80"/>
      <c r="K84" s="80"/>
      <c r="L84" s="80"/>
      <c r="M84" s="80"/>
      <c r="N84" s="80"/>
      <c r="O84" s="80"/>
      <c r="P84" s="80"/>
      <c r="Q84" s="80"/>
      <c r="R84" s="80"/>
      <c r="S84" s="80"/>
      <c r="T84" s="80"/>
      <c r="U84" s="80"/>
      <c r="V84" s="80"/>
      <c r="W84" s="80"/>
      <c r="X84" s="80"/>
      <c r="Y84" s="80"/>
      <c r="Z84" s="80"/>
    </row>
    <row r="85">
      <c r="A85" s="190">
        <v>45718.0</v>
      </c>
      <c r="B85" s="189">
        <v>-0.41</v>
      </c>
      <c r="C85" s="80"/>
      <c r="D85" s="80"/>
      <c r="E85" s="80"/>
      <c r="F85" s="80"/>
      <c r="G85" s="80"/>
      <c r="H85" s="80"/>
      <c r="I85" s="80"/>
      <c r="J85" s="80"/>
      <c r="K85" s="80"/>
      <c r="L85" s="80"/>
      <c r="M85" s="80"/>
      <c r="N85" s="80"/>
      <c r="O85" s="80"/>
      <c r="P85" s="80"/>
      <c r="Q85" s="80"/>
      <c r="R85" s="80"/>
      <c r="S85" s="80"/>
      <c r="T85" s="80"/>
      <c r="U85" s="80"/>
      <c r="V85" s="80"/>
      <c r="W85" s="80"/>
      <c r="X85" s="80"/>
      <c r="Y85" s="80"/>
      <c r="Z85" s="80"/>
    </row>
    <row r="86">
      <c r="A86" s="190">
        <v>45719.0</v>
      </c>
      <c r="B86" s="189">
        <v>-0.41</v>
      </c>
      <c r="C86" s="80"/>
      <c r="D86" s="80"/>
      <c r="E86" s="80"/>
      <c r="F86" s="80"/>
      <c r="G86" s="80"/>
      <c r="H86" s="80"/>
      <c r="I86" s="80"/>
      <c r="J86" s="80"/>
      <c r="K86" s="80"/>
      <c r="L86" s="80"/>
      <c r="M86" s="80"/>
      <c r="N86" s="80"/>
      <c r="O86" s="80"/>
      <c r="P86" s="80"/>
      <c r="Q86" s="80"/>
      <c r="R86" s="80"/>
      <c r="S86" s="80"/>
      <c r="T86" s="80"/>
      <c r="U86" s="80"/>
      <c r="V86" s="80"/>
      <c r="W86" s="80"/>
      <c r="X86" s="80"/>
      <c r="Y86" s="80"/>
      <c r="Z86" s="80"/>
    </row>
    <row r="87">
      <c r="A87" s="190">
        <v>45720.0</v>
      </c>
      <c r="B87" s="189">
        <v>-0.41</v>
      </c>
      <c r="C87" s="80"/>
      <c r="D87" s="80"/>
      <c r="E87" s="80"/>
      <c r="F87" s="80"/>
      <c r="G87" s="80"/>
      <c r="H87" s="80"/>
      <c r="I87" s="80"/>
      <c r="J87" s="80"/>
      <c r="K87" s="80"/>
      <c r="L87" s="80"/>
      <c r="M87" s="80"/>
      <c r="N87" s="80"/>
      <c r="O87" s="80"/>
      <c r="P87" s="80"/>
      <c r="Q87" s="80"/>
      <c r="R87" s="80"/>
      <c r="S87" s="80"/>
      <c r="T87" s="80"/>
      <c r="U87" s="80"/>
      <c r="V87" s="80"/>
      <c r="W87" s="80"/>
      <c r="X87" s="80"/>
      <c r="Y87" s="80"/>
      <c r="Z87" s="80"/>
    </row>
    <row r="88">
      <c r="A88" s="190">
        <v>45721.0</v>
      </c>
      <c r="B88" s="189">
        <v>-0.41</v>
      </c>
      <c r="C88" s="80"/>
      <c r="D88" s="80"/>
      <c r="E88" s="80"/>
      <c r="F88" s="80"/>
      <c r="G88" s="80"/>
      <c r="H88" s="80"/>
      <c r="I88" s="80"/>
      <c r="J88" s="80"/>
      <c r="K88" s="80"/>
      <c r="L88" s="80"/>
      <c r="M88" s="80"/>
      <c r="N88" s="80"/>
      <c r="O88" s="80"/>
      <c r="P88" s="80"/>
      <c r="Q88" s="80"/>
      <c r="R88" s="80"/>
      <c r="S88" s="80"/>
      <c r="T88" s="80"/>
      <c r="U88" s="80"/>
      <c r="V88" s="80"/>
      <c r="W88" s="80"/>
      <c r="X88" s="80"/>
      <c r="Y88" s="80"/>
      <c r="Z88" s="80"/>
    </row>
    <row r="89">
      <c r="A89" s="190">
        <v>45722.0</v>
      </c>
      <c r="B89" s="189">
        <v>-0.41</v>
      </c>
      <c r="C89" s="80"/>
      <c r="D89" s="80"/>
      <c r="E89" s="80"/>
      <c r="F89" s="80"/>
      <c r="G89" s="80"/>
      <c r="H89" s="80"/>
      <c r="I89" s="80"/>
      <c r="J89" s="80"/>
      <c r="K89" s="80"/>
      <c r="L89" s="80"/>
      <c r="M89" s="80"/>
      <c r="N89" s="80"/>
      <c r="O89" s="80"/>
      <c r="P89" s="80"/>
      <c r="Q89" s="80"/>
      <c r="R89" s="80"/>
      <c r="S89" s="80"/>
      <c r="T89" s="80"/>
      <c r="U89" s="80"/>
      <c r="V89" s="80"/>
      <c r="W89" s="80"/>
      <c r="X89" s="80"/>
      <c r="Y89" s="80"/>
      <c r="Z89" s="80"/>
    </row>
    <row r="90">
      <c r="A90" s="190">
        <v>45723.0</v>
      </c>
      <c r="B90" s="189">
        <v>-0.41</v>
      </c>
      <c r="C90" s="80"/>
      <c r="D90" s="80"/>
      <c r="E90" s="80"/>
      <c r="F90" s="80"/>
      <c r="G90" s="80"/>
      <c r="H90" s="80"/>
      <c r="I90" s="80"/>
      <c r="J90" s="80"/>
      <c r="K90" s="80"/>
      <c r="L90" s="80"/>
      <c r="M90" s="80"/>
      <c r="N90" s="80"/>
      <c r="O90" s="80"/>
      <c r="P90" s="80"/>
      <c r="Q90" s="80"/>
      <c r="R90" s="80"/>
      <c r="S90" s="80"/>
      <c r="T90" s="80"/>
      <c r="U90" s="80"/>
      <c r="V90" s="80"/>
      <c r="W90" s="80"/>
      <c r="X90" s="80"/>
      <c r="Y90" s="80"/>
      <c r="Z90" s="80"/>
    </row>
    <row r="91">
      <c r="A91" s="190">
        <v>45724.0</v>
      </c>
      <c r="B91" s="189">
        <v>-0.53</v>
      </c>
      <c r="C91" s="80"/>
      <c r="D91" s="80"/>
      <c r="E91" s="80"/>
      <c r="F91" s="80"/>
      <c r="G91" s="80"/>
      <c r="H91" s="80"/>
      <c r="I91" s="80"/>
      <c r="J91" s="80"/>
      <c r="K91" s="80"/>
      <c r="L91" s="80"/>
      <c r="M91" s="80"/>
      <c r="N91" s="80"/>
      <c r="O91" s="80"/>
      <c r="P91" s="80"/>
      <c r="Q91" s="80"/>
      <c r="R91" s="80"/>
      <c r="S91" s="80"/>
      <c r="T91" s="80"/>
      <c r="U91" s="80"/>
      <c r="V91" s="80"/>
      <c r="W91" s="80"/>
      <c r="X91" s="80"/>
      <c r="Y91" s="80"/>
      <c r="Z91" s="80"/>
    </row>
    <row r="92">
      <c r="A92" s="190">
        <v>45725.0</v>
      </c>
      <c r="B92" s="189">
        <v>-0.53</v>
      </c>
      <c r="C92" s="80"/>
      <c r="D92" s="80"/>
      <c r="E92" s="80"/>
      <c r="F92" s="80"/>
      <c r="G92" s="80"/>
      <c r="H92" s="80"/>
      <c r="I92" s="80"/>
      <c r="J92" s="80"/>
      <c r="K92" s="80"/>
      <c r="L92" s="80"/>
      <c r="M92" s="80"/>
      <c r="N92" s="80"/>
      <c r="O92" s="80"/>
      <c r="P92" s="80"/>
      <c r="Q92" s="80"/>
      <c r="R92" s="80"/>
      <c r="S92" s="80"/>
      <c r="T92" s="80"/>
      <c r="U92" s="80"/>
      <c r="V92" s="80"/>
      <c r="W92" s="80"/>
      <c r="X92" s="80"/>
      <c r="Y92" s="80"/>
      <c r="Z92" s="80"/>
    </row>
    <row r="93">
      <c r="A93" s="190">
        <v>45726.0</v>
      </c>
      <c r="B93" s="189">
        <v>-0.66</v>
      </c>
      <c r="C93" s="80"/>
      <c r="D93" s="80"/>
      <c r="E93" s="80"/>
      <c r="F93" s="80"/>
      <c r="G93" s="80"/>
      <c r="H93" s="80"/>
      <c r="I93" s="80"/>
      <c r="J93" s="80"/>
      <c r="K93" s="80"/>
      <c r="L93" s="80"/>
      <c r="M93" s="80"/>
      <c r="N93" s="80"/>
      <c r="O93" s="80"/>
      <c r="P93" s="80"/>
      <c r="Q93" s="80"/>
      <c r="R93" s="80"/>
      <c r="S93" s="80"/>
      <c r="T93" s="80"/>
      <c r="U93" s="80"/>
      <c r="V93" s="80"/>
      <c r="W93" s="80"/>
      <c r="X93" s="80"/>
      <c r="Y93" s="80"/>
      <c r="Z93" s="80"/>
    </row>
    <row r="94">
      <c r="A94" s="190">
        <v>45727.0</v>
      </c>
      <c r="B94" s="189">
        <v>-0.66</v>
      </c>
      <c r="C94" s="80"/>
      <c r="D94" s="80"/>
      <c r="E94" s="80"/>
      <c r="F94" s="80"/>
      <c r="G94" s="80"/>
      <c r="H94" s="80"/>
      <c r="I94" s="80"/>
      <c r="J94" s="80"/>
      <c r="K94" s="80"/>
      <c r="L94" s="80"/>
      <c r="M94" s="80"/>
      <c r="N94" s="80"/>
      <c r="O94" s="80"/>
      <c r="P94" s="80"/>
      <c r="Q94" s="80"/>
      <c r="R94" s="80"/>
      <c r="S94" s="80"/>
      <c r="T94" s="80"/>
      <c r="U94" s="80"/>
      <c r="V94" s="80"/>
      <c r="W94" s="80"/>
      <c r="X94" s="80"/>
      <c r="Y94" s="80"/>
      <c r="Z94" s="80"/>
    </row>
    <row r="95">
      <c r="A95" s="190">
        <v>45728.0</v>
      </c>
      <c r="B95" s="189">
        <v>-0.66</v>
      </c>
      <c r="C95" s="80"/>
      <c r="D95" s="80"/>
      <c r="E95" s="80"/>
      <c r="F95" s="80"/>
      <c r="G95" s="80"/>
      <c r="H95" s="80"/>
      <c r="I95" s="80"/>
      <c r="J95" s="80"/>
      <c r="K95" s="80"/>
      <c r="L95" s="80"/>
      <c r="M95" s="80"/>
      <c r="N95" s="80"/>
      <c r="O95" s="80"/>
      <c r="P95" s="80"/>
      <c r="Q95" s="80"/>
      <c r="R95" s="80"/>
      <c r="S95" s="80"/>
      <c r="T95" s="80"/>
      <c r="U95" s="80"/>
      <c r="V95" s="80"/>
      <c r="W95" s="80"/>
      <c r="X95" s="80"/>
      <c r="Y95" s="80"/>
      <c r="Z95" s="80"/>
    </row>
    <row r="96">
      <c r="A96" s="190">
        <v>45729.0</v>
      </c>
      <c r="B96" s="189">
        <v>-0.66</v>
      </c>
      <c r="C96" s="80"/>
      <c r="D96" s="80"/>
      <c r="E96" s="80"/>
      <c r="F96" s="80"/>
      <c r="G96" s="80"/>
      <c r="H96" s="80"/>
      <c r="I96" s="80"/>
      <c r="J96" s="80"/>
      <c r="K96" s="80"/>
      <c r="L96" s="80"/>
      <c r="M96" s="80"/>
      <c r="N96" s="80"/>
      <c r="O96" s="80"/>
      <c r="P96" s="80"/>
      <c r="Q96" s="80"/>
      <c r="R96" s="80"/>
      <c r="S96" s="80"/>
      <c r="T96" s="80"/>
      <c r="U96" s="80"/>
      <c r="V96" s="80"/>
      <c r="W96" s="80"/>
      <c r="X96" s="80"/>
      <c r="Y96" s="80"/>
      <c r="Z96" s="80"/>
    </row>
    <row r="97">
      <c r="A97" s="190">
        <v>45730.0</v>
      </c>
      <c r="B97" s="189">
        <v>-0.66</v>
      </c>
      <c r="C97" s="80"/>
      <c r="D97" s="80"/>
      <c r="E97" s="80"/>
      <c r="F97" s="80"/>
      <c r="G97" s="80"/>
      <c r="H97" s="80"/>
      <c r="I97" s="80"/>
      <c r="J97" s="80"/>
      <c r="K97" s="80"/>
      <c r="L97" s="80"/>
      <c r="M97" s="80"/>
      <c r="N97" s="80"/>
      <c r="O97" s="80"/>
      <c r="P97" s="80"/>
      <c r="Q97" s="80"/>
      <c r="R97" s="80"/>
      <c r="S97" s="80"/>
      <c r="T97" s="80"/>
      <c r="U97" s="80"/>
      <c r="V97" s="80"/>
      <c r="W97" s="80"/>
      <c r="X97" s="80"/>
      <c r="Y97" s="80"/>
      <c r="Z97" s="80"/>
    </row>
    <row r="98">
      <c r="A98" s="190">
        <v>45731.0</v>
      </c>
      <c r="B98" s="189">
        <v>-0.66</v>
      </c>
      <c r="C98" s="80"/>
      <c r="D98" s="80"/>
      <c r="E98" s="80"/>
      <c r="F98" s="80"/>
      <c r="G98" s="80"/>
      <c r="H98" s="80"/>
      <c r="I98" s="80"/>
      <c r="J98" s="80"/>
      <c r="K98" s="80"/>
      <c r="L98" s="80"/>
      <c r="M98" s="80"/>
      <c r="N98" s="80"/>
      <c r="O98" s="80"/>
      <c r="P98" s="80"/>
      <c r="Q98" s="80"/>
      <c r="R98" s="80"/>
      <c r="S98" s="80"/>
      <c r="T98" s="80"/>
      <c r="U98" s="80"/>
      <c r="V98" s="80"/>
      <c r="W98" s="80"/>
      <c r="X98" s="80"/>
      <c r="Y98" s="80"/>
      <c r="Z98" s="80"/>
    </row>
    <row r="99">
      <c r="A99" s="190">
        <v>45732.0</v>
      </c>
      <c r="B99" s="189">
        <v>-0.66</v>
      </c>
      <c r="C99" s="80"/>
      <c r="D99" s="80"/>
      <c r="E99" s="80"/>
      <c r="F99" s="80"/>
      <c r="G99" s="80"/>
      <c r="H99" s="80"/>
      <c r="I99" s="80"/>
      <c r="J99" s="80"/>
      <c r="K99" s="80"/>
      <c r="L99" s="80"/>
      <c r="M99" s="80"/>
      <c r="N99" s="80"/>
      <c r="O99" s="80"/>
      <c r="P99" s="80"/>
      <c r="Q99" s="80"/>
      <c r="R99" s="80"/>
      <c r="S99" s="80"/>
      <c r="T99" s="80"/>
      <c r="U99" s="80"/>
      <c r="V99" s="80"/>
      <c r="W99" s="80"/>
      <c r="X99" s="80"/>
      <c r="Y99" s="80"/>
      <c r="Z99" s="80"/>
    </row>
    <row r="100">
      <c r="A100" s="190">
        <v>45733.0</v>
      </c>
      <c r="B100" s="189">
        <v>-0.66</v>
      </c>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c r="A101" s="190">
        <v>45734.0</v>
      </c>
      <c r="B101" s="189">
        <v>-0.28</v>
      </c>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c r="A102" s="190">
        <v>45735.0</v>
      </c>
      <c r="B102" s="189">
        <v>-0.53</v>
      </c>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c r="A103" s="190">
        <v>45736.0</v>
      </c>
      <c r="B103" s="189">
        <v>-0.78</v>
      </c>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c r="A104" s="190">
        <v>45737.0</v>
      </c>
      <c r="B104" s="189">
        <v>-0.78</v>
      </c>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c r="A105" s="190">
        <v>45738.0</v>
      </c>
      <c r="B105" s="189">
        <v>-0.78</v>
      </c>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c r="A106" s="190">
        <v>45739.0</v>
      </c>
      <c r="B106" s="189">
        <v>-0.78</v>
      </c>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c r="A107" s="190">
        <v>45740.0</v>
      </c>
      <c r="B107" s="189">
        <v>-0.78</v>
      </c>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c r="A108" s="190">
        <v>45741.0</v>
      </c>
      <c r="B108" s="189">
        <v>-0.78</v>
      </c>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c r="A109" s="190">
        <v>45742.0</v>
      </c>
      <c r="B109" s="189">
        <v>-0.78</v>
      </c>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c r="A110" s="190">
        <v>45743.0</v>
      </c>
      <c r="B110" s="189">
        <v>-0.78</v>
      </c>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c r="A111" s="190">
        <v>45744.0</v>
      </c>
      <c r="B111" s="189">
        <v>-0.78</v>
      </c>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c r="A112" s="190">
        <v>45745.0</v>
      </c>
      <c r="B112" s="189">
        <v>-0.78</v>
      </c>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c r="A113" s="190">
        <v>45746.0</v>
      </c>
      <c r="B113" s="189">
        <v>-0.78</v>
      </c>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c r="A114" s="190">
        <v>45747.0</v>
      </c>
      <c r="B114" s="189">
        <v>-0.78</v>
      </c>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c r="A115" s="190">
        <v>45748.0</v>
      </c>
      <c r="B115" s="189">
        <v>-0.91</v>
      </c>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c r="A116" s="190">
        <v>45749.0</v>
      </c>
      <c r="B116" s="189">
        <v>-0.91</v>
      </c>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c r="A117" s="190">
        <v>45750.0</v>
      </c>
      <c r="B117" s="189">
        <v>-0.91</v>
      </c>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c r="A118" s="190">
        <v>45751.0</v>
      </c>
      <c r="B118" s="189">
        <v>-0.91</v>
      </c>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c r="A119" s="190">
        <v>45752.0</v>
      </c>
      <c r="B119" s="189">
        <v>-0.91</v>
      </c>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c r="A120" s="190">
        <v>45753.0</v>
      </c>
      <c r="B120" s="189">
        <v>-0.91</v>
      </c>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c r="A121" s="190">
        <v>45754.0</v>
      </c>
      <c r="B121" s="189">
        <v>-0.91</v>
      </c>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c r="A122" s="190">
        <v>45755.0</v>
      </c>
      <c r="B122" s="189">
        <v>-0.91</v>
      </c>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c r="A123" s="190">
        <v>45756.0</v>
      </c>
      <c r="B123" s="189">
        <v>-0.91</v>
      </c>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c r="A124" s="190">
        <v>45757.0</v>
      </c>
      <c r="B124" s="189">
        <v>-0.91</v>
      </c>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c r="A125" s="190">
        <v>45758.0</v>
      </c>
      <c r="B125" s="189">
        <v>-0.91</v>
      </c>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c r="A126" s="190">
        <v>45759.0</v>
      </c>
      <c r="B126" s="189">
        <v>-0.91</v>
      </c>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c r="A127" s="190">
        <v>45760.0</v>
      </c>
      <c r="B127" s="189">
        <v>-0.91</v>
      </c>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c r="A128" s="190">
        <v>45761.0</v>
      </c>
      <c r="B128" s="189">
        <v>-0.91</v>
      </c>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c r="A129" s="190">
        <v>45762.0</v>
      </c>
      <c r="B129" s="189">
        <v>-0.91</v>
      </c>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c r="A130" s="190">
        <v>45763.0</v>
      </c>
      <c r="B130" s="189">
        <v>-0.91</v>
      </c>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c r="A131" s="190">
        <v>45764.0</v>
      </c>
      <c r="B131" s="189">
        <v>-0.91</v>
      </c>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c r="A132" s="190">
        <v>45765.0</v>
      </c>
      <c r="B132" s="189">
        <v>-0.91</v>
      </c>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c r="A133" s="190">
        <v>45766.0</v>
      </c>
      <c r="B133" s="189">
        <v>-0.91</v>
      </c>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c r="A134" s="190">
        <v>45767.0</v>
      </c>
      <c r="B134" s="189">
        <v>-0.91</v>
      </c>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c r="A135" s="190">
        <v>45768.0</v>
      </c>
      <c r="B135" s="189">
        <v>-0.91</v>
      </c>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c r="A136" s="190">
        <v>45769.0</v>
      </c>
      <c r="B136" s="189">
        <v>-0.91</v>
      </c>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c r="A137" s="190">
        <v>45770.0</v>
      </c>
      <c r="B137" s="189">
        <v>-0.75</v>
      </c>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c r="A138" s="190">
        <v>45771.0</v>
      </c>
      <c r="B138" s="189">
        <v>-0.75</v>
      </c>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c r="A139" s="190">
        <v>45772.0</v>
      </c>
      <c r="B139" s="189">
        <v>-0.81</v>
      </c>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c r="A140" s="190">
        <v>45773.0</v>
      </c>
      <c r="B140" s="189">
        <v>-0.81</v>
      </c>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c r="A141" s="190">
        <v>45774.0</v>
      </c>
      <c r="B141" s="189">
        <v>-0.81</v>
      </c>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c r="A142" s="190">
        <v>45775.0</v>
      </c>
      <c r="B142" s="189">
        <v>-0.81</v>
      </c>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c r="A143" s="190">
        <v>45776.0</v>
      </c>
      <c r="B143" s="189">
        <v>-0.81</v>
      </c>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c r="A144" s="190">
        <v>45777.0</v>
      </c>
      <c r="B144" s="189">
        <v>-0.81</v>
      </c>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c r="A145" s="190">
        <v>45778.0</v>
      </c>
      <c r="B145" s="189">
        <v>-0.81</v>
      </c>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c r="A146" s="191">
        <v>45779.0</v>
      </c>
      <c r="B146" s="192">
        <v>-0.81</v>
      </c>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c r="A147" s="191">
        <v>45780.0</v>
      </c>
      <c r="B147" s="193">
        <v>-0.75</v>
      </c>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c r="A148" s="191">
        <v>45781.0</v>
      </c>
      <c r="B148" s="193">
        <v>-0.75</v>
      </c>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c r="A149" s="191">
        <v>45782.0</v>
      </c>
      <c r="B149" s="193">
        <v>-0.63</v>
      </c>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c r="A150" s="191">
        <v>45783.0</v>
      </c>
      <c r="B150" s="193">
        <v>-0.63</v>
      </c>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c r="A151" s="191">
        <v>45784.0</v>
      </c>
      <c r="B151" s="193">
        <v>-0.63</v>
      </c>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c r="A152" s="191">
        <v>45785.0</v>
      </c>
      <c r="B152" s="193">
        <v>-0.06</v>
      </c>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c r="A153" s="191">
        <v>45786.0</v>
      </c>
      <c r="B153" s="194">
        <v>0.0</v>
      </c>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c r="A154" s="191">
        <v>45787.0</v>
      </c>
      <c r="B154" s="194">
        <v>0.2</v>
      </c>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c r="A155" s="191">
        <v>45788.0</v>
      </c>
      <c r="B155" s="194">
        <v>0.2</v>
      </c>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c r="A156" s="191">
        <v>45789.0</v>
      </c>
      <c r="B156" s="194">
        <v>0.2</v>
      </c>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c r="A157" s="191">
        <v>45790.0</v>
      </c>
      <c r="B157" s="193">
        <v>0.47</v>
      </c>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c r="A158" s="191">
        <v>45791.0</v>
      </c>
      <c r="B158" s="194">
        <v>0.6</v>
      </c>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c r="A159" s="191">
        <v>45792.0</v>
      </c>
      <c r="B159" s="194">
        <v>0.6</v>
      </c>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c r="A160" s="191">
        <v>45793.0</v>
      </c>
      <c r="B160" s="194">
        <v>0.73</v>
      </c>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c r="A161" s="191">
        <v>45794.0</v>
      </c>
      <c r="B161" s="194">
        <v>0.73</v>
      </c>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c r="A162" s="191">
        <v>45795.0</v>
      </c>
      <c r="B162" s="194">
        <v>0.73</v>
      </c>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c r="A163" s="191">
        <v>45796.0</v>
      </c>
      <c r="B163" s="194">
        <v>0.73</v>
      </c>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c r="A164" s="191">
        <v>45797.0</v>
      </c>
      <c r="B164" s="194">
        <v>0.73</v>
      </c>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c r="A165" s="191">
        <v>45798.0</v>
      </c>
      <c r="B165" s="194">
        <v>0.73</v>
      </c>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c r="A166" s="191">
        <v>45799.0</v>
      </c>
      <c r="B166" s="194">
        <v>0.73</v>
      </c>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c r="A167" s="191">
        <v>45800.0</v>
      </c>
      <c r="B167" s="194">
        <v>0.73</v>
      </c>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c r="A168" s="191">
        <v>45801.0</v>
      </c>
      <c r="B168" s="194">
        <v>0.73</v>
      </c>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c r="A169" s="191">
        <v>45802.0</v>
      </c>
      <c r="B169" s="194">
        <v>0.73</v>
      </c>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c r="A170" s="191">
        <v>45803.0</v>
      </c>
      <c r="B170" s="194">
        <v>0.73</v>
      </c>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c r="A171" s="191">
        <v>45804.0</v>
      </c>
      <c r="B171" s="194">
        <v>0.47</v>
      </c>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c r="A172" s="191">
        <v>45805.0</v>
      </c>
      <c r="B172" s="194">
        <v>0.87</v>
      </c>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c r="A173" s="191">
        <v>45806.0</v>
      </c>
      <c r="B173" s="194">
        <v>0.87</v>
      </c>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c r="A174" s="191">
        <v>45807.0</v>
      </c>
      <c r="B174" s="194">
        <v>0.87</v>
      </c>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c r="A175" s="191">
        <v>45808.0</v>
      </c>
      <c r="B175" s="194">
        <v>0.87</v>
      </c>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c r="A176" s="191">
        <v>45809.0</v>
      </c>
      <c r="B176" s="194">
        <v>0.87</v>
      </c>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c r="A177" s="191">
        <v>45810.0</v>
      </c>
      <c r="B177" s="194">
        <v>0.87</v>
      </c>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c r="A178" s="191">
        <v>45811.0</v>
      </c>
      <c r="B178" s="194">
        <v>0.87</v>
      </c>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c r="A179" s="191">
        <v>45812.0</v>
      </c>
      <c r="B179" s="194">
        <v>0.87</v>
      </c>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c r="A180" s="191">
        <v>45813.0</v>
      </c>
      <c r="B180" s="194">
        <v>0.87</v>
      </c>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c r="A181" s="191">
        <v>45814.0</v>
      </c>
      <c r="B181" s="194">
        <v>0.87</v>
      </c>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c r="A182" s="191">
        <v>45815.0</v>
      </c>
      <c r="B182" s="194">
        <v>0.87</v>
      </c>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c r="A183" s="191">
        <v>45816.0</v>
      </c>
      <c r="B183" s="194">
        <v>0.87</v>
      </c>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c r="A184" s="191">
        <v>45817.0</v>
      </c>
      <c r="B184" s="194">
        <v>0.87</v>
      </c>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c r="A185" s="191">
        <v>45818.0</v>
      </c>
      <c r="B185" s="194">
        <v>0.87</v>
      </c>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c r="A186" s="191">
        <v>45819.0</v>
      </c>
      <c r="B186" s="194">
        <v>0.87</v>
      </c>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c r="A187" s="191">
        <v>45820.0</v>
      </c>
      <c r="B187" s="194">
        <v>0.87</v>
      </c>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c r="A188" s="191">
        <v>45821.0</v>
      </c>
      <c r="B188" s="194">
        <v>0.87</v>
      </c>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c r="A189" s="191">
        <v>45822.0</v>
      </c>
      <c r="B189" s="194">
        <v>0.87</v>
      </c>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c r="A190" s="191">
        <v>45823.0</v>
      </c>
      <c r="B190" s="194">
        <v>0.87</v>
      </c>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c r="A191" s="191">
        <v>45824.0</v>
      </c>
      <c r="B191" s="194">
        <v>0.87</v>
      </c>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c r="A192" s="191">
        <v>45825.0</v>
      </c>
      <c r="B192" s="194">
        <v>0.87</v>
      </c>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c r="A193" s="191">
        <v>45826.0</v>
      </c>
      <c r="B193" s="194">
        <v>0.87</v>
      </c>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c r="A194" s="191">
        <v>45827.0</v>
      </c>
      <c r="B194" s="194">
        <v>0.87</v>
      </c>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c r="A195" s="191">
        <v>45828.0</v>
      </c>
      <c r="B195" s="194">
        <v>0.87</v>
      </c>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c r="A196" s="191">
        <v>45829.0</v>
      </c>
      <c r="B196" s="194">
        <v>0.87</v>
      </c>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c r="A197" s="191">
        <v>45830.0</v>
      </c>
      <c r="B197" s="194">
        <v>0.87</v>
      </c>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c r="A198" s="191">
        <v>45831.0</v>
      </c>
      <c r="B198" s="194">
        <v>0.87</v>
      </c>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c r="A199" s="191">
        <v>45832.0</v>
      </c>
      <c r="B199" s="194">
        <v>0.87</v>
      </c>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c r="A200" s="191">
        <v>45833.0</v>
      </c>
      <c r="B200" s="194">
        <v>0.87</v>
      </c>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c r="A201" s="191">
        <v>45834.0</v>
      </c>
      <c r="B201" s="194">
        <v>0.87</v>
      </c>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c r="A202" s="191">
        <v>45835.0</v>
      </c>
      <c r="B202" s="194">
        <v>0.87</v>
      </c>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c r="A203" s="191">
        <v>45836.0</v>
      </c>
      <c r="B203" s="194">
        <v>0.87</v>
      </c>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c r="A204" s="191">
        <v>45837.0</v>
      </c>
      <c r="B204" s="194">
        <v>0.87</v>
      </c>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c r="A205" s="191">
        <v>45838.0</v>
      </c>
      <c r="B205" s="194">
        <v>0.87</v>
      </c>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c r="A206" s="191">
        <v>45839.0</v>
      </c>
      <c r="B206" s="194">
        <v>0.87</v>
      </c>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c r="A207" s="191">
        <v>45840.0</v>
      </c>
      <c r="B207" s="194">
        <v>0.87</v>
      </c>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c r="A208" s="191">
        <v>45841.0</v>
      </c>
      <c r="B208" s="194">
        <v>0.87</v>
      </c>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c r="A209" s="191">
        <v>45842.0</v>
      </c>
      <c r="B209" s="194">
        <v>0.87</v>
      </c>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c r="A210" s="191">
        <v>45843.0</v>
      </c>
      <c r="B210" s="194">
        <v>0.87</v>
      </c>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c r="A211" s="191">
        <v>45844.0</v>
      </c>
      <c r="B211" s="194">
        <v>0.87</v>
      </c>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c r="A212" s="191">
        <v>45845.0</v>
      </c>
      <c r="B212" s="194">
        <v>0.87</v>
      </c>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c r="A213" s="191">
        <v>45846.0</v>
      </c>
      <c r="B213" s="194">
        <v>0.87</v>
      </c>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c r="A214" s="191">
        <v>45847.0</v>
      </c>
      <c r="B214" s="194">
        <v>0.87</v>
      </c>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c r="A215" s="191">
        <v>45848.0</v>
      </c>
      <c r="B215" s="194">
        <v>0.87</v>
      </c>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c r="A216" s="191">
        <v>45849.0</v>
      </c>
      <c r="B216" s="194">
        <v>0.87</v>
      </c>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c r="A217" s="191">
        <v>45850.0</v>
      </c>
      <c r="B217" s="194">
        <v>0.87</v>
      </c>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c r="A218" s="191">
        <v>45851.0</v>
      </c>
      <c r="B218" s="194">
        <v>0.87</v>
      </c>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c r="A219" s="191">
        <v>45852.0</v>
      </c>
      <c r="B219" s="194">
        <v>0.87</v>
      </c>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c r="A220" s="191">
        <v>45853.0</v>
      </c>
      <c r="B220" s="194">
        <v>0.87</v>
      </c>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c r="A221" s="191">
        <v>45854.0</v>
      </c>
      <c r="B221" s="194">
        <v>0.87</v>
      </c>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c r="A222" s="191">
        <v>45855.0</v>
      </c>
      <c r="B222" s="194">
        <v>0.87</v>
      </c>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c r="A223" s="191">
        <v>45856.0</v>
      </c>
      <c r="B223" s="194">
        <v>0.87</v>
      </c>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c r="A224" s="191">
        <v>45857.0</v>
      </c>
      <c r="B224" s="194">
        <v>0.87</v>
      </c>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c r="A225" s="191">
        <v>45858.0</v>
      </c>
      <c r="B225" s="194">
        <v>0.87</v>
      </c>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c r="A226" s="191">
        <v>45859.0</v>
      </c>
      <c r="B226" s="194">
        <v>0.87</v>
      </c>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c r="A227" s="191">
        <v>45860.0</v>
      </c>
      <c r="B227" s="194">
        <v>0.87</v>
      </c>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c r="A228" s="191">
        <v>45861.0</v>
      </c>
      <c r="B228" s="194">
        <v>0.87</v>
      </c>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c r="A229" s="191">
        <v>45862.0</v>
      </c>
      <c r="B229" s="194">
        <v>0.87</v>
      </c>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c r="A230" s="191">
        <v>45863.0</v>
      </c>
      <c r="B230" s="194">
        <v>0.87</v>
      </c>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c r="A231" s="191">
        <v>45864.0</v>
      </c>
      <c r="B231" s="194">
        <v>0.87</v>
      </c>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c r="A232" s="191">
        <v>45865.0</v>
      </c>
      <c r="B232" s="194">
        <v>0.87</v>
      </c>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c r="A233" s="191">
        <v>45866.0</v>
      </c>
      <c r="B233" s="194">
        <v>0.87</v>
      </c>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c r="A234" s="191">
        <v>45867.0</v>
      </c>
      <c r="B234" s="194">
        <v>0.87</v>
      </c>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c r="A235" s="191">
        <v>45868.0</v>
      </c>
      <c r="B235" s="194">
        <v>0.87</v>
      </c>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c r="A236" s="191">
        <v>45869.0</v>
      </c>
      <c r="B236" s="194">
        <v>0.87</v>
      </c>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c r="A237" s="191">
        <v>45870.0</v>
      </c>
      <c r="B237" s="194">
        <v>0.87</v>
      </c>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c r="A238" s="191">
        <v>45871.0</v>
      </c>
      <c r="B238" s="194">
        <v>0.87</v>
      </c>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c r="A239" s="191">
        <v>45872.0</v>
      </c>
      <c r="B239" s="194">
        <v>0.87</v>
      </c>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c r="A240" s="191">
        <v>45873.0</v>
      </c>
      <c r="B240" s="194">
        <v>0.87</v>
      </c>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c r="A241" s="191">
        <v>45874.0</v>
      </c>
      <c r="B241" s="194">
        <v>0.87</v>
      </c>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c r="A242" s="191">
        <v>45875.0</v>
      </c>
      <c r="B242" s="194">
        <v>0.87</v>
      </c>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c r="A243" s="191">
        <v>45876.0</v>
      </c>
      <c r="B243" s="194">
        <v>0.87</v>
      </c>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c r="A244" s="191">
        <v>45877.0</v>
      </c>
      <c r="B244" s="194">
        <v>0.87</v>
      </c>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c r="A245" s="191">
        <v>45878.0</v>
      </c>
      <c r="B245" s="194">
        <v>0.87</v>
      </c>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c r="A246" s="191">
        <v>45879.0</v>
      </c>
      <c r="B246" s="194">
        <v>0.87</v>
      </c>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c r="A247" s="191">
        <v>45880.0</v>
      </c>
      <c r="B247" s="194">
        <v>0.87</v>
      </c>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c r="A248" s="191">
        <v>45881.0</v>
      </c>
      <c r="B248" s="194">
        <v>0.87</v>
      </c>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c r="A249" s="191">
        <v>45882.0</v>
      </c>
      <c r="B249" s="194">
        <v>0.87</v>
      </c>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c r="A250" s="191">
        <v>45883.0</v>
      </c>
      <c r="B250" s="194">
        <v>0.87</v>
      </c>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c r="A251" s="191">
        <v>45884.0</v>
      </c>
      <c r="B251" s="194">
        <v>0.87</v>
      </c>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c r="A252" s="191">
        <v>45885.0</v>
      </c>
      <c r="B252" s="194">
        <v>0.87</v>
      </c>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c r="A253" s="191">
        <v>45886.0</v>
      </c>
      <c r="B253" s="194">
        <v>0.87</v>
      </c>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c r="A254" s="191">
        <v>45887.0</v>
      </c>
      <c r="B254" s="194">
        <v>0.87</v>
      </c>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c r="A255" s="191">
        <v>45888.0</v>
      </c>
      <c r="B255" s="194">
        <v>0.87</v>
      </c>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c r="A256" s="191">
        <v>45889.0</v>
      </c>
      <c r="B256" s="194">
        <v>0.87</v>
      </c>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c r="A257" s="191">
        <v>45890.0</v>
      </c>
      <c r="B257" s="194">
        <v>0.87</v>
      </c>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c r="A258" s="191">
        <v>45891.0</v>
      </c>
      <c r="B258" s="194">
        <v>0.87</v>
      </c>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c r="A259" s="191">
        <v>45892.0</v>
      </c>
      <c r="B259" s="194">
        <v>0.87</v>
      </c>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c r="A260" s="191">
        <v>45893.0</v>
      </c>
      <c r="B260" s="194">
        <v>0.87</v>
      </c>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c r="A261" s="191">
        <v>45894.0</v>
      </c>
      <c r="B261" s="194">
        <v>0.87</v>
      </c>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c r="A262" s="191">
        <v>45895.0</v>
      </c>
      <c r="B262" s="194">
        <v>0.87</v>
      </c>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c r="A263" s="191">
        <v>45896.0</v>
      </c>
      <c r="B263" s="194">
        <v>0.87</v>
      </c>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c r="A264" s="191">
        <v>45897.0</v>
      </c>
      <c r="B264" s="194">
        <v>0.87</v>
      </c>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c r="A265" s="191">
        <v>45898.0</v>
      </c>
      <c r="B265" s="194">
        <v>0.87</v>
      </c>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c r="A266" s="191">
        <v>45899.0</v>
      </c>
      <c r="B266" s="194">
        <v>0.87</v>
      </c>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c r="A267" s="191">
        <v>45900.0</v>
      </c>
      <c r="B267" s="194">
        <v>0.87</v>
      </c>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c r="A268" s="191">
        <v>45901.0</v>
      </c>
      <c r="B268" s="194">
        <v>0.87</v>
      </c>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c r="A269" s="191">
        <v>45902.0</v>
      </c>
      <c r="B269" s="194">
        <v>0.87</v>
      </c>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c r="A270" s="191">
        <v>45903.0</v>
      </c>
      <c r="B270" s="194">
        <v>0.73</v>
      </c>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c r="A271" s="191">
        <v>45904.0</v>
      </c>
      <c r="B271" s="194">
        <v>0.73</v>
      </c>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c r="A272" s="191">
        <v>45905.0</v>
      </c>
      <c r="B272" s="194">
        <v>0.73</v>
      </c>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c r="A273" s="191">
        <v>45906.0</v>
      </c>
      <c r="B273" s="194">
        <v>0.75</v>
      </c>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c r="A274" s="191">
        <v>45907.0</v>
      </c>
      <c r="B274" s="194">
        <v>0.75</v>
      </c>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c r="A275" s="191">
        <v>45908.0</v>
      </c>
      <c r="B275" s="194">
        <v>0.75</v>
      </c>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c r="A276" s="191">
        <v>45909.0</v>
      </c>
      <c r="B276" s="194">
        <v>0.75</v>
      </c>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c r="A277" s="191">
        <v>45910.0</v>
      </c>
      <c r="B277" s="194">
        <v>0.75</v>
      </c>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c r="A278" s="191">
        <v>45911.0</v>
      </c>
      <c r="B278" s="194">
        <v>0.75</v>
      </c>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c r="A279" s="191">
        <v>45912.0</v>
      </c>
      <c r="B279" s="194">
        <v>0.75</v>
      </c>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c r="A280" s="191">
        <v>45913.0</v>
      </c>
      <c r="B280" s="194">
        <v>0.75</v>
      </c>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c r="A281" s="191">
        <v>45914.0</v>
      </c>
      <c r="B281" s="194">
        <v>0.75</v>
      </c>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c r="A282" s="191">
        <v>45915.0</v>
      </c>
      <c r="B282" s="194">
        <v>0.75</v>
      </c>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c r="A283" s="191">
        <v>45916.0</v>
      </c>
      <c r="B283" s="194">
        <v>0.75</v>
      </c>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c r="A284" s="191">
        <v>45917.0</v>
      </c>
      <c r="B284" s="194">
        <v>0.75</v>
      </c>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c r="A285" s="191">
        <v>45918.0</v>
      </c>
      <c r="B285" s="194">
        <v>0.75</v>
      </c>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c r="A286" s="191">
        <v>45919.0</v>
      </c>
      <c r="B286" s="194">
        <v>0.75</v>
      </c>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c r="A287" s="191">
        <v>45920.0</v>
      </c>
      <c r="B287" s="194">
        <v>0.75</v>
      </c>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c r="A288" s="191">
        <v>45921.0</v>
      </c>
      <c r="B288" s="194">
        <v>0.75</v>
      </c>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c r="A289" s="191">
        <v>45922.0</v>
      </c>
      <c r="B289" s="194">
        <v>0.75</v>
      </c>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c r="A290" s="191">
        <v>45923.0</v>
      </c>
      <c r="B290" s="194">
        <v>0.75</v>
      </c>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c r="A291" s="191">
        <v>45924.0</v>
      </c>
      <c r="B291" s="194">
        <v>0.75</v>
      </c>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c r="A292" s="191">
        <v>45925.0</v>
      </c>
      <c r="B292" s="194">
        <v>0.75</v>
      </c>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c r="A293" s="191">
        <v>45926.0</v>
      </c>
      <c r="B293" s="193">
        <v>0.63</v>
      </c>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c r="A294" s="191">
        <v>45927.0</v>
      </c>
      <c r="B294" s="193">
        <v>0.63</v>
      </c>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c r="A295" s="191">
        <v>45928.0</v>
      </c>
      <c r="B295" s="193">
        <v>0.63</v>
      </c>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c r="A296" s="191">
        <v>45929.0</v>
      </c>
      <c r="B296" s="193">
        <v>0.63</v>
      </c>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c r="A297" s="191">
        <v>45930.0</v>
      </c>
      <c r="B297" s="193">
        <v>0.63</v>
      </c>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c r="A298" s="191">
        <v>45931.0</v>
      </c>
      <c r="B298" s="193">
        <v>0.75</v>
      </c>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c r="A299" s="191">
        <v>45932.0</v>
      </c>
      <c r="B299" s="193">
        <v>0.75</v>
      </c>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c r="A300" s="191">
        <v>45933.0</v>
      </c>
      <c r="B300" s="193">
        <v>0.88</v>
      </c>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c r="A301" s="191">
        <v>45934.0</v>
      </c>
      <c r="B301" s="193">
        <v>0.88</v>
      </c>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c r="A302" s="191">
        <v>45935.0</v>
      </c>
      <c r="B302" s="193">
        <v>0.88</v>
      </c>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c r="A303" s="191">
        <v>45936.0</v>
      </c>
      <c r="B303" s="193">
        <v>0.88</v>
      </c>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c r="A304" s="191">
        <v>45937.0</v>
      </c>
      <c r="B304" s="193">
        <v>0.88</v>
      </c>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c r="A305" s="191">
        <v>45938.0</v>
      </c>
      <c r="B305" s="193">
        <v>0.88</v>
      </c>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c r="A306" s="191">
        <v>45939.0</v>
      </c>
      <c r="B306" s="193">
        <v>0.88</v>
      </c>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c r="A307" s="191">
        <v>45940.0</v>
      </c>
      <c r="B307" s="193">
        <v>0.75</v>
      </c>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c r="A308" s="191">
        <v>45941.0</v>
      </c>
      <c r="B308" s="193">
        <v>0.75</v>
      </c>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c r="A309" s="191">
        <v>45942.0</v>
      </c>
      <c r="B309" s="193">
        <v>0.75</v>
      </c>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c r="A310" s="191">
        <v>45943.0</v>
      </c>
      <c r="B310" s="193">
        <v>0.75</v>
      </c>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c r="A311" s="191">
        <v>45944.0</v>
      </c>
      <c r="B311" s="193">
        <v>0.75</v>
      </c>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c r="A312" s="191">
        <v>45945.0</v>
      </c>
      <c r="B312" s="193">
        <v>0.69</v>
      </c>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c r="A313" s="191">
        <v>45946.0</v>
      </c>
      <c r="B313" s="193">
        <v>0.63</v>
      </c>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c r="A314" s="191">
        <v>45947.0</v>
      </c>
      <c r="B314" s="193">
        <v>0.63</v>
      </c>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c r="A315" s="191">
        <v>45948.0</v>
      </c>
      <c r="B315" s="193">
        <v>0.25</v>
      </c>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c r="A316" s="191">
        <v>45949.0</v>
      </c>
      <c r="B316" s="193">
        <v>0.25</v>
      </c>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c r="A317" s="191">
        <v>45950.0</v>
      </c>
      <c r="B317" s="193">
        <v>0.38</v>
      </c>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c r="A318" s="191">
        <v>45951.0</v>
      </c>
      <c r="B318" s="193">
        <v>-0.06</v>
      </c>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c r="A319" s="191">
        <v>45952.0</v>
      </c>
      <c r="B319" s="193">
        <v>-0.06</v>
      </c>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c r="A320" s="191">
        <v>45953.0</v>
      </c>
      <c r="B320" s="193">
        <v>-0.13</v>
      </c>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c r="A321" s="191">
        <v>45954.0</v>
      </c>
      <c r="B321" s="193">
        <v>-0.13</v>
      </c>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c r="A322" s="191">
        <v>45955.0</v>
      </c>
      <c r="B322" s="193">
        <v>-0.13</v>
      </c>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c r="A323" s="191">
        <v>45956.0</v>
      </c>
      <c r="B323" s="193">
        <v>-0.13</v>
      </c>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c r="A324" s="191">
        <v>45957.0</v>
      </c>
      <c r="B324" s="193">
        <v>-0.03</v>
      </c>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c r="A325" s="191">
        <v>45958.0</v>
      </c>
      <c r="B325" s="193">
        <v>0.34</v>
      </c>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c r="A326" s="191">
        <v>45959.0</v>
      </c>
      <c r="B326" s="193">
        <v>0.22</v>
      </c>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c r="A327" s="191">
        <v>45960.0</v>
      </c>
      <c r="B327" s="193">
        <v>0.22</v>
      </c>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c r="A328" s="191">
        <v>45961.0</v>
      </c>
      <c r="B328" s="193">
        <v>-0.03</v>
      </c>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c r="A329" s="191">
        <v>45962.0</v>
      </c>
      <c r="B329" s="193">
        <v>-0.03</v>
      </c>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c r="A330" s="191">
        <v>45963.0</v>
      </c>
      <c r="B330" s="193">
        <v>-0.03</v>
      </c>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c r="A331" s="191">
        <v>45964.0</v>
      </c>
      <c r="B331" s="193">
        <v>-0.03</v>
      </c>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c r="A332" s="191">
        <v>45965.0</v>
      </c>
      <c r="B332" s="193">
        <v>-0.03</v>
      </c>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c r="A333" s="191">
        <v>45966.0</v>
      </c>
      <c r="B333" s="193">
        <v>-0.03</v>
      </c>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c r="A334" s="191">
        <v>45967.0</v>
      </c>
      <c r="B334" s="193">
        <v>-0.9</v>
      </c>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c r="A335" s="191">
        <v>45968.0</v>
      </c>
      <c r="B335" s="193">
        <v>-0.9</v>
      </c>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c r="A336" s="191">
        <v>45969.0</v>
      </c>
      <c r="B336" s="193">
        <v>-0.9</v>
      </c>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c r="A337" s="191">
        <v>45970.0</v>
      </c>
      <c r="B337" s="193">
        <v>-0.9</v>
      </c>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c r="A338" s="191">
        <v>45971.0</v>
      </c>
      <c r="B338" s="193">
        <v>-0.9</v>
      </c>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c r="A339" s="191">
        <v>45972.0</v>
      </c>
      <c r="B339" s="193">
        <v>-0.9</v>
      </c>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c r="A340" s="191">
        <v>45973.0</v>
      </c>
      <c r="B340" s="193">
        <v>-0.9</v>
      </c>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c r="A341" s="191">
        <v>45974.0</v>
      </c>
      <c r="B341" s="193">
        <v>-0.9</v>
      </c>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c r="A342" s="135">
        <v>45975.0</v>
      </c>
      <c r="B342" s="136">
        <v>-1.0</v>
      </c>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c r="A343" s="135">
        <v>45976.0</v>
      </c>
      <c r="B343" s="136">
        <v>-1.0</v>
      </c>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c r="A344" s="135">
        <v>45977.0</v>
      </c>
      <c r="B344" s="136">
        <v>-1.0</v>
      </c>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c r="A345" s="135">
        <v>45978.0</v>
      </c>
      <c r="B345" s="136">
        <v>-1.0</v>
      </c>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c r="A346" s="135">
        <v>45979.0</v>
      </c>
      <c r="B346" s="136">
        <v>-1.0</v>
      </c>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c r="A347" s="135">
        <v>45980.0</v>
      </c>
      <c r="B347" s="136">
        <v>-1.0</v>
      </c>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c r="A348" s="135">
        <v>45981.0</v>
      </c>
      <c r="B348" s="136">
        <v>-1.0</v>
      </c>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c r="A349" s="135">
        <v>45982.0</v>
      </c>
      <c r="B349" s="136">
        <v>-1.0</v>
      </c>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c r="A350" s="135">
        <v>45983.0</v>
      </c>
      <c r="B350" s="136">
        <v>-1.0</v>
      </c>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c r="A351" s="135">
        <v>45984.0</v>
      </c>
      <c r="B351" s="136">
        <v>-1.0</v>
      </c>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c r="A352" s="135">
        <v>45985.0</v>
      </c>
      <c r="B352" s="136">
        <v>-1.0</v>
      </c>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c r="A353" s="135">
        <v>45986.0</v>
      </c>
      <c r="B353" s="136">
        <v>-1.0</v>
      </c>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c r="A354" s="135">
        <v>45987.0</v>
      </c>
      <c r="B354" s="136">
        <v>-1.0</v>
      </c>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c r="A355" s="135">
        <v>45988.0</v>
      </c>
      <c r="B355" s="136">
        <v>-1.0</v>
      </c>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c r="A356" s="135">
        <v>45989.0</v>
      </c>
      <c r="B356" s="136">
        <v>-1.0</v>
      </c>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c r="A357" s="135">
        <v>45990.0</v>
      </c>
      <c r="B357" s="136">
        <v>-1.0</v>
      </c>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c r="A358" s="135">
        <v>45991.0</v>
      </c>
      <c r="B358" s="136">
        <v>-1.0</v>
      </c>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c r="A359" s="135">
        <v>45992.0</v>
      </c>
      <c r="B359" s="136">
        <v>-1.0</v>
      </c>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c r="A360" s="135">
        <v>45993.0</v>
      </c>
      <c r="B360" s="136">
        <v>-1.0</v>
      </c>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c r="A361" s="135">
        <v>45994.0</v>
      </c>
      <c r="B361" s="136">
        <v>-1.0</v>
      </c>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c r="A362" s="135">
        <v>45995.0</v>
      </c>
      <c r="B362" s="136">
        <v>-1.0</v>
      </c>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c r="A363" s="135">
        <v>45996.0</v>
      </c>
      <c r="B363" s="136">
        <v>-1.0</v>
      </c>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c r="A364" s="135">
        <v>45997.0</v>
      </c>
      <c r="B364" s="136">
        <v>-1.0</v>
      </c>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c r="A365" s="135">
        <v>45998.0</v>
      </c>
      <c r="B365" s="136">
        <v>-1.0</v>
      </c>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c r="A366" s="135">
        <v>45999.0</v>
      </c>
      <c r="B366" s="136">
        <v>-1.0</v>
      </c>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c r="A367" s="135">
        <v>46000.0</v>
      </c>
      <c r="B367" s="136">
        <v>-1.0</v>
      </c>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c r="A368" s="135">
        <v>46001.0</v>
      </c>
      <c r="B368" s="136">
        <v>-1.0</v>
      </c>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c r="A369" s="135">
        <v>46002.0</v>
      </c>
      <c r="B369" s="136">
        <v>-1.0</v>
      </c>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c r="A370" s="135">
        <v>46003.0</v>
      </c>
      <c r="B370" s="136">
        <v>-1.0</v>
      </c>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c r="A371" s="135">
        <v>46004.0</v>
      </c>
      <c r="B371" s="136">
        <v>-1.0</v>
      </c>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c r="A372" s="135">
        <v>46005.0</v>
      </c>
      <c r="B372" s="136">
        <v>-1.0</v>
      </c>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c r="A373" s="135">
        <v>46006.0</v>
      </c>
      <c r="B373" s="136">
        <v>-1.0</v>
      </c>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c r="A374" s="135">
        <v>46007.0</v>
      </c>
      <c r="B374" s="136">
        <v>-1.0</v>
      </c>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c r="A375" s="135">
        <v>46008.0</v>
      </c>
      <c r="B375" s="136">
        <v>-1.0</v>
      </c>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c r="A376" s="135">
        <v>46009.0</v>
      </c>
      <c r="B376" s="136">
        <v>-1.0</v>
      </c>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c r="A377" s="135">
        <v>46010.0</v>
      </c>
      <c r="B377" s="136">
        <v>-1.0</v>
      </c>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c r="A378" s="135">
        <v>46011.0</v>
      </c>
      <c r="B378" s="136">
        <v>-1.0</v>
      </c>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c r="A379" s="135">
        <v>46012.0</v>
      </c>
      <c r="B379" s="136">
        <v>-1.0</v>
      </c>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c r="A380" s="135">
        <v>46013.0</v>
      </c>
      <c r="B380" s="136">
        <v>-1.0</v>
      </c>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c r="A381" s="135">
        <v>46014.0</v>
      </c>
      <c r="B381" s="136">
        <v>-1.0</v>
      </c>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c r="A382" s="135">
        <v>46015.0</v>
      </c>
      <c r="B382" s="136">
        <v>-1.0</v>
      </c>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c r="A383" s="135">
        <v>46016.0</v>
      </c>
      <c r="B383" s="136">
        <v>-1.0</v>
      </c>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c r="A384" s="135">
        <v>46017.0</v>
      </c>
      <c r="B384" s="136">
        <v>-1.0</v>
      </c>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c r="A385" s="135">
        <v>46018.0</v>
      </c>
      <c r="B385" s="136">
        <v>-1.0</v>
      </c>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c r="A386" s="135">
        <v>46019.0</v>
      </c>
      <c r="B386" s="136">
        <v>-1.0</v>
      </c>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c r="A387" s="135">
        <v>46020.0</v>
      </c>
      <c r="B387" s="136">
        <v>-1.0</v>
      </c>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c r="A388" s="135">
        <v>46021.0</v>
      </c>
      <c r="B388" s="136">
        <v>-1.0</v>
      </c>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c r="A389" s="135">
        <v>46022.0</v>
      </c>
      <c r="B389" s="136">
        <v>-1.0</v>
      </c>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c r="A390" s="135">
        <v>46023.0</v>
      </c>
      <c r="B390" s="136">
        <v>-1.0</v>
      </c>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c r="A391" s="135">
        <v>46024.0</v>
      </c>
      <c r="B391" s="136">
        <v>-0.75</v>
      </c>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c r="A392" s="135">
        <v>46025.0</v>
      </c>
      <c r="B392" s="136">
        <v>-0.75</v>
      </c>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c r="A393" s="135">
        <v>46026.0</v>
      </c>
      <c r="B393" s="136">
        <v>-0.75</v>
      </c>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c r="A394" s="135">
        <v>46027.0</v>
      </c>
      <c r="B394" s="136">
        <v>-0.5</v>
      </c>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c r="A395" s="135">
        <v>46028.0</v>
      </c>
      <c r="B395" s="136">
        <v>-0.5</v>
      </c>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c r="A396" s="135">
        <v>46029.0</v>
      </c>
      <c r="B396" s="136">
        <v>-0.5</v>
      </c>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c r="A397" s="135">
        <v>46030.0</v>
      </c>
      <c r="B397" s="136">
        <v>-0.5</v>
      </c>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c r="A398" s="135">
        <v>46031.0</v>
      </c>
      <c r="B398" s="136">
        <v>-0.5</v>
      </c>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c r="A399" s="135">
        <v>46032.0</v>
      </c>
      <c r="B399" s="136">
        <v>-0.5</v>
      </c>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c r="A400" s="135">
        <v>46033.0</v>
      </c>
      <c r="B400" s="136">
        <v>-0.5</v>
      </c>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c r="A401" s="135">
        <v>46034.0</v>
      </c>
      <c r="B401" s="136">
        <v>-0.5</v>
      </c>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c r="A402" s="135">
        <v>46035.0</v>
      </c>
      <c r="B402" s="136">
        <v>-0.38</v>
      </c>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c r="A403" s="135">
        <v>46036.0</v>
      </c>
      <c r="B403" s="136">
        <v>-0.38</v>
      </c>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c r="A404" s="135">
        <v>46037.0</v>
      </c>
      <c r="B404" s="136">
        <v>-0.25</v>
      </c>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c r="A405" s="135">
        <v>46038.0</v>
      </c>
      <c r="B405" s="136">
        <v>-0.25</v>
      </c>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c r="A406" s="135">
        <v>46039.0</v>
      </c>
      <c r="B406" s="136">
        <v>-0.25</v>
      </c>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c r="A407" s="135">
        <v>46040.0</v>
      </c>
      <c r="B407" s="136">
        <v>-0.25</v>
      </c>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c r="A408" s="135">
        <v>46041.0</v>
      </c>
      <c r="B408" s="136">
        <v>-0.25</v>
      </c>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c r="A409" s="135">
        <v>46042.0</v>
      </c>
      <c r="B409" s="136">
        <v>-0.25</v>
      </c>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c r="A410" s="135">
        <v>46043.0</v>
      </c>
      <c r="B410" s="136">
        <v>-0.25</v>
      </c>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c r="A411" s="135">
        <v>46044.0</v>
      </c>
      <c r="B411" s="136">
        <v>-0.25</v>
      </c>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c r="A412" s="135">
        <v>46045.0</v>
      </c>
      <c r="B412" s="136">
        <v>-0.25</v>
      </c>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c r="A413" s="135">
        <v>46046.0</v>
      </c>
      <c r="B413" s="136">
        <v>-0.25</v>
      </c>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c r="A414" s="135">
        <v>46047.0</v>
      </c>
      <c r="B414" s="136">
        <v>-0.31</v>
      </c>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c r="A415" s="135">
        <v>46048.0</v>
      </c>
      <c r="B415" s="136">
        <v>-0.31</v>
      </c>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c r="A416" s="135">
        <v>46049.0</v>
      </c>
      <c r="B416" s="136">
        <v>-0.31</v>
      </c>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c r="A417" s="135">
        <v>46050.0</v>
      </c>
      <c r="B417" s="136">
        <v>-0.31</v>
      </c>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c r="A418" s="135">
        <v>46051.0</v>
      </c>
      <c r="B418" s="136">
        <v>-0.31</v>
      </c>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c r="A419" s="135">
        <v>46052.0</v>
      </c>
      <c r="B419" s="136">
        <v>-0.31</v>
      </c>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c r="A420" s="135">
        <v>46053.0</v>
      </c>
      <c r="B420" s="136">
        <v>-0.31</v>
      </c>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c r="A421" s="135">
        <v>46054.0</v>
      </c>
      <c r="B421" s="136">
        <v>-0.31</v>
      </c>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c r="A422" s="135">
        <v>46055.0</v>
      </c>
      <c r="B422" s="136">
        <v>-0.44</v>
      </c>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c r="A423" s="135">
        <v>46056.0</v>
      </c>
      <c r="B423" s="195">
        <v>-0.81</v>
      </c>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c r="A424" s="135">
        <v>46057.0</v>
      </c>
      <c r="B424" s="195">
        <v>-0.81</v>
      </c>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c r="A425" s="135">
        <v>46058.0</v>
      </c>
      <c r="B425" s="195">
        <v>-0.81</v>
      </c>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c r="A426" s="135">
        <v>46059.0</v>
      </c>
      <c r="B426" s="195">
        <v>-0.81</v>
      </c>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c r="A427" s="135">
        <v>46060.0</v>
      </c>
      <c r="B427" s="195">
        <v>-0.81</v>
      </c>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c r="A428" s="135">
        <v>46061.0</v>
      </c>
      <c r="B428" s="195">
        <v>-0.81</v>
      </c>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c r="A429" s="135">
        <v>46062.0</v>
      </c>
      <c r="B429" s="195">
        <v>-0.81</v>
      </c>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c r="A430" s="135">
        <v>46063.0</v>
      </c>
      <c r="B430" s="195">
        <v>-0.81</v>
      </c>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c r="A431" s="135">
        <v>46064.0</v>
      </c>
      <c r="B431" s="195">
        <v>-0.81</v>
      </c>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c r="A432" s="135">
        <v>46065.0</v>
      </c>
      <c r="B432" s="195">
        <v>-0.81</v>
      </c>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c r="A433" s="135">
        <v>46066.0</v>
      </c>
      <c r="B433" s="195">
        <v>-0.81</v>
      </c>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c r="A434" s="135">
        <v>46067.0</v>
      </c>
      <c r="B434" s="195">
        <v>-0.81</v>
      </c>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c r="A435" s="135">
        <v>46068.0</v>
      </c>
      <c r="B435" s="195">
        <v>-0.81</v>
      </c>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c r="A436" s="135">
        <v>46069.0</v>
      </c>
      <c r="B436" s="195">
        <v>-0.81</v>
      </c>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c r="A437" s="135">
        <v>46070.0</v>
      </c>
      <c r="B437" s="195">
        <v>-0.81</v>
      </c>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c r="A438" s="135">
        <v>46071.0</v>
      </c>
      <c r="B438" s="195">
        <v>-0.81</v>
      </c>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c r="A439" s="135">
        <v>46072.0</v>
      </c>
      <c r="B439" s="195">
        <v>-0.81</v>
      </c>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c r="A440" s="135">
        <v>46073.0</v>
      </c>
      <c r="B440" s="195">
        <v>-0.81</v>
      </c>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c r="A441" s="135">
        <v>46074.0</v>
      </c>
      <c r="B441" s="195">
        <v>-0.81</v>
      </c>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c r="A442" s="135">
        <v>46075.0</v>
      </c>
      <c r="B442" s="195">
        <v>-0.81</v>
      </c>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c r="A443" s="135">
        <v>46076.0</v>
      </c>
      <c r="B443" s="195">
        <v>-0.81</v>
      </c>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c r="A444" s="135">
        <v>46077.0</v>
      </c>
      <c r="B444" s="195">
        <v>-0.81</v>
      </c>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c r="A445" s="135">
        <v>46078.0</v>
      </c>
      <c r="B445" s="195">
        <v>-0.81</v>
      </c>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c r="A446" s="135">
        <v>46079.0</v>
      </c>
      <c r="B446" s="195">
        <v>-0.81</v>
      </c>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c r="A447" s="135">
        <v>46080.0</v>
      </c>
      <c r="B447" s="195">
        <v>-0.81</v>
      </c>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c r="A448" s="135">
        <v>46081.0</v>
      </c>
      <c r="B448" s="195">
        <v>-0.81</v>
      </c>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c r="A449" s="135">
        <v>46082.0</v>
      </c>
      <c r="B449" s="195">
        <v>-0.81</v>
      </c>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c r="A450" s="135">
        <v>46083.0</v>
      </c>
      <c r="B450" s="195">
        <v>-0.81</v>
      </c>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c r="A451" s="135">
        <v>46084.0</v>
      </c>
      <c r="B451" s="195">
        <v>-0.81</v>
      </c>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c r="A452" s="135">
        <v>46085.0</v>
      </c>
      <c r="B452" s="195">
        <v>-0.81</v>
      </c>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c r="A453" s="135">
        <v>46086.0</v>
      </c>
      <c r="B453" s="195">
        <v>-0.81</v>
      </c>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c r="A454" s="135">
        <v>46087.0</v>
      </c>
      <c r="B454" s="195">
        <v>-0.81</v>
      </c>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c r="A455" s="135">
        <v>46088.0</v>
      </c>
      <c r="B455" s="195">
        <v>-0.81</v>
      </c>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c r="A456" s="135">
        <v>46089.0</v>
      </c>
      <c r="B456" s="195">
        <v>-0.81</v>
      </c>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c r="A457" s="135">
        <v>46090.0</v>
      </c>
      <c r="B457" s="195">
        <v>-0.81</v>
      </c>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c r="A458" s="135">
        <v>46091.0</v>
      </c>
      <c r="B458" s="195">
        <v>-0.81</v>
      </c>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c r="A459" s="135">
        <v>46092.0</v>
      </c>
      <c r="B459" s="195">
        <v>-0.81</v>
      </c>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c r="A460" s="135">
        <v>46093.0</v>
      </c>
      <c r="B460" s="195">
        <v>-0.81</v>
      </c>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c r="A461" s="135">
        <v>46094.0</v>
      </c>
      <c r="B461" s="195">
        <v>-0.81</v>
      </c>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row r="1001">
      <c r="A1001" s="80"/>
      <c r="B1001" s="80"/>
      <c r="C1001" s="80"/>
      <c r="D1001" s="80"/>
      <c r="E1001" s="80"/>
      <c r="F1001" s="80"/>
      <c r="G1001" s="80"/>
      <c r="H1001" s="80"/>
      <c r="I1001" s="80"/>
      <c r="J1001" s="80"/>
      <c r="K1001" s="80"/>
      <c r="L1001" s="80"/>
      <c r="M1001" s="80"/>
      <c r="N1001" s="80"/>
      <c r="O1001" s="80"/>
      <c r="P1001" s="80"/>
      <c r="Q1001" s="80"/>
      <c r="R1001" s="80"/>
      <c r="S1001" s="80"/>
      <c r="T1001" s="80"/>
      <c r="U1001" s="80"/>
      <c r="V1001" s="80"/>
      <c r="W1001" s="80"/>
      <c r="X1001" s="80"/>
      <c r="Y1001" s="80"/>
      <c r="Z1001" s="80"/>
    </row>
    <row r="1002">
      <c r="A1002" s="80"/>
      <c r="B1002" s="80"/>
      <c r="C1002" s="80"/>
      <c r="D1002" s="80"/>
      <c r="E1002" s="80"/>
      <c r="F1002" s="80"/>
      <c r="G1002" s="80"/>
      <c r="H1002" s="80"/>
      <c r="I1002" s="80"/>
      <c r="J1002" s="80"/>
      <c r="K1002" s="80"/>
      <c r="L1002" s="80"/>
      <c r="M1002" s="80"/>
      <c r="N1002" s="80"/>
      <c r="O1002" s="80"/>
      <c r="P1002" s="80"/>
      <c r="Q1002" s="80"/>
      <c r="R1002" s="80"/>
      <c r="S1002" s="80"/>
      <c r="T1002" s="80"/>
      <c r="U1002" s="80"/>
      <c r="V1002" s="80"/>
      <c r="W1002" s="80"/>
      <c r="X1002" s="80"/>
      <c r="Y1002" s="80"/>
      <c r="Z1002" s="80"/>
    </row>
    <row r="1003">
      <c r="A1003" s="80"/>
      <c r="B1003" s="80"/>
      <c r="C1003" s="80"/>
      <c r="D1003" s="80"/>
      <c r="E1003" s="80"/>
      <c r="F1003" s="80"/>
      <c r="G1003" s="80"/>
      <c r="H1003" s="80"/>
      <c r="I1003" s="80"/>
      <c r="J1003" s="80"/>
      <c r="K1003" s="80"/>
      <c r="L1003" s="80"/>
      <c r="M1003" s="80"/>
      <c r="N1003" s="80"/>
      <c r="O1003" s="80"/>
      <c r="P1003" s="80"/>
      <c r="Q1003" s="80"/>
      <c r="R1003" s="80"/>
      <c r="S1003" s="80"/>
      <c r="T1003" s="80"/>
      <c r="U1003" s="80"/>
      <c r="V1003" s="80"/>
      <c r="W1003" s="80"/>
      <c r="X1003" s="80"/>
      <c r="Y1003" s="80"/>
      <c r="Z1003" s="80"/>
    </row>
    <row r="1004">
      <c r="A1004" s="80"/>
      <c r="B1004" s="80"/>
      <c r="C1004" s="80"/>
      <c r="D1004" s="80"/>
      <c r="E1004" s="80"/>
      <c r="F1004" s="80"/>
      <c r="G1004" s="80"/>
      <c r="H1004" s="80"/>
      <c r="I1004" s="80"/>
      <c r="J1004" s="80"/>
      <c r="K1004" s="80"/>
      <c r="L1004" s="80"/>
      <c r="M1004" s="80"/>
      <c r="N1004" s="80"/>
      <c r="O1004" s="80"/>
      <c r="P1004" s="80"/>
      <c r="Q1004" s="80"/>
      <c r="R1004" s="80"/>
      <c r="S1004" s="80"/>
      <c r="T1004" s="80"/>
      <c r="U1004" s="80"/>
      <c r="V1004" s="80"/>
      <c r="W1004" s="80"/>
      <c r="X1004" s="80"/>
      <c r="Y1004" s="80"/>
      <c r="Z1004" s="80"/>
    </row>
    <row r="1005">
      <c r="A1005" s="80"/>
      <c r="B1005" s="80"/>
      <c r="C1005" s="80"/>
      <c r="D1005" s="80"/>
      <c r="E1005" s="80"/>
      <c r="F1005" s="80"/>
      <c r="G1005" s="80"/>
      <c r="H1005" s="80"/>
      <c r="I1005" s="80"/>
      <c r="J1005" s="80"/>
      <c r="K1005" s="80"/>
      <c r="L1005" s="80"/>
      <c r="M1005" s="80"/>
      <c r="N1005" s="80"/>
      <c r="O1005" s="80"/>
      <c r="P1005" s="80"/>
      <c r="Q1005" s="80"/>
      <c r="R1005" s="80"/>
      <c r="S1005" s="80"/>
      <c r="T1005" s="80"/>
      <c r="U1005" s="80"/>
      <c r="V1005" s="80"/>
      <c r="W1005" s="80"/>
      <c r="X1005" s="80"/>
      <c r="Y1005" s="80"/>
      <c r="Z1005" s="80"/>
    </row>
    <row r="1006">
      <c r="A1006" s="80"/>
      <c r="B1006" s="80"/>
      <c r="C1006" s="80"/>
      <c r="D1006" s="80"/>
      <c r="E1006" s="80"/>
      <c r="F1006" s="80"/>
      <c r="G1006" s="80"/>
      <c r="H1006" s="80"/>
      <c r="I1006" s="80"/>
      <c r="J1006" s="80"/>
      <c r="K1006" s="80"/>
      <c r="L1006" s="80"/>
      <c r="M1006" s="80"/>
      <c r="N1006" s="80"/>
      <c r="O1006" s="80"/>
      <c r="P1006" s="80"/>
      <c r="Q1006" s="80"/>
      <c r="R1006" s="80"/>
      <c r="S1006" s="80"/>
      <c r="T1006" s="80"/>
      <c r="U1006" s="80"/>
      <c r="V1006" s="80"/>
      <c r="W1006" s="80"/>
      <c r="X1006" s="80"/>
      <c r="Y1006" s="80"/>
      <c r="Z1006" s="80"/>
    </row>
    <row r="1007">
      <c r="A1007" s="80"/>
      <c r="B1007" s="80"/>
      <c r="C1007" s="80"/>
      <c r="D1007" s="80"/>
      <c r="E1007" s="80"/>
      <c r="F1007" s="80"/>
      <c r="G1007" s="80"/>
      <c r="H1007" s="80"/>
      <c r="I1007" s="80"/>
      <c r="J1007" s="80"/>
      <c r="K1007" s="80"/>
      <c r="L1007" s="80"/>
      <c r="M1007" s="80"/>
      <c r="N1007" s="80"/>
      <c r="O1007" s="80"/>
      <c r="P1007" s="80"/>
      <c r="Q1007" s="80"/>
      <c r="R1007" s="80"/>
      <c r="S1007" s="80"/>
      <c r="T1007" s="80"/>
      <c r="U1007" s="80"/>
      <c r="V1007" s="80"/>
      <c r="W1007" s="80"/>
      <c r="X1007" s="80"/>
      <c r="Y1007" s="80"/>
      <c r="Z1007" s="80"/>
    </row>
    <row r="1008">
      <c r="A1008" s="80"/>
      <c r="B1008" s="80"/>
      <c r="C1008" s="80"/>
      <c r="D1008" s="80"/>
      <c r="E1008" s="80"/>
      <c r="F1008" s="80"/>
      <c r="G1008" s="80"/>
      <c r="H1008" s="80"/>
      <c r="I1008" s="80"/>
      <c r="J1008" s="80"/>
      <c r="K1008" s="80"/>
      <c r="L1008" s="80"/>
      <c r="M1008" s="80"/>
      <c r="N1008" s="80"/>
      <c r="O1008" s="80"/>
      <c r="P1008" s="80"/>
      <c r="Q1008" s="80"/>
      <c r="R1008" s="80"/>
      <c r="S1008" s="80"/>
      <c r="T1008" s="80"/>
      <c r="U1008" s="80"/>
      <c r="V1008" s="80"/>
      <c r="W1008" s="80"/>
      <c r="X1008" s="80"/>
      <c r="Y1008" s="80"/>
      <c r="Z1008" s="80"/>
    </row>
    <row r="1009">
      <c r="A1009" s="80"/>
      <c r="B1009" s="80"/>
      <c r="C1009" s="80"/>
      <c r="D1009" s="80"/>
      <c r="E1009" s="80"/>
      <c r="F1009" s="80"/>
      <c r="G1009" s="80"/>
      <c r="H1009" s="80"/>
      <c r="I1009" s="80"/>
      <c r="J1009" s="80"/>
      <c r="K1009" s="80"/>
      <c r="L1009" s="80"/>
      <c r="M1009" s="80"/>
      <c r="N1009" s="80"/>
      <c r="O1009" s="80"/>
      <c r="P1009" s="80"/>
      <c r="Q1009" s="80"/>
      <c r="R1009" s="80"/>
      <c r="S1009" s="80"/>
      <c r="T1009" s="80"/>
      <c r="U1009" s="80"/>
      <c r="V1009" s="80"/>
      <c r="W1009" s="80"/>
      <c r="X1009" s="80"/>
      <c r="Y1009" s="80"/>
      <c r="Z1009" s="80"/>
    </row>
    <row r="1010">
      <c r="A1010" s="80"/>
      <c r="B1010" s="80"/>
      <c r="C1010" s="80"/>
      <c r="D1010" s="80"/>
      <c r="E1010" s="80"/>
      <c r="F1010" s="80"/>
      <c r="G1010" s="80"/>
      <c r="H1010" s="80"/>
      <c r="I1010" s="80"/>
      <c r="J1010" s="80"/>
      <c r="K1010" s="80"/>
      <c r="L1010" s="80"/>
      <c r="M1010" s="80"/>
      <c r="N1010" s="80"/>
      <c r="O1010" s="80"/>
      <c r="P1010" s="80"/>
      <c r="Q1010" s="80"/>
      <c r="R1010" s="80"/>
      <c r="S1010" s="80"/>
      <c r="T1010" s="80"/>
      <c r="U1010" s="80"/>
      <c r="V1010" s="80"/>
      <c r="W1010" s="80"/>
      <c r="X1010" s="80"/>
      <c r="Y1010" s="80"/>
      <c r="Z1010" s="80"/>
    </row>
    <row r="1011">
      <c r="A1011" s="80"/>
      <c r="B1011" s="80"/>
      <c r="C1011" s="80"/>
      <c r="D1011" s="80"/>
      <c r="E1011" s="80"/>
      <c r="F1011" s="80"/>
      <c r="G1011" s="80"/>
      <c r="H1011" s="80"/>
      <c r="I1011" s="80"/>
      <c r="J1011" s="80"/>
      <c r="K1011" s="80"/>
      <c r="L1011" s="80"/>
      <c r="M1011" s="80"/>
      <c r="N1011" s="80"/>
      <c r="O1011" s="80"/>
      <c r="P1011" s="80"/>
      <c r="Q1011" s="80"/>
      <c r="R1011" s="80"/>
      <c r="S1011" s="80"/>
      <c r="T1011" s="80"/>
      <c r="U1011" s="80"/>
      <c r="V1011" s="80"/>
      <c r="W1011" s="80"/>
      <c r="X1011" s="80"/>
      <c r="Y1011" s="80"/>
      <c r="Z1011" s="80"/>
    </row>
    <row r="1012">
      <c r="A1012" s="80"/>
      <c r="B1012" s="80"/>
      <c r="C1012" s="80"/>
      <c r="D1012" s="80"/>
      <c r="E1012" s="80"/>
      <c r="F1012" s="80"/>
      <c r="G1012" s="80"/>
      <c r="H1012" s="80"/>
      <c r="I1012" s="80"/>
      <c r="J1012" s="80"/>
      <c r="K1012" s="80"/>
      <c r="L1012" s="80"/>
      <c r="M1012" s="80"/>
      <c r="N1012" s="80"/>
      <c r="O1012" s="80"/>
      <c r="P1012" s="80"/>
      <c r="Q1012" s="80"/>
      <c r="R1012" s="80"/>
      <c r="S1012" s="80"/>
      <c r="T1012" s="80"/>
      <c r="U1012" s="80"/>
      <c r="V1012" s="80"/>
      <c r="W1012" s="80"/>
      <c r="X1012" s="80"/>
      <c r="Y1012" s="80"/>
      <c r="Z1012" s="80"/>
    </row>
    <row r="1013">
      <c r="A1013" s="80"/>
      <c r="B1013" s="80"/>
      <c r="C1013" s="80"/>
      <c r="D1013" s="80"/>
      <c r="E1013" s="80"/>
      <c r="F1013" s="80"/>
      <c r="G1013" s="80"/>
      <c r="H1013" s="80"/>
      <c r="I1013" s="80"/>
      <c r="J1013" s="80"/>
      <c r="K1013" s="80"/>
      <c r="L1013" s="80"/>
      <c r="M1013" s="80"/>
      <c r="N1013" s="80"/>
      <c r="O1013" s="80"/>
      <c r="P1013" s="80"/>
      <c r="Q1013" s="80"/>
      <c r="R1013" s="80"/>
      <c r="S1013" s="80"/>
      <c r="T1013" s="80"/>
      <c r="U1013" s="80"/>
      <c r="V1013" s="80"/>
      <c r="W1013" s="80"/>
      <c r="X1013" s="80"/>
      <c r="Y1013" s="80"/>
      <c r="Z1013" s="80"/>
    </row>
    <row r="1014">
      <c r="A1014" s="80"/>
      <c r="B1014" s="80"/>
      <c r="C1014" s="80"/>
      <c r="D1014" s="80"/>
      <c r="E1014" s="80"/>
      <c r="F1014" s="80"/>
      <c r="G1014" s="80"/>
      <c r="H1014" s="80"/>
      <c r="I1014" s="80"/>
      <c r="J1014" s="80"/>
      <c r="K1014" s="80"/>
      <c r="L1014" s="80"/>
      <c r="M1014" s="80"/>
      <c r="N1014" s="80"/>
      <c r="O1014" s="80"/>
      <c r="P1014" s="80"/>
      <c r="Q1014" s="80"/>
      <c r="R1014" s="80"/>
      <c r="S1014" s="80"/>
      <c r="T1014" s="80"/>
      <c r="U1014" s="80"/>
      <c r="V1014" s="80"/>
      <c r="W1014" s="80"/>
      <c r="X1014" s="80"/>
      <c r="Y1014" s="80"/>
      <c r="Z1014" s="80"/>
    </row>
    <row r="1015">
      <c r="A1015" s="80"/>
      <c r="B1015" s="80"/>
      <c r="C1015" s="80"/>
      <c r="D1015" s="80"/>
      <c r="E1015" s="80"/>
      <c r="F1015" s="80"/>
      <c r="G1015" s="80"/>
      <c r="H1015" s="80"/>
      <c r="I1015" s="80"/>
      <c r="J1015" s="80"/>
      <c r="K1015" s="80"/>
      <c r="L1015" s="80"/>
      <c r="M1015" s="80"/>
      <c r="N1015" s="80"/>
      <c r="O1015" s="80"/>
      <c r="P1015" s="80"/>
      <c r="Q1015" s="80"/>
      <c r="R1015" s="80"/>
      <c r="S1015" s="80"/>
      <c r="T1015" s="80"/>
      <c r="U1015" s="80"/>
      <c r="V1015" s="80"/>
      <c r="W1015" s="80"/>
      <c r="X1015" s="80"/>
      <c r="Y1015" s="80"/>
      <c r="Z1015" s="80"/>
    </row>
  </sheetData>
  <mergeCells count="3">
    <mergeCell ref="A20:A21"/>
    <mergeCell ref="K22:M22"/>
    <mergeCell ref="H33:J33"/>
  </mergeCells>
  <hyperlinks>
    <hyperlink r:id="rId1" ref="I26"/>
    <hyperlink r:id="rId2" ref="I27"/>
    <hyperlink r:id="rId3" ref="I28"/>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7.38"/>
    <col customWidth="1" min="11" max="11" width="24.75"/>
  </cols>
  <sheetData>
    <row r="1">
      <c r="A1" s="196" t="s">
        <v>200</v>
      </c>
      <c r="B1" s="11"/>
      <c r="C1" s="11"/>
      <c r="D1" s="11"/>
      <c r="E1" s="11"/>
      <c r="F1" s="11"/>
      <c r="G1" s="12"/>
      <c r="H1" s="17"/>
      <c r="I1" s="17"/>
      <c r="J1" s="17"/>
      <c r="K1" s="17"/>
      <c r="L1" s="17"/>
      <c r="M1" s="17"/>
      <c r="N1" s="17"/>
      <c r="O1" s="17"/>
      <c r="P1" s="17"/>
      <c r="Q1" s="17"/>
      <c r="R1" s="17"/>
      <c r="S1" s="17"/>
      <c r="T1" s="17"/>
      <c r="U1" s="17"/>
      <c r="V1" s="17"/>
      <c r="W1" s="17"/>
      <c r="X1" s="17"/>
      <c r="Y1" s="17"/>
      <c r="Z1" s="17"/>
      <c r="AA1" s="17"/>
      <c r="AB1" s="17"/>
      <c r="AC1" s="17"/>
      <c r="AD1" s="17"/>
      <c r="AE1" s="17"/>
    </row>
    <row r="2">
      <c r="A2" s="16"/>
      <c r="B2" s="17"/>
      <c r="C2" s="17"/>
      <c r="D2" s="17"/>
      <c r="E2" s="17"/>
      <c r="F2" s="17"/>
      <c r="G2" s="17"/>
      <c r="H2" s="17"/>
      <c r="I2" s="197" t="s">
        <v>201</v>
      </c>
      <c r="J2" s="35"/>
      <c r="K2" s="19" t="s">
        <v>202</v>
      </c>
      <c r="L2" s="17"/>
      <c r="M2" s="17"/>
      <c r="N2" s="17"/>
      <c r="O2" s="17"/>
      <c r="P2" s="17"/>
      <c r="Q2" s="17"/>
      <c r="R2" s="17"/>
      <c r="S2" s="17"/>
      <c r="T2" s="17"/>
      <c r="U2" s="17"/>
      <c r="V2" s="17"/>
      <c r="W2" s="17"/>
      <c r="X2" s="17"/>
      <c r="Y2" s="17"/>
      <c r="Z2" s="17"/>
      <c r="AA2" s="17"/>
      <c r="AB2" s="17"/>
      <c r="AC2" s="17"/>
      <c r="AD2" s="17"/>
      <c r="AE2" s="17"/>
    </row>
    <row r="3" ht="33.75" customHeight="1">
      <c r="A3" s="19"/>
      <c r="B3" s="20" t="s">
        <v>3</v>
      </c>
      <c r="C3" s="21" t="s">
        <v>4</v>
      </c>
      <c r="D3" s="22" t="s">
        <v>5</v>
      </c>
      <c r="E3" s="23" t="s">
        <v>6</v>
      </c>
      <c r="F3" s="24" t="s">
        <v>7</v>
      </c>
      <c r="G3" s="25" t="s">
        <v>8</v>
      </c>
      <c r="H3" s="25" t="s">
        <v>9</v>
      </c>
      <c r="I3" s="17"/>
      <c r="J3" s="17"/>
      <c r="K3" s="32"/>
      <c r="L3" s="17"/>
      <c r="M3" s="17"/>
      <c r="N3" s="17"/>
      <c r="O3" s="17"/>
      <c r="P3" s="17"/>
      <c r="Q3" s="17"/>
      <c r="R3" s="17"/>
      <c r="S3" s="17"/>
      <c r="T3" s="17"/>
      <c r="U3" s="17"/>
      <c r="V3" s="17"/>
      <c r="W3" s="17"/>
      <c r="X3" s="17"/>
      <c r="Y3" s="17"/>
      <c r="Z3" s="17"/>
      <c r="AA3" s="17"/>
      <c r="AB3" s="17"/>
      <c r="AC3" s="17"/>
      <c r="AD3" s="17"/>
      <c r="AE3" s="17"/>
    </row>
    <row r="4" ht="25.5" customHeight="1">
      <c r="A4" s="20" t="s">
        <v>3</v>
      </c>
      <c r="B4" s="30"/>
      <c r="C4" s="31">
        <v>1.0</v>
      </c>
      <c r="D4" s="31">
        <v>1.0</v>
      </c>
      <c r="E4" s="31">
        <v>1.0</v>
      </c>
      <c r="F4" s="31">
        <v>0.0</v>
      </c>
      <c r="G4" s="31">
        <v>0.0</v>
      </c>
      <c r="H4" s="31">
        <f t="shared" ref="H4:H9" si="1">SUM(B4:G4)</f>
        <v>3</v>
      </c>
      <c r="I4" s="198" t="str">
        <f>IFERROR(__xludf.DUMMYFUNCTION("FILTER(A4:A9, H4:H9 &gt; 4)"),"PAXG")</f>
        <v>PAXG</v>
      </c>
      <c r="J4" s="32"/>
      <c r="K4" s="199" t="s">
        <v>203</v>
      </c>
      <c r="L4" s="17"/>
      <c r="M4" s="17"/>
      <c r="N4" s="17"/>
      <c r="O4" s="17"/>
      <c r="P4" s="17"/>
      <c r="Q4" s="17"/>
      <c r="R4" s="17"/>
      <c r="S4" s="17"/>
      <c r="T4" s="17"/>
      <c r="U4" s="17"/>
      <c r="V4" s="17"/>
      <c r="W4" s="17"/>
      <c r="X4" s="17"/>
      <c r="Y4" s="17"/>
      <c r="Z4" s="17"/>
      <c r="AA4" s="17"/>
      <c r="AB4" s="17"/>
      <c r="AC4" s="17"/>
      <c r="AD4" s="17"/>
      <c r="AE4" s="17"/>
    </row>
    <row r="5">
      <c r="A5" s="21" t="s">
        <v>4</v>
      </c>
      <c r="B5" s="31">
        <v>0.0</v>
      </c>
      <c r="C5" s="30"/>
      <c r="D5" s="31">
        <v>1.0</v>
      </c>
      <c r="E5" s="31">
        <v>0.0</v>
      </c>
      <c r="F5" s="31">
        <v>0.0</v>
      </c>
      <c r="G5" s="31">
        <v>0.0</v>
      </c>
      <c r="H5" s="31">
        <f t="shared" si="1"/>
        <v>1</v>
      </c>
      <c r="I5" s="200"/>
      <c r="J5" s="32"/>
      <c r="K5" s="17"/>
      <c r="L5" s="17"/>
      <c r="M5" s="17"/>
      <c r="N5" s="17"/>
      <c r="O5" s="17"/>
      <c r="P5" s="17"/>
      <c r="Q5" s="17"/>
      <c r="R5" s="17"/>
      <c r="S5" s="17"/>
      <c r="T5" s="17"/>
      <c r="U5" s="17"/>
      <c r="V5" s="17"/>
      <c r="W5" s="17"/>
      <c r="X5" s="17"/>
      <c r="Y5" s="17"/>
      <c r="Z5" s="17"/>
      <c r="AA5" s="17"/>
      <c r="AB5" s="17"/>
      <c r="AC5" s="17"/>
      <c r="AD5" s="17"/>
      <c r="AE5" s="17"/>
    </row>
    <row r="6">
      <c r="A6" s="22" t="s">
        <v>5</v>
      </c>
      <c r="B6" s="31">
        <v>0.0</v>
      </c>
      <c r="C6" s="31">
        <v>0.0</v>
      </c>
      <c r="D6" s="30"/>
      <c r="E6" s="31">
        <v>0.0</v>
      </c>
      <c r="F6" s="31">
        <v>0.0</v>
      </c>
      <c r="G6" s="31">
        <v>0.0</v>
      </c>
      <c r="H6" s="31">
        <f t="shared" si="1"/>
        <v>0</v>
      </c>
      <c r="I6" s="198"/>
      <c r="J6" s="32"/>
      <c r="K6" s="17"/>
      <c r="L6" s="17"/>
      <c r="M6" s="17"/>
      <c r="N6" s="17"/>
      <c r="O6" s="17"/>
      <c r="P6" s="17"/>
      <c r="Q6" s="17"/>
      <c r="R6" s="17"/>
      <c r="S6" s="17"/>
      <c r="T6" s="17"/>
      <c r="U6" s="17"/>
      <c r="V6" s="17"/>
      <c r="W6" s="17"/>
      <c r="X6" s="17"/>
      <c r="Y6" s="17"/>
      <c r="Z6" s="17"/>
      <c r="AA6" s="17"/>
      <c r="AB6" s="17"/>
      <c r="AC6" s="17"/>
      <c r="AD6" s="17"/>
      <c r="AE6" s="17"/>
    </row>
    <row r="7">
      <c r="A7" s="23" t="s">
        <v>6</v>
      </c>
      <c r="B7" s="31">
        <v>0.0</v>
      </c>
      <c r="C7" s="31">
        <v>1.0</v>
      </c>
      <c r="D7" s="31">
        <v>1.0</v>
      </c>
      <c r="E7" s="30"/>
      <c r="F7" s="31">
        <v>0.0</v>
      </c>
      <c r="G7" s="31">
        <v>0.0</v>
      </c>
      <c r="H7" s="31">
        <f t="shared" si="1"/>
        <v>2</v>
      </c>
      <c r="I7" s="32"/>
      <c r="J7" s="17"/>
      <c r="K7" s="17"/>
      <c r="L7" s="17"/>
      <c r="M7" s="17"/>
      <c r="N7" s="17"/>
      <c r="O7" s="17"/>
      <c r="P7" s="17"/>
      <c r="Q7" s="17"/>
      <c r="R7" s="17"/>
      <c r="S7" s="17"/>
      <c r="T7" s="17"/>
      <c r="U7" s="17"/>
      <c r="V7" s="17"/>
      <c r="W7" s="17"/>
      <c r="X7" s="17"/>
      <c r="Y7" s="17"/>
      <c r="Z7" s="17"/>
      <c r="AA7" s="17"/>
      <c r="AB7" s="17"/>
      <c r="AC7" s="17"/>
      <c r="AD7" s="17"/>
      <c r="AE7" s="17"/>
    </row>
    <row r="8">
      <c r="A8" s="24" t="s">
        <v>7</v>
      </c>
      <c r="B8" s="31">
        <v>1.0</v>
      </c>
      <c r="C8" s="31">
        <v>1.0</v>
      </c>
      <c r="D8" s="31">
        <v>1.0</v>
      </c>
      <c r="E8" s="31">
        <v>1.0</v>
      </c>
      <c r="F8" s="30"/>
      <c r="G8" s="31">
        <v>1.0</v>
      </c>
      <c r="H8" s="31">
        <f t="shared" si="1"/>
        <v>5</v>
      </c>
      <c r="I8" s="17"/>
      <c r="J8" s="17"/>
      <c r="K8" s="17"/>
      <c r="L8" s="17"/>
      <c r="M8" s="17"/>
      <c r="N8" s="17"/>
      <c r="O8" s="17"/>
      <c r="P8" s="17"/>
      <c r="Q8" s="17"/>
      <c r="R8" s="17"/>
      <c r="S8" s="17"/>
      <c r="T8" s="17"/>
      <c r="U8" s="17"/>
      <c r="V8" s="17"/>
      <c r="W8" s="17"/>
      <c r="X8" s="17"/>
      <c r="Y8" s="17"/>
      <c r="Z8" s="17"/>
      <c r="AA8" s="17"/>
      <c r="AB8" s="17"/>
      <c r="AC8" s="17"/>
      <c r="AD8" s="17"/>
      <c r="AE8" s="17"/>
    </row>
    <row r="9">
      <c r="A9" s="25" t="s">
        <v>8</v>
      </c>
      <c r="B9" s="31">
        <v>1.0</v>
      </c>
      <c r="C9" s="31">
        <v>1.0</v>
      </c>
      <c r="D9" s="31">
        <v>1.0</v>
      </c>
      <c r="E9" s="31">
        <v>1.0</v>
      </c>
      <c r="F9" s="31">
        <v>0.0</v>
      </c>
      <c r="G9" s="44"/>
      <c r="H9" s="31">
        <f t="shared" si="1"/>
        <v>4</v>
      </c>
      <c r="I9" s="17"/>
      <c r="J9" s="17"/>
      <c r="K9" s="17"/>
      <c r="L9" s="17"/>
      <c r="M9" s="17"/>
      <c r="N9" s="17"/>
      <c r="O9" s="17"/>
      <c r="P9" s="17"/>
      <c r="Q9" s="17"/>
      <c r="R9" s="17"/>
      <c r="S9" s="17"/>
      <c r="T9" s="17"/>
      <c r="U9" s="17"/>
      <c r="V9" s="17"/>
      <c r="W9" s="17"/>
      <c r="X9" s="17"/>
      <c r="Y9" s="17"/>
      <c r="Z9" s="17"/>
      <c r="AA9" s="17"/>
      <c r="AB9" s="17"/>
      <c r="AC9" s="17"/>
      <c r="AD9" s="17"/>
      <c r="AE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row>
    <row r="14">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row>
    <row r="15">
      <c r="A15" s="35" t="s">
        <v>204</v>
      </c>
      <c r="B15" s="17"/>
      <c r="C15" s="201" t="s">
        <v>205</v>
      </c>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row>
    <row r="16">
      <c r="A16" s="35"/>
      <c r="B16" s="17"/>
      <c r="C16" s="35"/>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row>
    <row r="51">
      <c r="A51" s="17"/>
      <c r="B51" s="202"/>
      <c r="C51" s="203" t="s">
        <v>206</v>
      </c>
      <c r="D51" s="11"/>
      <c r="E51" s="12"/>
      <c r="F51" s="204"/>
      <c r="G51" s="17"/>
      <c r="H51" s="202"/>
      <c r="I51" s="203" t="s">
        <v>207</v>
      </c>
      <c r="J51" s="11"/>
      <c r="K51" s="12"/>
      <c r="L51" s="204"/>
      <c r="M51" s="17"/>
      <c r="N51" s="202"/>
      <c r="O51" s="203" t="s">
        <v>208</v>
      </c>
      <c r="P51" s="11"/>
      <c r="Q51" s="12"/>
      <c r="R51" s="204"/>
      <c r="S51" s="17"/>
      <c r="T51" s="202"/>
      <c r="U51" s="203" t="s">
        <v>209</v>
      </c>
      <c r="V51" s="11"/>
      <c r="W51" s="12"/>
      <c r="X51" s="204"/>
      <c r="Y51" s="17"/>
      <c r="Z51" s="202"/>
      <c r="AA51" s="203" t="s">
        <v>209</v>
      </c>
      <c r="AB51" s="11"/>
      <c r="AC51" s="12"/>
      <c r="AD51" s="204"/>
      <c r="AE51" s="17"/>
    </row>
    <row r="52">
      <c r="A52" s="17"/>
      <c r="B52" s="202"/>
      <c r="C52" s="204"/>
      <c r="D52" s="204"/>
      <c r="E52" s="205" t="s">
        <v>210</v>
      </c>
      <c r="F52" s="204"/>
      <c r="G52" s="17"/>
      <c r="H52" s="202"/>
      <c r="I52" s="204"/>
      <c r="J52" s="204"/>
      <c r="K52" s="205" t="s">
        <v>210</v>
      </c>
      <c r="L52" s="204"/>
      <c r="M52" s="17"/>
      <c r="N52" s="202"/>
      <c r="O52" s="204"/>
      <c r="P52" s="204"/>
      <c r="Q52" s="206" t="s">
        <v>211</v>
      </c>
      <c r="R52" s="204"/>
      <c r="S52" s="17"/>
      <c r="T52" s="202"/>
      <c r="U52" s="204"/>
      <c r="V52" s="204"/>
      <c r="W52" s="206" t="s">
        <v>211</v>
      </c>
      <c r="X52" s="204"/>
      <c r="Y52" s="17"/>
      <c r="Z52" s="202"/>
      <c r="AA52" s="204"/>
      <c r="AB52" s="204"/>
      <c r="AC52" s="206" t="s">
        <v>211</v>
      </c>
      <c r="AD52" s="204"/>
      <c r="AE52" s="17"/>
    </row>
    <row r="53">
      <c r="A53" s="17"/>
      <c r="B53" s="207" t="s">
        <v>21</v>
      </c>
      <c r="C53" s="208" t="s">
        <v>212</v>
      </c>
      <c r="D53" s="209" t="s">
        <v>23</v>
      </c>
      <c r="E53" s="209" t="s">
        <v>24</v>
      </c>
      <c r="F53" s="209" t="s">
        <v>25</v>
      </c>
      <c r="G53" s="17"/>
      <c r="H53" s="207" t="s">
        <v>21</v>
      </c>
      <c r="I53" s="208" t="s">
        <v>212</v>
      </c>
      <c r="J53" s="209" t="s">
        <v>23</v>
      </c>
      <c r="K53" s="209" t="s">
        <v>24</v>
      </c>
      <c r="L53" s="209" t="s">
        <v>25</v>
      </c>
      <c r="M53" s="17"/>
      <c r="N53" s="207" t="s">
        <v>21</v>
      </c>
      <c r="O53" s="208" t="s">
        <v>212</v>
      </c>
      <c r="P53" s="209" t="s">
        <v>23</v>
      </c>
      <c r="Q53" s="209" t="s">
        <v>24</v>
      </c>
      <c r="R53" s="209" t="s">
        <v>25</v>
      </c>
      <c r="S53" s="17"/>
      <c r="T53" s="207" t="s">
        <v>21</v>
      </c>
      <c r="U53" s="208" t="s">
        <v>212</v>
      </c>
      <c r="V53" s="209" t="s">
        <v>23</v>
      </c>
      <c r="W53" s="209" t="s">
        <v>24</v>
      </c>
      <c r="X53" s="209" t="s">
        <v>25</v>
      </c>
      <c r="Y53" s="17"/>
      <c r="Z53" s="207" t="s">
        <v>21</v>
      </c>
      <c r="AA53" s="208" t="s">
        <v>212</v>
      </c>
      <c r="AB53" s="209" t="s">
        <v>23</v>
      </c>
      <c r="AC53" s="209" t="s">
        <v>24</v>
      </c>
      <c r="AD53" s="209" t="s">
        <v>25</v>
      </c>
      <c r="AE53" s="17"/>
    </row>
    <row r="54">
      <c r="A54" s="17"/>
      <c r="B54" s="210" t="s">
        <v>213</v>
      </c>
      <c r="C54" s="211" t="s">
        <v>28</v>
      </c>
      <c r="D54" s="212"/>
      <c r="E54" s="213">
        <v>0.0</v>
      </c>
      <c r="F54" s="212"/>
      <c r="G54" s="17"/>
      <c r="H54" s="210" t="s">
        <v>213</v>
      </c>
      <c r="I54" s="211" t="s">
        <v>28</v>
      </c>
      <c r="J54" s="212"/>
      <c r="K54" s="213">
        <v>1.0</v>
      </c>
      <c r="L54" s="212"/>
      <c r="M54" s="17"/>
      <c r="N54" s="210" t="s">
        <v>213</v>
      </c>
      <c r="O54" s="211" t="s">
        <v>28</v>
      </c>
      <c r="P54" s="212"/>
      <c r="Q54" s="213">
        <v>0.0</v>
      </c>
      <c r="R54" s="212"/>
      <c r="S54" s="17"/>
      <c r="T54" s="210" t="s">
        <v>213</v>
      </c>
      <c r="U54" s="211" t="s">
        <v>28</v>
      </c>
      <c r="V54" s="212"/>
      <c r="W54" s="213">
        <v>0.0</v>
      </c>
      <c r="X54" s="212"/>
      <c r="Y54" s="17"/>
      <c r="Z54" s="210" t="s">
        <v>213</v>
      </c>
      <c r="AA54" s="211" t="s">
        <v>28</v>
      </c>
      <c r="AB54" s="212"/>
      <c r="AC54" s="213">
        <v>0.0</v>
      </c>
      <c r="AD54" s="212"/>
      <c r="AE54" s="17"/>
    </row>
    <row r="55">
      <c r="A55" s="17"/>
      <c r="B55" s="214" t="s">
        <v>27</v>
      </c>
      <c r="C55" s="211" t="s">
        <v>28</v>
      </c>
      <c r="D55" s="215" t="s">
        <v>214</v>
      </c>
      <c r="E55" s="213">
        <v>0.0</v>
      </c>
      <c r="F55" s="215" t="str">
        <f t="shared" ref="F55:F59" si="2">IF(E55=1, "Bullish", IF(E55=-1, "Bearish", ""))</f>
        <v/>
      </c>
      <c r="G55" s="17"/>
      <c r="H55" s="214" t="s">
        <v>27</v>
      </c>
      <c r="I55" s="211" t="s">
        <v>28</v>
      </c>
      <c r="J55" s="215" t="s">
        <v>214</v>
      </c>
      <c r="K55" s="213">
        <v>1.0</v>
      </c>
      <c r="L55" s="215" t="str">
        <f t="shared" ref="L55:L59" si="3">IF(K55=1, "Bullish", IF(K55=-1, "Bearish", ""))</f>
        <v>Bullish</v>
      </c>
      <c r="M55" s="17"/>
      <c r="N55" s="214" t="s">
        <v>27</v>
      </c>
      <c r="O55" s="211" t="s">
        <v>28</v>
      </c>
      <c r="P55" s="215" t="s">
        <v>214</v>
      </c>
      <c r="Q55" s="213">
        <v>0.0</v>
      </c>
      <c r="R55" s="215" t="str">
        <f t="shared" ref="R55:R59" si="4">IF(Q55=1, "Bullish", IF(Q55=-1, "Bearish", ""))</f>
        <v/>
      </c>
      <c r="S55" s="17"/>
      <c r="T55" s="214" t="s">
        <v>27</v>
      </c>
      <c r="U55" s="211" t="s">
        <v>28</v>
      </c>
      <c r="V55" s="215" t="s">
        <v>214</v>
      </c>
      <c r="W55" s="213">
        <v>0.0</v>
      </c>
      <c r="X55" s="215" t="str">
        <f t="shared" ref="X55:X59" si="5">IF(W55=1, "Bullish", IF(W55=-1, "Bearish", ""))</f>
        <v/>
      </c>
      <c r="Y55" s="17"/>
      <c r="Z55" s="214" t="s">
        <v>27</v>
      </c>
      <c r="AA55" s="211" t="s">
        <v>28</v>
      </c>
      <c r="AB55" s="215" t="s">
        <v>214</v>
      </c>
      <c r="AC55" s="213">
        <v>0.0</v>
      </c>
      <c r="AD55" s="215" t="str">
        <f t="shared" ref="AD55:AD59" si="6">IF(AC55=1, "Bullish", IF(AC55=-1, "Bearish", ""))</f>
        <v/>
      </c>
      <c r="AE55" s="17"/>
    </row>
    <row r="56">
      <c r="A56" s="17"/>
      <c r="B56" s="214" t="s">
        <v>215</v>
      </c>
      <c r="C56" s="211" t="s">
        <v>28</v>
      </c>
      <c r="D56" s="216" t="s">
        <v>216</v>
      </c>
      <c r="E56" s="213">
        <v>0.0</v>
      </c>
      <c r="F56" s="215" t="str">
        <f t="shared" si="2"/>
        <v/>
      </c>
      <c r="G56" s="17"/>
      <c r="H56" s="214" t="s">
        <v>215</v>
      </c>
      <c r="I56" s="211" t="s">
        <v>28</v>
      </c>
      <c r="J56" s="216" t="s">
        <v>216</v>
      </c>
      <c r="K56" s="213">
        <v>1.0</v>
      </c>
      <c r="L56" s="215" t="str">
        <f t="shared" si="3"/>
        <v>Bullish</v>
      </c>
      <c r="M56" s="17"/>
      <c r="N56" s="214" t="s">
        <v>215</v>
      </c>
      <c r="O56" s="211" t="s">
        <v>28</v>
      </c>
      <c r="P56" s="216" t="s">
        <v>216</v>
      </c>
      <c r="Q56" s="213">
        <v>0.0</v>
      </c>
      <c r="R56" s="215" t="str">
        <f t="shared" si="4"/>
        <v/>
      </c>
      <c r="S56" s="17"/>
      <c r="T56" s="214" t="s">
        <v>215</v>
      </c>
      <c r="U56" s="211" t="s">
        <v>28</v>
      </c>
      <c r="V56" s="216" t="s">
        <v>216</v>
      </c>
      <c r="W56" s="213">
        <v>0.0</v>
      </c>
      <c r="X56" s="215" t="str">
        <f t="shared" si="5"/>
        <v/>
      </c>
      <c r="Y56" s="17"/>
      <c r="Z56" s="214" t="s">
        <v>215</v>
      </c>
      <c r="AA56" s="211" t="s">
        <v>28</v>
      </c>
      <c r="AB56" s="216" t="s">
        <v>216</v>
      </c>
      <c r="AC56" s="213">
        <v>0.0</v>
      </c>
      <c r="AD56" s="215" t="str">
        <f t="shared" si="6"/>
        <v/>
      </c>
      <c r="AE56" s="17"/>
    </row>
    <row r="57">
      <c r="A57" s="17"/>
      <c r="B57" s="214" t="s">
        <v>217</v>
      </c>
      <c r="C57" s="211" t="s">
        <v>28</v>
      </c>
      <c r="D57" s="215" t="s">
        <v>218</v>
      </c>
      <c r="E57" s="213">
        <v>0.0</v>
      </c>
      <c r="F57" s="215" t="str">
        <f t="shared" si="2"/>
        <v/>
      </c>
      <c r="G57" s="17"/>
      <c r="H57" s="214" t="s">
        <v>217</v>
      </c>
      <c r="I57" s="211" t="s">
        <v>28</v>
      </c>
      <c r="J57" s="215" t="s">
        <v>218</v>
      </c>
      <c r="K57" s="213">
        <v>1.0</v>
      </c>
      <c r="L57" s="215" t="str">
        <f t="shared" si="3"/>
        <v>Bullish</v>
      </c>
      <c r="M57" s="17"/>
      <c r="N57" s="214" t="s">
        <v>217</v>
      </c>
      <c r="O57" s="211" t="s">
        <v>28</v>
      </c>
      <c r="P57" s="215" t="s">
        <v>218</v>
      </c>
      <c r="Q57" s="213">
        <v>0.0</v>
      </c>
      <c r="R57" s="215" t="str">
        <f t="shared" si="4"/>
        <v/>
      </c>
      <c r="S57" s="17"/>
      <c r="T57" s="214" t="s">
        <v>217</v>
      </c>
      <c r="U57" s="211" t="s">
        <v>28</v>
      </c>
      <c r="V57" s="215" t="s">
        <v>218</v>
      </c>
      <c r="W57" s="213">
        <v>0.0</v>
      </c>
      <c r="X57" s="215" t="str">
        <f t="shared" si="5"/>
        <v/>
      </c>
      <c r="Y57" s="17"/>
      <c r="Z57" s="214" t="s">
        <v>217</v>
      </c>
      <c r="AA57" s="211" t="s">
        <v>28</v>
      </c>
      <c r="AB57" s="215" t="s">
        <v>218</v>
      </c>
      <c r="AC57" s="213">
        <v>0.0</v>
      </c>
      <c r="AD57" s="215" t="str">
        <f t="shared" si="6"/>
        <v/>
      </c>
      <c r="AE57" s="17"/>
    </row>
    <row r="58">
      <c r="A58" s="17"/>
      <c r="B58" s="217" t="s">
        <v>219</v>
      </c>
      <c r="C58" s="211" t="s">
        <v>28</v>
      </c>
      <c r="D58" s="218" t="s">
        <v>220</v>
      </c>
      <c r="E58" s="219">
        <v>0.0</v>
      </c>
      <c r="F58" s="218" t="str">
        <f t="shared" si="2"/>
        <v/>
      </c>
      <c r="G58" s="17"/>
      <c r="H58" s="217" t="s">
        <v>219</v>
      </c>
      <c r="I58" s="211" t="s">
        <v>28</v>
      </c>
      <c r="J58" s="215" t="s">
        <v>220</v>
      </c>
      <c r="K58" s="213">
        <v>1.0</v>
      </c>
      <c r="L58" s="215" t="str">
        <f t="shared" si="3"/>
        <v>Bullish</v>
      </c>
      <c r="M58" s="17"/>
      <c r="N58" s="217" t="s">
        <v>219</v>
      </c>
      <c r="O58" s="211" t="s">
        <v>28</v>
      </c>
      <c r="P58" s="215" t="s">
        <v>220</v>
      </c>
      <c r="Q58" s="213">
        <v>0.0</v>
      </c>
      <c r="R58" s="215" t="str">
        <f t="shared" si="4"/>
        <v/>
      </c>
      <c r="S58" s="17"/>
      <c r="T58" s="217" t="s">
        <v>219</v>
      </c>
      <c r="U58" s="211" t="s">
        <v>28</v>
      </c>
      <c r="V58" s="215" t="s">
        <v>220</v>
      </c>
      <c r="W58" s="213">
        <v>0.0</v>
      </c>
      <c r="X58" s="215" t="str">
        <f t="shared" si="5"/>
        <v/>
      </c>
      <c r="Y58" s="17"/>
      <c r="Z58" s="217" t="s">
        <v>219</v>
      </c>
      <c r="AA58" s="211" t="s">
        <v>28</v>
      </c>
      <c r="AB58" s="215" t="s">
        <v>220</v>
      </c>
      <c r="AC58" s="213">
        <v>0.0</v>
      </c>
      <c r="AD58" s="215" t="str">
        <f t="shared" si="6"/>
        <v/>
      </c>
      <c r="AE58" s="17"/>
    </row>
    <row r="59">
      <c r="A59" s="17"/>
      <c r="B59" s="220"/>
      <c r="C59" s="211"/>
      <c r="D59" s="215"/>
      <c r="E59" s="219"/>
      <c r="F59" s="215" t="str">
        <f t="shared" si="2"/>
        <v/>
      </c>
      <c r="G59" s="17"/>
      <c r="H59" s="220"/>
      <c r="I59" s="211"/>
      <c r="J59" s="215"/>
      <c r="K59" s="213"/>
      <c r="L59" s="215" t="str">
        <f t="shared" si="3"/>
        <v/>
      </c>
      <c r="M59" s="17"/>
      <c r="N59" s="220"/>
      <c r="O59" s="211"/>
      <c r="P59" s="215"/>
      <c r="Q59" s="213"/>
      <c r="R59" s="215" t="str">
        <f t="shared" si="4"/>
        <v/>
      </c>
      <c r="S59" s="17"/>
      <c r="T59" s="220"/>
      <c r="U59" s="211"/>
      <c r="V59" s="215"/>
      <c r="W59" s="213"/>
      <c r="X59" s="215" t="str">
        <f t="shared" si="5"/>
        <v/>
      </c>
      <c r="Y59" s="17"/>
      <c r="Z59" s="220"/>
      <c r="AA59" s="211"/>
      <c r="AB59" s="215"/>
      <c r="AC59" s="213"/>
      <c r="AD59" s="215" t="str">
        <f t="shared" si="6"/>
        <v/>
      </c>
      <c r="AE59" s="17"/>
    </row>
    <row r="60">
      <c r="A60" s="17"/>
      <c r="B60" s="204"/>
      <c r="C60" s="204"/>
      <c r="D60" s="204"/>
      <c r="E60" s="221" t="s">
        <v>55</v>
      </c>
      <c r="F60" s="222">
        <f>AVERAGE(E54:E59)</f>
        <v>0</v>
      </c>
      <c r="G60" s="223" t="s">
        <v>221</v>
      </c>
      <c r="H60" s="204"/>
      <c r="I60" s="204"/>
      <c r="J60" s="204"/>
      <c r="K60" s="209" t="s">
        <v>55</v>
      </c>
      <c r="L60" s="224">
        <f>AVERAGE(K54:K59)</f>
        <v>1</v>
      </c>
      <c r="M60" s="17"/>
      <c r="N60" s="204"/>
      <c r="O60" s="204"/>
      <c r="P60" s="204"/>
      <c r="Q60" s="209" t="s">
        <v>55</v>
      </c>
      <c r="R60" s="224">
        <f>AVERAGE(Q54:Q59)</f>
        <v>0</v>
      </c>
      <c r="S60" s="17"/>
      <c r="T60" s="204"/>
      <c r="U60" s="204"/>
      <c r="V60" s="204"/>
      <c r="W60" s="209" t="s">
        <v>55</v>
      </c>
      <c r="X60" s="224">
        <f>AVERAGE(W54:W59)</f>
        <v>0</v>
      </c>
      <c r="Y60" s="17"/>
      <c r="Z60" s="204"/>
      <c r="AA60" s="204"/>
      <c r="AB60" s="204"/>
      <c r="AC60" s="209" t="s">
        <v>55</v>
      </c>
      <c r="AD60" s="224">
        <f>AVERAGE(AC54:AC59)</f>
        <v>0</v>
      </c>
      <c r="AE60" s="17"/>
    </row>
    <row r="61">
      <c r="A61" s="17"/>
      <c r="B61" s="204"/>
      <c r="C61" s="204"/>
      <c r="D61" s="204"/>
      <c r="E61" s="204"/>
      <c r="F61" s="204"/>
      <c r="G61" s="17"/>
      <c r="H61" s="204"/>
      <c r="I61" s="204"/>
      <c r="J61" s="204"/>
      <c r="K61" s="204"/>
      <c r="L61" s="204"/>
      <c r="M61" s="17"/>
      <c r="N61" s="204"/>
      <c r="O61" s="204"/>
      <c r="P61" s="204"/>
      <c r="Q61" s="204"/>
      <c r="R61" s="204"/>
      <c r="S61" s="17"/>
      <c r="T61" s="204"/>
      <c r="U61" s="204"/>
      <c r="V61" s="204"/>
      <c r="W61" s="204"/>
      <c r="X61" s="204"/>
      <c r="Y61" s="17"/>
      <c r="Z61" s="204"/>
      <c r="AA61" s="204"/>
      <c r="AB61" s="204"/>
      <c r="AC61" s="204"/>
      <c r="AD61" s="204"/>
      <c r="AE61" s="17"/>
    </row>
    <row r="62">
      <c r="A62" s="17"/>
      <c r="B62" s="202"/>
      <c r="C62" s="203" t="s">
        <v>222</v>
      </c>
      <c r="D62" s="11"/>
      <c r="E62" s="12"/>
      <c r="F62" s="204"/>
      <c r="G62" s="17"/>
      <c r="H62" s="202"/>
      <c r="I62" s="203" t="s">
        <v>223</v>
      </c>
      <c r="J62" s="11"/>
      <c r="K62" s="12"/>
      <c r="L62" s="204"/>
      <c r="M62" s="17"/>
      <c r="N62" s="202"/>
      <c r="O62" s="203" t="s">
        <v>208</v>
      </c>
      <c r="P62" s="11"/>
      <c r="Q62" s="12"/>
      <c r="R62" s="204"/>
      <c r="S62" s="17"/>
      <c r="T62" s="202"/>
      <c r="U62" s="203" t="s">
        <v>224</v>
      </c>
      <c r="V62" s="11"/>
      <c r="W62" s="12"/>
      <c r="X62" s="204"/>
      <c r="Y62" s="17"/>
      <c r="Z62" s="202"/>
      <c r="AA62" s="203" t="s">
        <v>224</v>
      </c>
      <c r="AB62" s="11"/>
      <c r="AC62" s="12"/>
      <c r="AD62" s="204"/>
      <c r="AE62" s="17"/>
    </row>
    <row r="63">
      <c r="A63" s="17"/>
      <c r="B63" s="202"/>
      <c r="C63" s="204"/>
      <c r="D63" s="204"/>
      <c r="E63" s="205" t="s">
        <v>210</v>
      </c>
      <c r="F63" s="204"/>
      <c r="G63" s="17"/>
      <c r="H63" s="202"/>
      <c r="I63" s="204"/>
      <c r="J63" s="204"/>
      <c r="K63" s="206" t="s">
        <v>211</v>
      </c>
      <c r="L63" s="204"/>
      <c r="M63" s="17"/>
      <c r="N63" s="202"/>
      <c r="O63" s="204"/>
      <c r="P63" s="204"/>
      <c r="Q63" s="206" t="s">
        <v>211</v>
      </c>
      <c r="R63" s="204"/>
      <c r="S63" s="17"/>
      <c r="T63" s="202"/>
      <c r="U63" s="204"/>
      <c r="V63" s="204"/>
      <c r="W63" s="206" t="s">
        <v>211</v>
      </c>
      <c r="X63" s="204"/>
      <c r="Y63" s="17"/>
      <c r="Z63" s="202"/>
      <c r="AA63" s="204"/>
      <c r="AB63" s="204"/>
      <c r="AC63" s="206" t="s">
        <v>211</v>
      </c>
      <c r="AD63" s="204"/>
      <c r="AE63" s="17"/>
    </row>
    <row r="64">
      <c r="A64" s="17"/>
      <c r="B64" s="207" t="s">
        <v>21</v>
      </c>
      <c r="C64" s="208" t="s">
        <v>212</v>
      </c>
      <c r="D64" s="209" t="s">
        <v>23</v>
      </c>
      <c r="E64" s="209" t="s">
        <v>24</v>
      </c>
      <c r="F64" s="209" t="s">
        <v>25</v>
      </c>
      <c r="G64" s="17"/>
      <c r="H64" s="207" t="s">
        <v>21</v>
      </c>
      <c r="I64" s="208" t="s">
        <v>212</v>
      </c>
      <c r="J64" s="209" t="s">
        <v>23</v>
      </c>
      <c r="K64" s="209" t="s">
        <v>24</v>
      </c>
      <c r="L64" s="209" t="s">
        <v>25</v>
      </c>
      <c r="M64" s="17"/>
      <c r="N64" s="207" t="s">
        <v>21</v>
      </c>
      <c r="O64" s="208" t="s">
        <v>212</v>
      </c>
      <c r="P64" s="209" t="s">
        <v>23</v>
      </c>
      <c r="Q64" s="209" t="s">
        <v>24</v>
      </c>
      <c r="R64" s="209" t="s">
        <v>25</v>
      </c>
      <c r="S64" s="17"/>
      <c r="T64" s="207" t="s">
        <v>21</v>
      </c>
      <c r="U64" s="208" t="s">
        <v>212</v>
      </c>
      <c r="V64" s="209" t="s">
        <v>23</v>
      </c>
      <c r="W64" s="209" t="s">
        <v>24</v>
      </c>
      <c r="X64" s="209" t="s">
        <v>25</v>
      </c>
      <c r="Y64" s="17"/>
      <c r="Z64" s="207" t="s">
        <v>21</v>
      </c>
      <c r="AA64" s="208" t="s">
        <v>212</v>
      </c>
      <c r="AB64" s="209" t="s">
        <v>23</v>
      </c>
      <c r="AC64" s="209" t="s">
        <v>24</v>
      </c>
      <c r="AD64" s="209" t="s">
        <v>25</v>
      </c>
      <c r="AE64" s="17"/>
    </row>
    <row r="65">
      <c r="A65" s="17"/>
      <c r="B65" s="210" t="s">
        <v>213</v>
      </c>
      <c r="C65" s="211" t="s">
        <v>28</v>
      </c>
      <c r="D65" s="212"/>
      <c r="E65" s="213">
        <v>0.0</v>
      </c>
      <c r="F65" s="212"/>
      <c r="G65" s="17"/>
      <c r="H65" s="210" t="s">
        <v>213</v>
      </c>
      <c r="I65" s="211" t="s">
        <v>28</v>
      </c>
      <c r="J65" s="212"/>
      <c r="K65" s="213">
        <v>1.0</v>
      </c>
      <c r="L65" s="212"/>
      <c r="M65" s="17"/>
      <c r="N65" s="210" t="s">
        <v>213</v>
      </c>
      <c r="O65" s="211" t="s">
        <v>28</v>
      </c>
      <c r="P65" s="212"/>
      <c r="Q65" s="213">
        <v>1.0</v>
      </c>
      <c r="R65" s="212"/>
      <c r="S65" s="17"/>
      <c r="T65" s="210" t="s">
        <v>213</v>
      </c>
      <c r="U65" s="211" t="s">
        <v>28</v>
      </c>
      <c r="V65" s="212"/>
      <c r="W65" s="213">
        <v>0.0</v>
      </c>
      <c r="X65" s="212"/>
      <c r="Y65" s="17"/>
      <c r="Z65" s="210" t="s">
        <v>213</v>
      </c>
      <c r="AA65" s="211" t="s">
        <v>28</v>
      </c>
      <c r="AB65" s="212"/>
      <c r="AC65" s="213">
        <v>0.0</v>
      </c>
      <c r="AD65" s="212"/>
      <c r="AE65" s="17"/>
    </row>
    <row r="66">
      <c r="A66" s="17"/>
      <c r="B66" s="214" t="s">
        <v>27</v>
      </c>
      <c r="C66" s="211" t="s">
        <v>28</v>
      </c>
      <c r="D66" s="215" t="s">
        <v>214</v>
      </c>
      <c r="E66" s="213">
        <v>0.0</v>
      </c>
      <c r="F66" s="215" t="str">
        <f t="shared" ref="F66:F70" si="7">IF(E66=1, "Bullish", IF(E66=-1, "Bearish", ""))</f>
        <v/>
      </c>
      <c r="G66" s="17"/>
      <c r="H66" s="214" t="s">
        <v>27</v>
      </c>
      <c r="I66" s="211" t="s">
        <v>28</v>
      </c>
      <c r="J66" s="215" t="s">
        <v>214</v>
      </c>
      <c r="K66" s="213">
        <v>1.0</v>
      </c>
      <c r="L66" s="215" t="str">
        <f t="shared" ref="L66:L70" si="8">IF(K66=1, "Bullish", IF(K66=-1, "Bearish", ""))</f>
        <v>Bullish</v>
      </c>
      <c r="M66" s="17"/>
      <c r="N66" s="214" t="s">
        <v>27</v>
      </c>
      <c r="O66" s="211" t="s">
        <v>28</v>
      </c>
      <c r="P66" s="215" t="s">
        <v>214</v>
      </c>
      <c r="Q66" s="213">
        <v>0.0</v>
      </c>
      <c r="R66" s="215" t="str">
        <f t="shared" ref="R66:R70" si="9">IF(Q66=1, "Bullish", IF(Q66=-1, "Bearish", ""))</f>
        <v/>
      </c>
      <c r="S66" s="17"/>
      <c r="T66" s="214" t="s">
        <v>27</v>
      </c>
      <c r="U66" s="211" t="s">
        <v>28</v>
      </c>
      <c r="V66" s="215" t="s">
        <v>214</v>
      </c>
      <c r="W66" s="213">
        <v>1.0</v>
      </c>
      <c r="X66" s="215" t="str">
        <f t="shared" ref="X66:X69" si="10">IF(W66=1, "Bullish", IF(W66=0, "Bearish", ""))</f>
        <v>Bullish</v>
      </c>
      <c r="Y66" s="17"/>
      <c r="Z66" s="214" t="s">
        <v>27</v>
      </c>
      <c r="AA66" s="211" t="s">
        <v>28</v>
      </c>
      <c r="AB66" s="215" t="s">
        <v>214</v>
      </c>
      <c r="AC66" s="213">
        <v>1.0</v>
      </c>
      <c r="AD66" s="215" t="str">
        <f t="shared" ref="AD66:AD69" si="11">IF(AC66=1, "Bullish", IF(AC66=0, "Bearish", ""))</f>
        <v>Bullish</v>
      </c>
      <c r="AE66" s="17"/>
    </row>
    <row r="67">
      <c r="A67" s="17"/>
      <c r="B67" s="214" t="s">
        <v>215</v>
      </c>
      <c r="C67" s="211" t="s">
        <v>28</v>
      </c>
      <c r="D67" s="215" t="s">
        <v>216</v>
      </c>
      <c r="E67" s="213">
        <v>0.0</v>
      </c>
      <c r="F67" s="215" t="str">
        <f t="shared" si="7"/>
        <v/>
      </c>
      <c r="G67" s="17"/>
      <c r="H67" s="214" t="s">
        <v>215</v>
      </c>
      <c r="I67" s="211" t="s">
        <v>28</v>
      </c>
      <c r="J67" s="215" t="s">
        <v>216</v>
      </c>
      <c r="K67" s="213">
        <v>1.0</v>
      </c>
      <c r="L67" s="215" t="str">
        <f t="shared" si="8"/>
        <v>Bullish</v>
      </c>
      <c r="M67" s="17"/>
      <c r="N67" s="214" t="s">
        <v>215</v>
      </c>
      <c r="O67" s="211" t="s">
        <v>28</v>
      </c>
      <c r="P67" s="215" t="s">
        <v>216</v>
      </c>
      <c r="Q67" s="213">
        <v>1.0</v>
      </c>
      <c r="R67" s="215" t="str">
        <f t="shared" si="9"/>
        <v>Bullish</v>
      </c>
      <c r="S67" s="17"/>
      <c r="T67" s="214" t="s">
        <v>215</v>
      </c>
      <c r="U67" s="211" t="s">
        <v>28</v>
      </c>
      <c r="V67" s="215" t="s">
        <v>216</v>
      </c>
      <c r="W67" s="213">
        <v>0.0</v>
      </c>
      <c r="X67" s="215" t="str">
        <f t="shared" si="10"/>
        <v>Bearish</v>
      </c>
      <c r="Y67" s="17"/>
      <c r="Z67" s="214" t="s">
        <v>215</v>
      </c>
      <c r="AA67" s="211" t="s">
        <v>28</v>
      </c>
      <c r="AB67" s="215" t="s">
        <v>216</v>
      </c>
      <c r="AC67" s="213">
        <v>0.0</v>
      </c>
      <c r="AD67" s="215" t="str">
        <f t="shared" si="11"/>
        <v>Bearish</v>
      </c>
      <c r="AE67" s="17"/>
    </row>
    <row r="68">
      <c r="A68" s="17"/>
      <c r="B68" s="214" t="s">
        <v>217</v>
      </c>
      <c r="C68" s="211" t="s">
        <v>28</v>
      </c>
      <c r="D68" s="215" t="s">
        <v>218</v>
      </c>
      <c r="E68" s="213">
        <v>0.0</v>
      </c>
      <c r="F68" s="215" t="str">
        <f t="shared" si="7"/>
        <v/>
      </c>
      <c r="G68" s="17"/>
      <c r="H68" s="214" t="s">
        <v>217</v>
      </c>
      <c r="I68" s="211" t="s">
        <v>28</v>
      </c>
      <c r="J68" s="215" t="s">
        <v>218</v>
      </c>
      <c r="K68" s="213">
        <v>1.0</v>
      </c>
      <c r="L68" s="215" t="str">
        <f t="shared" si="8"/>
        <v>Bullish</v>
      </c>
      <c r="M68" s="17"/>
      <c r="N68" s="214" t="s">
        <v>217</v>
      </c>
      <c r="O68" s="211" t="s">
        <v>28</v>
      </c>
      <c r="P68" s="215" t="s">
        <v>218</v>
      </c>
      <c r="Q68" s="213">
        <v>1.0</v>
      </c>
      <c r="R68" s="215" t="str">
        <f t="shared" si="9"/>
        <v>Bullish</v>
      </c>
      <c r="S68" s="17"/>
      <c r="T68" s="214" t="s">
        <v>217</v>
      </c>
      <c r="U68" s="211" t="s">
        <v>28</v>
      </c>
      <c r="V68" s="215" t="s">
        <v>218</v>
      </c>
      <c r="W68" s="213">
        <v>0.0</v>
      </c>
      <c r="X68" s="215" t="str">
        <f t="shared" si="10"/>
        <v>Bearish</v>
      </c>
      <c r="Y68" s="17"/>
      <c r="Z68" s="214" t="s">
        <v>217</v>
      </c>
      <c r="AA68" s="211" t="s">
        <v>28</v>
      </c>
      <c r="AB68" s="215" t="s">
        <v>218</v>
      </c>
      <c r="AC68" s="213">
        <v>0.0</v>
      </c>
      <c r="AD68" s="215" t="str">
        <f t="shared" si="11"/>
        <v>Bearish</v>
      </c>
      <c r="AE68" s="17"/>
    </row>
    <row r="69">
      <c r="A69" s="17"/>
      <c r="B69" s="217" t="s">
        <v>219</v>
      </c>
      <c r="C69" s="211" t="s">
        <v>28</v>
      </c>
      <c r="D69" s="215" t="s">
        <v>220</v>
      </c>
      <c r="E69" s="213">
        <v>0.0</v>
      </c>
      <c r="F69" s="215" t="str">
        <f t="shared" si="7"/>
        <v/>
      </c>
      <c r="G69" s="17"/>
      <c r="H69" s="217" t="s">
        <v>219</v>
      </c>
      <c r="I69" s="211" t="s">
        <v>28</v>
      </c>
      <c r="J69" s="215" t="s">
        <v>220</v>
      </c>
      <c r="K69" s="213">
        <v>1.0</v>
      </c>
      <c r="L69" s="215" t="str">
        <f t="shared" si="8"/>
        <v>Bullish</v>
      </c>
      <c r="M69" s="17"/>
      <c r="N69" s="217" t="s">
        <v>219</v>
      </c>
      <c r="O69" s="211" t="s">
        <v>28</v>
      </c>
      <c r="P69" s="218" t="s">
        <v>220</v>
      </c>
      <c r="Q69" s="219">
        <v>0.0</v>
      </c>
      <c r="R69" s="218" t="str">
        <f t="shared" si="9"/>
        <v/>
      </c>
      <c r="S69" s="17"/>
      <c r="T69" s="217" t="s">
        <v>219</v>
      </c>
      <c r="U69" s="211" t="s">
        <v>28</v>
      </c>
      <c r="V69" s="215" t="s">
        <v>220</v>
      </c>
      <c r="W69" s="213">
        <v>1.0</v>
      </c>
      <c r="X69" s="215" t="str">
        <f t="shared" si="10"/>
        <v>Bullish</v>
      </c>
      <c r="Y69" s="17"/>
      <c r="Z69" s="217" t="s">
        <v>219</v>
      </c>
      <c r="AA69" s="211" t="s">
        <v>28</v>
      </c>
      <c r="AB69" s="215" t="s">
        <v>220</v>
      </c>
      <c r="AC69" s="213">
        <v>1.0</v>
      </c>
      <c r="AD69" s="215" t="str">
        <f t="shared" si="11"/>
        <v>Bullish</v>
      </c>
      <c r="AE69" s="17"/>
    </row>
    <row r="70">
      <c r="A70" s="17"/>
      <c r="B70" s="220"/>
      <c r="C70" s="211"/>
      <c r="D70" s="215"/>
      <c r="E70" s="213"/>
      <c r="F70" s="215" t="str">
        <f t="shared" si="7"/>
        <v/>
      </c>
      <c r="G70" s="17"/>
      <c r="H70" s="220"/>
      <c r="I70" s="211"/>
      <c r="J70" s="215"/>
      <c r="K70" s="213"/>
      <c r="L70" s="215" t="str">
        <f t="shared" si="8"/>
        <v/>
      </c>
      <c r="M70" s="17"/>
      <c r="N70" s="220"/>
      <c r="O70" s="203"/>
      <c r="P70" s="215"/>
      <c r="Q70" s="213"/>
      <c r="R70" s="215" t="str">
        <f t="shared" si="9"/>
        <v/>
      </c>
      <c r="S70" s="17"/>
      <c r="T70" s="220"/>
      <c r="U70" s="211"/>
      <c r="V70" s="215"/>
      <c r="W70" s="213"/>
      <c r="X70" s="215" t="str">
        <f>IF(W70=1, "Bullish", IF(W70=-1, "Bearish", ""))</f>
        <v/>
      </c>
      <c r="Y70" s="17"/>
      <c r="Z70" s="220"/>
      <c r="AA70" s="211"/>
      <c r="AB70" s="215"/>
      <c r="AC70" s="213"/>
      <c r="AD70" s="215" t="str">
        <f>IF(AC70=1, "Bullish", IF(AC70=-1, "Bearish", ""))</f>
        <v/>
      </c>
      <c r="AE70" s="17"/>
    </row>
    <row r="71">
      <c r="A71" s="17"/>
      <c r="B71" s="204"/>
      <c r="C71" s="204"/>
      <c r="D71" s="204"/>
      <c r="E71" s="209" t="s">
        <v>55</v>
      </c>
      <c r="F71" s="224">
        <f>AVERAGE(E65:E70)</f>
        <v>0</v>
      </c>
      <c r="G71" s="17"/>
      <c r="H71" s="204"/>
      <c r="I71" s="204"/>
      <c r="J71" s="204"/>
      <c r="K71" s="209" t="s">
        <v>55</v>
      </c>
      <c r="L71" s="224">
        <f>AVERAGE(K65:K70)</f>
        <v>1</v>
      </c>
      <c r="M71" s="17"/>
      <c r="N71" s="204"/>
      <c r="O71" s="204"/>
      <c r="P71" s="204"/>
      <c r="Q71" s="221" t="s">
        <v>55</v>
      </c>
      <c r="R71" s="222">
        <f>AVERAGE(Q65:Q70)</f>
        <v>0.6</v>
      </c>
      <c r="S71" s="17"/>
      <c r="T71" s="204"/>
      <c r="U71" s="204"/>
      <c r="V71" s="204"/>
      <c r="W71" s="209" t="s">
        <v>55</v>
      </c>
      <c r="X71" s="224">
        <f>AVERAGE(W65:W70)</f>
        <v>0.4</v>
      </c>
      <c r="Y71" s="17"/>
      <c r="Z71" s="204"/>
      <c r="AA71" s="204"/>
      <c r="AB71" s="204"/>
      <c r="AC71" s="209" t="s">
        <v>55</v>
      </c>
      <c r="AD71" s="224">
        <f>AVERAGE(AC65:AC70)</f>
        <v>0.4</v>
      </c>
      <c r="AE71" s="17"/>
    </row>
    <row r="72">
      <c r="A72" s="17"/>
      <c r="B72" s="225"/>
      <c r="C72" s="225"/>
      <c r="D72" s="225"/>
      <c r="E72" s="225"/>
      <c r="F72" s="225"/>
      <c r="G72" s="17"/>
      <c r="H72" s="225"/>
      <c r="I72" s="225"/>
      <c r="J72" s="225"/>
      <c r="K72" s="225"/>
      <c r="L72" s="225"/>
      <c r="M72" s="17"/>
      <c r="N72" s="225"/>
      <c r="O72" s="225"/>
      <c r="P72" s="225"/>
      <c r="Q72" s="225"/>
      <c r="R72" s="225"/>
      <c r="S72" s="17"/>
      <c r="T72" s="225"/>
      <c r="U72" s="225"/>
      <c r="V72" s="225"/>
      <c r="W72" s="225"/>
      <c r="X72" s="225"/>
      <c r="Y72" s="17"/>
      <c r="Z72" s="225"/>
      <c r="AA72" s="225"/>
      <c r="AB72" s="225"/>
      <c r="AC72" s="225"/>
      <c r="AD72" s="225"/>
      <c r="AE72" s="17"/>
    </row>
    <row r="73">
      <c r="A73" s="17"/>
      <c r="B73" s="226"/>
      <c r="C73" s="203" t="s">
        <v>225</v>
      </c>
      <c r="D73" s="11"/>
      <c r="E73" s="12"/>
      <c r="F73" s="126"/>
      <c r="G73" s="17"/>
      <c r="H73" s="226"/>
      <c r="I73" s="203" t="s">
        <v>226</v>
      </c>
      <c r="J73" s="11"/>
      <c r="K73" s="12"/>
      <c r="L73" s="126"/>
      <c r="M73" s="17"/>
      <c r="N73" s="226"/>
      <c r="O73" s="203" t="s">
        <v>227</v>
      </c>
      <c r="P73" s="11"/>
      <c r="Q73" s="12"/>
      <c r="R73" s="126"/>
      <c r="S73" s="17"/>
      <c r="T73" s="226"/>
      <c r="U73" s="203" t="s">
        <v>228</v>
      </c>
      <c r="V73" s="11"/>
      <c r="W73" s="12"/>
      <c r="X73" s="126"/>
      <c r="Y73" s="17"/>
      <c r="Z73" s="226"/>
      <c r="AA73" s="203" t="s">
        <v>228</v>
      </c>
      <c r="AB73" s="11"/>
      <c r="AC73" s="12"/>
      <c r="AD73" s="126"/>
      <c r="AE73" s="17"/>
    </row>
    <row r="74">
      <c r="A74" s="17"/>
      <c r="B74" s="226"/>
      <c r="C74" s="126"/>
      <c r="D74" s="126"/>
      <c r="E74" s="205" t="s">
        <v>210</v>
      </c>
      <c r="F74" s="126"/>
      <c r="G74" s="17"/>
      <c r="H74" s="226"/>
      <c r="I74" s="126"/>
      <c r="J74" s="126"/>
      <c r="K74" s="206" t="s">
        <v>211</v>
      </c>
      <c r="L74" s="126"/>
      <c r="M74" s="17"/>
      <c r="N74" s="226"/>
      <c r="O74" s="126"/>
      <c r="P74" s="126"/>
      <c r="Q74" s="206" t="s">
        <v>211</v>
      </c>
      <c r="R74" s="126"/>
      <c r="S74" s="17"/>
      <c r="T74" s="226"/>
      <c r="U74" s="126"/>
      <c r="V74" s="126"/>
      <c r="W74" s="206" t="s">
        <v>211</v>
      </c>
      <c r="X74" s="126"/>
      <c r="Y74" s="17"/>
      <c r="Z74" s="226"/>
      <c r="AA74" s="126"/>
      <c r="AB74" s="126"/>
      <c r="AC74" s="206" t="s">
        <v>211</v>
      </c>
      <c r="AD74" s="126"/>
      <c r="AE74" s="17"/>
    </row>
    <row r="75">
      <c r="A75" s="17"/>
      <c r="B75" s="227" t="s">
        <v>21</v>
      </c>
      <c r="C75" s="215" t="s">
        <v>212</v>
      </c>
      <c r="D75" s="215" t="s">
        <v>23</v>
      </c>
      <c r="E75" s="215" t="s">
        <v>24</v>
      </c>
      <c r="F75" s="215" t="s">
        <v>25</v>
      </c>
      <c r="G75" s="17"/>
      <c r="H75" s="227" t="s">
        <v>21</v>
      </c>
      <c r="I75" s="215" t="s">
        <v>212</v>
      </c>
      <c r="J75" s="215" t="s">
        <v>23</v>
      </c>
      <c r="K75" s="215" t="s">
        <v>24</v>
      </c>
      <c r="L75" s="215" t="s">
        <v>25</v>
      </c>
      <c r="M75" s="17"/>
      <c r="N75" s="227" t="s">
        <v>21</v>
      </c>
      <c r="O75" s="215" t="s">
        <v>212</v>
      </c>
      <c r="P75" s="215" t="s">
        <v>23</v>
      </c>
      <c r="Q75" s="215" t="s">
        <v>24</v>
      </c>
      <c r="R75" s="215" t="s">
        <v>25</v>
      </c>
      <c r="S75" s="17"/>
      <c r="T75" s="227" t="s">
        <v>21</v>
      </c>
      <c r="U75" s="215" t="s">
        <v>212</v>
      </c>
      <c r="V75" s="215" t="s">
        <v>23</v>
      </c>
      <c r="W75" s="215" t="s">
        <v>24</v>
      </c>
      <c r="X75" s="215" t="s">
        <v>25</v>
      </c>
      <c r="Y75" s="17"/>
      <c r="Z75" s="227" t="s">
        <v>21</v>
      </c>
      <c r="AA75" s="215" t="s">
        <v>212</v>
      </c>
      <c r="AB75" s="215" t="s">
        <v>23</v>
      </c>
      <c r="AC75" s="215" t="s">
        <v>24</v>
      </c>
      <c r="AD75" s="215" t="s">
        <v>25</v>
      </c>
      <c r="AE75" s="17"/>
    </row>
    <row r="76">
      <c r="A76" s="17"/>
      <c r="B76" s="210" t="s">
        <v>213</v>
      </c>
      <c r="C76" s="211" t="s">
        <v>28</v>
      </c>
      <c r="D76" s="228"/>
      <c r="E76" s="213">
        <v>0.0</v>
      </c>
      <c r="F76" s="228"/>
      <c r="G76" s="17"/>
      <c r="H76" s="210" t="s">
        <v>213</v>
      </c>
      <c r="I76" s="211" t="s">
        <v>28</v>
      </c>
      <c r="J76" s="228"/>
      <c r="K76" s="213">
        <v>1.0</v>
      </c>
      <c r="L76" s="228"/>
      <c r="M76" s="17"/>
      <c r="N76" s="210" t="s">
        <v>213</v>
      </c>
      <c r="O76" s="211" t="s">
        <v>28</v>
      </c>
      <c r="P76" s="228"/>
      <c r="Q76" s="213">
        <v>1.0</v>
      </c>
      <c r="R76" s="228"/>
      <c r="S76" s="17"/>
      <c r="T76" s="210" t="s">
        <v>213</v>
      </c>
      <c r="U76" s="211" t="s">
        <v>28</v>
      </c>
      <c r="V76" s="228"/>
      <c r="W76" s="213">
        <v>1.0</v>
      </c>
      <c r="X76" s="228"/>
      <c r="Y76" s="17"/>
      <c r="Z76" s="210" t="s">
        <v>213</v>
      </c>
      <c r="AA76" s="211" t="s">
        <v>28</v>
      </c>
      <c r="AB76" s="228"/>
      <c r="AC76" s="213">
        <v>1.0</v>
      </c>
      <c r="AD76" s="228"/>
      <c r="AE76" s="17"/>
    </row>
    <row r="77">
      <c r="A77" s="17"/>
      <c r="B77" s="214" t="s">
        <v>27</v>
      </c>
      <c r="C77" s="211" t="s">
        <v>28</v>
      </c>
      <c r="D77" s="215" t="s">
        <v>214</v>
      </c>
      <c r="E77" s="213">
        <v>0.0</v>
      </c>
      <c r="F77" s="215" t="str">
        <f t="shared" ref="F77:F81" si="12">IF(E77=1, "Bullish", IF(E77=-1, "Bearish", ""))</f>
        <v/>
      </c>
      <c r="G77" s="17"/>
      <c r="H77" s="214" t="s">
        <v>27</v>
      </c>
      <c r="I77" s="211" t="s">
        <v>28</v>
      </c>
      <c r="J77" s="215" t="s">
        <v>214</v>
      </c>
      <c r="K77" s="213">
        <v>1.0</v>
      </c>
      <c r="L77" s="215" t="str">
        <f t="shared" ref="L77:L81" si="13">IF(K77=1, "Bullish", IF(K77=-1, "Bearish", ""))</f>
        <v>Bullish</v>
      </c>
      <c r="M77" s="17"/>
      <c r="N77" s="214" t="s">
        <v>27</v>
      </c>
      <c r="O77" s="211" t="s">
        <v>28</v>
      </c>
      <c r="P77" s="215" t="s">
        <v>214</v>
      </c>
      <c r="Q77" s="213">
        <v>1.0</v>
      </c>
      <c r="R77" s="215" t="str">
        <f t="shared" ref="R77:R81" si="14">IF(Q77=1, "Bullish", IF(Q77=-1, "Bearish", ""))</f>
        <v>Bullish</v>
      </c>
      <c r="S77" s="17"/>
      <c r="T77" s="214" t="s">
        <v>27</v>
      </c>
      <c r="U77" s="211" t="s">
        <v>28</v>
      </c>
      <c r="V77" s="215" t="s">
        <v>214</v>
      </c>
      <c r="W77" s="213">
        <v>1.0</v>
      </c>
      <c r="X77" s="215" t="str">
        <f t="shared" ref="X77:X80" si="15">IF(W77=1, "Bullish", IF(W77=0, "Bearish", ""))</f>
        <v>Bullish</v>
      </c>
      <c r="Y77" s="17"/>
      <c r="Z77" s="214" t="s">
        <v>27</v>
      </c>
      <c r="AA77" s="211" t="s">
        <v>28</v>
      </c>
      <c r="AB77" s="215" t="s">
        <v>214</v>
      </c>
      <c r="AC77" s="213">
        <v>1.0</v>
      </c>
      <c r="AD77" s="215" t="str">
        <f t="shared" ref="AD77:AD80" si="16">IF(AC77=1, "Bullish", IF(AC77=0, "Bearish", ""))</f>
        <v>Bullish</v>
      </c>
      <c r="AE77" s="17"/>
    </row>
    <row r="78">
      <c r="A78" s="17"/>
      <c r="B78" s="214" t="s">
        <v>215</v>
      </c>
      <c r="C78" s="211" t="s">
        <v>28</v>
      </c>
      <c r="D78" s="215" t="s">
        <v>216</v>
      </c>
      <c r="E78" s="213">
        <v>0.0</v>
      </c>
      <c r="F78" s="215" t="str">
        <f t="shared" si="12"/>
        <v/>
      </c>
      <c r="G78" s="17"/>
      <c r="H78" s="214" t="s">
        <v>215</v>
      </c>
      <c r="I78" s="211" t="s">
        <v>28</v>
      </c>
      <c r="J78" s="215" t="s">
        <v>216</v>
      </c>
      <c r="K78" s="213">
        <v>1.0</v>
      </c>
      <c r="L78" s="215" t="str">
        <f t="shared" si="13"/>
        <v>Bullish</v>
      </c>
      <c r="M78" s="17"/>
      <c r="N78" s="214" t="s">
        <v>215</v>
      </c>
      <c r="O78" s="211" t="s">
        <v>28</v>
      </c>
      <c r="P78" s="215" t="s">
        <v>216</v>
      </c>
      <c r="Q78" s="213">
        <v>1.0</v>
      </c>
      <c r="R78" s="215" t="str">
        <f t="shared" si="14"/>
        <v>Bullish</v>
      </c>
      <c r="S78" s="17"/>
      <c r="T78" s="214" t="s">
        <v>215</v>
      </c>
      <c r="U78" s="211" t="s">
        <v>28</v>
      </c>
      <c r="V78" s="215" t="s">
        <v>216</v>
      </c>
      <c r="W78" s="213">
        <v>1.0</v>
      </c>
      <c r="X78" s="215" t="str">
        <f t="shared" si="15"/>
        <v>Bullish</v>
      </c>
      <c r="Y78" s="17"/>
      <c r="Z78" s="214" t="s">
        <v>215</v>
      </c>
      <c r="AA78" s="211" t="s">
        <v>28</v>
      </c>
      <c r="AB78" s="215" t="s">
        <v>216</v>
      </c>
      <c r="AC78" s="213">
        <v>1.0</v>
      </c>
      <c r="AD78" s="215" t="str">
        <f t="shared" si="16"/>
        <v>Bullish</v>
      </c>
      <c r="AE78" s="17"/>
    </row>
    <row r="79">
      <c r="A79" s="17"/>
      <c r="B79" s="214" t="s">
        <v>217</v>
      </c>
      <c r="C79" s="211" t="s">
        <v>28</v>
      </c>
      <c r="D79" s="215" t="s">
        <v>218</v>
      </c>
      <c r="E79" s="213">
        <v>0.0</v>
      </c>
      <c r="F79" s="215" t="str">
        <f t="shared" si="12"/>
        <v/>
      </c>
      <c r="G79" s="17"/>
      <c r="H79" s="214" t="s">
        <v>217</v>
      </c>
      <c r="I79" s="211" t="s">
        <v>28</v>
      </c>
      <c r="J79" s="215" t="s">
        <v>218</v>
      </c>
      <c r="K79" s="213">
        <v>1.0</v>
      </c>
      <c r="L79" s="215" t="str">
        <f t="shared" si="13"/>
        <v>Bullish</v>
      </c>
      <c r="M79" s="17"/>
      <c r="N79" s="214" t="s">
        <v>217</v>
      </c>
      <c r="O79" s="211" t="s">
        <v>28</v>
      </c>
      <c r="P79" s="215" t="s">
        <v>218</v>
      </c>
      <c r="Q79" s="213">
        <v>1.0</v>
      </c>
      <c r="R79" s="215" t="str">
        <f t="shared" si="14"/>
        <v>Bullish</v>
      </c>
      <c r="S79" s="17"/>
      <c r="T79" s="214" t="s">
        <v>217</v>
      </c>
      <c r="U79" s="211" t="s">
        <v>28</v>
      </c>
      <c r="V79" s="215" t="s">
        <v>218</v>
      </c>
      <c r="W79" s="213">
        <v>1.0</v>
      </c>
      <c r="X79" s="215" t="str">
        <f t="shared" si="15"/>
        <v>Bullish</v>
      </c>
      <c r="Y79" s="17"/>
      <c r="Z79" s="214" t="s">
        <v>217</v>
      </c>
      <c r="AA79" s="211" t="s">
        <v>28</v>
      </c>
      <c r="AB79" s="215" t="s">
        <v>218</v>
      </c>
      <c r="AC79" s="213">
        <v>1.0</v>
      </c>
      <c r="AD79" s="215" t="str">
        <f t="shared" si="16"/>
        <v>Bullish</v>
      </c>
      <c r="AE79" s="17"/>
    </row>
    <row r="80">
      <c r="A80" s="17"/>
      <c r="B80" s="217" t="s">
        <v>219</v>
      </c>
      <c r="C80" s="211" t="s">
        <v>28</v>
      </c>
      <c r="D80" s="215" t="s">
        <v>220</v>
      </c>
      <c r="E80" s="213">
        <v>0.0</v>
      </c>
      <c r="F80" s="215" t="str">
        <f t="shared" si="12"/>
        <v/>
      </c>
      <c r="G80" s="17"/>
      <c r="H80" s="217" t="s">
        <v>219</v>
      </c>
      <c r="I80" s="211" t="s">
        <v>28</v>
      </c>
      <c r="J80" s="229" t="s">
        <v>220</v>
      </c>
      <c r="K80" s="213">
        <v>1.0</v>
      </c>
      <c r="L80" s="215" t="str">
        <f t="shared" si="13"/>
        <v>Bullish</v>
      </c>
      <c r="M80" s="17"/>
      <c r="N80" s="217" t="s">
        <v>219</v>
      </c>
      <c r="O80" s="211" t="s">
        <v>28</v>
      </c>
      <c r="P80" s="218" t="s">
        <v>220</v>
      </c>
      <c r="Q80" s="219">
        <v>1.0</v>
      </c>
      <c r="R80" s="218" t="str">
        <f t="shared" si="14"/>
        <v>Bullish</v>
      </c>
      <c r="S80" s="17"/>
      <c r="T80" s="217" t="s">
        <v>219</v>
      </c>
      <c r="U80" s="211" t="s">
        <v>28</v>
      </c>
      <c r="V80" s="215" t="s">
        <v>220</v>
      </c>
      <c r="W80" s="213">
        <v>1.0</v>
      </c>
      <c r="X80" s="215" t="str">
        <f t="shared" si="15"/>
        <v>Bullish</v>
      </c>
      <c r="Y80" s="17"/>
      <c r="Z80" s="217" t="s">
        <v>219</v>
      </c>
      <c r="AA80" s="211" t="s">
        <v>28</v>
      </c>
      <c r="AB80" s="215" t="s">
        <v>220</v>
      </c>
      <c r="AC80" s="213">
        <v>1.0</v>
      </c>
      <c r="AD80" s="215" t="str">
        <f t="shared" si="16"/>
        <v>Bullish</v>
      </c>
      <c r="AE80" s="17"/>
    </row>
    <row r="81">
      <c r="A81" s="17"/>
      <c r="B81" s="220"/>
      <c r="C81" s="211"/>
      <c r="D81" s="228"/>
      <c r="E81" s="213"/>
      <c r="F81" s="215" t="str">
        <f t="shared" si="12"/>
        <v/>
      </c>
      <c r="G81" s="17"/>
      <c r="H81" s="220"/>
      <c r="I81" s="211"/>
      <c r="J81" s="228"/>
      <c r="K81" s="213"/>
      <c r="L81" s="215" t="str">
        <f t="shared" si="13"/>
        <v/>
      </c>
      <c r="M81" s="17"/>
      <c r="N81" s="220"/>
      <c r="O81" s="203"/>
      <c r="P81" s="228"/>
      <c r="Q81" s="219"/>
      <c r="R81" s="215" t="str">
        <f t="shared" si="14"/>
        <v/>
      </c>
      <c r="S81" s="17"/>
      <c r="T81" s="220"/>
      <c r="U81" s="211"/>
      <c r="V81" s="228"/>
      <c r="W81" s="213"/>
      <c r="X81" s="215" t="str">
        <f>IF(W81=1, "Bullish", IF(W81=-1, "Bearish", ""))</f>
        <v/>
      </c>
      <c r="Y81" s="17"/>
      <c r="Z81" s="220"/>
      <c r="AA81" s="211"/>
      <c r="AB81" s="228"/>
      <c r="AC81" s="213"/>
      <c r="AD81" s="215" t="str">
        <f>IF(AC81=1, "Bullish", IF(AC81=-1, "Bearish", ""))</f>
        <v/>
      </c>
      <c r="AE81" s="17"/>
    </row>
    <row r="82">
      <c r="A82" s="17"/>
      <c r="B82" s="126"/>
      <c r="C82" s="126"/>
      <c r="D82" s="126"/>
      <c r="E82" s="215" t="s">
        <v>55</v>
      </c>
      <c r="F82" s="224">
        <f>AVERAGE(E76:E81)</f>
        <v>0</v>
      </c>
      <c r="G82" s="17"/>
      <c r="H82" s="126"/>
      <c r="I82" s="126"/>
      <c r="J82" s="126"/>
      <c r="K82" s="215" t="s">
        <v>55</v>
      </c>
      <c r="L82" s="224">
        <f>AVERAGE(K76:K81)</f>
        <v>1</v>
      </c>
      <c r="M82" s="17"/>
      <c r="N82" s="126"/>
      <c r="O82" s="126"/>
      <c r="P82" s="126"/>
      <c r="Q82" s="230" t="s">
        <v>55</v>
      </c>
      <c r="R82" s="222">
        <f>AVERAGE(Q76:Q81)</f>
        <v>1</v>
      </c>
      <c r="S82" s="17"/>
      <c r="T82" s="126"/>
      <c r="U82" s="126"/>
      <c r="V82" s="126"/>
      <c r="W82" s="215" t="s">
        <v>55</v>
      </c>
      <c r="X82" s="224">
        <f>AVERAGE(W76:W81)</f>
        <v>1</v>
      </c>
      <c r="Y82" s="17"/>
      <c r="Z82" s="126"/>
      <c r="AA82" s="126"/>
      <c r="AB82" s="126"/>
      <c r="AC82" s="215" t="s">
        <v>55</v>
      </c>
      <c r="AD82" s="224">
        <f>AVERAGE(AC76:AC81)</f>
        <v>1</v>
      </c>
      <c r="AE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row>
    <row r="84">
      <c r="A84" s="17"/>
      <c r="B84" s="231"/>
      <c r="C84" s="232" t="s">
        <v>229</v>
      </c>
      <c r="F84" s="17"/>
      <c r="G84" s="17"/>
      <c r="H84" s="226"/>
      <c r="I84" s="233"/>
      <c r="L84" s="126"/>
      <c r="M84" s="17"/>
      <c r="N84" s="226"/>
      <c r="O84" s="233"/>
      <c r="R84" s="126"/>
      <c r="S84" s="17"/>
      <c r="T84" s="17"/>
      <c r="U84" s="17"/>
      <c r="V84" s="17"/>
      <c r="W84" s="17"/>
      <c r="X84" s="17"/>
      <c r="Y84" s="17"/>
      <c r="Z84" s="17"/>
      <c r="AA84" s="17"/>
      <c r="AB84" s="17"/>
      <c r="AC84" s="17"/>
      <c r="AD84" s="17"/>
      <c r="AE84" s="17"/>
    </row>
    <row r="85">
      <c r="A85" s="17"/>
      <c r="B85" s="226"/>
      <c r="C85" s="203" t="s">
        <v>230</v>
      </c>
      <c r="D85" s="11"/>
      <c r="E85" s="12"/>
      <c r="F85" s="126"/>
      <c r="G85" s="17"/>
      <c r="H85" s="226"/>
      <c r="I85" s="233"/>
      <c r="L85" s="126"/>
      <c r="M85" s="17"/>
      <c r="N85" s="226"/>
      <c r="O85" s="203" t="s">
        <v>231</v>
      </c>
      <c r="P85" s="11"/>
      <c r="Q85" s="12"/>
      <c r="R85" s="126"/>
      <c r="S85" s="17"/>
      <c r="T85" s="226"/>
      <c r="U85" s="203" t="s">
        <v>232</v>
      </c>
      <c r="V85" s="11"/>
      <c r="W85" s="12"/>
      <c r="X85" s="126"/>
      <c r="Y85" s="17"/>
      <c r="Z85" s="226"/>
      <c r="AA85" s="203" t="s">
        <v>232</v>
      </c>
      <c r="AB85" s="11"/>
      <c r="AC85" s="12"/>
      <c r="AD85" s="126"/>
      <c r="AE85" s="17"/>
    </row>
    <row r="86">
      <c r="A86" s="17"/>
      <c r="B86" s="226"/>
      <c r="C86" s="126"/>
      <c r="D86" s="126"/>
      <c r="E86" s="205" t="s">
        <v>210</v>
      </c>
      <c r="F86" s="126"/>
      <c r="G86" s="17"/>
      <c r="H86" s="226"/>
      <c r="I86" s="126"/>
      <c r="J86" s="126"/>
      <c r="K86" s="206"/>
      <c r="L86" s="126"/>
      <c r="M86" s="17"/>
      <c r="N86" s="226"/>
      <c r="O86" s="126"/>
      <c r="P86" s="126"/>
      <c r="Q86" s="206" t="s">
        <v>211</v>
      </c>
      <c r="R86" s="126"/>
      <c r="S86" s="17"/>
      <c r="T86" s="226"/>
      <c r="U86" s="126"/>
      <c r="V86" s="126"/>
      <c r="W86" s="206" t="s">
        <v>211</v>
      </c>
      <c r="X86" s="126"/>
      <c r="Y86" s="17"/>
      <c r="Z86" s="226"/>
      <c r="AA86" s="126"/>
      <c r="AB86" s="126"/>
      <c r="AC86" s="206" t="s">
        <v>211</v>
      </c>
      <c r="AD86" s="126"/>
      <c r="AE86" s="17"/>
    </row>
    <row r="87">
      <c r="A87" s="17"/>
      <c r="B87" s="227" t="s">
        <v>21</v>
      </c>
      <c r="C87" s="215" t="s">
        <v>212</v>
      </c>
      <c r="D87" s="215" t="s">
        <v>23</v>
      </c>
      <c r="E87" s="215" t="s">
        <v>24</v>
      </c>
      <c r="F87" s="215" t="s">
        <v>25</v>
      </c>
      <c r="G87" s="17"/>
      <c r="H87" s="234"/>
      <c r="I87" s="235"/>
      <c r="J87" s="235"/>
      <c r="K87" s="235"/>
      <c r="L87" s="235"/>
      <c r="M87" s="17"/>
      <c r="N87" s="236" t="s">
        <v>21</v>
      </c>
      <c r="O87" s="215" t="s">
        <v>212</v>
      </c>
      <c r="P87" s="215" t="s">
        <v>23</v>
      </c>
      <c r="Q87" s="215" t="s">
        <v>24</v>
      </c>
      <c r="R87" s="215" t="s">
        <v>25</v>
      </c>
      <c r="S87" s="17"/>
      <c r="T87" s="227" t="s">
        <v>21</v>
      </c>
      <c r="U87" s="215" t="s">
        <v>212</v>
      </c>
      <c r="V87" s="215" t="s">
        <v>23</v>
      </c>
      <c r="W87" s="215" t="s">
        <v>24</v>
      </c>
      <c r="X87" s="215" t="s">
        <v>25</v>
      </c>
      <c r="Y87" s="17"/>
      <c r="Z87" s="227" t="s">
        <v>21</v>
      </c>
      <c r="AA87" s="215" t="s">
        <v>212</v>
      </c>
      <c r="AB87" s="215" t="s">
        <v>23</v>
      </c>
      <c r="AC87" s="215" t="s">
        <v>24</v>
      </c>
      <c r="AD87" s="215" t="s">
        <v>25</v>
      </c>
      <c r="AE87" s="17"/>
    </row>
    <row r="88">
      <c r="A88" s="17"/>
      <c r="B88" s="210" t="s">
        <v>213</v>
      </c>
      <c r="C88" s="211" t="s">
        <v>28</v>
      </c>
      <c r="D88" s="228"/>
      <c r="E88" s="213">
        <v>0.0</v>
      </c>
      <c r="F88" s="228"/>
      <c r="G88" s="17"/>
      <c r="H88" s="237"/>
      <c r="I88" s="233"/>
      <c r="J88" s="126"/>
      <c r="K88" s="238"/>
      <c r="L88" s="126"/>
      <c r="M88" s="17"/>
      <c r="N88" s="239" t="s">
        <v>213</v>
      </c>
      <c r="O88" s="211" t="s">
        <v>28</v>
      </c>
      <c r="P88" s="228"/>
      <c r="Q88" s="213">
        <v>1.0</v>
      </c>
      <c r="R88" s="228"/>
      <c r="S88" s="17"/>
      <c r="T88" s="210" t="s">
        <v>213</v>
      </c>
      <c r="U88" s="211" t="s">
        <v>28</v>
      </c>
      <c r="V88" s="228"/>
      <c r="W88" s="213">
        <v>1.0</v>
      </c>
      <c r="X88" s="228"/>
      <c r="Y88" s="17"/>
      <c r="Z88" s="210" t="s">
        <v>213</v>
      </c>
      <c r="AA88" s="211" t="s">
        <v>28</v>
      </c>
      <c r="AB88" s="228"/>
      <c r="AC88" s="213">
        <v>1.0</v>
      </c>
      <c r="AD88" s="228"/>
      <c r="AE88" s="17"/>
    </row>
    <row r="89">
      <c r="A89" s="17"/>
      <c r="B89" s="214" t="s">
        <v>27</v>
      </c>
      <c r="C89" s="211" t="s">
        <v>28</v>
      </c>
      <c r="D89" s="215" t="s">
        <v>214</v>
      </c>
      <c r="E89" s="213">
        <v>0.0</v>
      </c>
      <c r="F89" s="215" t="str">
        <f t="shared" ref="F89:F93" si="17">IF(E89=1, "Bullish", IF(E89=-1, "Bearish", ""))</f>
        <v/>
      </c>
      <c r="G89" s="17"/>
      <c r="H89" s="240"/>
      <c r="I89" s="233"/>
      <c r="J89" s="235"/>
      <c r="K89" s="238"/>
      <c r="L89" s="235"/>
      <c r="M89" s="17"/>
      <c r="N89" s="241" t="s">
        <v>27</v>
      </c>
      <c r="O89" s="211" t="s">
        <v>28</v>
      </c>
      <c r="P89" s="215" t="s">
        <v>214</v>
      </c>
      <c r="Q89" s="213">
        <v>1.0</v>
      </c>
      <c r="R89" s="215" t="str">
        <f t="shared" ref="R89:R93" si="18">IF(Q89=1, "Bullish", IF(Q89=-1, "Bearish", ""))</f>
        <v>Bullish</v>
      </c>
      <c r="S89" s="17"/>
      <c r="T89" s="214" t="s">
        <v>27</v>
      </c>
      <c r="U89" s="211" t="s">
        <v>28</v>
      </c>
      <c r="V89" s="215" t="s">
        <v>214</v>
      </c>
      <c r="W89" s="213">
        <v>1.0</v>
      </c>
      <c r="X89" s="215" t="str">
        <f t="shared" ref="X89:X92" si="19">IF(W89=1, "Bullish", IF(W89=0, "Bearish", ""))</f>
        <v>Bullish</v>
      </c>
      <c r="Y89" s="17"/>
      <c r="Z89" s="214" t="s">
        <v>27</v>
      </c>
      <c r="AA89" s="211" t="s">
        <v>28</v>
      </c>
      <c r="AB89" s="215" t="s">
        <v>214</v>
      </c>
      <c r="AC89" s="213">
        <v>1.0</v>
      </c>
      <c r="AD89" s="215" t="str">
        <f t="shared" ref="AD89:AD92" si="20">IF(AC89=1, "Bullish", IF(AC89=0, "Bearish", ""))</f>
        <v>Bullish</v>
      </c>
      <c r="AE89" s="17"/>
    </row>
    <row r="90">
      <c r="A90" s="17"/>
      <c r="B90" s="214" t="s">
        <v>215</v>
      </c>
      <c r="C90" s="211" t="s">
        <v>28</v>
      </c>
      <c r="D90" s="215" t="s">
        <v>216</v>
      </c>
      <c r="E90" s="213">
        <v>0.0</v>
      </c>
      <c r="F90" s="215" t="str">
        <f t="shared" si="17"/>
        <v/>
      </c>
      <c r="G90" s="17"/>
      <c r="H90" s="240"/>
      <c r="I90" s="233"/>
      <c r="J90" s="235"/>
      <c r="K90" s="238"/>
      <c r="L90" s="235"/>
      <c r="M90" s="17"/>
      <c r="N90" s="241" t="s">
        <v>215</v>
      </c>
      <c r="O90" s="211" t="s">
        <v>28</v>
      </c>
      <c r="P90" s="215" t="s">
        <v>216</v>
      </c>
      <c r="Q90" s="213">
        <v>1.0</v>
      </c>
      <c r="R90" s="215" t="str">
        <f t="shared" si="18"/>
        <v>Bullish</v>
      </c>
      <c r="S90" s="17"/>
      <c r="T90" s="214" t="s">
        <v>215</v>
      </c>
      <c r="U90" s="211" t="s">
        <v>28</v>
      </c>
      <c r="V90" s="215" t="s">
        <v>216</v>
      </c>
      <c r="W90" s="213">
        <v>1.0</v>
      </c>
      <c r="X90" s="215" t="str">
        <f t="shared" si="19"/>
        <v>Bullish</v>
      </c>
      <c r="Y90" s="17"/>
      <c r="Z90" s="214" t="s">
        <v>215</v>
      </c>
      <c r="AA90" s="211" t="s">
        <v>28</v>
      </c>
      <c r="AB90" s="215" t="s">
        <v>216</v>
      </c>
      <c r="AC90" s="213">
        <v>1.0</v>
      </c>
      <c r="AD90" s="215" t="str">
        <f t="shared" si="20"/>
        <v>Bullish</v>
      </c>
      <c r="AE90" s="17"/>
    </row>
    <row r="91">
      <c r="A91" s="17"/>
      <c r="B91" s="214" t="s">
        <v>217</v>
      </c>
      <c r="C91" s="211" t="s">
        <v>28</v>
      </c>
      <c r="D91" s="215" t="s">
        <v>218</v>
      </c>
      <c r="E91" s="213">
        <v>0.0</v>
      </c>
      <c r="F91" s="215" t="str">
        <f t="shared" si="17"/>
        <v/>
      </c>
      <c r="G91" s="17"/>
      <c r="H91" s="240"/>
      <c r="I91" s="233"/>
      <c r="J91" s="235"/>
      <c r="K91" s="238"/>
      <c r="L91" s="235"/>
      <c r="M91" s="17"/>
      <c r="N91" s="241" t="s">
        <v>217</v>
      </c>
      <c r="O91" s="211" t="s">
        <v>28</v>
      </c>
      <c r="P91" s="215" t="s">
        <v>218</v>
      </c>
      <c r="Q91" s="213">
        <v>1.0</v>
      </c>
      <c r="R91" s="215" t="str">
        <f t="shared" si="18"/>
        <v>Bullish</v>
      </c>
      <c r="S91" s="17"/>
      <c r="T91" s="214" t="s">
        <v>217</v>
      </c>
      <c r="U91" s="211" t="s">
        <v>28</v>
      </c>
      <c r="V91" s="215" t="s">
        <v>218</v>
      </c>
      <c r="W91" s="213">
        <v>1.0</v>
      </c>
      <c r="X91" s="215" t="str">
        <f t="shared" si="19"/>
        <v>Bullish</v>
      </c>
      <c r="Y91" s="17"/>
      <c r="Z91" s="214" t="s">
        <v>217</v>
      </c>
      <c r="AA91" s="211" t="s">
        <v>28</v>
      </c>
      <c r="AB91" s="215" t="s">
        <v>218</v>
      </c>
      <c r="AC91" s="213">
        <v>1.0</v>
      </c>
      <c r="AD91" s="215" t="str">
        <f t="shared" si="20"/>
        <v>Bullish</v>
      </c>
      <c r="AE91" s="17"/>
    </row>
    <row r="92">
      <c r="A92" s="17"/>
      <c r="B92" s="217" t="s">
        <v>219</v>
      </c>
      <c r="C92" s="211" t="s">
        <v>28</v>
      </c>
      <c r="D92" s="215" t="s">
        <v>220</v>
      </c>
      <c r="E92" s="213">
        <v>0.0</v>
      </c>
      <c r="F92" s="215" t="str">
        <f t="shared" si="17"/>
        <v/>
      </c>
      <c r="G92" s="17"/>
      <c r="H92" s="240"/>
      <c r="I92" s="233"/>
      <c r="J92" s="235"/>
      <c r="K92" s="238"/>
      <c r="L92" s="235"/>
      <c r="M92" s="17"/>
      <c r="N92" s="242" t="s">
        <v>219</v>
      </c>
      <c r="O92" s="211" t="s">
        <v>28</v>
      </c>
      <c r="P92" s="218" t="s">
        <v>220</v>
      </c>
      <c r="Q92" s="219">
        <v>1.0</v>
      </c>
      <c r="R92" s="218" t="str">
        <f t="shared" si="18"/>
        <v>Bullish</v>
      </c>
      <c r="S92" s="17"/>
      <c r="T92" s="217" t="s">
        <v>219</v>
      </c>
      <c r="U92" s="211" t="s">
        <v>28</v>
      </c>
      <c r="V92" s="215" t="s">
        <v>220</v>
      </c>
      <c r="W92" s="213">
        <v>1.0</v>
      </c>
      <c r="X92" s="215" t="str">
        <f t="shared" si="19"/>
        <v>Bullish</v>
      </c>
      <c r="Y92" s="17"/>
      <c r="Z92" s="217" t="s">
        <v>219</v>
      </c>
      <c r="AA92" s="211" t="s">
        <v>28</v>
      </c>
      <c r="AB92" s="215" t="s">
        <v>220</v>
      </c>
      <c r="AC92" s="213">
        <v>1.0</v>
      </c>
      <c r="AD92" s="215" t="str">
        <f t="shared" si="20"/>
        <v>Bullish</v>
      </c>
      <c r="AE92" s="17"/>
    </row>
    <row r="93">
      <c r="A93" s="17"/>
      <c r="B93" s="220"/>
      <c r="C93" s="211"/>
      <c r="D93" s="228"/>
      <c r="E93" s="213"/>
      <c r="F93" s="215" t="str">
        <f t="shared" si="17"/>
        <v/>
      </c>
      <c r="G93" s="17"/>
      <c r="H93" s="243"/>
      <c r="I93" s="233"/>
      <c r="J93" s="126"/>
      <c r="K93" s="238"/>
      <c r="L93" s="235"/>
      <c r="M93" s="17"/>
      <c r="N93" s="244"/>
      <c r="O93" s="203"/>
      <c r="P93" s="228"/>
      <c r="Q93" s="219"/>
      <c r="R93" s="215" t="str">
        <f t="shared" si="18"/>
        <v/>
      </c>
      <c r="S93" s="17"/>
      <c r="T93" s="220"/>
      <c r="U93" s="211"/>
      <c r="V93" s="228"/>
      <c r="W93" s="213"/>
      <c r="X93" s="215" t="str">
        <f>IF(W93=1, "Bullish", IF(W93=-1, "Bearish", ""))</f>
        <v/>
      </c>
      <c r="Y93" s="17"/>
      <c r="Z93" s="220"/>
      <c r="AA93" s="211"/>
      <c r="AB93" s="228"/>
      <c r="AC93" s="213"/>
      <c r="AD93" s="215" t="str">
        <f>IF(AC93=1, "Bullish", IF(AC93=-1, "Bearish", ""))</f>
        <v/>
      </c>
      <c r="AE93" s="17"/>
    </row>
    <row r="94">
      <c r="A94" s="17"/>
      <c r="B94" s="126"/>
      <c r="C94" s="126"/>
      <c r="D94" s="126"/>
      <c r="E94" s="215" t="s">
        <v>55</v>
      </c>
      <c r="F94" s="224">
        <f>AVERAGE(E88:E93)</f>
        <v>0</v>
      </c>
      <c r="G94" s="17"/>
      <c r="H94" s="126"/>
      <c r="I94" s="126"/>
      <c r="J94" s="126"/>
      <c r="K94" s="235"/>
      <c r="L94" s="245"/>
      <c r="M94" s="17"/>
      <c r="N94" s="126"/>
      <c r="O94" s="126"/>
      <c r="P94" s="126"/>
      <c r="Q94" s="230" t="s">
        <v>55</v>
      </c>
      <c r="R94" s="222">
        <f>AVERAGE(Q88:Q93)</f>
        <v>1</v>
      </c>
      <c r="S94" s="17"/>
      <c r="T94" s="126"/>
      <c r="U94" s="126"/>
      <c r="V94" s="126"/>
      <c r="W94" s="215" t="s">
        <v>55</v>
      </c>
      <c r="X94" s="224">
        <f>AVERAGE(W88:W93)</f>
        <v>1</v>
      </c>
      <c r="Y94" s="17"/>
      <c r="Z94" s="126"/>
      <c r="AA94" s="126"/>
      <c r="AB94" s="126"/>
      <c r="AC94" s="215" t="s">
        <v>55</v>
      </c>
      <c r="AD94" s="224">
        <f>AVERAGE(AC88:AC93)</f>
        <v>1</v>
      </c>
      <c r="AE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row>
  </sheetData>
  <mergeCells count="24">
    <mergeCell ref="U62:W62"/>
    <mergeCell ref="AA62:AC62"/>
    <mergeCell ref="A1:G1"/>
    <mergeCell ref="C51:E51"/>
    <mergeCell ref="I51:K51"/>
    <mergeCell ref="O51:Q51"/>
    <mergeCell ref="U51:W51"/>
    <mergeCell ref="AA51:AC51"/>
    <mergeCell ref="C62:E62"/>
    <mergeCell ref="C84:E84"/>
    <mergeCell ref="I84:K84"/>
    <mergeCell ref="O84:Q84"/>
    <mergeCell ref="C85:E85"/>
    <mergeCell ref="I85:K85"/>
    <mergeCell ref="O85:Q85"/>
    <mergeCell ref="U85:W85"/>
    <mergeCell ref="AA85:AC85"/>
    <mergeCell ref="I62:K62"/>
    <mergeCell ref="O62:Q62"/>
    <mergeCell ref="C73:E73"/>
    <mergeCell ref="I73:K73"/>
    <mergeCell ref="O73:Q73"/>
    <mergeCell ref="U73:W73"/>
    <mergeCell ref="AA73:AC7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s>
  <sheetData>
    <row r="1">
      <c r="A1" s="32"/>
      <c r="B1" s="32"/>
      <c r="C1" s="32"/>
      <c r="D1" s="32"/>
      <c r="E1" s="32"/>
      <c r="F1" s="32"/>
      <c r="G1" s="32"/>
      <c r="H1" s="32"/>
      <c r="I1" s="32"/>
      <c r="J1" s="32"/>
      <c r="K1" s="32"/>
      <c r="L1" s="32"/>
      <c r="M1" s="32"/>
      <c r="N1" s="32"/>
      <c r="O1" s="32"/>
      <c r="P1" s="32"/>
      <c r="Q1" s="32"/>
      <c r="R1" s="32"/>
      <c r="S1" s="32"/>
      <c r="T1" s="32"/>
      <c r="U1" s="32"/>
      <c r="V1" s="32"/>
      <c r="W1" s="32"/>
      <c r="X1" s="32"/>
      <c r="Y1" s="32"/>
      <c r="Z1" s="32"/>
    </row>
    <row r="2">
      <c r="A2" s="32"/>
      <c r="B2" s="32"/>
      <c r="C2" s="32"/>
      <c r="D2" s="32"/>
      <c r="E2" s="32"/>
      <c r="F2" s="32"/>
      <c r="G2" s="32"/>
      <c r="H2" s="32"/>
      <c r="I2" s="32"/>
      <c r="J2" s="32"/>
      <c r="K2" s="32"/>
      <c r="L2" s="32"/>
      <c r="M2" s="32"/>
      <c r="N2" s="32"/>
      <c r="O2" s="32"/>
      <c r="P2" s="32"/>
      <c r="Q2" s="32"/>
      <c r="R2" s="32"/>
      <c r="S2" s="32"/>
      <c r="T2" s="32"/>
      <c r="U2" s="32"/>
      <c r="V2" s="32"/>
      <c r="W2" s="32"/>
      <c r="X2" s="32"/>
      <c r="Y2" s="32"/>
      <c r="Z2" s="32"/>
    </row>
    <row r="3">
      <c r="A3" s="32"/>
      <c r="B3" s="246" t="s">
        <v>34</v>
      </c>
      <c r="C3" s="246">
        <v>1.0</v>
      </c>
      <c r="D3" s="32"/>
      <c r="E3" s="32"/>
      <c r="F3" s="32"/>
      <c r="G3" s="32"/>
      <c r="H3" s="32"/>
      <c r="I3" s="32"/>
      <c r="J3" s="32"/>
      <c r="K3" s="32"/>
      <c r="L3" s="32"/>
      <c r="M3" s="32"/>
      <c r="N3" s="32"/>
      <c r="O3" s="32"/>
      <c r="P3" s="32"/>
      <c r="Q3" s="32"/>
      <c r="R3" s="32"/>
      <c r="S3" s="32"/>
      <c r="T3" s="32"/>
      <c r="U3" s="32"/>
      <c r="V3" s="32"/>
      <c r="W3" s="32"/>
      <c r="X3" s="32"/>
      <c r="Y3" s="32"/>
      <c r="Z3" s="32"/>
    </row>
    <row r="4">
      <c r="A4" s="32"/>
      <c r="B4" s="246" t="s">
        <v>27</v>
      </c>
      <c r="C4" s="246">
        <v>1.0</v>
      </c>
      <c r="D4" s="32"/>
      <c r="E4" s="32"/>
      <c r="F4" s="32"/>
      <c r="G4" s="32"/>
      <c r="H4" s="32"/>
      <c r="I4" s="32"/>
      <c r="J4" s="32"/>
      <c r="K4" s="32"/>
      <c r="L4" s="32"/>
      <c r="M4" s="32"/>
      <c r="N4" s="32"/>
      <c r="O4" s="32"/>
      <c r="P4" s="32"/>
      <c r="Q4" s="32"/>
      <c r="R4" s="32"/>
      <c r="S4" s="32"/>
      <c r="T4" s="32"/>
      <c r="U4" s="32"/>
      <c r="V4" s="32"/>
      <c r="W4" s="32"/>
      <c r="X4" s="32"/>
      <c r="Y4" s="32"/>
      <c r="Z4" s="32"/>
    </row>
    <row r="5">
      <c r="A5" s="32"/>
      <c r="B5" s="246" t="s">
        <v>233</v>
      </c>
      <c r="C5" s="246">
        <v>1.0</v>
      </c>
      <c r="D5" s="32"/>
      <c r="E5" s="32"/>
      <c r="F5" s="32"/>
      <c r="G5" s="32"/>
      <c r="H5" s="32"/>
      <c r="I5" s="32"/>
      <c r="J5" s="32"/>
      <c r="K5" s="32"/>
      <c r="L5" s="32"/>
      <c r="M5" s="32"/>
      <c r="N5" s="32"/>
      <c r="O5" s="32"/>
      <c r="P5" s="32"/>
      <c r="Q5" s="32"/>
      <c r="R5" s="32"/>
      <c r="S5" s="32"/>
      <c r="T5" s="32"/>
      <c r="U5" s="32"/>
      <c r="V5" s="32"/>
      <c r="W5" s="32"/>
      <c r="X5" s="32"/>
      <c r="Y5" s="32"/>
      <c r="Z5" s="32"/>
    </row>
    <row r="6">
      <c r="A6" s="32"/>
      <c r="B6" s="246" t="s">
        <v>234</v>
      </c>
      <c r="C6" s="246">
        <v>1.0</v>
      </c>
      <c r="D6" s="32"/>
      <c r="E6" s="32"/>
      <c r="F6" s="32"/>
      <c r="G6" s="32"/>
      <c r="H6" s="32"/>
      <c r="I6" s="32"/>
      <c r="J6" s="32"/>
      <c r="K6" s="32"/>
      <c r="L6" s="32"/>
      <c r="M6" s="32"/>
      <c r="N6" s="32"/>
      <c r="O6" s="32"/>
      <c r="P6" s="32"/>
      <c r="Q6" s="32"/>
      <c r="R6" s="32"/>
      <c r="S6" s="32"/>
      <c r="T6" s="32"/>
      <c r="U6" s="32"/>
      <c r="V6" s="32"/>
      <c r="W6" s="32"/>
      <c r="X6" s="32"/>
      <c r="Y6" s="32"/>
      <c r="Z6" s="32"/>
    </row>
    <row r="7">
      <c r="A7" s="32"/>
      <c r="B7" s="246" t="s">
        <v>235</v>
      </c>
      <c r="C7" s="247">
        <v>-1.0</v>
      </c>
      <c r="D7" s="32"/>
      <c r="E7" s="32"/>
      <c r="F7" s="32"/>
      <c r="G7" s="32"/>
      <c r="H7" s="32"/>
      <c r="I7" s="32"/>
      <c r="J7" s="32"/>
      <c r="K7" s="32"/>
      <c r="L7" s="32"/>
      <c r="M7" s="32"/>
      <c r="N7" s="32"/>
      <c r="O7" s="32"/>
      <c r="P7" s="32"/>
      <c r="Q7" s="32"/>
      <c r="R7" s="32"/>
      <c r="S7" s="32"/>
      <c r="T7" s="32"/>
      <c r="U7" s="32"/>
      <c r="V7" s="32"/>
      <c r="W7" s="32"/>
      <c r="X7" s="32"/>
      <c r="Y7" s="32"/>
      <c r="Z7" s="32"/>
    </row>
    <row r="8">
      <c r="A8" s="32"/>
      <c r="B8" s="248"/>
      <c r="C8" s="248"/>
      <c r="D8" s="32"/>
      <c r="E8" s="32"/>
      <c r="F8" s="32"/>
      <c r="G8" s="32"/>
      <c r="H8" s="32"/>
      <c r="I8" s="32"/>
      <c r="J8" s="32"/>
      <c r="K8" s="32"/>
      <c r="L8" s="32"/>
      <c r="M8" s="32"/>
      <c r="N8" s="32"/>
      <c r="O8" s="32"/>
      <c r="P8" s="32"/>
      <c r="Q8" s="32"/>
      <c r="R8" s="32"/>
      <c r="S8" s="32"/>
      <c r="T8" s="32"/>
      <c r="U8" s="32"/>
      <c r="V8" s="32"/>
      <c r="W8" s="32"/>
      <c r="X8" s="32"/>
      <c r="Y8" s="32"/>
      <c r="Z8" s="32"/>
    </row>
    <row r="9">
      <c r="A9" s="32"/>
      <c r="B9" s="32"/>
      <c r="C9" s="32"/>
      <c r="D9" s="32"/>
      <c r="E9" s="32"/>
      <c r="F9" s="32"/>
      <c r="G9" s="32"/>
      <c r="H9" s="32"/>
      <c r="I9" s="32"/>
      <c r="J9" s="32"/>
      <c r="K9" s="32"/>
      <c r="L9" s="32"/>
      <c r="M9" s="32"/>
      <c r="N9" s="32"/>
      <c r="O9" s="32"/>
      <c r="P9" s="32"/>
      <c r="Q9" s="32"/>
      <c r="R9" s="32"/>
      <c r="S9" s="32"/>
      <c r="T9" s="32"/>
      <c r="U9" s="32"/>
      <c r="V9" s="32"/>
      <c r="W9" s="32"/>
      <c r="X9" s="32"/>
      <c r="Y9" s="32"/>
      <c r="Z9" s="32"/>
    </row>
    <row r="10">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246" t="s">
        <v>236</v>
      </c>
      <c r="C11" s="248">
        <f>AVERAGE(C3:C7)</f>
        <v>0.6</v>
      </c>
      <c r="D11" s="32"/>
      <c r="E11" s="32"/>
      <c r="F11" s="32"/>
      <c r="G11" s="32"/>
      <c r="H11" s="32"/>
      <c r="I11" s="32"/>
      <c r="J11" s="32"/>
      <c r="K11" s="32"/>
      <c r="L11" s="32"/>
      <c r="M11" s="32"/>
      <c r="N11" s="32"/>
      <c r="O11" s="32"/>
      <c r="P11" s="32"/>
      <c r="Q11" s="32"/>
      <c r="R11" s="32"/>
      <c r="S11" s="32"/>
      <c r="T11" s="32"/>
      <c r="U11" s="32"/>
      <c r="V11" s="32"/>
      <c r="W11" s="32"/>
      <c r="X11" s="32"/>
      <c r="Y11" s="32"/>
      <c r="Z11" s="32"/>
    </row>
    <row r="12">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3" max="3" width="36.13"/>
    <col customWidth="1" min="6" max="6" width="24.75"/>
    <col customWidth="1" min="8" max="8" width="12.75"/>
  </cols>
  <sheetData>
    <row r="1">
      <c r="A1" s="249"/>
      <c r="B1" s="249"/>
      <c r="C1" s="249"/>
      <c r="D1" s="249"/>
      <c r="E1" s="249"/>
      <c r="F1" s="249"/>
      <c r="G1" s="249"/>
      <c r="H1" s="249"/>
      <c r="I1" s="249"/>
      <c r="J1" s="249"/>
      <c r="K1" s="249"/>
      <c r="L1" s="249"/>
      <c r="M1" s="249"/>
      <c r="N1" s="249"/>
      <c r="O1" s="249"/>
      <c r="P1" s="249"/>
      <c r="Q1" s="249"/>
      <c r="R1" s="249"/>
      <c r="S1" s="249"/>
      <c r="T1" s="249"/>
      <c r="U1" s="249"/>
      <c r="V1" s="249"/>
      <c r="W1" s="249"/>
      <c r="X1" s="249"/>
      <c r="Y1" s="249"/>
      <c r="Z1" s="249"/>
      <c r="AA1" s="249"/>
    </row>
    <row r="2">
      <c r="A2" s="250" t="s">
        <v>237</v>
      </c>
      <c r="B2" s="249"/>
      <c r="C2" s="249"/>
      <c r="D2" s="249"/>
      <c r="E2" s="249"/>
      <c r="F2" s="251" t="s">
        <v>238</v>
      </c>
      <c r="G2" s="252"/>
      <c r="H2" s="252"/>
      <c r="I2" s="251" t="s">
        <v>24</v>
      </c>
      <c r="J2" s="249"/>
      <c r="K2" s="249"/>
      <c r="L2" s="249"/>
      <c r="M2" s="249"/>
      <c r="N2" s="249"/>
      <c r="O2" s="249"/>
      <c r="P2" s="249"/>
      <c r="Q2" s="249"/>
      <c r="R2" s="249"/>
      <c r="S2" s="249"/>
      <c r="T2" s="249"/>
      <c r="U2" s="249"/>
      <c r="V2" s="249"/>
      <c r="W2" s="249"/>
      <c r="X2" s="249"/>
      <c r="Y2" s="249"/>
      <c r="Z2" s="249"/>
      <c r="AA2" s="249"/>
    </row>
    <row r="3">
      <c r="A3" s="249"/>
      <c r="B3" s="252" t="s">
        <v>24</v>
      </c>
      <c r="C3" s="253" t="s">
        <v>23</v>
      </c>
      <c r="D3" s="249"/>
      <c r="E3" s="249"/>
      <c r="F3" s="254" t="s">
        <v>239</v>
      </c>
      <c r="G3" s="255" t="str">
        <f t="shared" ref="G3:G7" si="1">ifs(L3&lt;=-0.5,"Bearish",AND(L3&lt;0,L3&gt;-0.5),"Slight Bear",L3=0,"Neutral",AND(0&lt;L3,L3&lt;0.5),"Slight Bull",L3&gt;=0.5,"Bullish")</f>
        <v>Neutral</v>
      </c>
      <c r="H3" s="256" t="s">
        <v>165</v>
      </c>
      <c r="I3" s="250">
        <v>1.0</v>
      </c>
      <c r="J3" s="249"/>
      <c r="K3" s="249"/>
      <c r="L3" s="249"/>
      <c r="M3" s="249"/>
      <c r="N3" s="249"/>
      <c r="O3" s="249"/>
      <c r="P3" s="249"/>
      <c r="Q3" s="249"/>
      <c r="R3" s="249"/>
      <c r="S3" s="249"/>
      <c r="T3" s="249"/>
      <c r="U3" s="249"/>
      <c r="V3" s="249"/>
      <c r="W3" s="249"/>
      <c r="X3" s="249"/>
      <c r="Y3" s="249"/>
      <c r="Z3" s="249"/>
      <c r="AA3" s="249"/>
    </row>
    <row r="4">
      <c r="A4" s="250" t="s">
        <v>240</v>
      </c>
      <c r="B4" s="257">
        <v>-1.0</v>
      </c>
      <c r="C4" s="258"/>
      <c r="D4" s="249"/>
      <c r="E4" s="249"/>
      <c r="F4" s="254" t="s">
        <v>241</v>
      </c>
      <c r="G4" s="255" t="str">
        <f t="shared" si="1"/>
        <v>Neutral</v>
      </c>
      <c r="H4" s="256" t="s">
        <v>168</v>
      </c>
      <c r="I4" s="250">
        <v>1.0</v>
      </c>
      <c r="J4" s="249"/>
      <c r="K4" s="249"/>
      <c r="L4" s="249"/>
      <c r="M4" s="249"/>
      <c r="N4" s="249"/>
      <c r="O4" s="249"/>
      <c r="P4" s="249"/>
      <c r="Q4" s="249"/>
      <c r="R4" s="249"/>
      <c r="S4" s="249"/>
      <c r="T4" s="249"/>
      <c r="U4" s="249"/>
      <c r="V4" s="249"/>
      <c r="W4" s="249"/>
      <c r="X4" s="249"/>
      <c r="Y4" s="249"/>
      <c r="Z4" s="249"/>
      <c r="AA4" s="249"/>
    </row>
    <row r="5">
      <c r="A5" s="258" t="s">
        <v>215</v>
      </c>
      <c r="B5" s="257">
        <v>1.0</v>
      </c>
      <c r="C5" s="258" t="s">
        <v>242</v>
      </c>
      <c r="D5" s="249"/>
      <c r="E5" s="249"/>
      <c r="F5" s="254" t="s">
        <v>243</v>
      </c>
      <c r="G5" s="259" t="str">
        <f t="shared" si="1"/>
        <v>Neutral</v>
      </c>
      <c r="H5" s="256" t="s">
        <v>170</v>
      </c>
      <c r="I5" s="250">
        <v>1.0</v>
      </c>
      <c r="J5" s="249"/>
      <c r="K5" s="249"/>
      <c r="L5" s="249"/>
      <c r="M5" s="249"/>
      <c r="N5" s="249"/>
      <c r="O5" s="249"/>
      <c r="P5" s="249"/>
      <c r="Q5" s="249"/>
      <c r="R5" s="249"/>
      <c r="S5" s="249"/>
      <c r="T5" s="249"/>
      <c r="U5" s="249"/>
      <c r="V5" s="249"/>
      <c r="W5" s="249"/>
      <c r="X5" s="249"/>
      <c r="Y5" s="249"/>
      <c r="Z5" s="249"/>
      <c r="AA5" s="249"/>
    </row>
    <row r="6">
      <c r="A6" s="258" t="s">
        <v>234</v>
      </c>
      <c r="B6" s="257">
        <v>1.0</v>
      </c>
      <c r="C6" s="258" t="s">
        <v>244</v>
      </c>
      <c r="D6" s="249"/>
      <c r="E6" s="249"/>
      <c r="F6" s="254" t="s">
        <v>245</v>
      </c>
      <c r="G6" s="255" t="str">
        <f t="shared" si="1"/>
        <v>Neutral</v>
      </c>
      <c r="H6" s="256" t="s">
        <v>172</v>
      </c>
      <c r="I6" s="250">
        <v>1.0</v>
      </c>
      <c r="J6" s="249"/>
      <c r="K6" s="249"/>
      <c r="L6" s="249"/>
      <c r="M6" s="249"/>
      <c r="N6" s="249"/>
      <c r="O6" s="249"/>
      <c r="P6" s="249"/>
      <c r="Q6" s="249"/>
      <c r="R6" s="249"/>
      <c r="S6" s="249"/>
      <c r="T6" s="249"/>
      <c r="U6" s="249"/>
      <c r="V6" s="249"/>
      <c r="W6" s="249"/>
      <c r="X6" s="249"/>
      <c r="Y6" s="249"/>
      <c r="Z6" s="249"/>
      <c r="AA6" s="249"/>
    </row>
    <row r="7">
      <c r="A7" s="258" t="s">
        <v>233</v>
      </c>
      <c r="B7" s="257">
        <v>1.0</v>
      </c>
      <c r="C7" s="258" t="s">
        <v>246</v>
      </c>
      <c r="D7" s="249"/>
      <c r="E7" s="249"/>
      <c r="F7" s="254" t="s">
        <v>247</v>
      </c>
      <c r="G7" s="255" t="str">
        <f t="shared" si="1"/>
        <v>Neutral</v>
      </c>
      <c r="H7" s="256" t="s">
        <v>174</v>
      </c>
      <c r="I7" s="250">
        <v>1.0</v>
      </c>
      <c r="J7" s="249"/>
      <c r="K7" s="249"/>
      <c r="L7" s="249"/>
      <c r="M7" s="249"/>
      <c r="N7" s="249"/>
      <c r="O7" s="249"/>
      <c r="P7" s="249"/>
      <c r="Q7" s="249"/>
      <c r="R7" s="249"/>
      <c r="S7" s="249"/>
      <c r="T7" s="249"/>
      <c r="U7" s="249"/>
      <c r="V7" s="249"/>
      <c r="W7" s="249"/>
      <c r="X7" s="249"/>
      <c r="Y7" s="249"/>
      <c r="Z7" s="249"/>
      <c r="AA7" s="249"/>
    </row>
    <row r="8">
      <c r="A8" s="250" t="s">
        <v>248</v>
      </c>
      <c r="B8" s="257">
        <v>-1.0</v>
      </c>
      <c r="C8" s="250"/>
      <c r="D8" s="249"/>
      <c r="E8" s="249"/>
      <c r="F8" s="250"/>
      <c r="G8" s="260"/>
      <c r="H8" s="261"/>
      <c r="I8" s="250"/>
      <c r="J8" s="249"/>
      <c r="K8" s="249"/>
      <c r="L8" s="249"/>
      <c r="M8" s="249"/>
      <c r="N8" s="249"/>
      <c r="O8" s="249"/>
      <c r="P8" s="249"/>
      <c r="Q8" s="249"/>
      <c r="R8" s="249"/>
      <c r="S8" s="249"/>
      <c r="T8" s="249"/>
      <c r="U8" s="249"/>
      <c r="V8" s="249"/>
      <c r="W8" s="249"/>
      <c r="X8" s="249"/>
      <c r="Y8" s="249"/>
      <c r="Z8" s="249"/>
      <c r="AA8" s="249"/>
    </row>
    <row r="9">
      <c r="A9" s="250" t="s">
        <v>249</v>
      </c>
      <c r="B9" s="257">
        <v>-1.0</v>
      </c>
      <c r="C9" s="250"/>
      <c r="D9" s="249"/>
      <c r="E9" s="249"/>
      <c r="F9" s="250" t="s">
        <v>250</v>
      </c>
      <c r="G9" s="260" t="s">
        <v>251</v>
      </c>
      <c r="H9" s="261" t="s">
        <v>252</v>
      </c>
      <c r="I9" s="250">
        <v>1.0</v>
      </c>
      <c r="J9" s="249"/>
      <c r="K9" s="249"/>
      <c r="L9" s="249"/>
      <c r="M9" s="249"/>
      <c r="N9" s="249"/>
      <c r="O9" s="249"/>
      <c r="P9" s="249"/>
      <c r="Q9" s="249"/>
      <c r="R9" s="249"/>
      <c r="S9" s="249"/>
      <c r="T9" s="249"/>
      <c r="U9" s="249"/>
      <c r="V9" s="249"/>
      <c r="W9" s="249"/>
      <c r="X9" s="249"/>
      <c r="Y9" s="249"/>
      <c r="Z9" s="249"/>
      <c r="AA9" s="249"/>
    </row>
    <row r="10">
      <c r="A10" s="251" t="s">
        <v>235</v>
      </c>
      <c r="B10" s="257">
        <v>1.0</v>
      </c>
      <c r="C10" s="251"/>
      <c r="D10" s="249"/>
      <c r="E10" s="249"/>
      <c r="F10" s="262"/>
      <c r="G10" s="263"/>
      <c r="H10" s="264"/>
      <c r="I10" s="249"/>
      <c r="J10" s="249"/>
      <c r="K10" s="249"/>
      <c r="L10" s="249"/>
      <c r="M10" s="249"/>
      <c r="N10" s="249"/>
      <c r="O10" s="249"/>
      <c r="P10" s="249"/>
      <c r="Q10" s="249"/>
      <c r="R10" s="249"/>
      <c r="S10" s="249"/>
      <c r="T10" s="249"/>
      <c r="U10" s="249"/>
      <c r="V10" s="249"/>
      <c r="W10" s="249"/>
      <c r="X10" s="249"/>
      <c r="Y10" s="249"/>
      <c r="Z10" s="249"/>
      <c r="AA10" s="249"/>
    </row>
    <row r="11">
      <c r="A11" s="250" t="s">
        <v>253</v>
      </c>
      <c r="B11" s="265">
        <v>-1.0</v>
      </c>
      <c r="C11" s="266"/>
      <c r="D11" s="249"/>
      <c r="E11" s="249"/>
      <c r="F11" s="262"/>
      <c r="G11" s="267"/>
      <c r="H11" s="264"/>
      <c r="I11" s="249"/>
      <c r="J11" s="249"/>
      <c r="K11" s="249"/>
      <c r="L11" s="249"/>
      <c r="M11" s="249"/>
      <c r="N11" s="249"/>
      <c r="O11" s="249"/>
      <c r="P11" s="249"/>
      <c r="Q11" s="249"/>
      <c r="R11" s="249"/>
      <c r="S11" s="249"/>
      <c r="T11" s="249"/>
      <c r="U11" s="249"/>
      <c r="V11" s="249"/>
      <c r="W11" s="249"/>
      <c r="X11" s="249"/>
      <c r="Y11" s="249"/>
      <c r="Z11" s="249"/>
      <c r="AA11" s="249"/>
    </row>
    <row r="12">
      <c r="A12" s="250" t="s">
        <v>254</v>
      </c>
      <c r="B12" s="268">
        <v>-1.0</v>
      </c>
      <c r="C12" s="249"/>
      <c r="D12" s="249"/>
      <c r="E12" s="249"/>
      <c r="F12" s="262"/>
      <c r="G12" s="267"/>
      <c r="H12" s="264"/>
      <c r="I12" s="249"/>
      <c r="J12" s="249"/>
      <c r="K12" s="249"/>
      <c r="L12" s="249"/>
      <c r="M12" s="249"/>
      <c r="N12" s="249"/>
      <c r="O12" s="249"/>
      <c r="P12" s="249"/>
      <c r="Q12" s="249"/>
      <c r="R12" s="249"/>
      <c r="S12" s="249"/>
      <c r="T12" s="249"/>
      <c r="U12" s="249"/>
      <c r="V12" s="249"/>
      <c r="W12" s="249"/>
      <c r="X12" s="249"/>
      <c r="Y12" s="249"/>
      <c r="Z12" s="249"/>
      <c r="AA12" s="249"/>
    </row>
    <row r="13">
      <c r="A13" s="251" t="s">
        <v>213</v>
      </c>
      <c r="B13" s="269">
        <v>1.0</v>
      </c>
      <c r="C13" s="249"/>
      <c r="D13" s="249"/>
      <c r="E13" s="249"/>
      <c r="F13" s="262"/>
      <c r="G13" s="263"/>
      <c r="H13" s="264"/>
      <c r="I13" s="249"/>
      <c r="J13" s="249"/>
      <c r="K13" s="249"/>
      <c r="L13" s="249"/>
      <c r="M13" s="249"/>
      <c r="N13" s="249"/>
      <c r="O13" s="249"/>
      <c r="P13" s="249"/>
      <c r="Q13" s="249"/>
      <c r="R13" s="249"/>
      <c r="S13" s="249"/>
      <c r="T13" s="249"/>
      <c r="U13" s="249"/>
      <c r="V13" s="249"/>
      <c r="W13" s="249"/>
      <c r="X13" s="249"/>
      <c r="Y13" s="249"/>
      <c r="Z13" s="249"/>
      <c r="AA13" s="249"/>
    </row>
    <row r="14">
      <c r="A14" s="251" t="s">
        <v>255</v>
      </c>
      <c r="B14" s="270">
        <v>1.0</v>
      </c>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249"/>
      <c r="AA14" s="249"/>
    </row>
    <row r="15">
      <c r="A15" s="249"/>
      <c r="B15" s="249"/>
      <c r="C15" s="249"/>
      <c r="D15" s="249"/>
      <c r="E15" s="249"/>
      <c r="F15" s="249"/>
      <c r="G15" s="249"/>
      <c r="H15" s="249"/>
      <c r="I15" s="249"/>
      <c r="J15" s="249"/>
      <c r="K15" s="249"/>
      <c r="L15" s="271"/>
      <c r="M15" s="249"/>
      <c r="N15" s="249"/>
      <c r="O15" s="249"/>
      <c r="P15" s="249"/>
      <c r="Q15" s="249"/>
      <c r="R15" s="249"/>
      <c r="S15" s="249"/>
      <c r="T15" s="249"/>
      <c r="U15" s="249"/>
      <c r="V15" s="249"/>
      <c r="W15" s="249"/>
      <c r="X15" s="249"/>
      <c r="Y15" s="249"/>
      <c r="Z15" s="249"/>
      <c r="AA15" s="249"/>
    </row>
    <row r="16">
      <c r="A16" s="249"/>
      <c r="B16" s="249"/>
      <c r="C16" s="249"/>
      <c r="D16" s="249"/>
      <c r="E16" s="249"/>
      <c r="F16" s="249"/>
      <c r="G16" s="249"/>
      <c r="H16" s="249"/>
      <c r="I16" s="249"/>
      <c r="J16" s="249"/>
      <c r="K16" s="249"/>
      <c r="L16" s="271"/>
      <c r="M16" s="249"/>
      <c r="N16" s="249"/>
      <c r="O16" s="249"/>
      <c r="P16" s="249"/>
      <c r="Q16" s="249"/>
      <c r="R16" s="249"/>
      <c r="S16" s="249"/>
      <c r="T16" s="249"/>
      <c r="U16" s="249"/>
      <c r="V16" s="249"/>
      <c r="W16" s="249"/>
      <c r="X16" s="249"/>
      <c r="Y16" s="249"/>
      <c r="Z16" s="249"/>
      <c r="AA16" s="249"/>
    </row>
    <row r="17">
      <c r="A17" s="249"/>
      <c r="B17" s="249"/>
      <c r="C17" s="249"/>
      <c r="D17" s="249"/>
      <c r="E17" s="249"/>
      <c r="F17" s="249"/>
      <c r="G17" s="249"/>
      <c r="H17" s="249"/>
      <c r="I17" s="249"/>
      <c r="J17" s="249"/>
      <c r="K17" s="249"/>
      <c r="L17" s="271"/>
      <c r="M17" s="249"/>
      <c r="N17" s="249"/>
      <c r="O17" s="249"/>
      <c r="P17" s="249"/>
      <c r="Q17" s="249"/>
      <c r="R17" s="249"/>
      <c r="S17" s="249"/>
      <c r="T17" s="249"/>
      <c r="U17" s="249"/>
      <c r="V17" s="249"/>
      <c r="W17" s="249"/>
      <c r="X17" s="249"/>
      <c r="Y17" s="249"/>
      <c r="Z17" s="249"/>
      <c r="AA17" s="249"/>
    </row>
    <row r="18">
      <c r="A18" s="272" t="s">
        <v>59</v>
      </c>
      <c r="B18" s="273">
        <f>AVERAGE(B4:B14)</f>
        <v>0.09090909091</v>
      </c>
      <c r="C18" s="249"/>
      <c r="D18" s="249"/>
      <c r="E18" s="249"/>
      <c r="F18" s="249"/>
      <c r="G18" s="249"/>
      <c r="H18" s="250" t="s">
        <v>74</v>
      </c>
      <c r="I18" s="274">
        <f>AVERAGE(I3:I9)</f>
        <v>1</v>
      </c>
      <c r="J18" s="249"/>
      <c r="K18" s="249"/>
      <c r="L18" s="249"/>
      <c r="M18" s="249"/>
      <c r="N18" s="249"/>
      <c r="O18" s="249"/>
      <c r="P18" s="249"/>
      <c r="Q18" s="249"/>
      <c r="R18" s="249"/>
      <c r="S18" s="249"/>
      <c r="T18" s="249"/>
      <c r="U18" s="249"/>
      <c r="V18" s="249"/>
      <c r="W18" s="249"/>
      <c r="X18" s="249"/>
      <c r="Y18" s="249"/>
      <c r="Z18" s="249"/>
      <c r="AA18" s="249"/>
    </row>
    <row r="19">
      <c r="A19" s="249"/>
      <c r="B19" s="249"/>
      <c r="C19" s="249"/>
      <c r="D19" s="249"/>
      <c r="E19" s="249"/>
      <c r="F19" s="249"/>
      <c r="G19" s="249"/>
      <c r="H19" s="249"/>
      <c r="I19" s="249"/>
      <c r="J19" s="249"/>
      <c r="K19" s="249"/>
      <c r="L19" s="249"/>
      <c r="M19" s="249"/>
      <c r="N19" s="249"/>
      <c r="O19" s="249"/>
      <c r="P19" s="249"/>
      <c r="Q19" s="249"/>
      <c r="R19" s="249"/>
      <c r="S19" s="249"/>
      <c r="T19" s="249"/>
      <c r="U19" s="249"/>
      <c r="V19" s="249"/>
      <c r="W19" s="249"/>
      <c r="X19" s="249"/>
      <c r="Y19" s="249"/>
      <c r="Z19" s="249"/>
      <c r="AA19" s="249"/>
    </row>
    <row r="20">
      <c r="A20" s="249"/>
      <c r="B20" s="249"/>
      <c r="C20" s="249"/>
      <c r="D20" s="249"/>
      <c r="E20" s="249"/>
      <c r="F20" s="249"/>
      <c r="G20" s="249"/>
      <c r="H20" s="249"/>
      <c r="I20" s="249"/>
      <c r="J20" s="249"/>
      <c r="K20" s="249"/>
      <c r="L20" s="249"/>
      <c r="M20" s="249"/>
      <c r="N20" s="249"/>
      <c r="O20" s="249"/>
      <c r="P20" s="249"/>
      <c r="Q20" s="249"/>
      <c r="R20" s="249"/>
      <c r="S20" s="249"/>
      <c r="T20" s="249"/>
      <c r="U20" s="249"/>
      <c r="V20" s="249"/>
      <c r="W20" s="249"/>
      <c r="X20" s="249"/>
      <c r="Y20" s="249"/>
      <c r="Z20" s="249"/>
      <c r="AA20" s="249"/>
    </row>
    <row r="21">
      <c r="A21" s="252"/>
      <c r="B21" s="252"/>
      <c r="C21" s="252"/>
      <c r="D21" s="252"/>
      <c r="E21" s="252"/>
      <c r="F21" s="249"/>
      <c r="G21" s="249"/>
      <c r="H21" s="252"/>
      <c r="I21" s="252"/>
      <c r="J21" s="249"/>
      <c r="K21" s="249"/>
      <c r="L21" s="249"/>
      <c r="M21" s="249"/>
      <c r="N21" s="249"/>
      <c r="O21" s="249"/>
      <c r="P21" s="249"/>
      <c r="Q21" s="249"/>
      <c r="R21" s="249"/>
      <c r="S21" s="249"/>
      <c r="T21" s="249"/>
      <c r="U21" s="249"/>
      <c r="V21" s="249"/>
      <c r="W21" s="249"/>
      <c r="X21" s="249"/>
      <c r="Y21" s="249"/>
      <c r="Z21" s="249"/>
      <c r="AA21" s="249"/>
    </row>
    <row r="22">
      <c r="A22" s="252"/>
      <c r="B22" s="267"/>
      <c r="C22" s="275"/>
      <c r="D22" s="267"/>
      <c r="E22" s="267"/>
      <c r="F22" s="249"/>
      <c r="G22" s="252"/>
      <c r="H22" s="276"/>
      <c r="I22" s="277"/>
      <c r="J22" s="249"/>
      <c r="K22" s="249"/>
      <c r="L22" s="271"/>
      <c r="M22" s="271"/>
      <c r="N22" s="271"/>
      <c r="O22" s="271"/>
      <c r="P22" s="249"/>
      <c r="Q22" s="249"/>
      <c r="R22" s="249"/>
      <c r="S22" s="271"/>
      <c r="T22" s="249"/>
      <c r="U22" s="249"/>
      <c r="V22" s="249"/>
      <c r="W22" s="249"/>
      <c r="X22" s="249"/>
      <c r="Y22" s="249"/>
      <c r="Z22" s="249"/>
      <c r="AA22" s="249"/>
    </row>
    <row r="23">
      <c r="A23" s="252"/>
      <c r="B23" s="267"/>
      <c r="C23" s="267"/>
      <c r="D23" s="267"/>
      <c r="E23" s="267"/>
      <c r="F23" s="249"/>
      <c r="G23" s="252"/>
      <c r="H23" s="276"/>
      <c r="I23" s="277"/>
      <c r="J23" s="249"/>
      <c r="K23" s="249"/>
      <c r="L23" s="271"/>
      <c r="M23" s="271"/>
      <c r="N23" s="271"/>
      <c r="O23" s="271"/>
      <c r="P23" s="249"/>
      <c r="Q23" s="249"/>
      <c r="R23" s="249"/>
      <c r="S23" s="271"/>
      <c r="T23" s="249"/>
      <c r="U23" s="249"/>
      <c r="V23" s="249"/>
      <c r="W23" s="249"/>
      <c r="X23" s="249"/>
      <c r="Y23" s="249"/>
      <c r="Z23" s="249"/>
      <c r="AA23" s="249"/>
    </row>
    <row r="24">
      <c r="A24" s="251"/>
      <c r="B24" s="267"/>
      <c r="C24" s="267"/>
      <c r="D24" s="267"/>
      <c r="E24" s="267"/>
      <c r="F24" s="249"/>
      <c r="G24" s="252"/>
      <c r="H24" s="276"/>
      <c r="I24" s="277"/>
      <c r="J24" s="249"/>
      <c r="K24" s="249"/>
      <c r="L24" s="271"/>
      <c r="M24" s="271"/>
      <c r="N24" s="271"/>
      <c r="O24" s="271"/>
      <c r="P24" s="249"/>
      <c r="Q24" s="249"/>
      <c r="R24" s="249"/>
      <c r="S24" s="271"/>
      <c r="T24" s="249"/>
      <c r="U24" s="249"/>
      <c r="V24" s="249"/>
      <c r="W24" s="249"/>
      <c r="X24" s="249"/>
      <c r="Y24" s="249"/>
      <c r="Z24" s="249"/>
      <c r="AA24" s="249"/>
    </row>
    <row r="25">
      <c r="A25" s="252"/>
      <c r="B25" s="267"/>
      <c r="C25" s="267"/>
      <c r="D25" s="267"/>
      <c r="E25" s="267"/>
      <c r="F25" s="249"/>
      <c r="G25" s="252"/>
      <c r="H25" s="276"/>
      <c r="I25" s="277"/>
      <c r="J25" s="249"/>
      <c r="K25" s="249"/>
      <c r="L25" s="271"/>
      <c r="M25" s="271"/>
      <c r="N25" s="271"/>
      <c r="O25" s="271"/>
      <c r="P25" s="249"/>
      <c r="Q25" s="249"/>
      <c r="R25" s="249"/>
      <c r="S25" s="271"/>
      <c r="T25" s="249"/>
      <c r="U25" s="249"/>
      <c r="V25" s="249"/>
      <c r="W25" s="249"/>
      <c r="X25" s="249"/>
      <c r="Y25" s="249"/>
      <c r="Z25" s="249"/>
      <c r="AA25" s="249"/>
    </row>
    <row r="26">
      <c r="A26" s="252"/>
      <c r="B26" s="267"/>
      <c r="C26" s="267"/>
      <c r="D26" s="267"/>
      <c r="E26" s="267"/>
      <c r="F26" s="249"/>
      <c r="G26" s="252"/>
      <c r="H26" s="276"/>
      <c r="I26" s="277"/>
      <c r="J26" s="249"/>
      <c r="K26" s="249"/>
      <c r="L26" s="271"/>
      <c r="M26" s="271"/>
      <c r="N26" s="271"/>
      <c r="O26" s="271"/>
      <c r="P26" s="249"/>
      <c r="Q26" s="249"/>
      <c r="R26" s="249"/>
      <c r="S26" s="271"/>
      <c r="T26" s="249"/>
      <c r="U26" s="249"/>
      <c r="V26" s="249"/>
      <c r="W26" s="249"/>
      <c r="X26" s="249"/>
      <c r="Y26" s="249"/>
      <c r="Z26" s="249"/>
      <c r="AA26" s="249"/>
    </row>
    <row r="27">
      <c r="A27" s="249"/>
      <c r="B27" s="249"/>
      <c r="C27" s="249"/>
      <c r="D27" s="249"/>
      <c r="E27" s="249"/>
      <c r="F27" s="249"/>
      <c r="G27" s="249"/>
      <c r="H27" s="249"/>
      <c r="I27" s="277"/>
      <c r="J27" s="249"/>
      <c r="K27" s="249"/>
      <c r="L27" s="249"/>
      <c r="M27" s="249"/>
      <c r="N27" s="249"/>
      <c r="O27" s="249"/>
      <c r="P27" s="249"/>
      <c r="Q27" s="249"/>
      <c r="R27" s="249"/>
      <c r="S27" s="249"/>
      <c r="T27" s="249"/>
      <c r="U27" s="249"/>
      <c r="V27" s="249"/>
      <c r="W27" s="249"/>
      <c r="X27" s="249"/>
      <c r="Y27" s="249"/>
      <c r="Z27" s="249"/>
      <c r="AA27" s="249"/>
    </row>
    <row r="28">
      <c r="A28" s="249"/>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c r="Z28" s="249"/>
      <c r="AA28" s="249"/>
    </row>
    <row r="29">
      <c r="A29" s="249"/>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c r="Z29" s="249"/>
      <c r="AA29" s="249"/>
    </row>
    <row r="30">
      <c r="A30" s="249"/>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c r="Z30" s="249"/>
      <c r="AA30" s="249"/>
    </row>
    <row r="31">
      <c r="A31" s="249"/>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c r="AA31" s="249"/>
    </row>
    <row r="32">
      <c r="A32" s="258" t="s">
        <v>256</v>
      </c>
      <c r="B32" s="258" t="s">
        <v>257</v>
      </c>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c r="AA32" s="249"/>
    </row>
    <row r="33">
      <c r="A33" s="278">
        <v>45422.0</v>
      </c>
      <c r="B33" s="272">
        <v>0.1</v>
      </c>
      <c r="C33" s="249"/>
      <c r="D33" s="249"/>
      <c r="E33" s="249"/>
      <c r="F33" s="249"/>
      <c r="G33" s="249"/>
      <c r="H33" s="249"/>
      <c r="I33" s="249"/>
      <c r="J33" s="249"/>
      <c r="K33" s="249"/>
      <c r="L33" s="249"/>
      <c r="M33" s="249"/>
      <c r="N33" s="249"/>
      <c r="O33" s="249"/>
      <c r="P33" s="249"/>
      <c r="Q33" s="249"/>
      <c r="R33" s="249"/>
      <c r="S33" s="249"/>
      <c r="T33" s="249"/>
      <c r="U33" s="249"/>
      <c r="V33" s="249"/>
      <c r="W33" s="249"/>
      <c r="X33" s="249"/>
      <c r="Y33" s="249"/>
      <c r="Z33" s="249"/>
      <c r="AA33" s="249"/>
    </row>
    <row r="34">
      <c r="A34" s="278">
        <v>45453.0</v>
      </c>
      <c r="B34" s="272">
        <v>0.18</v>
      </c>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c r="AA34" s="249"/>
    </row>
    <row r="35">
      <c r="A35" s="278">
        <v>45483.0</v>
      </c>
      <c r="B35" s="273">
        <v>0.31</v>
      </c>
      <c r="C35" s="249"/>
      <c r="D35" s="249"/>
      <c r="E35" s="249"/>
      <c r="F35" s="249"/>
      <c r="G35" s="249"/>
      <c r="H35" s="249"/>
      <c r="I35" s="249"/>
      <c r="J35" s="249"/>
      <c r="K35" s="249"/>
      <c r="L35" s="249"/>
      <c r="M35" s="249"/>
      <c r="N35" s="249"/>
      <c r="O35" s="249"/>
      <c r="P35" s="249"/>
      <c r="Q35" s="249"/>
      <c r="R35" s="249"/>
      <c r="S35" s="249"/>
      <c r="T35" s="249"/>
      <c r="U35" s="249"/>
      <c r="V35" s="249"/>
      <c r="W35" s="249"/>
      <c r="X35" s="249"/>
      <c r="Y35" s="249"/>
      <c r="Z35" s="249"/>
      <c r="AA35" s="249"/>
    </row>
    <row r="36">
      <c r="A36" s="278">
        <v>45514.0</v>
      </c>
      <c r="B36" s="272">
        <v>0.45</v>
      </c>
      <c r="C36" s="249"/>
      <c r="D36" s="249"/>
      <c r="E36" s="249"/>
      <c r="F36" s="249"/>
      <c r="G36" s="249"/>
      <c r="H36" s="249"/>
      <c r="I36" s="249"/>
      <c r="J36" s="249"/>
      <c r="K36" s="249"/>
      <c r="L36" s="249"/>
      <c r="M36" s="249"/>
      <c r="N36" s="249"/>
      <c r="O36" s="249"/>
      <c r="P36" s="249"/>
      <c r="Q36" s="249"/>
      <c r="R36" s="249"/>
      <c r="S36" s="249"/>
      <c r="T36" s="249"/>
      <c r="U36" s="249"/>
      <c r="V36" s="249"/>
      <c r="W36" s="249"/>
      <c r="X36" s="249"/>
      <c r="Y36" s="249"/>
      <c r="Z36" s="249"/>
      <c r="AA36" s="249"/>
    </row>
    <row r="37">
      <c r="A37" s="278">
        <v>45545.0</v>
      </c>
      <c r="B37" s="272">
        <v>0.45</v>
      </c>
      <c r="C37" s="249"/>
      <c r="D37" s="249"/>
      <c r="E37" s="249"/>
      <c r="F37" s="249"/>
      <c r="G37" s="249"/>
      <c r="H37" s="249"/>
      <c r="I37" s="249"/>
      <c r="J37" s="249"/>
      <c r="K37" s="249"/>
      <c r="L37" s="249"/>
      <c r="M37" s="249"/>
      <c r="N37" s="249"/>
      <c r="O37" s="249"/>
      <c r="P37" s="249"/>
      <c r="Q37" s="249"/>
      <c r="R37" s="249"/>
      <c r="S37" s="249"/>
      <c r="T37" s="249"/>
      <c r="U37" s="249"/>
      <c r="V37" s="249"/>
      <c r="W37" s="249"/>
      <c r="X37" s="249"/>
      <c r="Y37" s="249"/>
      <c r="Z37" s="249"/>
      <c r="AA37" s="249"/>
    </row>
    <row r="38">
      <c r="A38" s="279">
        <v>45575.0</v>
      </c>
      <c r="B38" s="273">
        <v>0.23</v>
      </c>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c r="AA38" s="249"/>
    </row>
    <row r="39">
      <c r="A39" s="279">
        <v>45606.0</v>
      </c>
      <c r="B39" s="272">
        <v>0.23</v>
      </c>
      <c r="C39" s="249"/>
      <c r="D39" s="249"/>
      <c r="E39" s="249"/>
      <c r="F39" s="249"/>
      <c r="G39" s="249"/>
      <c r="H39" s="249"/>
      <c r="I39" s="249"/>
      <c r="J39" s="249"/>
      <c r="K39" s="249"/>
      <c r="L39" s="249"/>
      <c r="M39" s="249"/>
      <c r="N39" s="249"/>
      <c r="O39" s="249"/>
      <c r="P39" s="249"/>
      <c r="Q39" s="249"/>
      <c r="R39" s="249"/>
      <c r="S39" s="249"/>
      <c r="T39" s="249"/>
      <c r="U39" s="249"/>
      <c r="V39" s="249"/>
      <c r="W39" s="249"/>
      <c r="X39" s="249"/>
      <c r="Y39" s="249"/>
      <c r="Z39" s="249"/>
      <c r="AA39" s="249"/>
    </row>
    <row r="40">
      <c r="A40" s="279">
        <v>45636.0</v>
      </c>
      <c r="B40" s="272">
        <v>0.45</v>
      </c>
      <c r="C40" s="249"/>
      <c r="D40" s="249"/>
      <c r="E40" s="249"/>
      <c r="F40" s="249"/>
      <c r="G40" s="249"/>
      <c r="H40" s="249"/>
      <c r="I40" s="249"/>
      <c r="J40" s="249"/>
      <c r="K40" s="249"/>
      <c r="L40" s="249"/>
      <c r="M40" s="249"/>
      <c r="N40" s="249"/>
      <c r="O40" s="249"/>
      <c r="P40" s="249"/>
      <c r="Q40" s="249"/>
      <c r="R40" s="249"/>
      <c r="S40" s="249"/>
      <c r="T40" s="249"/>
      <c r="U40" s="249"/>
      <c r="V40" s="249"/>
      <c r="W40" s="249"/>
      <c r="X40" s="249"/>
      <c r="Y40" s="249"/>
      <c r="Z40" s="249"/>
      <c r="AA40" s="249"/>
    </row>
    <row r="41">
      <c r="A41" s="255" t="s">
        <v>108</v>
      </c>
      <c r="B41" s="272">
        <v>0.45</v>
      </c>
      <c r="C41" s="249"/>
      <c r="D41" s="249"/>
      <c r="E41" s="249"/>
      <c r="F41" s="249"/>
      <c r="G41" s="249"/>
      <c r="H41" s="249"/>
      <c r="I41" s="249"/>
      <c r="J41" s="249"/>
      <c r="K41" s="249"/>
      <c r="L41" s="249"/>
      <c r="M41" s="249"/>
      <c r="N41" s="249"/>
      <c r="O41" s="249"/>
      <c r="P41" s="249"/>
      <c r="Q41" s="249"/>
      <c r="R41" s="249"/>
      <c r="S41" s="249"/>
      <c r="T41" s="249"/>
      <c r="U41" s="249"/>
      <c r="V41" s="249"/>
      <c r="W41" s="249"/>
      <c r="X41" s="249"/>
      <c r="Y41" s="249"/>
      <c r="Z41" s="249"/>
      <c r="AA41" s="249"/>
    </row>
    <row r="42">
      <c r="A42" s="255" t="s">
        <v>109</v>
      </c>
      <c r="B42" s="272">
        <v>0.66</v>
      </c>
      <c r="C42" s="249"/>
      <c r="D42" s="249"/>
      <c r="E42" s="249"/>
      <c r="F42" s="249"/>
      <c r="G42" s="249"/>
      <c r="H42" s="249"/>
      <c r="I42" s="249"/>
      <c r="J42" s="249"/>
      <c r="K42" s="249"/>
      <c r="L42" s="249"/>
      <c r="M42" s="249"/>
      <c r="N42" s="249"/>
      <c r="O42" s="249"/>
      <c r="P42" s="249"/>
      <c r="Q42" s="249"/>
      <c r="R42" s="249"/>
      <c r="S42" s="249"/>
      <c r="T42" s="249"/>
      <c r="U42" s="249"/>
      <c r="V42" s="249"/>
      <c r="W42" s="249"/>
      <c r="X42" s="249"/>
      <c r="Y42" s="249"/>
      <c r="Z42" s="249"/>
      <c r="AA42" s="249"/>
    </row>
    <row r="43">
      <c r="A43" s="255" t="s">
        <v>110</v>
      </c>
      <c r="B43" s="272">
        <v>0.81</v>
      </c>
      <c r="C43" s="249"/>
      <c r="D43" s="249"/>
      <c r="E43" s="249"/>
      <c r="F43" s="249"/>
      <c r="G43" s="249"/>
      <c r="H43" s="249"/>
      <c r="I43" s="249"/>
      <c r="J43" s="249"/>
      <c r="K43" s="249"/>
      <c r="L43" s="249"/>
      <c r="M43" s="249"/>
      <c r="N43" s="249"/>
      <c r="O43" s="249"/>
      <c r="P43" s="249"/>
      <c r="Q43" s="249"/>
      <c r="R43" s="249"/>
      <c r="S43" s="249"/>
      <c r="T43" s="249"/>
      <c r="U43" s="249"/>
      <c r="V43" s="249"/>
      <c r="W43" s="249"/>
      <c r="X43" s="249"/>
      <c r="Y43" s="249"/>
      <c r="Z43" s="249"/>
      <c r="AA43" s="249"/>
    </row>
    <row r="44">
      <c r="A44" s="255" t="s">
        <v>112</v>
      </c>
      <c r="B44" s="272">
        <v>0.95</v>
      </c>
      <c r="C44" s="249"/>
      <c r="D44" s="249"/>
      <c r="E44" s="249"/>
      <c r="F44" s="249"/>
      <c r="G44" s="249"/>
      <c r="H44" s="249"/>
      <c r="I44" s="249"/>
      <c r="J44" s="249"/>
      <c r="K44" s="249"/>
      <c r="L44" s="249"/>
      <c r="M44" s="249"/>
      <c r="N44" s="249"/>
      <c r="O44" s="249"/>
      <c r="P44" s="249"/>
      <c r="Q44" s="249"/>
      <c r="R44" s="249"/>
      <c r="S44" s="249"/>
      <c r="T44" s="249"/>
      <c r="U44" s="249"/>
      <c r="V44" s="249"/>
      <c r="W44" s="249"/>
      <c r="X44" s="249"/>
      <c r="Y44" s="249"/>
      <c r="Z44" s="249"/>
      <c r="AA44" s="249"/>
    </row>
    <row r="45">
      <c r="A45" s="255" t="s">
        <v>113</v>
      </c>
      <c r="B45" s="272">
        <v>0.95</v>
      </c>
      <c r="C45" s="249"/>
      <c r="D45" s="249"/>
      <c r="E45" s="249"/>
      <c r="F45" s="249"/>
      <c r="G45" s="249"/>
      <c r="H45" s="249"/>
      <c r="I45" s="249"/>
      <c r="J45" s="249"/>
      <c r="K45" s="249"/>
      <c r="L45" s="249"/>
      <c r="M45" s="249"/>
      <c r="N45" s="249"/>
      <c r="O45" s="249"/>
      <c r="P45" s="249"/>
      <c r="Q45" s="249"/>
      <c r="R45" s="249"/>
      <c r="S45" s="249"/>
      <c r="T45" s="249"/>
      <c r="U45" s="249"/>
      <c r="V45" s="249"/>
      <c r="W45" s="249"/>
      <c r="X45" s="249"/>
      <c r="Y45" s="249"/>
      <c r="Z45" s="249"/>
      <c r="AA45" s="249"/>
    </row>
    <row r="46">
      <c r="A46" s="255" t="s">
        <v>114</v>
      </c>
      <c r="B46" s="272">
        <v>0.94</v>
      </c>
      <c r="C46" s="249"/>
      <c r="D46" s="249"/>
      <c r="E46" s="249"/>
      <c r="F46" s="249"/>
      <c r="G46" s="249"/>
      <c r="H46" s="249"/>
      <c r="I46" s="249"/>
      <c r="J46" s="249"/>
      <c r="K46" s="249"/>
      <c r="L46" s="249"/>
      <c r="M46" s="249"/>
      <c r="N46" s="249"/>
      <c r="O46" s="249"/>
      <c r="P46" s="249"/>
      <c r="Q46" s="249"/>
      <c r="R46" s="249"/>
      <c r="S46" s="249"/>
      <c r="T46" s="249"/>
      <c r="U46" s="249"/>
      <c r="V46" s="249"/>
      <c r="W46" s="249"/>
      <c r="X46" s="249"/>
      <c r="Y46" s="249"/>
      <c r="Z46" s="249"/>
      <c r="AA46" s="249"/>
    </row>
    <row r="47">
      <c r="A47" s="255" t="s">
        <v>115</v>
      </c>
      <c r="B47" s="272">
        <v>0.94</v>
      </c>
      <c r="C47" s="249"/>
      <c r="D47" s="249"/>
      <c r="E47" s="249"/>
      <c r="F47" s="249"/>
      <c r="G47" s="249"/>
      <c r="H47" s="249"/>
      <c r="I47" s="249"/>
      <c r="J47" s="249"/>
      <c r="K47" s="249"/>
      <c r="L47" s="249"/>
      <c r="M47" s="249"/>
      <c r="N47" s="249"/>
      <c r="O47" s="249"/>
      <c r="P47" s="249"/>
      <c r="Q47" s="249"/>
      <c r="R47" s="249"/>
      <c r="S47" s="249"/>
      <c r="T47" s="249"/>
      <c r="U47" s="249"/>
      <c r="V47" s="249"/>
      <c r="W47" s="249"/>
      <c r="X47" s="249"/>
      <c r="Y47" s="249"/>
      <c r="Z47" s="249"/>
      <c r="AA47" s="249"/>
    </row>
    <row r="48">
      <c r="A48" s="255" t="s">
        <v>116</v>
      </c>
      <c r="B48" s="272">
        <v>0.94</v>
      </c>
      <c r="C48" s="249"/>
      <c r="D48" s="249"/>
      <c r="E48" s="249"/>
      <c r="F48" s="249"/>
      <c r="G48" s="249"/>
      <c r="H48" s="249"/>
      <c r="I48" s="249"/>
      <c r="J48" s="249"/>
      <c r="K48" s="249"/>
      <c r="L48" s="249"/>
      <c r="M48" s="249"/>
      <c r="N48" s="249"/>
      <c r="O48" s="249"/>
      <c r="P48" s="249"/>
      <c r="Q48" s="249"/>
      <c r="R48" s="249"/>
      <c r="S48" s="249"/>
      <c r="T48" s="249"/>
      <c r="U48" s="249"/>
      <c r="V48" s="249"/>
      <c r="W48" s="249"/>
      <c r="X48" s="249"/>
      <c r="Y48" s="249"/>
      <c r="Z48" s="249"/>
      <c r="AA48" s="249"/>
    </row>
    <row r="49">
      <c r="A49" s="255" t="s">
        <v>117</v>
      </c>
      <c r="B49" s="272">
        <v>0.94</v>
      </c>
      <c r="C49" s="249"/>
      <c r="D49" s="249"/>
      <c r="E49" s="249"/>
      <c r="F49" s="249"/>
      <c r="G49" s="249"/>
      <c r="H49" s="249"/>
      <c r="I49" s="249"/>
      <c r="J49" s="249"/>
      <c r="K49" s="249"/>
      <c r="L49" s="249"/>
      <c r="M49" s="249"/>
      <c r="N49" s="249"/>
      <c r="O49" s="249"/>
      <c r="P49" s="249"/>
      <c r="Q49" s="249"/>
      <c r="R49" s="249"/>
      <c r="S49" s="249"/>
      <c r="T49" s="249"/>
      <c r="U49" s="249"/>
      <c r="V49" s="249"/>
      <c r="W49" s="249"/>
      <c r="X49" s="249"/>
      <c r="Y49" s="249"/>
      <c r="Z49" s="249"/>
      <c r="AA49" s="249"/>
    </row>
    <row r="50">
      <c r="A50" s="255" t="s">
        <v>118</v>
      </c>
      <c r="B50" s="272">
        <v>0.8</v>
      </c>
      <c r="C50" s="249"/>
      <c r="D50" s="249"/>
      <c r="E50" s="249"/>
      <c r="F50" s="249"/>
      <c r="G50" s="249"/>
      <c r="H50" s="249"/>
      <c r="I50" s="249"/>
      <c r="J50" s="249"/>
      <c r="K50" s="249"/>
      <c r="L50" s="249"/>
      <c r="M50" s="249"/>
      <c r="N50" s="249"/>
      <c r="O50" s="249"/>
      <c r="P50" s="249"/>
      <c r="Q50" s="249"/>
      <c r="R50" s="249"/>
      <c r="S50" s="249"/>
      <c r="T50" s="249"/>
      <c r="U50" s="249"/>
      <c r="V50" s="249"/>
      <c r="W50" s="249"/>
      <c r="X50" s="249"/>
      <c r="Y50" s="249"/>
      <c r="Z50" s="249"/>
      <c r="AA50" s="249"/>
    </row>
    <row r="51">
      <c r="A51" s="255" t="s">
        <v>119</v>
      </c>
      <c r="B51" s="272">
        <v>0.8</v>
      </c>
      <c r="C51" s="249"/>
      <c r="D51" s="249"/>
      <c r="E51" s="249"/>
      <c r="F51" s="249"/>
      <c r="G51" s="249"/>
      <c r="H51" s="249"/>
      <c r="I51" s="249"/>
      <c r="J51" s="249"/>
      <c r="K51" s="249"/>
      <c r="L51" s="249"/>
      <c r="M51" s="249"/>
      <c r="N51" s="249"/>
      <c r="O51" s="249"/>
      <c r="P51" s="249"/>
      <c r="Q51" s="249"/>
      <c r="R51" s="249"/>
      <c r="S51" s="249"/>
      <c r="T51" s="249"/>
      <c r="U51" s="249"/>
      <c r="V51" s="249"/>
      <c r="W51" s="249"/>
      <c r="X51" s="249"/>
      <c r="Y51" s="249"/>
      <c r="Z51" s="249"/>
      <c r="AA51" s="249"/>
    </row>
    <row r="52">
      <c r="A52" s="255" t="s">
        <v>120</v>
      </c>
      <c r="B52" s="272">
        <v>0.8</v>
      </c>
      <c r="C52" s="249"/>
      <c r="D52" s="249"/>
      <c r="E52" s="249"/>
      <c r="F52" s="249"/>
      <c r="G52" s="249"/>
      <c r="H52" s="249"/>
      <c r="I52" s="249"/>
      <c r="J52" s="249"/>
      <c r="K52" s="249"/>
      <c r="L52" s="249"/>
      <c r="M52" s="249"/>
      <c r="N52" s="249"/>
      <c r="O52" s="249"/>
      <c r="P52" s="249"/>
      <c r="Q52" s="249"/>
      <c r="R52" s="249"/>
      <c r="S52" s="249"/>
      <c r="T52" s="249"/>
      <c r="U52" s="249"/>
      <c r="V52" s="249"/>
      <c r="W52" s="249"/>
      <c r="X52" s="249"/>
      <c r="Y52" s="249"/>
      <c r="Z52" s="249"/>
      <c r="AA52" s="249"/>
    </row>
    <row r="53">
      <c r="A53" s="255" t="s">
        <v>121</v>
      </c>
      <c r="B53" s="272">
        <v>0.87</v>
      </c>
      <c r="C53" s="249"/>
      <c r="D53" s="249"/>
      <c r="E53" s="249"/>
      <c r="F53" s="249"/>
      <c r="G53" s="249"/>
      <c r="H53" s="249"/>
      <c r="I53" s="249"/>
      <c r="J53" s="249"/>
      <c r="K53" s="249"/>
      <c r="L53" s="249"/>
      <c r="M53" s="249"/>
      <c r="N53" s="249"/>
      <c r="O53" s="249"/>
      <c r="P53" s="249"/>
      <c r="Q53" s="249"/>
      <c r="R53" s="249"/>
      <c r="S53" s="249"/>
      <c r="T53" s="249"/>
      <c r="U53" s="249"/>
      <c r="V53" s="249"/>
      <c r="W53" s="249"/>
      <c r="X53" s="249"/>
      <c r="Y53" s="249"/>
      <c r="Z53" s="249"/>
      <c r="AA53" s="249"/>
    </row>
    <row r="54">
      <c r="A54" s="255" t="s">
        <v>122</v>
      </c>
      <c r="B54" s="272">
        <v>0.94</v>
      </c>
      <c r="C54" s="249"/>
      <c r="D54" s="249"/>
      <c r="E54" s="249"/>
      <c r="F54" s="249"/>
      <c r="G54" s="249"/>
      <c r="H54" s="249"/>
      <c r="I54" s="249"/>
      <c r="J54" s="249"/>
      <c r="K54" s="249"/>
      <c r="L54" s="249"/>
      <c r="M54" s="249"/>
      <c r="N54" s="249"/>
      <c r="O54" s="249"/>
      <c r="P54" s="249"/>
      <c r="Q54" s="249"/>
      <c r="R54" s="249"/>
      <c r="S54" s="249"/>
      <c r="T54" s="249"/>
      <c r="U54" s="249"/>
      <c r="V54" s="249"/>
      <c r="W54" s="249"/>
      <c r="X54" s="249"/>
      <c r="Y54" s="249"/>
      <c r="Z54" s="249"/>
      <c r="AA54" s="249"/>
    </row>
    <row r="55">
      <c r="A55" s="255" t="s">
        <v>123</v>
      </c>
      <c r="B55" s="272">
        <v>0.94</v>
      </c>
      <c r="C55" s="249"/>
      <c r="D55" s="249"/>
      <c r="E55" s="249"/>
      <c r="F55" s="249"/>
      <c r="G55" s="249"/>
      <c r="H55" s="249"/>
      <c r="I55" s="249"/>
      <c r="J55" s="249"/>
      <c r="K55" s="249"/>
      <c r="L55" s="249"/>
      <c r="M55" s="249"/>
      <c r="N55" s="249"/>
      <c r="O55" s="249"/>
      <c r="P55" s="249"/>
      <c r="Q55" s="249"/>
      <c r="R55" s="249"/>
      <c r="S55" s="249"/>
      <c r="T55" s="249"/>
      <c r="U55" s="249"/>
      <c r="V55" s="249"/>
      <c r="W55" s="249"/>
      <c r="X55" s="249"/>
      <c r="Y55" s="249"/>
      <c r="Z55" s="249"/>
      <c r="AA55" s="249"/>
    </row>
    <row r="56">
      <c r="A56" s="255" t="s">
        <v>124</v>
      </c>
      <c r="B56" s="272">
        <v>0.94</v>
      </c>
      <c r="C56" s="249"/>
      <c r="D56" s="249"/>
      <c r="E56" s="249"/>
      <c r="F56" s="249"/>
      <c r="G56" s="249"/>
      <c r="H56" s="249"/>
      <c r="I56" s="249"/>
      <c r="J56" s="249"/>
      <c r="K56" s="249"/>
      <c r="L56" s="249"/>
      <c r="M56" s="249"/>
      <c r="N56" s="249"/>
      <c r="O56" s="249"/>
      <c r="P56" s="249"/>
      <c r="Q56" s="249"/>
      <c r="R56" s="249"/>
      <c r="S56" s="249"/>
      <c r="T56" s="249"/>
      <c r="U56" s="249"/>
      <c r="V56" s="249"/>
      <c r="W56" s="249"/>
      <c r="X56" s="249"/>
      <c r="Y56" s="249"/>
      <c r="Z56" s="249"/>
      <c r="AA56" s="249"/>
    </row>
    <row r="57">
      <c r="A57" s="255" t="s">
        <v>125</v>
      </c>
      <c r="B57" s="272">
        <v>0.94</v>
      </c>
      <c r="C57" s="249"/>
      <c r="D57" s="249"/>
      <c r="E57" s="249"/>
      <c r="F57" s="249"/>
      <c r="G57" s="249"/>
      <c r="H57" s="249"/>
      <c r="I57" s="249"/>
      <c r="J57" s="249"/>
      <c r="K57" s="249"/>
      <c r="L57" s="249"/>
      <c r="M57" s="249"/>
      <c r="N57" s="249"/>
      <c r="O57" s="249"/>
      <c r="P57" s="249"/>
      <c r="Q57" s="249"/>
      <c r="R57" s="249"/>
      <c r="S57" s="249"/>
      <c r="T57" s="249"/>
      <c r="U57" s="249"/>
      <c r="V57" s="249"/>
      <c r="W57" s="249"/>
      <c r="X57" s="249"/>
      <c r="Y57" s="249"/>
      <c r="Z57" s="249"/>
      <c r="AA57" s="249"/>
    </row>
    <row r="58">
      <c r="A58" s="255" t="s">
        <v>126</v>
      </c>
      <c r="B58" s="272">
        <v>0.94</v>
      </c>
      <c r="C58" s="249"/>
      <c r="D58" s="249"/>
      <c r="E58" s="249"/>
      <c r="F58" s="249"/>
      <c r="G58" s="249"/>
      <c r="H58" s="249"/>
      <c r="I58" s="249"/>
      <c r="J58" s="249"/>
      <c r="K58" s="249"/>
      <c r="L58" s="249"/>
      <c r="M58" s="249"/>
      <c r="N58" s="249"/>
      <c r="O58" s="249"/>
      <c r="P58" s="249"/>
      <c r="Q58" s="249"/>
      <c r="R58" s="249"/>
      <c r="S58" s="249"/>
      <c r="T58" s="249"/>
      <c r="U58" s="249"/>
      <c r="V58" s="249"/>
      <c r="W58" s="249"/>
      <c r="X58" s="249"/>
      <c r="Y58" s="249"/>
      <c r="Z58" s="249"/>
      <c r="AA58" s="249"/>
    </row>
    <row r="59">
      <c r="A59" s="278">
        <v>45302.0</v>
      </c>
      <c r="B59" s="272">
        <v>0.8</v>
      </c>
      <c r="C59" s="249"/>
      <c r="D59" s="249"/>
      <c r="E59" s="249"/>
      <c r="F59" s="249"/>
      <c r="G59" s="249"/>
      <c r="H59" s="249"/>
      <c r="I59" s="249"/>
      <c r="J59" s="249"/>
      <c r="K59" s="249"/>
      <c r="L59" s="249"/>
      <c r="M59" s="249"/>
      <c r="N59" s="249"/>
      <c r="O59" s="249"/>
      <c r="P59" s="249"/>
      <c r="Q59" s="249"/>
      <c r="R59" s="249"/>
      <c r="S59" s="249"/>
      <c r="T59" s="249"/>
      <c r="U59" s="249"/>
      <c r="V59" s="249"/>
      <c r="W59" s="249"/>
      <c r="X59" s="249"/>
      <c r="Y59" s="249"/>
      <c r="Z59" s="249"/>
      <c r="AA59" s="249"/>
    </row>
    <row r="60">
      <c r="A60" s="278">
        <v>45333.0</v>
      </c>
      <c r="B60" s="272">
        <v>0.8</v>
      </c>
      <c r="C60" s="249"/>
      <c r="D60" s="249"/>
      <c r="E60" s="249"/>
      <c r="F60" s="249"/>
      <c r="G60" s="249"/>
      <c r="H60" s="249"/>
      <c r="I60" s="249"/>
      <c r="J60" s="249"/>
      <c r="K60" s="249"/>
      <c r="L60" s="249"/>
      <c r="M60" s="249"/>
      <c r="N60" s="249"/>
      <c r="O60" s="249"/>
      <c r="P60" s="249"/>
      <c r="Q60" s="249"/>
      <c r="R60" s="249"/>
      <c r="S60" s="249"/>
      <c r="T60" s="249"/>
      <c r="U60" s="249"/>
      <c r="V60" s="249"/>
      <c r="W60" s="249"/>
      <c r="X60" s="249"/>
      <c r="Y60" s="249"/>
      <c r="Z60" s="249"/>
      <c r="AA60" s="249"/>
    </row>
    <row r="61">
      <c r="A61" s="278">
        <v>45362.0</v>
      </c>
      <c r="B61" s="272">
        <v>0.8</v>
      </c>
      <c r="C61" s="249"/>
      <c r="D61" s="249"/>
      <c r="E61" s="249"/>
      <c r="F61" s="249"/>
      <c r="G61" s="249"/>
      <c r="H61" s="249"/>
      <c r="I61" s="249"/>
      <c r="J61" s="249"/>
      <c r="K61" s="249"/>
      <c r="L61" s="249"/>
      <c r="M61" s="249"/>
      <c r="N61" s="249"/>
      <c r="O61" s="249"/>
      <c r="P61" s="249"/>
      <c r="Q61" s="249"/>
      <c r="R61" s="249"/>
      <c r="S61" s="249"/>
      <c r="T61" s="249"/>
      <c r="U61" s="249"/>
      <c r="V61" s="249"/>
      <c r="W61" s="249"/>
      <c r="X61" s="249"/>
      <c r="Y61" s="249"/>
      <c r="Z61" s="249"/>
      <c r="AA61" s="249"/>
    </row>
    <row r="62">
      <c r="A62" s="278">
        <v>45393.0</v>
      </c>
      <c r="B62" s="272">
        <v>0.65</v>
      </c>
      <c r="C62" s="249"/>
      <c r="D62" s="249"/>
      <c r="E62" s="249"/>
      <c r="F62" s="249"/>
      <c r="G62" s="249"/>
      <c r="H62" s="249"/>
      <c r="I62" s="249"/>
      <c r="J62" s="249"/>
      <c r="K62" s="249"/>
      <c r="L62" s="249"/>
      <c r="M62" s="249"/>
      <c r="N62" s="249"/>
      <c r="O62" s="249"/>
      <c r="P62" s="249"/>
      <c r="Q62" s="249"/>
      <c r="R62" s="249"/>
      <c r="S62" s="249"/>
      <c r="T62" s="249"/>
      <c r="U62" s="249"/>
      <c r="V62" s="249"/>
      <c r="W62" s="249"/>
      <c r="X62" s="249"/>
      <c r="Y62" s="249"/>
      <c r="Z62" s="249"/>
      <c r="AA62" s="249"/>
    </row>
    <row r="63">
      <c r="A63" s="278">
        <v>45423.0</v>
      </c>
      <c r="B63" s="272">
        <v>0.8</v>
      </c>
      <c r="C63" s="249"/>
      <c r="D63" s="249"/>
      <c r="E63" s="249"/>
      <c r="F63" s="249"/>
      <c r="G63" s="249"/>
      <c r="H63" s="249"/>
      <c r="I63" s="249"/>
      <c r="J63" s="249"/>
      <c r="K63" s="249"/>
      <c r="L63" s="249"/>
      <c r="M63" s="249"/>
      <c r="N63" s="249"/>
      <c r="O63" s="249"/>
      <c r="P63" s="249"/>
      <c r="Q63" s="249"/>
      <c r="R63" s="249"/>
      <c r="S63" s="249"/>
      <c r="T63" s="249"/>
      <c r="U63" s="249"/>
      <c r="V63" s="249"/>
      <c r="W63" s="249"/>
      <c r="X63" s="249"/>
      <c r="Y63" s="249"/>
      <c r="Z63" s="249"/>
      <c r="AA63" s="249"/>
    </row>
    <row r="64">
      <c r="A64" s="278">
        <v>45454.0</v>
      </c>
      <c r="B64" s="272">
        <v>0.94</v>
      </c>
      <c r="C64" s="249"/>
      <c r="D64" s="249"/>
      <c r="E64" s="249"/>
      <c r="F64" s="249"/>
      <c r="G64" s="249"/>
      <c r="H64" s="249"/>
      <c r="I64" s="249"/>
      <c r="J64" s="249"/>
      <c r="K64" s="249"/>
      <c r="L64" s="249"/>
      <c r="M64" s="249"/>
      <c r="N64" s="249"/>
      <c r="O64" s="249"/>
      <c r="P64" s="249"/>
      <c r="Q64" s="249"/>
      <c r="R64" s="249"/>
      <c r="S64" s="249"/>
      <c r="T64" s="249"/>
      <c r="U64" s="249"/>
      <c r="V64" s="249"/>
      <c r="W64" s="249"/>
      <c r="X64" s="249"/>
      <c r="Y64" s="249"/>
      <c r="Z64" s="249"/>
      <c r="AA64" s="249"/>
    </row>
    <row r="65">
      <c r="A65" s="278">
        <v>45454.0</v>
      </c>
      <c r="B65" s="272">
        <v>0.94</v>
      </c>
      <c r="C65" s="249"/>
      <c r="D65" s="249"/>
      <c r="E65" s="249"/>
      <c r="F65" s="249"/>
      <c r="G65" s="249"/>
      <c r="H65" s="249"/>
      <c r="I65" s="249"/>
      <c r="J65" s="249"/>
      <c r="K65" s="249"/>
      <c r="L65" s="249"/>
      <c r="M65" s="249"/>
      <c r="N65" s="249"/>
      <c r="O65" s="249"/>
      <c r="P65" s="249"/>
      <c r="Q65" s="249"/>
      <c r="R65" s="249"/>
      <c r="S65" s="249"/>
      <c r="T65" s="249"/>
      <c r="U65" s="249"/>
      <c r="V65" s="249"/>
      <c r="W65" s="249"/>
      <c r="X65" s="249"/>
      <c r="Y65" s="249"/>
      <c r="Z65" s="249"/>
      <c r="AA65" s="249"/>
    </row>
    <row r="66">
      <c r="A66" s="278">
        <v>45546.0</v>
      </c>
      <c r="B66" s="272">
        <v>0.94</v>
      </c>
      <c r="C66" s="249"/>
      <c r="D66" s="249"/>
      <c r="E66" s="249"/>
      <c r="F66" s="249"/>
      <c r="G66" s="249"/>
      <c r="H66" s="249"/>
      <c r="I66" s="249"/>
      <c r="J66" s="249"/>
      <c r="K66" s="249"/>
      <c r="L66" s="249"/>
      <c r="M66" s="249"/>
      <c r="N66" s="249"/>
      <c r="O66" s="249"/>
      <c r="P66" s="249"/>
      <c r="Q66" s="249"/>
      <c r="R66" s="249"/>
      <c r="S66" s="249"/>
      <c r="T66" s="249"/>
      <c r="U66" s="249"/>
      <c r="V66" s="249"/>
      <c r="W66" s="249"/>
      <c r="X66" s="249"/>
      <c r="Y66" s="249"/>
      <c r="Z66" s="249"/>
      <c r="AA66" s="249"/>
    </row>
    <row r="67">
      <c r="A67" s="279">
        <v>45576.0</v>
      </c>
      <c r="B67" s="272">
        <v>0.94</v>
      </c>
      <c r="C67" s="249"/>
      <c r="D67" s="249"/>
      <c r="E67" s="249"/>
      <c r="F67" s="249"/>
      <c r="G67" s="249"/>
      <c r="H67" s="249"/>
      <c r="I67" s="249"/>
      <c r="J67" s="249"/>
      <c r="K67" s="249"/>
      <c r="L67" s="249"/>
      <c r="M67" s="249"/>
      <c r="N67" s="249"/>
      <c r="O67" s="249"/>
      <c r="P67" s="249"/>
      <c r="Q67" s="249"/>
      <c r="R67" s="249"/>
      <c r="S67" s="249"/>
      <c r="T67" s="249"/>
      <c r="U67" s="249"/>
      <c r="V67" s="249"/>
      <c r="W67" s="249"/>
      <c r="X67" s="249"/>
      <c r="Y67" s="249"/>
      <c r="Z67" s="249"/>
      <c r="AA67" s="249"/>
    </row>
    <row r="68">
      <c r="A68" s="279">
        <v>45607.0</v>
      </c>
      <c r="B68" s="272">
        <v>0.94</v>
      </c>
      <c r="C68" s="249"/>
      <c r="D68" s="249"/>
      <c r="E68" s="249"/>
      <c r="F68" s="249"/>
      <c r="G68" s="249"/>
      <c r="H68" s="249"/>
      <c r="I68" s="249"/>
      <c r="J68" s="249"/>
      <c r="K68" s="249"/>
      <c r="L68" s="249"/>
      <c r="M68" s="249"/>
      <c r="N68" s="249"/>
      <c r="O68" s="249"/>
      <c r="P68" s="249"/>
      <c r="Q68" s="249"/>
      <c r="R68" s="249"/>
      <c r="S68" s="249"/>
      <c r="T68" s="249"/>
      <c r="U68" s="249"/>
      <c r="V68" s="249"/>
      <c r="W68" s="249"/>
      <c r="X68" s="249"/>
      <c r="Y68" s="249"/>
      <c r="Z68" s="249"/>
      <c r="AA68" s="249"/>
    </row>
    <row r="69">
      <c r="A69" s="279">
        <v>45637.0</v>
      </c>
      <c r="B69" s="272">
        <v>0.94</v>
      </c>
      <c r="C69" s="249"/>
      <c r="D69" s="249"/>
      <c r="E69" s="249"/>
      <c r="F69" s="249"/>
      <c r="G69" s="249"/>
      <c r="H69" s="249"/>
      <c r="I69" s="249"/>
      <c r="J69" s="249"/>
      <c r="K69" s="249"/>
      <c r="L69" s="249"/>
      <c r="M69" s="249"/>
      <c r="N69" s="249"/>
      <c r="O69" s="249"/>
      <c r="P69" s="249"/>
      <c r="Q69" s="249"/>
      <c r="R69" s="249"/>
      <c r="S69" s="249"/>
      <c r="T69" s="249"/>
      <c r="U69" s="249"/>
      <c r="V69" s="249"/>
      <c r="W69" s="249"/>
      <c r="X69" s="249"/>
      <c r="Y69" s="249"/>
      <c r="Z69" s="249"/>
      <c r="AA69" s="249"/>
    </row>
    <row r="70">
      <c r="A70" s="255" t="s">
        <v>127</v>
      </c>
      <c r="B70" s="272">
        <v>0.94</v>
      </c>
      <c r="C70" s="249"/>
      <c r="D70" s="249"/>
      <c r="E70" s="249"/>
      <c r="F70" s="249"/>
      <c r="G70" s="249"/>
      <c r="H70" s="249"/>
      <c r="I70" s="249"/>
      <c r="J70" s="249"/>
      <c r="K70" s="249"/>
      <c r="L70" s="249"/>
      <c r="M70" s="249"/>
      <c r="N70" s="249"/>
      <c r="O70" s="249"/>
      <c r="P70" s="249"/>
      <c r="Q70" s="249"/>
      <c r="R70" s="249"/>
      <c r="S70" s="249"/>
      <c r="T70" s="249"/>
      <c r="U70" s="249"/>
      <c r="V70" s="249"/>
      <c r="W70" s="249"/>
      <c r="X70" s="249"/>
      <c r="Y70" s="249"/>
      <c r="Z70" s="249"/>
      <c r="AA70" s="249"/>
    </row>
    <row r="71">
      <c r="A71" s="255" t="s">
        <v>128</v>
      </c>
      <c r="B71" s="272">
        <v>0.94</v>
      </c>
      <c r="C71" s="249"/>
      <c r="D71" s="249"/>
      <c r="E71" s="249"/>
      <c r="F71" s="249"/>
      <c r="G71" s="249"/>
      <c r="H71" s="249"/>
      <c r="I71" s="249"/>
      <c r="J71" s="249"/>
      <c r="K71" s="249"/>
      <c r="L71" s="249"/>
      <c r="M71" s="249"/>
      <c r="N71" s="249"/>
      <c r="O71" s="249"/>
      <c r="P71" s="249"/>
      <c r="Q71" s="249"/>
      <c r="R71" s="249"/>
      <c r="S71" s="249"/>
      <c r="T71" s="249"/>
      <c r="U71" s="249"/>
      <c r="V71" s="249"/>
      <c r="W71" s="249"/>
      <c r="X71" s="249"/>
      <c r="Y71" s="249"/>
      <c r="Z71" s="249"/>
      <c r="AA71" s="249"/>
    </row>
    <row r="72">
      <c r="A72" s="255" t="s">
        <v>129</v>
      </c>
      <c r="B72" s="272">
        <v>0.87</v>
      </c>
      <c r="C72" s="249"/>
      <c r="D72" s="249"/>
      <c r="E72" s="249"/>
      <c r="F72" s="249"/>
      <c r="G72" s="249"/>
      <c r="H72" s="249"/>
      <c r="I72" s="249"/>
      <c r="J72" s="249"/>
      <c r="K72" s="249"/>
      <c r="L72" s="249"/>
      <c r="M72" s="249"/>
      <c r="N72" s="249"/>
      <c r="O72" s="249"/>
      <c r="P72" s="249"/>
      <c r="Q72" s="249"/>
      <c r="R72" s="249"/>
      <c r="S72" s="249"/>
      <c r="T72" s="249"/>
      <c r="U72" s="249"/>
      <c r="V72" s="249"/>
      <c r="W72" s="249"/>
      <c r="X72" s="249"/>
      <c r="Y72" s="249"/>
      <c r="Z72" s="249"/>
      <c r="AA72" s="249"/>
    </row>
    <row r="73">
      <c r="A73" s="255" t="s">
        <v>130</v>
      </c>
      <c r="B73" s="272">
        <v>0.87</v>
      </c>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row>
    <row r="74">
      <c r="A74" s="255" t="s">
        <v>131</v>
      </c>
      <c r="B74" s="272">
        <v>0.87</v>
      </c>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row>
    <row r="75">
      <c r="A75" s="255" t="s">
        <v>258</v>
      </c>
      <c r="B75" s="272">
        <v>0.94</v>
      </c>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row>
    <row r="76">
      <c r="A76" s="255" t="s">
        <v>132</v>
      </c>
      <c r="B76" s="272">
        <v>0.94</v>
      </c>
      <c r="C76" s="249"/>
      <c r="D76" s="249"/>
      <c r="E76" s="249"/>
      <c r="F76" s="249"/>
      <c r="G76" s="249"/>
      <c r="H76" s="249"/>
      <c r="I76" s="249"/>
      <c r="J76" s="249"/>
      <c r="K76" s="249"/>
      <c r="L76" s="249"/>
      <c r="M76" s="249"/>
      <c r="N76" s="249"/>
      <c r="O76" s="249"/>
      <c r="P76" s="249"/>
      <c r="Q76" s="249"/>
      <c r="R76" s="249"/>
      <c r="S76" s="249"/>
      <c r="T76" s="249"/>
      <c r="U76" s="249"/>
      <c r="V76" s="249"/>
      <c r="W76" s="249"/>
      <c r="X76" s="249"/>
      <c r="Y76" s="249"/>
      <c r="Z76" s="249"/>
      <c r="AA76" s="249"/>
    </row>
    <row r="77">
      <c r="A77" s="255" t="s">
        <v>133</v>
      </c>
      <c r="B77" s="272">
        <v>0.94</v>
      </c>
      <c r="C77" s="249"/>
      <c r="D77" s="249"/>
      <c r="E77" s="249"/>
      <c r="F77" s="249"/>
      <c r="G77" s="249"/>
      <c r="H77" s="249"/>
      <c r="I77" s="249"/>
      <c r="J77" s="249"/>
      <c r="K77" s="249"/>
      <c r="L77" s="249"/>
      <c r="M77" s="249"/>
      <c r="N77" s="249"/>
      <c r="O77" s="249"/>
      <c r="P77" s="249"/>
      <c r="Q77" s="249"/>
      <c r="R77" s="249"/>
      <c r="S77" s="249"/>
      <c r="T77" s="249"/>
      <c r="U77" s="249"/>
      <c r="V77" s="249"/>
      <c r="W77" s="249"/>
      <c r="X77" s="249"/>
      <c r="Y77" s="249"/>
      <c r="Z77" s="249"/>
      <c r="AA77" s="249"/>
    </row>
    <row r="78">
      <c r="A78" s="255" t="s">
        <v>134</v>
      </c>
      <c r="B78" s="272">
        <v>0.94</v>
      </c>
      <c r="C78" s="249"/>
      <c r="D78" s="249"/>
      <c r="E78" s="249"/>
      <c r="F78" s="249"/>
      <c r="G78" s="249"/>
      <c r="H78" s="249"/>
      <c r="I78" s="249"/>
      <c r="J78" s="249"/>
      <c r="K78" s="249"/>
      <c r="L78" s="249"/>
      <c r="M78" s="249"/>
      <c r="N78" s="249"/>
      <c r="O78" s="249"/>
      <c r="P78" s="249"/>
      <c r="Q78" s="249"/>
      <c r="R78" s="249"/>
      <c r="S78" s="249"/>
      <c r="T78" s="249"/>
      <c r="U78" s="249"/>
      <c r="V78" s="249"/>
      <c r="W78" s="249"/>
      <c r="X78" s="249"/>
      <c r="Y78" s="249"/>
      <c r="Z78" s="249"/>
      <c r="AA78" s="249"/>
    </row>
    <row r="79">
      <c r="A79" s="255" t="s">
        <v>135</v>
      </c>
      <c r="B79" s="272">
        <v>0.87</v>
      </c>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row>
    <row r="80">
      <c r="A80" s="255" t="s">
        <v>137</v>
      </c>
      <c r="B80" s="272">
        <v>0.65</v>
      </c>
      <c r="C80" s="249"/>
      <c r="D80" s="249"/>
      <c r="E80" s="249"/>
      <c r="F80" s="249"/>
      <c r="G80" s="249"/>
      <c r="H80" s="249"/>
      <c r="I80" s="249"/>
      <c r="J80" s="249"/>
      <c r="K80" s="249"/>
      <c r="L80" s="249"/>
      <c r="M80" s="249"/>
      <c r="N80" s="249"/>
      <c r="O80" s="249"/>
      <c r="P80" s="249"/>
      <c r="Q80" s="249"/>
      <c r="R80" s="249"/>
      <c r="S80" s="249"/>
      <c r="T80" s="249"/>
      <c r="U80" s="249"/>
      <c r="V80" s="249"/>
      <c r="W80" s="249"/>
      <c r="X80" s="249"/>
      <c r="Y80" s="249"/>
      <c r="Z80" s="249"/>
      <c r="AA80" s="249"/>
    </row>
    <row r="81">
      <c r="A81" s="255" t="s">
        <v>259</v>
      </c>
      <c r="B81" s="272">
        <v>0.65</v>
      </c>
      <c r="C81" s="249"/>
      <c r="D81" s="249"/>
      <c r="E81" s="249"/>
      <c r="F81" s="249"/>
      <c r="G81" s="249"/>
      <c r="H81" s="249"/>
      <c r="I81" s="249"/>
      <c r="J81" s="249"/>
      <c r="K81" s="249"/>
      <c r="L81" s="249"/>
      <c r="M81" s="249"/>
      <c r="N81" s="249"/>
      <c r="O81" s="249"/>
      <c r="P81" s="249"/>
      <c r="Q81" s="249"/>
      <c r="R81" s="249"/>
      <c r="S81" s="249"/>
      <c r="T81" s="249"/>
      <c r="U81" s="249"/>
      <c r="V81" s="249"/>
      <c r="W81" s="249"/>
      <c r="X81" s="249"/>
      <c r="Y81" s="249"/>
      <c r="Z81" s="249"/>
      <c r="AA81" s="249"/>
    </row>
    <row r="82">
      <c r="A82" s="255" t="s">
        <v>138</v>
      </c>
      <c r="B82" s="272">
        <v>0.65</v>
      </c>
      <c r="C82" s="249"/>
      <c r="D82" s="249"/>
      <c r="E82" s="249"/>
      <c r="F82" s="249"/>
      <c r="G82" s="249"/>
      <c r="H82" s="249"/>
      <c r="I82" s="249"/>
      <c r="J82" s="249"/>
      <c r="K82" s="249"/>
      <c r="L82" s="249"/>
      <c r="M82" s="249"/>
      <c r="N82" s="249"/>
      <c r="O82" s="249"/>
      <c r="P82" s="249"/>
      <c r="Q82" s="249"/>
      <c r="R82" s="249"/>
      <c r="S82" s="249"/>
      <c r="T82" s="249"/>
      <c r="U82" s="249"/>
      <c r="V82" s="249"/>
      <c r="W82" s="249"/>
      <c r="X82" s="249"/>
      <c r="Y82" s="249"/>
      <c r="Z82" s="249"/>
      <c r="AA82" s="249"/>
    </row>
    <row r="83">
      <c r="A83" s="255" t="s">
        <v>260</v>
      </c>
      <c r="B83" s="272">
        <v>0.87</v>
      </c>
      <c r="C83" s="249"/>
      <c r="D83" s="249"/>
      <c r="E83" s="249"/>
      <c r="F83" s="249"/>
      <c r="G83" s="249"/>
      <c r="H83" s="249"/>
      <c r="I83" s="249"/>
      <c r="J83" s="249"/>
      <c r="K83" s="249"/>
      <c r="L83" s="249"/>
      <c r="M83" s="249"/>
      <c r="N83" s="249"/>
      <c r="O83" s="249"/>
      <c r="P83" s="249"/>
      <c r="Q83" s="249"/>
      <c r="R83" s="249"/>
      <c r="S83" s="249"/>
      <c r="T83" s="249"/>
      <c r="U83" s="249"/>
      <c r="V83" s="249"/>
      <c r="W83" s="249"/>
      <c r="X83" s="249"/>
      <c r="Y83" s="249"/>
      <c r="Z83" s="249"/>
      <c r="AA83" s="249"/>
    </row>
    <row r="84">
      <c r="A84" s="278">
        <v>45303.0</v>
      </c>
      <c r="B84" s="272">
        <v>0.83</v>
      </c>
      <c r="C84" s="249"/>
      <c r="D84" s="249"/>
      <c r="E84" s="249"/>
      <c r="F84" s="249"/>
      <c r="G84" s="249"/>
      <c r="H84" s="249"/>
      <c r="I84" s="249"/>
      <c r="J84" s="249"/>
      <c r="K84" s="249"/>
      <c r="L84" s="249"/>
      <c r="M84" s="249"/>
      <c r="N84" s="249"/>
      <c r="O84" s="249"/>
      <c r="P84" s="249"/>
      <c r="Q84" s="249"/>
      <c r="R84" s="249"/>
      <c r="S84" s="249"/>
      <c r="T84" s="249"/>
      <c r="U84" s="249"/>
      <c r="V84" s="249"/>
      <c r="W84" s="249"/>
      <c r="X84" s="249"/>
      <c r="Y84" s="249"/>
      <c r="Z84" s="249"/>
      <c r="AA84" s="249"/>
    </row>
    <row r="85">
      <c r="A85" s="278">
        <v>45304.0</v>
      </c>
      <c r="B85" s="266"/>
      <c r="C85" s="249"/>
      <c r="D85" s="249"/>
      <c r="E85" s="249"/>
      <c r="F85" s="249"/>
      <c r="G85" s="249"/>
      <c r="H85" s="249"/>
      <c r="I85" s="249"/>
      <c r="J85" s="249"/>
      <c r="K85" s="249"/>
      <c r="L85" s="249"/>
      <c r="M85" s="249"/>
      <c r="N85" s="249"/>
      <c r="O85" s="249"/>
      <c r="P85" s="249"/>
      <c r="Q85" s="249"/>
      <c r="R85" s="249"/>
      <c r="S85" s="249"/>
      <c r="T85" s="249"/>
      <c r="U85" s="249"/>
      <c r="V85" s="249"/>
      <c r="W85" s="249"/>
      <c r="X85" s="249"/>
      <c r="Y85" s="249"/>
      <c r="Z85" s="249"/>
      <c r="AA85" s="249"/>
    </row>
    <row r="86">
      <c r="A86" s="266"/>
      <c r="B86" s="266"/>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row>
    <row r="87">
      <c r="A87" s="266"/>
      <c r="B87" s="266"/>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row>
    <row r="88">
      <c r="A88" s="266"/>
      <c r="B88" s="266"/>
      <c r="C88" s="249"/>
      <c r="D88" s="249"/>
      <c r="E88" s="249"/>
      <c r="F88" s="249"/>
      <c r="G88" s="249"/>
      <c r="H88" s="249"/>
      <c r="I88" s="249"/>
      <c r="J88" s="249"/>
      <c r="K88" s="249"/>
      <c r="L88" s="249"/>
      <c r="M88" s="249"/>
      <c r="N88" s="249"/>
      <c r="O88" s="249"/>
      <c r="P88" s="249"/>
      <c r="Q88" s="249"/>
      <c r="R88" s="249"/>
      <c r="S88" s="249"/>
      <c r="T88" s="249"/>
      <c r="U88" s="249"/>
      <c r="V88" s="249"/>
      <c r="W88" s="249"/>
      <c r="X88" s="249"/>
      <c r="Y88" s="249"/>
      <c r="Z88" s="249"/>
      <c r="AA88" s="249"/>
    </row>
    <row r="89">
      <c r="A89" s="266"/>
      <c r="B89" s="266"/>
      <c r="C89" s="249"/>
      <c r="D89" s="249"/>
      <c r="E89" s="249"/>
      <c r="F89" s="249"/>
      <c r="G89" s="249"/>
      <c r="H89" s="249"/>
      <c r="I89" s="249"/>
      <c r="J89" s="249"/>
      <c r="K89" s="249"/>
      <c r="L89" s="249"/>
      <c r="M89" s="249"/>
      <c r="N89" s="249"/>
      <c r="O89" s="249"/>
      <c r="P89" s="249"/>
      <c r="Q89" s="249"/>
      <c r="R89" s="249"/>
      <c r="S89" s="249"/>
      <c r="T89" s="249"/>
      <c r="U89" s="249"/>
      <c r="V89" s="249"/>
      <c r="W89" s="249"/>
      <c r="X89" s="249"/>
      <c r="Y89" s="249"/>
      <c r="Z89" s="249"/>
      <c r="AA89" s="249"/>
    </row>
    <row r="90">
      <c r="A90" s="266"/>
      <c r="B90" s="266"/>
      <c r="C90" s="249"/>
      <c r="D90" s="249"/>
      <c r="E90" s="249"/>
      <c r="F90" s="249"/>
      <c r="G90" s="249"/>
      <c r="H90" s="249"/>
      <c r="I90" s="249"/>
      <c r="J90" s="249"/>
      <c r="K90" s="249"/>
      <c r="L90" s="249"/>
      <c r="M90" s="249"/>
      <c r="N90" s="249"/>
      <c r="O90" s="249"/>
      <c r="P90" s="249"/>
      <c r="Q90" s="249"/>
      <c r="R90" s="249"/>
      <c r="S90" s="249"/>
      <c r="T90" s="249"/>
      <c r="U90" s="249"/>
      <c r="V90" s="249"/>
      <c r="W90" s="249"/>
      <c r="X90" s="249"/>
      <c r="Y90" s="249"/>
      <c r="Z90" s="249"/>
      <c r="AA90" s="249"/>
    </row>
    <row r="91">
      <c r="A91" s="266"/>
      <c r="B91" s="266"/>
      <c r="C91" s="249"/>
      <c r="D91" s="249"/>
      <c r="E91" s="249"/>
      <c r="F91" s="249"/>
      <c r="G91" s="249"/>
      <c r="H91" s="249"/>
      <c r="I91" s="249"/>
      <c r="J91" s="249"/>
      <c r="K91" s="249"/>
      <c r="L91" s="249"/>
      <c r="M91" s="249"/>
      <c r="N91" s="249"/>
      <c r="O91" s="249"/>
      <c r="P91" s="249"/>
      <c r="Q91" s="249"/>
      <c r="R91" s="249"/>
      <c r="S91" s="249"/>
      <c r="T91" s="249"/>
      <c r="U91" s="249"/>
      <c r="V91" s="249"/>
      <c r="W91" s="249"/>
      <c r="X91" s="249"/>
      <c r="Y91" s="249"/>
      <c r="Z91" s="249"/>
      <c r="AA91" s="249"/>
    </row>
    <row r="92">
      <c r="A92" s="266"/>
      <c r="B92" s="266"/>
      <c r="C92" s="249"/>
      <c r="D92" s="249"/>
      <c r="E92" s="249"/>
      <c r="F92" s="249"/>
      <c r="G92" s="249"/>
      <c r="H92" s="249"/>
      <c r="I92" s="249"/>
      <c r="J92" s="249"/>
      <c r="K92" s="249"/>
      <c r="L92" s="249"/>
      <c r="M92" s="249"/>
      <c r="N92" s="249"/>
      <c r="O92" s="249"/>
      <c r="P92" s="249"/>
      <c r="Q92" s="249"/>
      <c r="R92" s="249"/>
      <c r="S92" s="249"/>
      <c r="T92" s="249"/>
      <c r="U92" s="249"/>
      <c r="V92" s="249"/>
      <c r="W92" s="249"/>
      <c r="X92" s="249"/>
      <c r="Y92" s="249"/>
      <c r="Z92" s="249"/>
      <c r="AA92" s="249"/>
    </row>
    <row r="93">
      <c r="A93" s="266"/>
      <c r="B93" s="266"/>
      <c r="C93" s="249"/>
      <c r="D93" s="249"/>
      <c r="E93" s="249"/>
      <c r="F93" s="249"/>
      <c r="G93" s="249"/>
      <c r="H93" s="249"/>
      <c r="I93" s="249"/>
      <c r="J93" s="249"/>
      <c r="K93" s="249"/>
      <c r="L93" s="249"/>
      <c r="M93" s="249"/>
      <c r="N93" s="249"/>
      <c r="O93" s="249"/>
      <c r="P93" s="249"/>
      <c r="Q93" s="249"/>
      <c r="R93" s="249"/>
      <c r="S93" s="249"/>
      <c r="T93" s="249"/>
      <c r="U93" s="249"/>
      <c r="V93" s="249"/>
      <c r="W93" s="249"/>
      <c r="X93" s="249"/>
      <c r="Y93" s="249"/>
      <c r="Z93" s="249"/>
      <c r="AA93" s="249"/>
    </row>
    <row r="94">
      <c r="A94" s="266"/>
      <c r="B94" s="266"/>
      <c r="C94" s="249"/>
      <c r="D94" s="249"/>
      <c r="E94" s="249"/>
      <c r="F94" s="249"/>
      <c r="G94" s="249"/>
      <c r="H94" s="249"/>
      <c r="I94" s="249"/>
      <c r="J94" s="249"/>
      <c r="K94" s="249"/>
      <c r="L94" s="249"/>
      <c r="M94" s="249"/>
      <c r="N94" s="249"/>
      <c r="O94" s="249"/>
      <c r="P94" s="249"/>
      <c r="Q94" s="249"/>
      <c r="R94" s="249"/>
      <c r="S94" s="249"/>
      <c r="T94" s="249"/>
      <c r="U94" s="249"/>
      <c r="V94" s="249"/>
      <c r="W94" s="249"/>
      <c r="X94" s="249"/>
      <c r="Y94" s="249"/>
      <c r="Z94" s="249"/>
      <c r="AA94" s="249"/>
    </row>
    <row r="95">
      <c r="A95" s="266"/>
      <c r="B95" s="266"/>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49"/>
      <c r="AA95" s="249"/>
    </row>
    <row r="96">
      <c r="A96" s="266"/>
      <c r="B96" s="266"/>
      <c r="C96" s="249"/>
      <c r="D96" s="249"/>
      <c r="E96" s="249"/>
      <c r="F96" s="249"/>
      <c r="G96" s="249"/>
      <c r="H96" s="249"/>
      <c r="I96" s="249"/>
      <c r="J96" s="249"/>
      <c r="K96" s="249"/>
      <c r="L96" s="249"/>
      <c r="M96" s="249"/>
      <c r="N96" s="249"/>
      <c r="O96" s="249"/>
      <c r="P96" s="249"/>
      <c r="Q96" s="249"/>
      <c r="R96" s="249"/>
      <c r="S96" s="249"/>
      <c r="T96" s="249"/>
      <c r="U96" s="249"/>
      <c r="V96" s="249"/>
      <c r="W96" s="249"/>
      <c r="X96" s="249"/>
      <c r="Y96" s="249"/>
      <c r="Z96" s="249"/>
      <c r="AA96" s="249"/>
    </row>
    <row r="97">
      <c r="A97" s="249"/>
      <c r="B97" s="249"/>
      <c r="C97" s="249"/>
      <c r="D97" s="249"/>
      <c r="E97" s="249"/>
      <c r="F97" s="249"/>
      <c r="G97" s="249"/>
      <c r="H97" s="249"/>
      <c r="I97" s="249"/>
      <c r="J97" s="249"/>
      <c r="K97" s="249"/>
      <c r="L97" s="249"/>
      <c r="M97" s="249"/>
      <c r="N97" s="249"/>
      <c r="O97" s="249"/>
      <c r="P97" s="249"/>
      <c r="Q97" s="249"/>
      <c r="R97" s="249"/>
      <c r="S97" s="249"/>
      <c r="T97" s="249"/>
      <c r="U97" s="249"/>
      <c r="V97" s="249"/>
      <c r="W97" s="249"/>
      <c r="X97" s="249"/>
      <c r="Y97" s="249"/>
      <c r="Z97" s="249"/>
      <c r="AA97" s="249"/>
    </row>
    <row r="98">
      <c r="A98" s="249"/>
      <c r="B98" s="249"/>
      <c r="C98" s="249"/>
      <c r="D98" s="249"/>
      <c r="E98" s="249"/>
      <c r="F98" s="249"/>
      <c r="G98" s="249"/>
      <c r="H98" s="249"/>
      <c r="I98" s="249"/>
      <c r="J98" s="249"/>
      <c r="K98" s="249"/>
      <c r="L98" s="249"/>
      <c r="M98" s="249"/>
      <c r="N98" s="249"/>
      <c r="O98" s="249"/>
      <c r="P98" s="249"/>
      <c r="Q98" s="249"/>
      <c r="R98" s="249"/>
      <c r="S98" s="249"/>
      <c r="T98" s="249"/>
      <c r="U98" s="249"/>
      <c r="V98" s="249"/>
      <c r="W98" s="249"/>
      <c r="X98" s="249"/>
      <c r="Y98" s="249"/>
      <c r="Z98" s="249"/>
      <c r="AA98" s="249"/>
    </row>
    <row r="99">
      <c r="A99" s="249"/>
      <c r="B99" s="249"/>
      <c r="C99" s="249"/>
      <c r="D99" s="249"/>
      <c r="E99" s="249"/>
      <c r="F99" s="249"/>
      <c r="G99" s="249"/>
      <c r="H99" s="249"/>
      <c r="I99" s="249"/>
      <c r="J99" s="249"/>
      <c r="K99" s="249"/>
      <c r="L99" s="249"/>
      <c r="M99" s="249"/>
      <c r="N99" s="249"/>
      <c r="O99" s="249"/>
      <c r="P99" s="249"/>
      <c r="Q99" s="249"/>
      <c r="R99" s="249"/>
      <c r="S99" s="249"/>
      <c r="T99" s="249"/>
      <c r="U99" s="249"/>
      <c r="V99" s="249"/>
      <c r="W99" s="249"/>
      <c r="X99" s="249"/>
      <c r="Y99" s="249"/>
      <c r="Z99" s="249"/>
      <c r="AA99" s="249"/>
    </row>
    <row r="100">
      <c r="A100" s="249"/>
      <c r="B100" s="249"/>
      <c r="C100" s="249"/>
      <c r="D100" s="249"/>
      <c r="E100" s="249"/>
      <c r="F100" s="249"/>
      <c r="G100" s="249"/>
      <c r="H100" s="249"/>
      <c r="I100" s="249"/>
      <c r="J100" s="249"/>
      <c r="K100" s="249"/>
      <c r="L100" s="249"/>
      <c r="M100" s="249"/>
      <c r="N100" s="249"/>
      <c r="O100" s="249"/>
      <c r="P100" s="249"/>
      <c r="Q100" s="249"/>
      <c r="R100" s="249"/>
      <c r="S100" s="249"/>
      <c r="T100" s="249"/>
      <c r="U100" s="249"/>
      <c r="V100" s="249"/>
      <c r="W100" s="249"/>
      <c r="X100" s="249"/>
      <c r="Y100" s="249"/>
      <c r="Z100" s="249"/>
      <c r="AA100" s="249"/>
    </row>
    <row r="101">
      <c r="A101" s="249"/>
      <c r="B101" s="249"/>
      <c r="C101" s="249"/>
      <c r="D101" s="249"/>
      <c r="E101" s="249"/>
      <c r="F101" s="249"/>
      <c r="G101" s="249"/>
      <c r="H101" s="249"/>
      <c r="I101" s="249"/>
      <c r="J101" s="249"/>
      <c r="K101" s="249"/>
      <c r="L101" s="249"/>
      <c r="M101" s="249"/>
      <c r="N101" s="249"/>
      <c r="O101" s="249"/>
      <c r="P101" s="249"/>
      <c r="Q101" s="249"/>
      <c r="R101" s="249"/>
      <c r="S101" s="249"/>
      <c r="T101" s="249"/>
      <c r="U101" s="249"/>
      <c r="V101" s="249"/>
      <c r="W101" s="249"/>
      <c r="X101" s="249"/>
      <c r="Y101" s="249"/>
      <c r="Z101" s="249"/>
      <c r="AA101" s="249"/>
    </row>
    <row r="102">
      <c r="A102" s="249"/>
      <c r="B102" s="249"/>
      <c r="C102" s="249"/>
      <c r="D102" s="249"/>
      <c r="E102" s="249"/>
      <c r="F102" s="249"/>
      <c r="G102" s="249"/>
      <c r="H102" s="249"/>
      <c r="I102" s="249"/>
      <c r="J102" s="249"/>
      <c r="K102" s="249"/>
      <c r="L102" s="249"/>
      <c r="M102" s="249"/>
      <c r="N102" s="249"/>
      <c r="O102" s="249"/>
      <c r="P102" s="249"/>
      <c r="Q102" s="249"/>
      <c r="R102" s="249"/>
      <c r="S102" s="249"/>
      <c r="T102" s="249"/>
      <c r="U102" s="249"/>
      <c r="V102" s="249"/>
      <c r="W102" s="249"/>
      <c r="X102" s="249"/>
      <c r="Y102" s="249"/>
      <c r="Z102" s="249"/>
      <c r="AA102" s="249"/>
    </row>
    <row r="103">
      <c r="A103" s="249"/>
      <c r="B103" s="249"/>
      <c r="C103" s="249"/>
      <c r="D103" s="249"/>
      <c r="E103" s="249"/>
      <c r="F103" s="249"/>
      <c r="G103" s="249"/>
      <c r="H103" s="249"/>
      <c r="I103" s="249"/>
      <c r="J103" s="249"/>
      <c r="K103" s="249"/>
      <c r="L103" s="249"/>
      <c r="M103" s="249"/>
      <c r="N103" s="249"/>
      <c r="O103" s="249"/>
      <c r="P103" s="249"/>
      <c r="Q103" s="249"/>
      <c r="R103" s="249"/>
      <c r="S103" s="249"/>
      <c r="T103" s="249"/>
      <c r="U103" s="249"/>
      <c r="V103" s="249"/>
      <c r="W103" s="249"/>
      <c r="X103" s="249"/>
      <c r="Y103" s="249"/>
      <c r="Z103" s="249"/>
      <c r="AA103" s="249"/>
    </row>
    <row r="104">
      <c r="A104" s="249"/>
      <c r="B104" s="249"/>
      <c r="C104" s="249"/>
      <c r="D104" s="249"/>
      <c r="E104" s="249"/>
      <c r="F104" s="249"/>
      <c r="G104" s="249"/>
      <c r="H104" s="249"/>
      <c r="I104" s="249"/>
      <c r="J104" s="249"/>
      <c r="K104" s="249"/>
      <c r="L104" s="249"/>
      <c r="M104" s="249"/>
      <c r="N104" s="249"/>
      <c r="O104" s="249"/>
      <c r="P104" s="249"/>
      <c r="Q104" s="249"/>
      <c r="R104" s="249"/>
      <c r="S104" s="249"/>
      <c r="T104" s="249"/>
      <c r="U104" s="249"/>
      <c r="V104" s="249"/>
      <c r="W104" s="249"/>
      <c r="X104" s="249"/>
      <c r="Y104" s="249"/>
      <c r="Z104" s="249"/>
      <c r="AA104" s="249"/>
    </row>
    <row r="105">
      <c r="A105" s="249"/>
      <c r="B105" s="249"/>
      <c r="C105" s="249"/>
      <c r="D105" s="249"/>
      <c r="E105" s="249"/>
      <c r="F105" s="249"/>
      <c r="G105" s="249"/>
      <c r="H105" s="249"/>
      <c r="I105" s="249"/>
      <c r="J105" s="249"/>
      <c r="K105" s="249"/>
      <c r="L105" s="249"/>
      <c r="M105" s="249"/>
      <c r="N105" s="249"/>
      <c r="O105" s="249"/>
      <c r="P105" s="249"/>
      <c r="Q105" s="249"/>
      <c r="R105" s="249"/>
      <c r="S105" s="249"/>
      <c r="T105" s="249"/>
      <c r="U105" s="249"/>
      <c r="V105" s="249"/>
      <c r="W105" s="249"/>
      <c r="X105" s="249"/>
      <c r="Y105" s="249"/>
      <c r="Z105" s="249"/>
      <c r="AA105" s="249"/>
    </row>
    <row r="106">
      <c r="A106" s="249"/>
      <c r="B106" s="249"/>
      <c r="C106" s="249"/>
      <c r="D106" s="249"/>
      <c r="E106" s="249"/>
      <c r="F106" s="249"/>
      <c r="G106" s="249"/>
      <c r="H106" s="249"/>
      <c r="I106" s="249"/>
      <c r="J106" s="249"/>
      <c r="K106" s="249"/>
      <c r="L106" s="249"/>
      <c r="M106" s="249"/>
      <c r="N106" s="249"/>
      <c r="O106" s="249"/>
      <c r="P106" s="249"/>
      <c r="Q106" s="249"/>
      <c r="R106" s="249"/>
      <c r="S106" s="249"/>
      <c r="T106" s="249"/>
      <c r="U106" s="249"/>
      <c r="V106" s="249"/>
      <c r="W106" s="249"/>
      <c r="X106" s="249"/>
      <c r="Y106" s="249"/>
      <c r="Z106" s="249"/>
      <c r="AA106" s="249"/>
    </row>
    <row r="107">
      <c r="A107" s="249"/>
      <c r="B107" s="249"/>
      <c r="C107" s="249"/>
      <c r="D107" s="249"/>
      <c r="E107" s="249"/>
      <c r="F107" s="249"/>
      <c r="G107" s="249"/>
      <c r="H107" s="249"/>
      <c r="I107" s="249"/>
      <c r="J107" s="249"/>
      <c r="K107" s="249"/>
      <c r="L107" s="249"/>
      <c r="M107" s="249"/>
      <c r="N107" s="249"/>
      <c r="O107" s="249"/>
      <c r="P107" s="249"/>
      <c r="Q107" s="249"/>
      <c r="R107" s="249"/>
      <c r="S107" s="249"/>
      <c r="T107" s="249"/>
      <c r="U107" s="249"/>
      <c r="V107" s="249"/>
      <c r="W107" s="249"/>
      <c r="X107" s="249"/>
      <c r="Y107" s="249"/>
      <c r="Z107" s="249"/>
      <c r="AA107" s="249"/>
    </row>
    <row r="108">
      <c r="A108" s="249"/>
      <c r="B108" s="249"/>
      <c r="C108" s="249"/>
      <c r="D108" s="249"/>
      <c r="E108" s="249"/>
      <c r="F108" s="249"/>
      <c r="G108" s="249"/>
      <c r="H108" s="249"/>
      <c r="I108" s="249"/>
      <c r="J108" s="249"/>
      <c r="K108" s="249"/>
      <c r="L108" s="249"/>
      <c r="M108" s="249"/>
      <c r="N108" s="249"/>
      <c r="O108" s="249"/>
      <c r="P108" s="249"/>
      <c r="Q108" s="249"/>
      <c r="R108" s="249"/>
      <c r="S108" s="249"/>
      <c r="T108" s="249"/>
      <c r="U108" s="249"/>
      <c r="V108" s="249"/>
      <c r="W108" s="249"/>
      <c r="X108" s="249"/>
      <c r="Y108" s="249"/>
      <c r="Z108" s="249"/>
      <c r="AA108" s="249"/>
    </row>
    <row r="109">
      <c r="A109" s="249"/>
      <c r="B109" s="249"/>
      <c r="C109" s="249"/>
      <c r="D109" s="249"/>
      <c r="E109" s="249"/>
      <c r="F109" s="249"/>
      <c r="G109" s="249"/>
      <c r="H109" s="249"/>
      <c r="I109" s="249"/>
      <c r="J109" s="249"/>
      <c r="K109" s="249"/>
      <c r="L109" s="249"/>
      <c r="M109" s="249"/>
      <c r="N109" s="249"/>
      <c r="O109" s="249"/>
      <c r="P109" s="249"/>
      <c r="Q109" s="249"/>
      <c r="R109" s="249"/>
      <c r="S109" s="249"/>
      <c r="T109" s="249"/>
      <c r="U109" s="249"/>
      <c r="V109" s="249"/>
      <c r="W109" s="249"/>
      <c r="X109" s="249"/>
      <c r="Y109" s="249"/>
      <c r="Z109" s="249"/>
      <c r="AA109" s="249"/>
    </row>
    <row r="110">
      <c r="A110" s="249"/>
      <c r="B110" s="249"/>
      <c r="C110" s="249"/>
      <c r="D110" s="249"/>
      <c r="E110" s="249"/>
      <c r="F110" s="249"/>
      <c r="G110" s="249"/>
      <c r="H110" s="249"/>
      <c r="I110" s="249"/>
      <c r="J110" s="249"/>
      <c r="K110" s="249"/>
      <c r="L110" s="249"/>
      <c r="M110" s="249"/>
      <c r="N110" s="249"/>
      <c r="O110" s="249"/>
      <c r="P110" s="249"/>
      <c r="Q110" s="249"/>
      <c r="R110" s="249"/>
      <c r="S110" s="249"/>
      <c r="T110" s="249"/>
      <c r="U110" s="249"/>
      <c r="V110" s="249"/>
      <c r="W110" s="249"/>
      <c r="X110" s="249"/>
      <c r="Y110" s="249"/>
      <c r="Z110" s="249"/>
      <c r="AA110" s="249"/>
    </row>
    <row r="111">
      <c r="A111" s="249"/>
      <c r="B111" s="249"/>
      <c r="C111" s="249"/>
      <c r="D111" s="249"/>
      <c r="E111" s="249"/>
      <c r="F111" s="249"/>
      <c r="G111" s="249"/>
      <c r="H111" s="249"/>
      <c r="I111" s="249"/>
      <c r="J111" s="249"/>
      <c r="K111" s="249"/>
      <c r="L111" s="249"/>
      <c r="M111" s="249"/>
      <c r="N111" s="249"/>
      <c r="O111" s="249"/>
      <c r="P111" s="249"/>
      <c r="Q111" s="249"/>
      <c r="R111" s="249"/>
      <c r="S111" s="249"/>
      <c r="T111" s="249"/>
      <c r="U111" s="249"/>
      <c r="V111" s="249"/>
      <c r="W111" s="249"/>
      <c r="X111" s="249"/>
      <c r="Y111" s="249"/>
      <c r="Z111" s="249"/>
      <c r="AA111" s="249"/>
    </row>
    <row r="112">
      <c r="A112" s="249"/>
      <c r="B112" s="249"/>
      <c r="C112" s="249"/>
      <c r="D112" s="249"/>
      <c r="E112" s="249"/>
      <c r="F112" s="249"/>
      <c r="G112" s="249"/>
      <c r="H112" s="249"/>
      <c r="I112" s="249"/>
      <c r="J112" s="249"/>
      <c r="K112" s="249"/>
      <c r="L112" s="249"/>
      <c r="M112" s="249"/>
      <c r="N112" s="249"/>
      <c r="O112" s="249"/>
      <c r="P112" s="249"/>
      <c r="Q112" s="249"/>
      <c r="R112" s="249"/>
      <c r="S112" s="249"/>
      <c r="T112" s="249"/>
      <c r="U112" s="249"/>
      <c r="V112" s="249"/>
      <c r="W112" s="249"/>
      <c r="X112" s="249"/>
      <c r="Y112" s="249"/>
      <c r="Z112" s="249"/>
      <c r="AA112" s="249"/>
    </row>
    <row r="113">
      <c r="A113" s="249"/>
      <c r="B113" s="249"/>
      <c r="C113" s="249"/>
      <c r="D113" s="249"/>
      <c r="E113" s="249"/>
      <c r="F113" s="249"/>
      <c r="G113" s="249"/>
      <c r="H113" s="249"/>
      <c r="I113" s="249"/>
      <c r="J113" s="249"/>
      <c r="K113" s="249"/>
      <c r="L113" s="249"/>
      <c r="M113" s="249"/>
      <c r="N113" s="249"/>
      <c r="O113" s="249"/>
      <c r="P113" s="249"/>
      <c r="Q113" s="249"/>
      <c r="R113" s="249"/>
      <c r="S113" s="249"/>
      <c r="T113" s="249"/>
      <c r="U113" s="249"/>
      <c r="V113" s="249"/>
      <c r="W113" s="249"/>
      <c r="X113" s="249"/>
      <c r="Y113" s="249"/>
      <c r="Z113" s="249"/>
      <c r="AA113" s="249"/>
    </row>
    <row r="114">
      <c r="A114" s="249"/>
      <c r="B114" s="249"/>
      <c r="C114" s="249"/>
      <c r="D114" s="249"/>
      <c r="E114" s="249"/>
      <c r="F114" s="249"/>
      <c r="G114" s="249"/>
      <c r="H114" s="249"/>
      <c r="I114" s="249"/>
      <c r="J114" s="249"/>
      <c r="K114" s="249"/>
      <c r="L114" s="249"/>
      <c r="M114" s="249"/>
      <c r="N114" s="249"/>
      <c r="O114" s="249"/>
      <c r="P114" s="249"/>
      <c r="Q114" s="249"/>
      <c r="R114" s="249"/>
      <c r="S114" s="249"/>
      <c r="T114" s="249"/>
      <c r="U114" s="249"/>
      <c r="V114" s="249"/>
      <c r="W114" s="249"/>
      <c r="X114" s="249"/>
      <c r="Y114" s="249"/>
      <c r="Z114" s="249"/>
      <c r="AA114" s="249"/>
    </row>
    <row r="115">
      <c r="A115" s="249"/>
      <c r="B115" s="249"/>
      <c r="C115" s="249"/>
      <c r="D115" s="249"/>
      <c r="E115" s="249"/>
      <c r="F115" s="249"/>
      <c r="G115" s="249"/>
      <c r="H115" s="249"/>
      <c r="I115" s="249"/>
      <c r="J115" s="249"/>
      <c r="K115" s="249"/>
      <c r="L115" s="249"/>
      <c r="M115" s="249"/>
      <c r="N115" s="249"/>
      <c r="O115" s="249"/>
      <c r="P115" s="249"/>
      <c r="Q115" s="249"/>
      <c r="R115" s="249"/>
      <c r="S115" s="249"/>
      <c r="T115" s="249"/>
      <c r="U115" s="249"/>
      <c r="V115" s="249"/>
      <c r="W115" s="249"/>
      <c r="X115" s="249"/>
      <c r="Y115" s="249"/>
      <c r="Z115" s="249"/>
      <c r="AA115" s="249"/>
    </row>
    <row r="116">
      <c r="A116" s="249"/>
      <c r="B116" s="249"/>
      <c r="C116" s="249"/>
      <c r="D116" s="249"/>
      <c r="E116" s="249"/>
      <c r="F116" s="249"/>
      <c r="G116" s="249"/>
      <c r="H116" s="249"/>
      <c r="I116" s="249"/>
      <c r="J116" s="249"/>
      <c r="K116" s="249"/>
      <c r="L116" s="249"/>
      <c r="M116" s="249"/>
      <c r="N116" s="249"/>
      <c r="O116" s="249"/>
      <c r="P116" s="249"/>
      <c r="Q116" s="249"/>
      <c r="R116" s="249"/>
      <c r="S116" s="249"/>
      <c r="T116" s="249"/>
      <c r="U116" s="249"/>
      <c r="V116" s="249"/>
      <c r="W116" s="249"/>
      <c r="X116" s="249"/>
      <c r="Y116" s="249"/>
      <c r="Z116" s="249"/>
      <c r="AA116" s="249"/>
    </row>
    <row r="117">
      <c r="A117" s="249"/>
      <c r="B117" s="24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c r="AA117" s="249"/>
    </row>
    <row r="118">
      <c r="A118" s="249"/>
      <c r="B118" s="249"/>
      <c r="C118" s="249"/>
      <c r="D118" s="249"/>
      <c r="E118" s="249"/>
      <c r="F118" s="249"/>
      <c r="G118" s="249"/>
      <c r="H118" s="249"/>
      <c r="I118" s="249"/>
      <c r="J118" s="249"/>
      <c r="K118" s="249"/>
      <c r="L118" s="249"/>
      <c r="M118" s="249"/>
      <c r="N118" s="249"/>
      <c r="O118" s="249"/>
      <c r="P118" s="249"/>
      <c r="Q118" s="249"/>
      <c r="R118" s="249"/>
      <c r="S118" s="249"/>
      <c r="T118" s="249"/>
      <c r="U118" s="249"/>
      <c r="V118" s="249"/>
      <c r="W118" s="249"/>
      <c r="X118" s="249"/>
      <c r="Y118" s="249"/>
      <c r="Z118" s="249"/>
      <c r="AA118" s="249"/>
    </row>
    <row r="119">
      <c r="A119" s="249"/>
      <c r="B119" s="249"/>
      <c r="C119" s="249"/>
      <c r="D119" s="249"/>
      <c r="E119" s="249"/>
      <c r="F119" s="249"/>
      <c r="G119" s="249"/>
      <c r="H119" s="249"/>
      <c r="I119" s="249"/>
      <c r="J119" s="249"/>
      <c r="K119" s="249"/>
      <c r="L119" s="249"/>
      <c r="M119" s="249"/>
      <c r="N119" s="249"/>
      <c r="O119" s="249"/>
      <c r="P119" s="249"/>
      <c r="Q119" s="249"/>
      <c r="R119" s="249"/>
      <c r="S119" s="249"/>
      <c r="T119" s="249"/>
      <c r="U119" s="249"/>
      <c r="V119" s="249"/>
      <c r="W119" s="249"/>
      <c r="X119" s="249"/>
      <c r="Y119" s="249"/>
      <c r="Z119" s="249"/>
      <c r="AA119" s="249"/>
    </row>
    <row r="120">
      <c r="A120" s="249"/>
      <c r="B120" s="249"/>
      <c r="C120" s="249"/>
      <c r="D120" s="249"/>
      <c r="E120" s="249"/>
      <c r="F120" s="249"/>
      <c r="G120" s="249"/>
      <c r="H120" s="249"/>
      <c r="I120" s="249"/>
      <c r="J120" s="249"/>
      <c r="K120" s="249"/>
      <c r="L120" s="249"/>
      <c r="M120" s="249"/>
      <c r="N120" s="249"/>
      <c r="O120" s="249"/>
      <c r="P120" s="249"/>
      <c r="Q120" s="249"/>
      <c r="R120" s="249"/>
      <c r="S120" s="249"/>
      <c r="T120" s="249"/>
      <c r="U120" s="249"/>
      <c r="V120" s="249"/>
      <c r="W120" s="249"/>
      <c r="X120" s="249"/>
      <c r="Y120" s="249"/>
      <c r="Z120" s="249"/>
      <c r="AA120" s="249"/>
    </row>
    <row r="121">
      <c r="A121" s="249"/>
      <c r="B121" s="249"/>
      <c r="C121" s="249"/>
      <c r="D121" s="249"/>
      <c r="E121" s="249"/>
      <c r="F121" s="249"/>
      <c r="G121" s="249"/>
      <c r="H121" s="249"/>
      <c r="I121" s="249"/>
      <c r="J121" s="249"/>
      <c r="K121" s="249"/>
      <c r="L121" s="249"/>
      <c r="M121" s="249"/>
      <c r="N121" s="249"/>
      <c r="O121" s="249"/>
      <c r="P121" s="249"/>
      <c r="Q121" s="249"/>
      <c r="R121" s="249"/>
      <c r="S121" s="249"/>
      <c r="T121" s="249"/>
      <c r="U121" s="249"/>
      <c r="V121" s="249"/>
      <c r="W121" s="249"/>
      <c r="X121" s="249"/>
      <c r="Y121" s="249"/>
      <c r="Z121" s="249"/>
      <c r="AA121" s="249"/>
    </row>
    <row r="122">
      <c r="A122" s="249"/>
      <c r="B122" s="249"/>
      <c r="C122" s="249"/>
      <c r="D122" s="249"/>
      <c r="E122" s="249"/>
      <c r="F122" s="249"/>
      <c r="G122" s="249"/>
      <c r="H122" s="249"/>
      <c r="I122" s="249"/>
      <c r="J122" s="249"/>
      <c r="K122" s="249"/>
      <c r="L122" s="249"/>
      <c r="M122" s="249"/>
      <c r="N122" s="249"/>
      <c r="O122" s="249"/>
      <c r="P122" s="249"/>
      <c r="Q122" s="249"/>
      <c r="R122" s="249"/>
      <c r="S122" s="249"/>
      <c r="T122" s="249"/>
      <c r="U122" s="249"/>
      <c r="V122" s="249"/>
      <c r="W122" s="249"/>
      <c r="X122" s="249"/>
      <c r="Y122" s="249"/>
      <c r="Z122" s="249"/>
      <c r="AA122" s="249"/>
    </row>
    <row r="123">
      <c r="A123" s="249"/>
      <c r="B123" s="249"/>
      <c r="C123" s="249"/>
      <c r="D123" s="249"/>
      <c r="E123" s="249"/>
      <c r="F123" s="249"/>
      <c r="G123" s="249"/>
      <c r="H123" s="249"/>
      <c r="I123" s="249"/>
      <c r="J123" s="249"/>
      <c r="K123" s="249"/>
      <c r="L123" s="249"/>
      <c r="M123" s="249"/>
      <c r="N123" s="249"/>
      <c r="O123" s="249"/>
      <c r="P123" s="249"/>
      <c r="Q123" s="249"/>
      <c r="R123" s="249"/>
      <c r="S123" s="249"/>
      <c r="T123" s="249"/>
      <c r="U123" s="249"/>
      <c r="V123" s="249"/>
      <c r="W123" s="249"/>
      <c r="X123" s="249"/>
      <c r="Y123" s="249"/>
      <c r="Z123" s="249"/>
      <c r="AA123" s="249"/>
    </row>
    <row r="124">
      <c r="A124" s="249"/>
      <c r="B124" s="249"/>
      <c r="C124" s="249"/>
      <c r="D124" s="249"/>
      <c r="E124" s="249"/>
      <c r="F124" s="249"/>
      <c r="G124" s="249"/>
      <c r="H124" s="249"/>
      <c r="I124" s="249"/>
      <c r="J124" s="249"/>
      <c r="K124" s="249"/>
      <c r="L124" s="249"/>
      <c r="M124" s="249"/>
      <c r="N124" s="249"/>
      <c r="O124" s="249"/>
      <c r="P124" s="249"/>
      <c r="Q124" s="249"/>
      <c r="R124" s="249"/>
      <c r="S124" s="249"/>
      <c r="T124" s="249"/>
      <c r="U124" s="249"/>
      <c r="V124" s="249"/>
      <c r="W124" s="249"/>
      <c r="X124" s="249"/>
      <c r="Y124" s="249"/>
      <c r="Z124" s="249"/>
      <c r="AA124" s="249"/>
    </row>
    <row r="125">
      <c r="A125" s="249"/>
      <c r="B125" s="249"/>
      <c r="C125" s="249"/>
      <c r="D125" s="249"/>
      <c r="E125" s="249"/>
      <c r="F125" s="249"/>
      <c r="G125" s="249"/>
      <c r="H125" s="249"/>
      <c r="I125" s="249"/>
      <c r="J125" s="249"/>
      <c r="K125" s="249"/>
      <c r="L125" s="249"/>
      <c r="M125" s="249"/>
      <c r="N125" s="249"/>
      <c r="O125" s="249"/>
      <c r="P125" s="249"/>
      <c r="Q125" s="249"/>
      <c r="R125" s="249"/>
      <c r="S125" s="249"/>
      <c r="T125" s="249"/>
      <c r="U125" s="249"/>
      <c r="V125" s="249"/>
      <c r="W125" s="249"/>
      <c r="X125" s="249"/>
      <c r="Y125" s="249"/>
      <c r="Z125" s="249"/>
      <c r="AA125" s="249"/>
    </row>
    <row r="126">
      <c r="A126" s="249"/>
      <c r="B126" s="249"/>
      <c r="C126" s="249"/>
      <c r="D126" s="249"/>
      <c r="E126" s="249"/>
      <c r="F126" s="249"/>
      <c r="G126" s="249"/>
      <c r="H126" s="249"/>
      <c r="I126" s="249"/>
      <c r="J126" s="249"/>
      <c r="K126" s="249"/>
      <c r="L126" s="249"/>
      <c r="M126" s="249"/>
      <c r="N126" s="249"/>
      <c r="O126" s="249"/>
      <c r="P126" s="249"/>
      <c r="Q126" s="249"/>
      <c r="R126" s="249"/>
      <c r="S126" s="249"/>
      <c r="T126" s="249"/>
      <c r="U126" s="249"/>
      <c r="V126" s="249"/>
      <c r="W126" s="249"/>
      <c r="X126" s="249"/>
      <c r="Y126" s="249"/>
      <c r="Z126" s="249"/>
      <c r="AA126" s="249"/>
    </row>
    <row r="127">
      <c r="A127" s="249"/>
      <c r="B127" s="249"/>
      <c r="C127" s="249"/>
      <c r="D127" s="249"/>
      <c r="E127" s="249"/>
      <c r="F127" s="249"/>
      <c r="G127" s="249"/>
      <c r="H127" s="249"/>
      <c r="I127" s="249"/>
      <c r="J127" s="249"/>
      <c r="K127" s="249"/>
      <c r="L127" s="249"/>
      <c r="M127" s="249"/>
      <c r="N127" s="249"/>
      <c r="O127" s="249"/>
      <c r="P127" s="249"/>
      <c r="Q127" s="249"/>
      <c r="R127" s="249"/>
      <c r="S127" s="249"/>
      <c r="T127" s="249"/>
      <c r="U127" s="249"/>
      <c r="V127" s="249"/>
      <c r="W127" s="249"/>
      <c r="X127" s="249"/>
      <c r="Y127" s="249"/>
      <c r="Z127" s="249"/>
      <c r="AA127" s="249"/>
    </row>
    <row r="128">
      <c r="A128" s="249"/>
      <c r="B128" s="249"/>
      <c r="C128" s="249"/>
      <c r="D128" s="249"/>
      <c r="E128" s="249"/>
      <c r="F128" s="249"/>
      <c r="G128" s="249"/>
      <c r="H128" s="249"/>
      <c r="I128" s="249"/>
      <c r="J128" s="249"/>
      <c r="K128" s="249"/>
      <c r="L128" s="249"/>
      <c r="M128" s="249"/>
      <c r="N128" s="249"/>
      <c r="O128" s="249"/>
      <c r="P128" s="249"/>
      <c r="Q128" s="249"/>
      <c r="R128" s="249"/>
      <c r="S128" s="249"/>
      <c r="T128" s="249"/>
      <c r="U128" s="249"/>
      <c r="V128" s="249"/>
      <c r="W128" s="249"/>
      <c r="X128" s="249"/>
      <c r="Y128" s="249"/>
      <c r="Z128" s="249"/>
      <c r="AA128" s="249"/>
    </row>
    <row r="129">
      <c r="A129" s="249"/>
      <c r="B129" s="249"/>
      <c r="C129" s="249"/>
      <c r="D129" s="249"/>
      <c r="E129" s="249"/>
      <c r="F129" s="249"/>
      <c r="G129" s="249"/>
      <c r="H129" s="249"/>
      <c r="I129" s="249"/>
      <c r="J129" s="249"/>
      <c r="K129" s="249"/>
      <c r="L129" s="249"/>
      <c r="M129" s="249"/>
      <c r="N129" s="249"/>
      <c r="O129" s="249"/>
      <c r="P129" s="249"/>
      <c r="Q129" s="249"/>
      <c r="R129" s="249"/>
      <c r="S129" s="249"/>
      <c r="T129" s="249"/>
      <c r="U129" s="249"/>
      <c r="V129" s="249"/>
      <c r="W129" s="249"/>
      <c r="X129" s="249"/>
      <c r="Y129" s="249"/>
      <c r="Z129" s="249"/>
      <c r="AA129" s="249"/>
    </row>
    <row r="130">
      <c r="A130" s="249"/>
      <c r="B130" s="249"/>
      <c r="C130" s="249"/>
      <c r="D130" s="249"/>
      <c r="E130" s="249"/>
      <c r="F130" s="249"/>
      <c r="G130" s="249"/>
      <c r="H130" s="249"/>
      <c r="I130" s="249"/>
      <c r="J130" s="249"/>
      <c r="K130" s="249"/>
      <c r="L130" s="249"/>
      <c r="M130" s="249"/>
      <c r="N130" s="249"/>
      <c r="O130" s="249"/>
      <c r="P130" s="249"/>
      <c r="Q130" s="249"/>
      <c r="R130" s="249"/>
      <c r="S130" s="249"/>
      <c r="T130" s="249"/>
      <c r="U130" s="249"/>
      <c r="V130" s="249"/>
      <c r="W130" s="249"/>
      <c r="X130" s="249"/>
      <c r="Y130" s="249"/>
      <c r="Z130" s="249"/>
      <c r="AA130" s="249"/>
    </row>
    <row r="131">
      <c r="A131" s="249"/>
      <c r="B131" s="249"/>
      <c r="C131" s="249"/>
      <c r="D131" s="249"/>
      <c r="E131" s="249"/>
      <c r="F131" s="249"/>
      <c r="G131" s="249"/>
      <c r="H131" s="249"/>
      <c r="I131" s="249"/>
      <c r="J131" s="249"/>
      <c r="K131" s="249"/>
      <c r="L131" s="249"/>
      <c r="M131" s="249"/>
      <c r="N131" s="249"/>
      <c r="O131" s="249"/>
      <c r="P131" s="249"/>
      <c r="Q131" s="249"/>
      <c r="R131" s="249"/>
      <c r="S131" s="249"/>
      <c r="T131" s="249"/>
      <c r="U131" s="249"/>
      <c r="V131" s="249"/>
      <c r="W131" s="249"/>
      <c r="X131" s="249"/>
      <c r="Y131" s="249"/>
      <c r="Z131" s="249"/>
      <c r="AA131" s="249"/>
    </row>
    <row r="132">
      <c r="A132" s="249"/>
      <c r="B132" s="249"/>
      <c r="C132" s="249"/>
      <c r="D132" s="249"/>
      <c r="E132" s="249"/>
      <c r="F132" s="249"/>
      <c r="G132" s="249"/>
      <c r="H132" s="249"/>
      <c r="I132" s="249"/>
      <c r="J132" s="249"/>
      <c r="K132" s="249"/>
      <c r="L132" s="249"/>
      <c r="M132" s="249"/>
      <c r="N132" s="249"/>
      <c r="O132" s="249"/>
      <c r="P132" s="249"/>
      <c r="Q132" s="249"/>
      <c r="R132" s="249"/>
      <c r="S132" s="249"/>
      <c r="T132" s="249"/>
      <c r="U132" s="249"/>
      <c r="V132" s="249"/>
      <c r="W132" s="249"/>
      <c r="X132" s="249"/>
      <c r="Y132" s="249"/>
      <c r="Z132" s="249"/>
      <c r="AA132" s="249"/>
    </row>
    <row r="133">
      <c r="A133" s="249"/>
      <c r="B133" s="249"/>
      <c r="C133" s="249"/>
      <c r="D133" s="249"/>
      <c r="E133" s="249"/>
      <c r="F133" s="249"/>
      <c r="G133" s="249"/>
      <c r="H133" s="249"/>
      <c r="I133" s="249"/>
      <c r="J133" s="249"/>
      <c r="K133" s="249"/>
      <c r="L133" s="249"/>
      <c r="M133" s="249"/>
      <c r="N133" s="249"/>
      <c r="O133" s="249"/>
      <c r="P133" s="249"/>
      <c r="Q133" s="249"/>
      <c r="R133" s="249"/>
      <c r="S133" s="249"/>
      <c r="T133" s="249"/>
      <c r="U133" s="249"/>
      <c r="V133" s="249"/>
      <c r="W133" s="249"/>
      <c r="X133" s="249"/>
      <c r="Y133" s="249"/>
      <c r="Z133" s="249"/>
      <c r="AA133" s="249"/>
    </row>
    <row r="134">
      <c r="A134" s="249"/>
      <c r="B134" s="249"/>
      <c r="C134" s="249"/>
      <c r="D134" s="249"/>
      <c r="E134" s="249"/>
      <c r="F134" s="249"/>
      <c r="G134" s="249"/>
      <c r="H134" s="249"/>
      <c r="I134" s="249"/>
      <c r="J134" s="249"/>
      <c r="K134" s="249"/>
      <c r="L134" s="249"/>
      <c r="M134" s="249"/>
      <c r="N134" s="249"/>
      <c r="O134" s="249"/>
      <c r="P134" s="249"/>
      <c r="Q134" s="249"/>
      <c r="R134" s="249"/>
      <c r="S134" s="249"/>
      <c r="T134" s="249"/>
      <c r="U134" s="249"/>
      <c r="V134" s="249"/>
      <c r="W134" s="249"/>
      <c r="X134" s="249"/>
      <c r="Y134" s="249"/>
      <c r="Z134" s="249"/>
      <c r="AA134" s="249"/>
    </row>
    <row r="135">
      <c r="A135" s="249"/>
      <c r="B135" s="249"/>
      <c r="C135" s="249"/>
      <c r="D135" s="249"/>
      <c r="E135" s="249"/>
      <c r="F135" s="249"/>
      <c r="G135" s="249"/>
      <c r="H135" s="249"/>
      <c r="I135" s="249"/>
      <c r="J135" s="249"/>
      <c r="K135" s="249"/>
      <c r="L135" s="249"/>
      <c r="M135" s="249"/>
      <c r="N135" s="249"/>
      <c r="O135" s="249"/>
      <c r="P135" s="249"/>
      <c r="Q135" s="249"/>
      <c r="R135" s="249"/>
      <c r="S135" s="249"/>
      <c r="T135" s="249"/>
      <c r="U135" s="249"/>
      <c r="V135" s="249"/>
      <c r="W135" s="249"/>
      <c r="X135" s="249"/>
      <c r="Y135" s="249"/>
      <c r="Z135" s="249"/>
      <c r="AA135" s="249"/>
    </row>
    <row r="136">
      <c r="A136" s="249"/>
      <c r="B136" s="249"/>
      <c r="C136" s="249"/>
      <c r="D136" s="249"/>
      <c r="E136" s="249"/>
      <c r="F136" s="249"/>
      <c r="G136" s="249"/>
      <c r="H136" s="249"/>
      <c r="I136" s="249"/>
      <c r="J136" s="249"/>
      <c r="K136" s="249"/>
      <c r="L136" s="249"/>
      <c r="M136" s="249"/>
      <c r="N136" s="249"/>
      <c r="O136" s="249"/>
      <c r="P136" s="249"/>
      <c r="Q136" s="249"/>
      <c r="R136" s="249"/>
      <c r="S136" s="249"/>
      <c r="T136" s="249"/>
      <c r="U136" s="249"/>
      <c r="V136" s="249"/>
      <c r="W136" s="249"/>
      <c r="X136" s="249"/>
      <c r="Y136" s="249"/>
      <c r="Z136" s="249"/>
      <c r="AA136" s="249"/>
    </row>
    <row r="137">
      <c r="A137" s="249"/>
      <c r="B137" s="249"/>
      <c r="C137" s="249"/>
      <c r="D137" s="249"/>
      <c r="E137" s="249"/>
      <c r="F137" s="249"/>
      <c r="G137" s="249"/>
      <c r="H137" s="249"/>
      <c r="I137" s="249"/>
      <c r="J137" s="249"/>
      <c r="K137" s="249"/>
      <c r="L137" s="249"/>
      <c r="M137" s="249"/>
      <c r="N137" s="249"/>
      <c r="O137" s="249"/>
      <c r="P137" s="249"/>
      <c r="Q137" s="249"/>
      <c r="R137" s="249"/>
      <c r="S137" s="249"/>
      <c r="T137" s="249"/>
      <c r="U137" s="249"/>
      <c r="V137" s="249"/>
      <c r="W137" s="249"/>
      <c r="X137" s="249"/>
      <c r="Y137" s="249"/>
      <c r="Z137" s="249"/>
      <c r="AA137" s="249"/>
    </row>
    <row r="138">
      <c r="A138" s="249"/>
      <c r="B138" s="249"/>
      <c r="C138" s="249"/>
      <c r="D138" s="249"/>
      <c r="E138" s="249"/>
      <c r="F138" s="249"/>
      <c r="G138" s="249"/>
      <c r="H138" s="249"/>
      <c r="I138" s="249"/>
      <c r="J138" s="249"/>
      <c r="K138" s="249"/>
      <c r="L138" s="249"/>
      <c r="M138" s="249"/>
      <c r="N138" s="249"/>
      <c r="O138" s="249"/>
      <c r="P138" s="249"/>
      <c r="Q138" s="249"/>
      <c r="R138" s="249"/>
      <c r="S138" s="249"/>
      <c r="T138" s="249"/>
      <c r="U138" s="249"/>
      <c r="V138" s="249"/>
      <c r="W138" s="249"/>
      <c r="X138" s="249"/>
      <c r="Y138" s="249"/>
      <c r="Z138" s="249"/>
      <c r="AA138" s="249"/>
    </row>
    <row r="139">
      <c r="A139" s="249"/>
      <c r="B139" s="249"/>
      <c r="C139" s="249"/>
      <c r="D139" s="249"/>
      <c r="E139" s="249"/>
      <c r="F139" s="249"/>
      <c r="G139" s="249"/>
      <c r="H139" s="249"/>
      <c r="I139" s="249"/>
      <c r="J139" s="249"/>
      <c r="K139" s="249"/>
      <c r="L139" s="249"/>
      <c r="M139" s="249"/>
      <c r="N139" s="249"/>
      <c r="O139" s="249"/>
      <c r="P139" s="249"/>
      <c r="Q139" s="249"/>
      <c r="R139" s="249"/>
      <c r="S139" s="249"/>
      <c r="T139" s="249"/>
      <c r="U139" s="249"/>
      <c r="V139" s="249"/>
      <c r="W139" s="249"/>
      <c r="X139" s="249"/>
      <c r="Y139" s="249"/>
      <c r="Z139" s="249"/>
      <c r="AA139" s="249"/>
    </row>
    <row r="140">
      <c r="A140" s="249"/>
      <c r="B140" s="249"/>
      <c r="C140" s="249"/>
      <c r="D140" s="249"/>
      <c r="E140" s="249"/>
      <c r="F140" s="249"/>
      <c r="G140" s="249"/>
      <c r="H140" s="249"/>
      <c r="I140" s="249"/>
      <c r="J140" s="249"/>
      <c r="K140" s="249"/>
      <c r="L140" s="249"/>
      <c r="M140" s="249"/>
      <c r="N140" s="249"/>
      <c r="O140" s="249"/>
      <c r="P140" s="249"/>
      <c r="Q140" s="249"/>
      <c r="R140" s="249"/>
      <c r="S140" s="249"/>
      <c r="T140" s="249"/>
      <c r="U140" s="249"/>
      <c r="V140" s="249"/>
      <c r="W140" s="249"/>
      <c r="X140" s="249"/>
      <c r="Y140" s="249"/>
      <c r="Z140" s="249"/>
      <c r="AA140" s="249"/>
    </row>
    <row r="141">
      <c r="A141" s="249"/>
      <c r="B141" s="249"/>
      <c r="C141" s="249"/>
      <c r="D141" s="249"/>
      <c r="E141" s="249"/>
      <c r="F141" s="249"/>
      <c r="G141" s="249"/>
      <c r="H141" s="249"/>
      <c r="I141" s="249"/>
      <c r="J141" s="249"/>
      <c r="K141" s="249"/>
      <c r="L141" s="249"/>
      <c r="M141" s="249"/>
      <c r="N141" s="249"/>
      <c r="O141" s="249"/>
      <c r="P141" s="249"/>
      <c r="Q141" s="249"/>
      <c r="R141" s="249"/>
      <c r="S141" s="249"/>
      <c r="T141" s="249"/>
      <c r="U141" s="249"/>
      <c r="V141" s="249"/>
      <c r="W141" s="249"/>
      <c r="X141" s="249"/>
      <c r="Y141" s="249"/>
      <c r="Z141" s="249"/>
      <c r="AA141" s="249"/>
    </row>
    <row r="142">
      <c r="A142" s="249"/>
      <c r="B142" s="249"/>
      <c r="C142" s="249"/>
      <c r="D142" s="249"/>
      <c r="E142" s="249"/>
      <c r="F142" s="249"/>
      <c r="G142" s="249"/>
      <c r="H142" s="249"/>
      <c r="I142" s="249"/>
      <c r="J142" s="249"/>
      <c r="K142" s="249"/>
      <c r="L142" s="249"/>
      <c r="M142" s="249"/>
      <c r="N142" s="249"/>
      <c r="O142" s="249"/>
      <c r="P142" s="249"/>
      <c r="Q142" s="249"/>
      <c r="R142" s="249"/>
      <c r="S142" s="249"/>
      <c r="T142" s="249"/>
      <c r="U142" s="249"/>
      <c r="V142" s="249"/>
      <c r="W142" s="249"/>
      <c r="X142" s="249"/>
      <c r="Y142" s="249"/>
      <c r="Z142" s="249"/>
      <c r="AA142" s="249"/>
    </row>
    <row r="143">
      <c r="A143" s="249"/>
      <c r="B143" s="249"/>
      <c r="C143" s="249"/>
      <c r="D143" s="249"/>
      <c r="E143" s="249"/>
      <c r="F143" s="249"/>
      <c r="G143" s="249"/>
      <c r="H143" s="249"/>
      <c r="I143" s="249"/>
      <c r="J143" s="249"/>
      <c r="K143" s="249"/>
      <c r="L143" s="249"/>
      <c r="M143" s="249"/>
      <c r="N143" s="249"/>
      <c r="O143" s="249"/>
      <c r="P143" s="249"/>
      <c r="Q143" s="249"/>
      <c r="R143" s="249"/>
      <c r="S143" s="249"/>
      <c r="T143" s="249"/>
      <c r="U143" s="249"/>
      <c r="V143" s="249"/>
      <c r="W143" s="249"/>
      <c r="X143" s="249"/>
      <c r="Y143" s="249"/>
      <c r="Z143" s="249"/>
      <c r="AA143" s="249"/>
    </row>
    <row r="144">
      <c r="A144" s="249"/>
      <c r="B144" s="249"/>
      <c r="C144" s="249"/>
      <c r="D144" s="249"/>
      <c r="E144" s="249"/>
      <c r="F144" s="249"/>
      <c r="G144" s="249"/>
      <c r="H144" s="249"/>
      <c r="I144" s="249"/>
      <c r="J144" s="249"/>
      <c r="K144" s="249"/>
      <c r="L144" s="249"/>
      <c r="M144" s="249"/>
      <c r="N144" s="249"/>
      <c r="O144" s="249"/>
      <c r="P144" s="249"/>
      <c r="Q144" s="249"/>
      <c r="R144" s="249"/>
      <c r="S144" s="249"/>
      <c r="T144" s="249"/>
      <c r="U144" s="249"/>
      <c r="V144" s="249"/>
      <c r="W144" s="249"/>
      <c r="X144" s="249"/>
      <c r="Y144" s="249"/>
      <c r="Z144" s="249"/>
      <c r="AA144" s="249"/>
    </row>
    <row r="145">
      <c r="A145" s="249"/>
      <c r="B145" s="249"/>
      <c r="C145" s="249"/>
      <c r="D145" s="249"/>
      <c r="E145" s="249"/>
      <c r="F145" s="249"/>
      <c r="G145" s="249"/>
      <c r="H145" s="249"/>
      <c r="I145" s="249"/>
      <c r="J145" s="249"/>
      <c r="K145" s="249"/>
      <c r="L145" s="249"/>
      <c r="M145" s="249"/>
      <c r="N145" s="249"/>
      <c r="O145" s="249"/>
      <c r="P145" s="249"/>
      <c r="Q145" s="249"/>
      <c r="R145" s="249"/>
      <c r="S145" s="249"/>
      <c r="T145" s="249"/>
      <c r="U145" s="249"/>
      <c r="V145" s="249"/>
      <c r="W145" s="249"/>
      <c r="X145" s="249"/>
      <c r="Y145" s="249"/>
      <c r="Z145" s="249"/>
      <c r="AA145" s="249"/>
    </row>
    <row r="146">
      <c r="A146" s="249"/>
      <c r="B146" s="249"/>
      <c r="C146" s="249"/>
      <c r="D146" s="249"/>
      <c r="E146" s="249"/>
      <c r="F146" s="249"/>
      <c r="G146" s="249"/>
      <c r="H146" s="249"/>
      <c r="I146" s="249"/>
      <c r="J146" s="249"/>
      <c r="K146" s="249"/>
      <c r="L146" s="249"/>
      <c r="M146" s="249"/>
      <c r="N146" s="249"/>
      <c r="O146" s="249"/>
      <c r="P146" s="249"/>
      <c r="Q146" s="249"/>
      <c r="R146" s="249"/>
      <c r="S146" s="249"/>
      <c r="T146" s="249"/>
      <c r="U146" s="249"/>
      <c r="V146" s="249"/>
      <c r="W146" s="249"/>
      <c r="X146" s="249"/>
      <c r="Y146" s="249"/>
      <c r="Z146" s="249"/>
      <c r="AA146" s="249"/>
    </row>
    <row r="147">
      <c r="A147" s="249"/>
      <c r="B147" s="249"/>
      <c r="C147" s="249"/>
      <c r="D147" s="249"/>
      <c r="E147" s="249"/>
      <c r="F147" s="249"/>
      <c r="G147" s="249"/>
      <c r="H147" s="249"/>
      <c r="I147" s="249"/>
      <c r="J147" s="249"/>
      <c r="K147" s="249"/>
      <c r="L147" s="249"/>
      <c r="M147" s="249"/>
      <c r="N147" s="249"/>
      <c r="O147" s="249"/>
      <c r="P147" s="249"/>
      <c r="Q147" s="249"/>
      <c r="R147" s="249"/>
      <c r="S147" s="249"/>
      <c r="T147" s="249"/>
      <c r="U147" s="249"/>
      <c r="V147" s="249"/>
      <c r="W147" s="249"/>
      <c r="X147" s="249"/>
      <c r="Y147" s="249"/>
      <c r="Z147" s="249"/>
      <c r="AA147" s="249"/>
    </row>
    <row r="148">
      <c r="A148" s="249"/>
      <c r="B148" s="249"/>
      <c r="C148" s="249"/>
      <c r="D148" s="249"/>
      <c r="E148" s="249"/>
      <c r="F148" s="249"/>
      <c r="G148" s="249"/>
      <c r="H148" s="249"/>
      <c r="I148" s="249"/>
      <c r="J148" s="249"/>
      <c r="K148" s="249"/>
      <c r="L148" s="249"/>
      <c r="M148" s="249"/>
      <c r="N148" s="249"/>
      <c r="O148" s="249"/>
      <c r="P148" s="249"/>
      <c r="Q148" s="249"/>
      <c r="R148" s="249"/>
      <c r="S148" s="249"/>
      <c r="T148" s="249"/>
      <c r="U148" s="249"/>
      <c r="V148" s="249"/>
      <c r="W148" s="249"/>
      <c r="X148" s="249"/>
      <c r="Y148" s="249"/>
      <c r="Z148" s="249"/>
      <c r="AA148" s="249"/>
    </row>
    <row r="149">
      <c r="A149" s="249"/>
      <c r="B149" s="249"/>
      <c r="C149" s="249"/>
      <c r="D149" s="249"/>
      <c r="E149" s="249"/>
      <c r="F149" s="249"/>
      <c r="G149" s="249"/>
      <c r="H149" s="249"/>
      <c r="I149" s="249"/>
      <c r="J149" s="249"/>
      <c r="K149" s="249"/>
      <c r="L149" s="249"/>
      <c r="M149" s="249"/>
      <c r="N149" s="249"/>
      <c r="O149" s="249"/>
      <c r="P149" s="249"/>
      <c r="Q149" s="249"/>
      <c r="R149" s="249"/>
      <c r="S149" s="249"/>
      <c r="T149" s="249"/>
      <c r="U149" s="249"/>
      <c r="V149" s="249"/>
      <c r="W149" s="249"/>
      <c r="X149" s="249"/>
      <c r="Y149" s="249"/>
      <c r="Z149" s="249"/>
      <c r="AA149" s="249"/>
    </row>
    <row r="150">
      <c r="A150" s="249"/>
      <c r="B150" s="249"/>
      <c r="C150" s="249"/>
      <c r="D150" s="249"/>
      <c r="E150" s="249"/>
      <c r="F150" s="249"/>
      <c r="G150" s="249"/>
      <c r="H150" s="249"/>
      <c r="I150" s="249"/>
      <c r="J150" s="249"/>
      <c r="K150" s="249"/>
      <c r="L150" s="249"/>
      <c r="M150" s="249"/>
      <c r="N150" s="249"/>
      <c r="O150" s="249"/>
      <c r="P150" s="249"/>
      <c r="Q150" s="249"/>
      <c r="R150" s="249"/>
      <c r="S150" s="249"/>
      <c r="T150" s="249"/>
      <c r="U150" s="249"/>
      <c r="V150" s="249"/>
      <c r="W150" s="249"/>
      <c r="X150" s="249"/>
      <c r="Y150" s="249"/>
      <c r="Z150" s="249"/>
      <c r="AA150" s="249"/>
    </row>
    <row r="151">
      <c r="A151" s="249"/>
      <c r="B151" s="249"/>
      <c r="C151" s="249"/>
      <c r="D151" s="249"/>
      <c r="E151" s="249"/>
      <c r="F151" s="249"/>
      <c r="G151" s="249"/>
      <c r="H151" s="249"/>
      <c r="I151" s="249"/>
      <c r="J151" s="249"/>
      <c r="K151" s="249"/>
      <c r="L151" s="249"/>
      <c r="M151" s="249"/>
      <c r="N151" s="249"/>
      <c r="O151" s="249"/>
      <c r="P151" s="249"/>
      <c r="Q151" s="249"/>
      <c r="R151" s="249"/>
      <c r="S151" s="249"/>
      <c r="T151" s="249"/>
      <c r="U151" s="249"/>
      <c r="V151" s="249"/>
      <c r="W151" s="249"/>
      <c r="X151" s="249"/>
      <c r="Y151" s="249"/>
      <c r="Z151" s="249"/>
      <c r="AA151" s="249"/>
    </row>
    <row r="152">
      <c r="A152" s="249"/>
      <c r="B152" s="249"/>
      <c r="C152" s="249"/>
      <c r="D152" s="249"/>
      <c r="E152" s="249"/>
      <c r="F152" s="249"/>
      <c r="G152" s="249"/>
      <c r="H152" s="249"/>
      <c r="I152" s="249"/>
      <c r="J152" s="249"/>
      <c r="K152" s="249"/>
      <c r="L152" s="249"/>
      <c r="M152" s="249"/>
      <c r="N152" s="249"/>
      <c r="O152" s="249"/>
      <c r="P152" s="249"/>
      <c r="Q152" s="249"/>
      <c r="R152" s="249"/>
      <c r="S152" s="249"/>
      <c r="T152" s="249"/>
      <c r="U152" s="249"/>
      <c r="V152" s="249"/>
      <c r="W152" s="249"/>
      <c r="X152" s="249"/>
      <c r="Y152" s="249"/>
      <c r="Z152" s="249"/>
      <c r="AA152" s="249"/>
    </row>
    <row r="153">
      <c r="A153" s="249"/>
      <c r="B153" s="249"/>
      <c r="C153" s="249"/>
      <c r="D153" s="249"/>
      <c r="E153" s="249"/>
      <c r="F153" s="249"/>
      <c r="G153" s="249"/>
      <c r="H153" s="249"/>
      <c r="I153" s="249"/>
      <c r="J153" s="249"/>
      <c r="K153" s="249"/>
      <c r="L153" s="249"/>
      <c r="M153" s="249"/>
      <c r="N153" s="249"/>
      <c r="O153" s="249"/>
      <c r="P153" s="249"/>
      <c r="Q153" s="249"/>
      <c r="R153" s="249"/>
      <c r="S153" s="249"/>
      <c r="T153" s="249"/>
      <c r="U153" s="249"/>
      <c r="V153" s="249"/>
      <c r="W153" s="249"/>
      <c r="X153" s="249"/>
      <c r="Y153" s="249"/>
      <c r="Z153" s="249"/>
      <c r="AA153" s="249"/>
    </row>
    <row r="154">
      <c r="A154" s="249"/>
      <c r="B154" s="249"/>
      <c r="C154" s="249"/>
      <c r="D154" s="249"/>
      <c r="E154" s="249"/>
      <c r="F154" s="249"/>
      <c r="G154" s="249"/>
      <c r="H154" s="249"/>
      <c r="I154" s="249"/>
      <c r="J154" s="249"/>
      <c r="K154" s="249"/>
      <c r="L154" s="249"/>
      <c r="M154" s="249"/>
      <c r="N154" s="249"/>
      <c r="O154" s="249"/>
      <c r="P154" s="249"/>
      <c r="Q154" s="249"/>
      <c r="R154" s="249"/>
      <c r="S154" s="249"/>
      <c r="T154" s="249"/>
      <c r="U154" s="249"/>
      <c r="V154" s="249"/>
      <c r="W154" s="249"/>
      <c r="X154" s="249"/>
      <c r="Y154" s="249"/>
      <c r="Z154" s="249"/>
      <c r="AA154" s="249"/>
    </row>
    <row r="155">
      <c r="A155" s="249"/>
      <c r="B155" s="249"/>
      <c r="C155" s="249"/>
      <c r="D155" s="249"/>
      <c r="E155" s="249"/>
      <c r="F155" s="249"/>
      <c r="G155" s="249"/>
      <c r="H155" s="249"/>
      <c r="I155" s="249"/>
      <c r="J155" s="249"/>
      <c r="K155" s="249"/>
      <c r="L155" s="249"/>
      <c r="M155" s="249"/>
      <c r="N155" s="249"/>
      <c r="O155" s="249"/>
      <c r="P155" s="249"/>
      <c r="Q155" s="249"/>
      <c r="R155" s="249"/>
      <c r="S155" s="249"/>
      <c r="T155" s="249"/>
      <c r="U155" s="249"/>
      <c r="V155" s="249"/>
      <c r="W155" s="249"/>
      <c r="X155" s="249"/>
      <c r="Y155" s="249"/>
      <c r="Z155" s="249"/>
      <c r="AA155" s="249"/>
    </row>
    <row r="156">
      <c r="A156" s="249"/>
      <c r="B156" s="249"/>
      <c r="C156" s="249"/>
      <c r="D156" s="249"/>
      <c r="E156" s="249"/>
      <c r="F156" s="249"/>
      <c r="G156" s="249"/>
      <c r="H156" s="249"/>
      <c r="I156" s="249"/>
      <c r="J156" s="249"/>
      <c r="K156" s="249"/>
      <c r="L156" s="249"/>
      <c r="M156" s="249"/>
      <c r="N156" s="249"/>
      <c r="O156" s="249"/>
      <c r="P156" s="249"/>
      <c r="Q156" s="249"/>
      <c r="R156" s="249"/>
      <c r="S156" s="249"/>
      <c r="T156" s="249"/>
      <c r="U156" s="249"/>
      <c r="V156" s="249"/>
      <c r="W156" s="249"/>
      <c r="X156" s="249"/>
      <c r="Y156" s="249"/>
      <c r="Z156" s="249"/>
      <c r="AA156" s="249"/>
    </row>
    <row r="157">
      <c r="A157" s="249"/>
      <c r="B157" s="249"/>
      <c r="C157" s="249"/>
      <c r="D157" s="249"/>
      <c r="E157" s="249"/>
      <c r="F157" s="249"/>
      <c r="G157" s="249"/>
      <c r="H157" s="249"/>
      <c r="I157" s="249"/>
      <c r="J157" s="249"/>
      <c r="K157" s="249"/>
      <c r="L157" s="249"/>
      <c r="M157" s="249"/>
      <c r="N157" s="249"/>
      <c r="O157" s="249"/>
      <c r="P157" s="249"/>
      <c r="Q157" s="249"/>
      <c r="R157" s="249"/>
      <c r="S157" s="249"/>
      <c r="T157" s="249"/>
      <c r="U157" s="249"/>
      <c r="V157" s="249"/>
      <c r="W157" s="249"/>
      <c r="X157" s="249"/>
      <c r="Y157" s="249"/>
      <c r="Z157" s="249"/>
      <c r="AA157" s="249"/>
    </row>
    <row r="158">
      <c r="A158" s="249"/>
      <c r="B158" s="249"/>
      <c r="C158" s="249"/>
      <c r="D158" s="249"/>
      <c r="E158" s="249"/>
      <c r="F158" s="249"/>
      <c r="G158" s="249"/>
      <c r="H158" s="249"/>
      <c r="I158" s="249"/>
      <c r="J158" s="249"/>
      <c r="K158" s="249"/>
      <c r="L158" s="249"/>
      <c r="M158" s="249"/>
      <c r="N158" s="249"/>
      <c r="O158" s="249"/>
      <c r="P158" s="249"/>
      <c r="Q158" s="249"/>
      <c r="R158" s="249"/>
      <c r="S158" s="249"/>
      <c r="T158" s="249"/>
      <c r="U158" s="249"/>
      <c r="V158" s="249"/>
      <c r="W158" s="249"/>
      <c r="X158" s="249"/>
      <c r="Y158" s="249"/>
      <c r="Z158" s="249"/>
      <c r="AA158" s="249"/>
    </row>
    <row r="159">
      <c r="A159" s="249"/>
      <c r="B159" s="249"/>
      <c r="C159" s="249"/>
      <c r="D159" s="249"/>
      <c r="E159" s="249"/>
      <c r="F159" s="249"/>
      <c r="G159" s="249"/>
      <c r="H159" s="249"/>
      <c r="I159" s="249"/>
      <c r="J159" s="249"/>
      <c r="K159" s="249"/>
      <c r="L159" s="249"/>
      <c r="M159" s="249"/>
      <c r="N159" s="249"/>
      <c r="O159" s="249"/>
      <c r="P159" s="249"/>
      <c r="Q159" s="249"/>
      <c r="R159" s="249"/>
      <c r="S159" s="249"/>
      <c r="T159" s="249"/>
      <c r="U159" s="249"/>
      <c r="V159" s="249"/>
      <c r="W159" s="249"/>
      <c r="X159" s="249"/>
      <c r="Y159" s="249"/>
      <c r="Z159" s="249"/>
      <c r="AA159" s="249"/>
    </row>
    <row r="160">
      <c r="A160" s="249"/>
      <c r="B160" s="249"/>
      <c r="C160" s="249"/>
      <c r="D160" s="249"/>
      <c r="E160" s="249"/>
      <c r="F160" s="249"/>
      <c r="G160" s="249"/>
      <c r="H160" s="249"/>
      <c r="I160" s="249"/>
      <c r="J160" s="249"/>
      <c r="K160" s="249"/>
      <c r="L160" s="249"/>
      <c r="M160" s="249"/>
      <c r="N160" s="249"/>
      <c r="O160" s="249"/>
      <c r="P160" s="249"/>
      <c r="Q160" s="249"/>
      <c r="R160" s="249"/>
      <c r="S160" s="249"/>
      <c r="T160" s="249"/>
      <c r="U160" s="249"/>
      <c r="V160" s="249"/>
      <c r="W160" s="249"/>
      <c r="X160" s="249"/>
      <c r="Y160" s="249"/>
      <c r="Z160" s="249"/>
      <c r="AA160" s="249"/>
    </row>
    <row r="161">
      <c r="A161" s="249"/>
      <c r="B161" s="249"/>
      <c r="C161" s="249"/>
      <c r="D161" s="249"/>
      <c r="E161" s="249"/>
      <c r="F161" s="249"/>
      <c r="G161" s="249"/>
      <c r="H161" s="249"/>
      <c r="I161" s="249"/>
      <c r="J161" s="249"/>
      <c r="K161" s="249"/>
      <c r="L161" s="249"/>
      <c r="M161" s="249"/>
      <c r="N161" s="249"/>
      <c r="O161" s="249"/>
      <c r="P161" s="249"/>
      <c r="Q161" s="249"/>
      <c r="R161" s="249"/>
      <c r="S161" s="249"/>
      <c r="T161" s="249"/>
      <c r="U161" s="249"/>
      <c r="V161" s="249"/>
      <c r="W161" s="249"/>
      <c r="X161" s="249"/>
      <c r="Y161" s="249"/>
      <c r="Z161" s="249"/>
      <c r="AA161" s="249"/>
    </row>
    <row r="162">
      <c r="A162" s="249"/>
      <c r="B162" s="249"/>
      <c r="C162" s="249"/>
      <c r="D162" s="249"/>
      <c r="E162" s="249"/>
      <c r="F162" s="249"/>
      <c r="G162" s="249"/>
      <c r="H162" s="249"/>
      <c r="I162" s="249"/>
      <c r="J162" s="249"/>
      <c r="K162" s="249"/>
      <c r="L162" s="249"/>
      <c r="M162" s="249"/>
      <c r="N162" s="249"/>
      <c r="O162" s="249"/>
      <c r="P162" s="249"/>
      <c r="Q162" s="249"/>
      <c r="R162" s="249"/>
      <c r="S162" s="249"/>
      <c r="T162" s="249"/>
      <c r="U162" s="249"/>
      <c r="V162" s="249"/>
      <c r="W162" s="249"/>
      <c r="X162" s="249"/>
      <c r="Y162" s="249"/>
      <c r="Z162" s="249"/>
      <c r="AA162" s="249"/>
    </row>
    <row r="163">
      <c r="A163" s="249"/>
      <c r="B163" s="249"/>
      <c r="C163" s="249"/>
      <c r="D163" s="249"/>
      <c r="E163" s="249"/>
      <c r="F163" s="249"/>
      <c r="G163" s="249"/>
      <c r="H163" s="249"/>
      <c r="I163" s="249"/>
      <c r="J163" s="249"/>
      <c r="K163" s="249"/>
      <c r="L163" s="249"/>
      <c r="M163" s="249"/>
      <c r="N163" s="249"/>
      <c r="O163" s="249"/>
      <c r="P163" s="249"/>
      <c r="Q163" s="249"/>
      <c r="R163" s="249"/>
      <c r="S163" s="249"/>
      <c r="T163" s="249"/>
      <c r="U163" s="249"/>
      <c r="V163" s="249"/>
      <c r="W163" s="249"/>
      <c r="X163" s="249"/>
      <c r="Y163" s="249"/>
      <c r="Z163" s="249"/>
      <c r="AA163" s="249"/>
    </row>
    <row r="164">
      <c r="A164" s="249"/>
      <c r="B164" s="249"/>
      <c r="C164" s="249"/>
      <c r="D164" s="249"/>
      <c r="E164" s="249"/>
      <c r="F164" s="249"/>
      <c r="G164" s="249"/>
      <c r="H164" s="249"/>
      <c r="I164" s="249"/>
      <c r="J164" s="249"/>
      <c r="K164" s="249"/>
      <c r="L164" s="249"/>
      <c r="M164" s="249"/>
      <c r="N164" s="249"/>
      <c r="O164" s="249"/>
      <c r="P164" s="249"/>
      <c r="Q164" s="249"/>
      <c r="R164" s="249"/>
      <c r="S164" s="249"/>
      <c r="T164" s="249"/>
      <c r="U164" s="249"/>
      <c r="V164" s="249"/>
      <c r="W164" s="249"/>
      <c r="X164" s="249"/>
      <c r="Y164" s="249"/>
      <c r="Z164" s="249"/>
      <c r="AA164" s="249"/>
    </row>
    <row r="165">
      <c r="A165" s="249"/>
      <c r="B165" s="249"/>
      <c r="C165" s="249"/>
      <c r="D165" s="249"/>
      <c r="E165" s="249"/>
      <c r="F165" s="249"/>
      <c r="G165" s="249"/>
      <c r="H165" s="249"/>
      <c r="I165" s="249"/>
      <c r="J165" s="249"/>
      <c r="K165" s="249"/>
      <c r="L165" s="249"/>
      <c r="M165" s="249"/>
      <c r="N165" s="249"/>
      <c r="O165" s="249"/>
      <c r="P165" s="249"/>
      <c r="Q165" s="249"/>
      <c r="R165" s="249"/>
      <c r="S165" s="249"/>
      <c r="T165" s="249"/>
      <c r="U165" s="249"/>
      <c r="V165" s="249"/>
      <c r="W165" s="249"/>
      <c r="X165" s="249"/>
      <c r="Y165" s="249"/>
      <c r="Z165" s="249"/>
      <c r="AA165" s="249"/>
    </row>
    <row r="166">
      <c r="A166" s="249"/>
      <c r="B166" s="249"/>
      <c r="C166" s="249"/>
      <c r="D166" s="249"/>
      <c r="E166" s="249"/>
      <c r="F166" s="249"/>
      <c r="G166" s="249"/>
      <c r="H166" s="249"/>
      <c r="I166" s="249"/>
      <c r="J166" s="249"/>
      <c r="K166" s="249"/>
      <c r="L166" s="249"/>
      <c r="M166" s="249"/>
      <c r="N166" s="249"/>
      <c r="O166" s="249"/>
      <c r="P166" s="249"/>
      <c r="Q166" s="249"/>
      <c r="R166" s="249"/>
      <c r="S166" s="249"/>
      <c r="T166" s="249"/>
      <c r="U166" s="249"/>
      <c r="V166" s="249"/>
      <c r="W166" s="249"/>
      <c r="X166" s="249"/>
      <c r="Y166" s="249"/>
      <c r="Z166" s="249"/>
      <c r="AA166" s="249"/>
    </row>
    <row r="167">
      <c r="A167" s="249"/>
      <c r="B167" s="249"/>
      <c r="C167" s="249"/>
      <c r="D167" s="249"/>
      <c r="E167" s="249"/>
      <c r="F167" s="249"/>
      <c r="G167" s="249"/>
      <c r="H167" s="249"/>
      <c r="I167" s="249"/>
      <c r="J167" s="249"/>
      <c r="K167" s="249"/>
      <c r="L167" s="249"/>
      <c r="M167" s="249"/>
      <c r="N167" s="249"/>
      <c r="O167" s="249"/>
      <c r="P167" s="249"/>
      <c r="Q167" s="249"/>
      <c r="R167" s="249"/>
      <c r="S167" s="249"/>
      <c r="T167" s="249"/>
      <c r="U167" s="249"/>
      <c r="V167" s="249"/>
      <c r="W167" s="249"/>
      <c r="X167" s="249"/>
      <c r="Y167" s="249"/>
      <c r="Z167" s="249"/>
      <c r="AA167" s="249"/>
    </row>
    <row r="168">
      <c r="A168" s="249"/>
      <c r="B168" s="249"/>
      <c r="C168" s="249"/>
      <c r="D168" s="249"/>
      <c r="E168" s="249"/>
      <c r="F168" s="249"/>
      <c r="G168" s="249"/>
      <c r="H168" s="249"/>
      <c r="I168" s="249"/>
      <c r="J168" s="249"/>
      <c r="K168" s="249"/>
      <c r="L168" s="249"/>
      <c r="M168" s="249"/>
      <c r="N168" s="249"/>
      <c r="O168" s="249"/>
      <c r="P168" s="249"/>
      <c r="Q168" s="249"/>
      <c r="R168" s="249"/>
      <c r="S168" s="249"/>
      <c r="T168" s="249"/>
      <c r="U168" s="249"/>
      <c r="V168" s="249"/>
      <c r="W168" s="249"/>
      <c r="X168" s="249"/>
      <c r="Y168" s="249"/>
      <c r="Z168" s="249"/>
      <c r="AA168" s="249"/>
    </row>
    <row r="169">
      <c r="A169" s="249"/>
      <c r="B169" s="249"/>
      <c r="C169" s="249"/>
      <c r="D169" s="249"/>
      <c r="E169" s="249"/>
      <c r="F169" s="249"/>
      <c r="G169" s="249"/>
      <c r="H169" s="249"/>
      <c r="I169" s="249"/>
      <c r="J169" s="249"/>
      <c r="K169" s="249"/>
      <c r="L169" s="249"/>
      <c r="M169" s="249"/>
      <c r="N169" s="249"/>
      <c r="O169" s="249"/>
      <c r="P169" s="249"/>
      <c r="Q169" s="249"/>
      <c r="R169" s="249"/>
      <c r="S169" s="249"/>
      <c r="T169" s="249"/>
      <c r="U169" s="249"/>
      <c r="V169" s="249"/>
      <c r="W169" s="249"/>
      <c r="X169" s="249"/>
      <c r="Y169" s="249"/>
      <c r="Z169" s="249"/>
      <c r="AA169" s="249"/>
    </row>
    <row r="170">
      <c r="A170" s="249"/>
      <c r="B170" s="249"/>
      <c r="C170" s="249"/>
      <c r="D170" s="249"/>
      <c r="E170" s="249"/>
      <c r="F170" s="249"/>
      <c r="G170" s="249"/>
      <c r="H170" s="249"/>
      <c r="I170" s="249"/>
      <c r="J170" s="249"/>
      <c r="K170" s="249"/>
      <c r="L170" s="249"/>
      <c r="M170" s="249"/>
      <c r="N170" s="249"/>
      <c r="O170" s="249"/>
      <c r="P170" s="249"/>
      <c r="Q170" s="249"/>
      <c r="R170" s="249"/>
      <c r="S170" s="249"/>
      <c r="T170" s="249"/>
      <c r="U170" s="249"/>
      <c r="V170" s="249"/>
      <c r="W170" s="249"/>
      <c r="X170" s="249"/>
      <c r="Y170" s="249"/>
      <c r="Z170" s="249"/>
      <c r="AA170" s="249"/>
    </row>
    <row r="171">
      <c r="A171" s="249"/>
      <c r="B171" s="249"/>
      <c r="C171" s="249"/>
      <c r="D171" s="249"/>
      <c r="E171" s="249"/>
      <c r="F171" s="249"/>
      <c r="G171" s="249"/>
      <c r="H171" s="249"/>
      <c r="I171" s="249"/>
      <c r="J171" s="249"/>
      <c r="K171" s="249"/>
      <c r="L171" s="249"/>
      <c r="M171" s="249"/>
      <c r="N171" s="249"/>
      <c r="O171" s="249"/>
      <c r="P171" s="249"/>
      <c r="Q171" s="249"/>
      <c r="R171" s="249"/>
      <c r="S171" s="249"/>
      <c r="T171" s="249"/>
      <c r="U171" s="249"/>
      <c r="V171" s="249"/>
      <c r="W171" s="249"/>
      <c r="X171" s="249"/>
      <c r="Y171" s="249"/>
      <c r="Z171" s="249"/>
      <c r="AA171" s="249"/>
    </row>
    <row r="172">
      <c r="A172" s="249"/>
      <c r="B172" s="249"/>
      <c r="C172" s="249"/>
      <c r="D172" s="249"/>
      <c r="E172" s="249"/>
      <c r="F172" s="249"/>
      <c r="G172" s="249"/>
      <c r="H172" s="249"/>
      <c r="I172" s="249"/>
      <c r="J172" s="249"/>
      <c r="K172" s="249"/>
      <c r="L172" s="249"/>
      <c r="M172" s="249"/>
      <c r="N172" s="249"/>
      <c r="O172" s="249"/>
      <c r="P172" s="249"/>
      <c r="Q172" s="249"/>
      <c r="R172" s="249"/>
      <c r="S172" s="249"/>
      <c r="T172" s="249"/>
      <c r="U172" s="249"/>
      <c r="V172" s="249"/>
      <c r="W172" s="249"/>
      <c r="X172" s="249"/>
      <c r="Y172" s="249"/>
      <c r="Z172" s="249"/>
      <c r="AA172" s="249"/>
    </row>
    <row r="173">
      <c r="A173" s="249"/>
      <c r="B173" s="249"/>
      <c r="C173" s="249"/>
      <c r="D173" s="249"/>
      <c r="E173" s="249"/>
      <c r="F173" s="249"/>
      <c r="G173" s="249"/>
      <c r="H173" s="249"/>
      <c r="I173" s="249"/>
      <c r="J173" s="249"/>
      <c r="K173" s="249"/>
      <c r="L173" s="249"/>
      <c r="M173" s="249"/>
      <c r="N173" s="249"/>
      <c r="O173" s="249"/>
      <c r="P173" s="249"/>
      <c r="Q173" s="249"/>
      <c r="R173" s="249"/>
      <c r="S173" s="249"/>
      <c r="T173" s="249"/>
      <c r="U173" s="249"/>
      <c r="V173" s="249"/>
      <c r="W173" s="249"/>
      <c r="X173" s="249"/>
      <c r="Y173" s="249"/>
      <c r="Z173" s="249"/>
      <c r="AA173" s="249"/>
    </row>
    <row r="174">
      <c r="A174" s="249"/>
      <c r="B174" s="249"/>
      <c r="C174" s="249"/>
      <c r="D174" s="249"/>
      <c r="E174" s="249"/>
      <c r="F174" s="249"/>
      <c r="G174" s="249"/>
      <c r="H174" s="249"/>
      <c r="I174" s="249"/>
      <c r="J174" s="249"/>
      <c r="K174" s="249"/>
      <c r="L174" s="249"/>
      <c r="M174" s="249"/>
      <c r="N174" s="249"/>
      <c r="O174" s="249"/>
      <c r="P174" s="249"/>
      <c r="Q174" s="249"/>
      <c r="R174" s="249"/>
      <c r="S174" s="249"/>
      <c r="T174" s="249"/>
      <c r="U174" s="249"/>
      <c r="V174" s="249"/>
      <c r="W174" s="249"/>
      <c r="X174" s="249"/>
      <c r="Y174" s="249"/>
      <c r="Z174" s="249"/>
      <c r="AA174" s="249"/>
    </row>
    <row r="175">
      <c r="A175" s="249"/>
      <c r="B175" s="249"/>
      <c r="C175" s="249"/>
      <c r="D175" s="249"/>
      <c r="E175" s="249"/>
      <c r="F175" s="249"/>
      <c r="G175" s="249"/>
      <c r="H175" s="249"/>
      <c r="I175" s="249"/>
      <c r="J175" s="249"/>
      <c r="K175" s="249"/>
      <c r="L175" s="249"/>
      <c r="M175" s="249"/>
      <c r="N175" s="249"/>
      <c r="O175" s="249"/>
      <c r="P175" s="249"/>
      <c r="Q175" s="249"/>
      <c r="R175" s="249"/>
      <c r="S175" s="249"/>
      <c r="T175" s="249"/>
      <c r="U175" s="249"/>
      <c r="V175" s="249"/>
      <c r="W175" s="249"/>
      <c r="X175" s="249"/>
      <c r="Y175" s="249"/>
      <c r="Z175" s="249"/>
      <c r="AA175" s="249"/>
    </row>
    <row r="176">
      <c r="A176" s="249"/>
      <c r="B176" s="249"/>
      <c r="C176" s="249"/>
      <c r="D176" s="249"/>
      <c r="E176" s="249"/>
      <c r="F176" s="249"/>
      <c r="G176" s="249"/>
      <c r="H176" s="249"/>
      <c r="I176" s="249"/>
      <c r="J176" s="249"/>
      <c r="K176" s="249"/>
      <c r="L176" s="249"/>
      <c r="M176" s="249"/>
      <c r="N176" s="249"/>
      <c r="O176" s="249"/>
      <c r="P176" s="249"/>
      <c r="Q176" s="249"/>
      <c r="R176" s="249"/>
      <c r="S176" s="249"/>
      <c r="T176" s="249"/>
      <c r="U176" s="249"/>
      <c r="V176" s="249"/>
      <c r="W176" s="249"/>
      <c r="X176" s="249"/>
      <c r="Y176" s="249"/>
      <c r="Z176" s="249"/>
      <c r="AA176" s="249"/>
    </row>
    <row r="177">
      <c r="A177" s="249"/>
      <c r="B177" s="249"/>
      <c r="C177" s="249"/>
      <c r="D177" s="249"/>
      <c r="E177" s="249"/>
      <c r="F177" s="249"/>
      <c r="G177" s="249"/>
      <c r="H177" s="249"/>
      <c r="I177" s="249"/>
      <c r="J177" s="249"/>
      <c r="K177" s="249"/>
      <c r="L177" s="249"/>
      <c r="M177" s="249"/>
      <c r="N177" s="249"/>
      <c r="O177" s="249"/>
      <c r="P177" s="249"/>
      <c r="Q177" s="249"/>
      <c r="R177" s="249"/>
      <c r="S177" s="249"/>
      <c r="T177" s="249"/>
      <c r="U177" s="249"/>
      <c r="V177" s="249"/>
      <c r="W177" s="249"/>
      <c r="X177" s="249"/>
      <c r="Y177" s="249"/>
      <c r="Z177" s="249"/>
      <c r="AA177" s="249"/>
    </row>
    <row r="178">
      <c r="A178" s="249"/>
      <c r="B178" s="249"/>
      <c r="C178" s="249"/>
      <c r="D178" s="249"/>
      <c r="E178" s="249"/>
      <c r="F178" s="249"/>
      <c r="G178" s="249"/>
      <c r="H178" s="249"/>
      <c r="I178" s="249"/>
      <c r="J178" s="249"/>
      <c r="K178" s="249"/>
      <c r="L178" s="249"/>
      <c r="M178" s="249"/>
      <c r="N178" s="249"/>
      <c r="O178" s="249"/>
      <c r="P178" s="249"/>
      <c r="Q178" s="249"/>
      <c r="R178" s="249"/>
      <c r="S178" s="249"/>
      <c r="T178" s="249"/>
      <c r="U178" s="249"/>
      <c r="V178" s="249"/>
      <c r="W178" s="249"/>
      <c r="X178" s="249"/>
      <c r="Y178" s="249"/>
      <c r="Z178" s="249"/>
      <c r="AA178" s="249"/>
    </row>
    <row r="179">
      <c r="A179" s="249"/>
      <c r="B179" s="249"/>
      <c r="C179" s="249"/>
      <c r="D179" s="249"/>
      <c r="E179" s="249"/>
      <c r="F179" s="249"/>
      <c r="G179" s="249"/>
      <c r="H179" s="249"/>
      <c r="I179" s="249"/>
      <c r="J179" s="249"/>
      <c r="K179" s="249"/>
      <c r="L179" s="249"/>
      <c r="M179" s="249"/>
      <c r="N179" s="249"/>
      <c r="O179" s="249"/>
      <c r="P179" s="249"/>
      <c r="Q179" s="249"/>
      <c r="R179" s="249"/>
      <c r="S179" s="249"/>
      <c r="T179" s="249"/>
      <c r="U179" s="249"/>
      <c r="V179" s="249"/>
      <c r="W179" s="249"/>
      <c r="X179" s="249"/>
      <c r="Y179" s="249"/>
      <c r="Z179" s="249"/>
      <c r="AA179" s="249"/>
    </row>
    <row r="180">
      <c r="A180" s="249"/>
      <c r="B180" s="249"/>
      <c r="C180" s="249"/>
      <c r="D180" s="249"/>
      <c r="E180" s="249"/>
      <c r="F180" s="249"/>
      <c r="G180" s="249"/>
      <c r="H180" s="249"/>
      <c r="I180" s="249"/>
      <c r="J180" s="249"/>
      <c r="K180" s="249"/>
      <c r="L180" s="249"/>
      <c r="M180" s="249"/>
      <c r="N180" s="249"/>
      <c r="O180" s="249"/>
      <c r="P180" s="249"/>
      <c r="Q180" s="249"/>
      <c r="R180" s="249"/>
      <c r="S180" s="249"/>
      <c r="T180" s="249"/>
      <c r="U180" s="249"/>
      <c r="V180" s="249"/>
      <c r="W180" s="249"/>
      <c r="X180" s="249"/>
      <c r="Y180" s="249"/>
      <c r="Z180" s="249"/>
      <c r="AA180" s="249"/>
    </row>
    <row r="181">
      <c r="A181" s="249"/>
      <c r="B181" s="249"/>
      <c r="C181" s="249"/>
      <c r="D181" s="249"/>
      <c r="E181" s="249"/>
      <c r="F181" s="249"/>
      <c r="G181" s="249"/>
      <c r="H181" s="249"/>
      <c r="I181" s="249"/>
      <c r="J181" s="249"/>
      <c r="K181" s="249"/>
      <c r="L181" s="249"/>
      <c r="M181" s="249"/>
      <c r="N181" s="249"/>
      <c r="O181" s="249"/>
      <c r="P181" s="249"/>
      <c r="Q181" s="249"/>
      <c r="R181" s="249"/>
      <c r="S181" s="249"/>
      <c r="T181" s="249"/>
      <c r="U181" s="249"/>
      <c r="V181" s="249"/>
      <c r="W181" s="249"/>
      <c r="X181" s="249"/>
      <c r="Y181" s="249"/>
      <c r="Z181" s="249"/>
      <c r="AA181" s="249"/>
    </row>
    <row r="182">
      <c r="A182" s="249"/>
      <c r="B182" s="249"/>
      <c r="C182" s="249"/>
      <c r="D182" s="249"/>
      <c r="E182" s="249"/>
      <c r="F182" s="249"/>
      <c r="G182" s="249"/>
      <c r="H182" s="249"/>
      <c r="I182" s="249"/>
      <c r="J182" s="249"/>
      <c r="K182" s="249"/>
      <c r="L182" s="249"/>
      <c r="M182" s="249"/>
      <c r="N182" s="249"/>
      <c r="O182" s="249"/>
      <c r="P182" s="249"/>
      <c r="Q182" s="249"/>
      <c r="R182" s="249"/>
      <c r="S182" s="249"/>
      <c r="T182" s="249"/>
      <c r="U182" s="249"/>
      <c r="V182" s="249"/>
      <c r="W182" s="249"/>
      <c r="X182" s="249"/>
      <c r="Y182" s="249"/>
      <c r="Z182" s="249"/>
      <c r="AA182" s="249"/>
    </row>
    <row r="183">
      <c r="A183" s="249"/>
      <c r="B183" s="249"/>
      <c r="C183" s="249"/>
      <c r="D183" s="249"/>
      <c r="E183" s="249"/>
      <c r="F183" s="249"/>
      <c r="G183" s="249"/>
      <c r="H183" s="249"/>
      <c r="I183" s="249"/>
      <c r="J183" s="249"/>
      <c r="K183" s="249"/>
      <c r="L183" s="249"/>
      <c r="M183" s="249"/>
      <c r="N183" s="249"/>
      <c r="O183" s="249"/>
      <c r="P183" s="249"/>
      <c r="Q183" s="249"/>
      <c r="R183" s="249"/>
      <c r="S183" s="249"/>
      <c r="T183" s="249"/>
      <c r="U183" s="249"/>
      <c r="V183" s="249"/>
      <c r="W183" s="249"/>
      <c r="X183" s="249"/>
      <c r="Y183" s="249"/>
      <c r="Z183" s="249"/>
      <c r="AA183" s="249"/>
    </row>
    <row r="184">
      <c r="A184" s="249"/>
      <c r="B184" s="249"/>
      <c r="C184" s="249"/>
      <c r="D184" s="249"/>
      <c r="E184" s="249"/>
      <c r="F184" s="249"/>
      <c r="G184" s="249"/>
      <c r="H184" s="249"/>
      <c r="I184" s="249"/>
      <c r="J184" s="249"/>
      <c r="K184" s="249"/>
      <c r="L184" s="249"/>
      <c r="M184" s="249"/>
      <c r="N184" s="249"/>
      <c r="O184" s="249"/>
      <c r="P184" s="249"/>
      <c r="Q184" s="249"/>
      <c r="R184" s="249"/>
      <c r="S184" s="249"/>
      <c r="T184" s="249"/>
      <c r="U184" s="249"/>
      <c r="V184" s="249"/>
      <c r="W184" s="249"/>
      <c r="X184" s="249"/>
      <c r="Y184" s="249"/>
      <c r="Z184" s="249"/>
      <c r="AA184" s="249"/>
    </row>
    <row r="185">
      <c r="A185" s="249"/>
      <c r="B185" s="249"/>
      <c r="C185" s="249"/>
      <c r="D185" s="249"/>
      <c r="E185" s="249"/>
      <c r="F185" s="249"/>
      <c r="G185" s="249"/>
      <c r="H185" s="249"/>
      <c r="I185" s="249"/>
      <c r="J185" s="249"/>
      <c r="K185" s="249"/>
      <c r="L185" s="249"/>
      <c r="M185" s="249"/>
      <c r="N185" s="249"/>
      <c r="O185" s="249"/>
      <c r="P185" s="249"/>
      <c r="Q185" s="249"/>
      <c r="R185" s="249"/>
      <c r="S185" s="249"/>
      <c r="T185" s="249"/>
      <c r="U185" s="249"/>
      <c r="V185" s="249"/>
      <c r="W185" s="249"/>
      <c r="X185" s="249"/>
      <c r="Y185" s="249"/>
      <c r="Z185" s="249"/>
      <c r="AA185" s="249"/>
    </row>
    <row r="186">
      <c r="A186" s="249"/>
      <c r="B186" s="249"/>
      <c r="C186" s="249"/>
      <c r="D186" s="249"/>
      <c r="E186" s="249"/>
      <c r="F186" s="249"/>
      <c r="G186" s="249"/>
      <c r="H186" s="249"/>
      <c r="I186" s="249"/>
      <c r="J186" s="249"/>
      <c r="K186" s="249"/>
      <c r="L186" s="249"/>
      <c r="M186" s="249"/>
      <c r="N186" s="249"/>
      <c r="O186" s="249"/>
      <c r="P186" s="249"/>
      <c r="Q186" s="249"/>
      <c r="R186" s="249"/>
      <c r="S186" s="249"/>
      <c r="T186" s="249"/>
      <c r="U186" s="249"/>
      <c r="V186" s="249"/>
      <c r="W186" s="249"/>
      <c r="X186" s="249"/>
      <c r="Y186" s="249"/>
      <c r="Z186" s="249"/>
      <c r="AA186" s="249"/>
    </row>
    <row r="187">
      <c r="A187" s="249"/>
      <c r="B187" s="249"/>
      <c r="C187" s="249"/>
      <c r="D187" s="249"/>
      <c r="E187" s="249"/>
      <c r="F187" s="249"/>
      <c r="G187" s="249"/>
      <c r="H187" s="249"/>
      <c r="I187" s="249"/>
      <c r="J187" s="249"/>
      <c r="K187" s="249"/>
      <c r="L187" s="249"/>
      <c r="M187" s="249"/>
      <c r="N187" s="249"/>
      <c r="O187" s="249"/>
      <c r="P187" s="249"/>
      <c r="Q187" s="249"/>
      <c r="R187" s="249"/>
      <c r="S187" s="249"/>
      <c r="T187" s="249"/>
      <c r="U187" s="249"/>
      <c r="V187" s="249"/>
      <c r="W187" s="249"/>
      <c r="X187" s="249"/>
      <c r="Y187" s="249"/>
      <c r="Z187" s="249"/>
      <c r="AA187" s="249"/>
    </row>
    <row r="188">
      <c r="A188" s="249"/>
      <c r="B188" s="249"/>
      <c r="C188" s="249"/>
      <c r="D188" s="249"/>
      <c r="E188" s="249"/>
      <c r="F188" s="249"/>
      <c r="G188" s="249"/>
      <c r="H188" s="249"/>
      <c r="I188" s="249"/>
      <c r="J188" s="249"/>
      <c r="K188" s="249"/>
      <c r="L188" s="249"/>
      <c r="M188" s="249"/>
      <c r="N188" s="249"/>
      <c r="O188" s="249"/>
      <c r="P188" s="249"/>
      <c r="Q188" s="249"/>
      <c r="R188" s="249"/>
      <c r="S188" s="249"/>
      <c r="T188" s="249"/>
      <c r="U188" s="249"/>
      <c r="V188" s="249"/>
      <c r="W188" s="249"/>
      <c r="X188" s="249"/>
      <c r="Y188" s="249"/>
      <c r="Z188" s="249"/>
      <c r="AA188" s="249"/>
    </row>
    <row r="189">
      <c r="A189" s="249"/>
      <c r="B189" s="249"/>
      <c r="C189" s="249"/>
      <c r="D189" s="249"/>
      <c r="E189" s="249"/>
      <c r="F189" s="249"/>
      <c r="G189" s="249"/>
      <c r="H189" s="249"/>
      <c r="I189" s="249"/>
      <c r="J189" s="249"/>
      <c r="K189" s="249"/>
      <c r="L189" s="249"/>
      <c r="M189" s="249"/>
      <c r="N189" s="249"/>
      <c r="O189" s="249"/>
      <c r="P189" s="249"/>
      <c r="Q189" s="249"/>
      <c r="R189" s="249"/>
      <c r="S189" s="249"/>
      <c r="T189" s="249"/>
      <c r="U189" s="249"/>
      <c r="V189" s="249"/>
      <c r="W189" s="249"/>
      <c r="X189" s="249"/>
      <c r="Y189" s="249"/>
      <c r="Z189" s="249"/>
      <c r="AA189" s="249"/>
    </row>
    <row r="190">
      <c r="A190" s="249"/>
      <c r="B190" s="249"/>
      <c r="C190" s="249"/>
      <c r="D190" s="249"/>
      <c r="E190" s="249"/>
      <c r="F190" s="249"/>
      <c r="G190" s="249"/>
      <c r="H190" s="249"/>
      <c r="I190" s="249"/>
      <c r="J190" s="249"/>
      <c r="K190" s="249"/>
      <c r="L190" s="249"/>
      <c r="M190" s="249"/>
      <c r="N190" s="249"/>
      <c r="O190" s="249"/>
      <c r="P190" s="249"/>
      <c r="Q190" s="249"/>
      <c r="R190" s="249"/>
      <c r="S190" s="249"/>
      <c r="T190" s="249"/>
      <c r="U190" s="249"/>
      <c r="V190" s="249"/>
      <c r="W190" s="249"/>
      <c r="X190" s="249"/>
      <c r="Y190" s="249"/>
      <c r="Z190" s="249"/>
      <c r="AA190" s="249"/>
    </row>
    <row r="191">
      <c r="A191" s="249"/>
      <c r="B191" s="249"/>
      <c r="C191" s="249"/>
      <c r="D191" s="249"/>
      <c r="E191" s="249"/>
      <c r="F191" s="249"/>
      <c r="G191" s="249"/>
      <c r="H191" s="249"/>
      <c r="I191" s="249"/>
      <c r="J191" s="249"/>
      <c r="K191" s="249"/>
      <c r="L191" s="249"/>
      <c r="M191" s="249"/>
      <c r="N191" s="249"/>
      <c r="O191" s="249"/>
      <c r="P191" s="249"/>
      <c r="Q191" s="249"/>
      <c r="R191" s="249"/>
      <c r="S191" s="249"/>
      <c r="T191" s="249"/>
      <c r="U191" s="249"/>
      <c r="V191" s="249"/>
      <c r="W191" s="249"/>
      <c r="X191" s="249"/>
      <c r="Y191" s="249"/>
      <c r="Z191" s="249"/>
      <c r="AA191" s="249"/>
    </row>
    <row r="192">
      <c r="A192" s="249"/>
      <c r="B192" s="249"/>
      <c r="C192" s="249"/>
      <c r="D192" s="249"/>
      <c r="E192" s="249"/>
      <c r="F192" s="249"/>
      <c r="G192" s="249"/>
      <c r="H192" s="249"/>
      <c r="I192" s="249"/>
      <c r="J192" s="249"/>
      <c r="K192" s="249"/>
      <c r="L192" s="249"/>
      <c r="M192" s="249"/>
      <c r="N192" s="249"/>
      <c r="O192" s="249"/>
      <c r="P192" s="249"/>
      <c r="Q192" s="249"/>
      <c r="R192" s="249"/>
      <c r="S192" s="249"/>
      <c r="T192" s="249"/>
      <c r="U192" s="249"/>
      <c r="V192" s="249"/>
      <c r="W192" s="249"/>
      <c r="X192" s="249"/>
      <c r="Y192" s="249"/>
      <c r="Z192" s="249"/>
      <c r="AA192" s="249"/>
    </row>
    <row r="193">
      <c r="A193" s="249"/>
      <c r="B193" s="249"/>
      <c r="C193" s="249"/>
      <c r="D193" s="249"/>
      <c r="E193" s="249"/>
      <c r="F193" s="249"/>
      <c r="G193" s="249"/>
      <c r="H193" s="249"/>
      <c r="I193" s="249"/>
      <c r="J193" s="249"/>
      <c r="K193" s="249"/>
      <c r="L193" s="249"/>
      <c r="M193" s="249"/>
      <c r="N193" s="249"/>
      <c r="O193" s="249"/>
      <c r="P193" s="249"/>
      <c r="Q193" s="249"/>
      <c r="R193" s="249"/>
      <c r="S193" s="249"/>
      <c r="T193" s="249"/>
      <c r="U193" s="249"/>
      <c r="V193" s="249"/>
      <c r="W193" s="249"/>
      <c r="X193" s="249"/>
      <c r="Y193" s="249"/>
      <c r="Z193" s="249"/>
      <c r="AA193" s="249"/>
    </row>
    <row r="194">
      <c r="A194" s="249"/>
      <c r="B194" s="249"/>
      <c r="C194" s="249"/>
      <c r="D194" s="249"/>
      <c r="E194" s="249"/>
      <c r="F194" s="249"/>
      <c r="G194" s="249"/>
      <c r="H194" s="249"/>
      <c r="I194" s="249"/>
      <c r="J194" s="249"/>
      <c r="K194" s="249"/>
      <c r="L194" s="249"/>
      <c r="M194" s="249"/>
      <c r="N194" s="249"/>
      <c r="O194" s="249"/>
      <c r="P194" s="249"/>
      <c r="Q194" s="249"/>
      <c r="R194" s="249"/>
      <c r="S194" s="249"/>
      <c r="T194" s="249"/>
      <c r="U194" s="249"/>
      <c r="V194" s="249"/>
      <c r="W194" s="249"/>
      <c r="X194" s="249"/>
      <c r="Y194" s="249"/>
      <c r="Z194" s="249"/>
      <c r="AA194" s="249"/>
    </row>
    <row r="195">
      <c r="A195" s="249"/>
      <c r="B195" s="249"/>
      <c r="C195" s="249"/>
      <c r="D195" s="249"/>
      <c r="E195" s="249"/>
      <c r="F195" s="249"/>
      <c r="G195" s="249"/>
      <c r="H195" s="249"/>
      <c r="I195" s="249"/>
      <c r="J195" s="249"/>
      <c r="K195" s="249"/>
      <c r="L195" s="249"/>
      <c r="M195" s="249"/>
      <c r="N195" s="249"/>
      <c r="O195" s="249"/>
      <c r="P195" s="249"/>
      <c r="Q195" s="249"/>
      <c r="R195" s="249"/>
      <c r="S195" s="249"/>
      <c r="T195" s="249"/>
      <c r="U195" s="249"/>
      <c r="V195" s="249"/>
      <c r="W195" s="249"/>
      <c r="X195" s="249"/>
      <c r="Y195" s="249"/>
      <c r="Z195" s="249"/>
      <c r="AA195" s="249"/>
    </row>
    <row r="196">
      <c r="A196" s="249"/>
      <c r="B196" s="249"/>
      <c r="C196" s="249"/>
      <c r="D196" s="249"/>
      <c r="E196" s="249"/>
      <c r="F196" s="249"/>
      <c r="G196" s="249"/>
      <c r="H196" s="249"/>
      <c r="I196" s="249"/>
      <c r="J196" s="249"/>
      <c r="K196" s="249"/>
      <c r="L196" s="249"/>
      <c r="M196" s="249"/>
      <c r="N196" s="249"/>
      <c r="O196" s="249"/>
      <c r="P196" s="249"/>
      <c r="Q196" s="249"/>
      <c r="R196" s="249"/>
      <c r="S196" s="249"/>
      <c r="T196" s="249"/>
      <c r="U196" s="249"/>
      <c r="V196" s="249"/>
      <c r="W196" s="249"/>
      <c r="X196" s="249"/>
      <c r="Y196" s="249"/>
      <c r="Z196" s="249"/>
      <c r="AA196" s="249"/>
    </row>
    <row r="197">
      <c r="A197" s="249"/>
      <c r="B197" s="249"/>
      <c r="C197" s="249"/>
      <c r="D197" s="249"/>
      <c r="E197" s="249"/>
      <c r="F197" s="249"/>
      <c r="G197" s="249"/>
      <c r="H197" s="249"/>
      <c r="I197" s="249"/>
      <c r="J197" s="249"/>
      <c r="K197" s="249"/>
      <c r="L197" s="249"/>
      <c r="M197" s="249"/>
      <c r="N197" s="249"/>
      <c r="O197" s="249"/>
      <c r="P197" s="249"/>
      <c r="Q197" s="249"/>
      <c r="R197" s="249"/>
      <c r="S197" s="249"/>
      <c r="T197" s="249"/>
      <c r="U197" s="249"/>
      <c r="V197" s="249"/>
      <c r="W197" s="249"/>
      <c r="X197" s="249"/>
      <c r="Y197" s="249"/>
      <c r="Z197" s="249"/>
      <c r="AA197" s="249"/>
    </row>
    <row r="198">
      <c r="A198" s="249"/>
      <c r="B198" s="249"/>
      <c r="C198" s="249"/>
      <c r="D198" s="249"/>
      <c r="E198" s="249"/>
      <c r="F198" s="249"/>
      <c r="G198" s="249"/>
      <c r="H198" s="249"/>
      <c r="I198" s="249"/>
      <c r="J198" s="249"/>
      <c r="K198" s="249"/>
      <c r="L198" s="249"/>
      <c r="M198" s="249"/>
      <c r="N198" s="249"/>
      <c r="O198" s="249"/>
      <c r="P198" s="249"/>
      <c r="Q198" s="249"/>
      <c r="R198" s="249"/>
      <c r="S198" s="249"/>
      <c r="T198" s="249"/>
      <c r="U198" s="249"/>
      <c r="V198" s="249"/>
      <c r="W198" s="249"/>
      <c r="X198" s="249"/>
      <c r="Y198" s="249"/>
      <c r="Z198" s="249"/>
      <c r="AA198" s="249"/>
    </row>
    <row r="199">
      <c r="A199" s="249"/>
      <c r="B199" s="249"/>
      <c r="C199" s="249"/>
      <c r="D199" s="249"/>
      <c r="E199" s="249"/>
      <c r="F199" s="249"/>
      <c r="G199" s="249"/>
      <c r="H199" s="249"/>
      <c r="I199" s="249"/>
      <c r="J199" s="249"/>
      <c r="K199" s="249"/>
      <c r="L199" s="249"/>
      <c r="M199" s="249"/>
      <c r="N199" s="249"/>
      <c r="O199" s="249"/>
      <c r="P199" s="249"/>
      <c r="Q199" s="249"/>
      <c r="R199" s="249"/>
      <c r="S199" s="249"/>
      <c r="T199" s="249"/>
      <c r="U199" s="249"/>
      <c r="V199" s="249"/>
      <c r="W199" s="249"/>
      <c r="X199" s="249"/>
      <c r="Y199" s="249"/>
      <c r="Z199" s="249"/>
      <c r="AA199" s="249"/>
    </row>
    <row r="200">
      <c r="A200" s="249"/>
      <c r="B200" s="249"/>
      <c r="C200" s="249"/>
      <c r="D200" s="249"/>
      <c r="E200" s="249"/>
      <c r="F200" s="249"/>
      <c r="G200" s="249"/>
      <c r="H200" s="249"/>
      <c r="I200" s="249"/>
      <c r="J200" s="249"/>
      <c r="K200" s="249"/>
      <c r="L200" s="249"/>
      <c r="M200" s="249"/>
      <c r="N200" s="249"/>
      <c r="O200" s="249"/>
      <c r="P200" s="249"/>
      <c r="Q200" s="249"/>
      <c r="R200" s="249"/>
      <c r="S200" s="249"/>
      <c r="T200" s="249"/>
      <c r="U200" s="249"/>
      <c r="V200" s="249"/>
      <c r="W200" s="249"/>
      <c r="X200" s="249"/>
      <c r="Y200" s="249"/>
      <c r="Z200" s="249"/>
      <c r="AA200" s="249"/>
    </row>
    <row r="201">
      <c r="A201" s="249"/>
      <c r="B201" s="249"/>
      <c r="C201" s="249"/>
      <c r="D201" s="249"/>
      <c r="E201" s="249"/>
      <c r="F201" s="249"/>
      <c r="G201" s="249"/>
      <c r="H201" s="249"/>
      <c r="I201" s="249"/>
      <c r="J201" s="249"/>
      <c r="K201" s="249"/>
      <c r="L201" s="249"/>
      <c r="M201" s="249"/>
      <c r="N201" s="249"/>
      <c r="O201" s="249"/>
      <c r="P201" s="249"/>
      <c r="Q201" s="249"/>
      <c r="R201" s="249"/>
      <c r="S201" s="249"/>
      <c r="T201" s="249"/>
      <c r="U201" s="249"/>
      <c r="V201" s="249"/>
      <c r="W201" s="249"/>
      <c r="X201" s="249"/>
      <c r="Y201" s="249"/>
      <c r="Z201" s="249"/>
      <c r="AA201" s="249"/>
    </row>
    <row r="202">
      <c r="A202" s="249"/>
      <c r="B202" s="249"/>
      <c r="C202" s="249"/>
      <c r="D202" s="249"/>
      <c r="E202" s="249"/>
      <c r="F202" s="249"/>
      <c r="G202" s="249"/>
      <c r="H202" s="249"/>
      <c r="I202" s="249"/>
      <c r="J202" s="249"/>
      <c r="K202" s="249"/>
      <c r="L202" s="249"/>
      <c r="M202" s="249"/>
      <c r="N202" s="249"/>
      <c r="O202" s="249"/>
      <c r="P202" s="249"/>
      <c r="Q202" s="249"/>
      <c r="R202" s="249"/>
      <c r="S202" s="249"/>
      <c r="T202" s="249"/>
      <c r="U202" s="249"/>
      <c r="V202" s="249"/>
      <c r="W202" s="249"/>
      <c r="X202" s="249"/>
      <c r="Y202" s="249"/>
      <c r="Z202" s="249"/>
      <c r="AA202" s="249"/>
    </row>
    <row r="203">
      <c r="A203" s="249"/>
      <c r="B203" s="249"/>
      <c r="C203" s="249"/>
      <c r="D203" s="249"/>
      <c r="E203" s="249"/>
      <c r="F203" s="249"/>
      <c r="G203" s="249"/>
      <c r="H203" s="249"/>
      <c r="I203" s="249"/>
      <c r="J203" s="249"/>
      <c r="K203" s="249"/>
      <c r="L203" s="249"/>
      <c r="M203" s="249"/>
      <c r="N203" s="249"/>
      <c r="O203" s="249"/>
      <c r="P203" s="249"/>
      <c r="Q203" s="249"/>
      <c r="R203" s="249"/>
      <c r="S203" s="249"/>
      <c r="T203" s="249"/>
      <c r="U203" s="249"/>
      <c r="V203" s="249"/>
      <c r="W203" s="249"/>
      <c r="X203" s="249"/>
      <c r="Y203" s="249"/>
      <c r="Z203" s="249"/>
      <c r="AA203" s="249"/>
    </row>
    <row r="204">
      <c r="A204" s="249"/>
      <c r="B204" s="249"/>
      <c r="C204" s="249"/>
      <c r="D204" s="249"/>
      <c r="E204" s="249"/>
      <c r="F204" s="249"/>
      <c r="G204" s="249"/>
      <c r="H204" s="249"/>
      <c r="I204" s="249"/>
      <c r="J204" s="249"/>
      <c r="K204" s="249"/>
      <c r="L204" s="249"/>
      <c r="M204" s="249"/>
      <c r="N204" s="249"/>
      <c r="O204" s="249"/>
      <c r="P204" s="249"/>
      <c r="Q204" s="249"/>
      <c r="R204" s="249"/>
      <c r="S204" s="249"/>
      <c r="T204" s="249"/>
      <c r="U204" s="249"/>
      <c r="V204" s="249"/>
      <c r="W204" s="249"/>
      <c r="X204" s="249"/>
      <c r="Y204" s="249"/>
      <c r="Z204" s="249"/>
      <c r="AA204" s="249"/>
    </row>
    <row r="205">
      <c r="A205" s="249"/>
      <c r="B205" s="249"/>
      <c r="C205" s="249"/>
      <c r="D205" s="249"/>
      <c r="E205" s="249"/>
      <c r="F205" s="249"/>
      <c r="G205" s="249"/>
      <c r="H205" s="249"/>
      <c r="I205" s="249"/>
      <c r="J205" s="249"/>
      <c r="K205" s="249"/>
      <c r="L205" s="249"/>
      <c r="M205" s="249"/>
      <c r="N205" s="249"/>
      <c r="O205" s="249"/>
      <c r="P205" s="249"/>
      <c r="Q205" s="249"/>
      <c r="R205" s="249"/>
      <c r="S205" s="249"/>
      <c r="T205" s="249"/>
      <c r="U205" s="249"/>
      <c r="V205" s="249"/>
      <c r="W205" s="249"/>
      <c r="X205" s="249"/>
      <c r="Y205" s="249"/>
      <c r="Z205" s="249"/>
      <c r="AA205" s="249"/>
    </row>
    <row r="206">
      <c r="A206" s="249"/>
      <c r="B206" s="249"/>
      <c r="C206" s="249"/>
      <c r="D206" s="249"/>
      <c r="E206" s="249"/>
      <c r="F206" s="249"/>
      <c r="G206" s="249"/>
      <c r="H206" s="249"/>
      <c r="I206" s="249"/>
      <c r="J206" s="249"/>
      <c r="K206" s="249"/>
      <c r="L206" s="249"/>
      <c r="M206" s="249"/>
      <c r="N206" s="249"/>
      <c r="O206" s="249"/>
      <c r="P206" s="249"/>
      <c r="Q206" s="249"/>
      <c r="R206" s="249"/>
      <c r="S206" s="249"/>
      <c r="T206" s="249"/>
      <c r="U206" s="249"/>
      <c r="V206" s="249"/>
      <c r="W206" s="249"/>
      <c r="X206" s="249"/>
      <c r="Y206" s="249"/>
      <c r="Z206" s="249"/>
      <c r="AA206" s="249"/>
    </row>
    <row r="207">
      <c r="A207" s="249"/>
      <c r="B207" s="249"/>
      <c r="C207" s="249"/>
      <c r="D207" s="249"/>
      <c r="E207" s="249"/>
      <c r="F207" s="249"/>
      <c r="G207" s="249"/>
      <c r="H207" s="249"/>
      <c r="I207" s="249"/>
      <c r="J207" s="249"/>
      <c r="K207" s="249"/>
      <c r="L207" s="249"/>
      <c r="M207" s="249"/>
      <c r="N207" s="249"/>
      <c r="O207" s="249"/>
      <c r="P207" s="249"/>
      <c r="Q207" s="249"/>
      <c r="R207" s="249"/>
      <c r="S207" s="249"/>
      <c r="T207" s="249"/>
      <c r="U207" s="249"/>
      <c r="V207" s="249"/>
      <c r="W207" s="249"/>
      <c r="X207" s="249"/>
      <c r="Y207" s="249"/>
      <c r="Z207" s="249"/>
      <c r="AA207" s="249"/>
    </row>
    <row r="208">
      <c r="A208" s="249"/>
      <c r="B208" s="249"/>
      <c r="C208" s="249"/>
      <c r="D208" s="249"/>
      <c r="E208" s="249"/>
      <c r="F208" s="249"/>
      <c r="G208" s="249"/>
      <c r="H208" s="249"/>
      <c r="I208" s="249"/>
      <c r="J208" s="249"/>
      <c r="K208" s="249"/>
      <c r="L208" s="249"/>
      <c r="M208" s="249"/>
      <c r="N208" s="249"/>
      <c r="O208" s="249"/>
      <c r="P208" s="249"/>
      <c r="Q208" s="249"/>
      <c r="R208" s="249"/>
      <c r="S208" s="249"/>
      <c r="T208" s="249"/>
      <c r="U208" s="249"/>
      <c r="V208" s="249"/>
      <c r="W208" s="249"/>
      <c r="X208" s="249"/>
      <c r="Y208" s="249"/>
      <c r="Z208" s="249"/>
      <c r="AA208" s="249"/>
    </row>
    <row r="209">
      <c r="A209" s="249"/>
      <c r="B209" s="249"/>
      <c r="C209" s="249"/>
      <c r="D209" s="249"/>
      <c r="E209" s="249"/>
      <c r="F209" s="249"/>
      <c r="G209" s="249"/>
      <c r="H209" s="249"/>
      <c r="I209" s="249"/>
      <c r="J209" s="249"/>
      <c r="K209" s="249"/>
      <c r="L209" s="249"/>
      <c r="M209" s="249"/>
      <c r="N209" s="249"/>
      <c r="O209" s="249"/>
      <c r="P209" s="249"/>
      <c r="Q209" s="249"/>
      <c r="R209" s="249"/>
      <c r="S209" s="249"/>
      <c r="T209" s="249"/>
      <c r="U209" s="249"/>
      <c r="V209" s="249"/>
      <c r="W209" s="249"/>
      <c r="X209" s="249"/>
      <c r="Y209" s="249"/>
      <c r="Z209" s="249"/>
      <c r="AA209" s="249"/>
    </row>
    <row r="210">
      <c r="A210" s="249"/>
      <c r="B210" s="249"/>
      <c r="C210" s="249"/>
      <c r="D210" s="249"/>
      <c r="E210" s="249"/>
      <c r="F210" s="249"/>
      <c r="G210" s="249"/>
      <c r="H210" s="249"/>
      <c r="I210" s="249"/>
      <c r="J210" s="249"/>
      <c r="K210" s="249"/>
      <c r="L210" s="249"/>
      <c r="M210" s="249"/>
      <c r="N210" s="249"/>
      <c r="O210" s="249"/>
      <c r="P210" s="249"/>
      <c r="Q210" s="249"/>
      <c r="R210" s="249"/>
      <c r="S210" s="249"/>
      <c r="T210" s="249"/>
      <c r="U210" s="249"/>
      <c r="V210" s="249"/>
      <c r="W210" s="249"/>
      <c r="X210" s="249"/>
      <c r="Y210" s="249"/>
      <c r="Z210" s="249"/>
      <c r="AA210" s="249"/>
    </row>
    <row r="211">
      <c r="A211" s="249"/>
      <c r="B211" s="249"/>
      <c r="C211" s="249"/>
      <c r="D211" s="249"/>
      <c r="E211" s="249"/>
      <c r="F211" s="249"/>
      <c r="G211" s="249"/>
      <c r="H211" s="249"/>
      <c r="I211" s="249"/>
      <c r="J211" s="249"/>
      <c r="K211" s="249"/>
      <c r="L211" s="249"/>
      <c r="M211" s="249"/>
      <c r="N211" s="249"/>
      <c r="O211" s="249"/>
      <c r="P211" s="249"/>
      <c r="Q211" s="249"/>
      <c r="R211" s="249"/>
      <c r="S211" s="249"/>
      <c r="T211" s="249"/>
      <c r="U211" s="249"/>
      <c r="V211" s="249"/>
      <c r="W211" s="249"/>
      <c r="X211" s="249"/>
      <c r="Y211" s="249"/>
      <c r="Z211" s="249"/>
      <c r="AA211" s="249"/>
    </row>
    <row r="212">
      <c r="A212" s="249"/>
      <c r="B212" s="249"/>
      <c r="C212" s="249"/>
      <c r="D212" s="249"/>
      <c r="E212" s="249"/>
      <c r="F212" s="249"/>
      <c r="G212" s="249"/>
      <c r="H212" s="249"/>
      <c r="I212" s="249"/>
      <c r="J212" s="249"/>
      <c r="K212" s="249"/>
      <c r="L212" s="249"/>
      <c r="M212" s="249"/>
      <c r="N212" s="249"/>
      <c r="O212" s="249"/>
      <c r="P212" s="249"/>
      <c r="Q212" s="249"/>
      <c r="R212" s="249"/>
      <c r="S212" s="249"/>
      <c r="T212" s="249"/>
      <c r="U212" s="249"/>
      <c r="V212" s="249"/>
      <c r="W212" s="249"/>
      <c r="X212" s="249"/>
      <c r="Y212" s="249"/>
      <c r="Z212" s="249"/>
      <c r="AA212" s="249"/>
    </row>
    <row r="213">
      <c r="A213" s="249"/>
      <c r="B213" s="249"/>
      <c r="C213" s="249"/>
      <c r="D213" s="249"/>
      <c r="E213" s="249"/>
      <c r="F213" s="249"/>
      <c r="G213" s="249"/>
      <c r="H213" s="249"/>
      <c r="I213" s="249"/>
      <c r="J213" s="249"/>
      <c r="K213" s="249"/>
      <c r="L213" s="249"/>
      <c r="M213" s="249"/>
      <c r="N213" s="249"/>
      <c r="O213" s="249"/>
      <c r="P213" s="249"/>
      <c r="Q213" s="249"/>
      <c r="R213" s="249"/>
      <c r="S213" s="249"/>
      <c r="T213" s="249"/>
      <c r="U213" s="249"/>
      <c r="V213" s="249"/>
      <c r="W213" s="249"/>
      <c r="X213" s="249"/>
      <c r="Y213" s="249"/>
      <c r="Z213" s="249"/>
      <c r="AA213" s="249"/>
    </row>
    <row r="214">
      <c r="A214" s="249"/>
      <c r="B214" s="249"/>
      <c r="C214" s="249"/>
      <c r="D214" s="249"/>
      <c r="E214" s="249"/>
      <c r="F214" s="249"/>
      <c r="G214" s="249"/>
      <c r="H214" s="249"/>
      <c r="I214" s="249"/>
      <c r="J214" s="249"/>
      <c r="K214" s="249"/>
      <c r="L214" s="249"/>
      <c r="M214" s="249"/>
      <c r="N214" s="249"/>
      <c r="O214" s="249"/>
      <c r="P214" s="249"/>
      <c r="Q214" s="249"/>
      <c r="R214" s="249"/>
      <c r="S214" s="249"/>
      <c r="T214" s="249"/>
      <c r="U214" s="249"/>
      <c r="V214" s="249"/>
      <c r="W214" s="249"/>
      <c r="X214" s="249"/>
      <c r="Y214" s="249"/>
      <c r="Z214" s="249"/>
      <c r="AA214" s="249"/>
    </row>
    <row r="215">
      <c r="A215" s="249"/>
      <c r="B215" s="249"/>
      <c r="C215" s="249"/>
      <c r="D215" s="249"/>
      <c r="E215" s="249"/>
      <c r="F215" s="249"/>
      <c r="G215" s="249"/>
      <c r="H215" s="249"/>
      <c r="I215" s="249"/>
      <c r="J215" s="249"/>
      <c r="K215" s="249"/>
      <c r="L215" s="249"/>
      <c r="M215" s="249"/>
      <c r="N215" s="249"/>
      <c r="O215" s="249"/>
      <c r="P215" s="249"/>
      <c r="Q215" s="249"/>
      <c r="R215" s="249"/>
      <c r="S215" s="249"/>
      <c r="T215" s="249"/>
      <c r="U215" s="249"/>
      <c r="V215" s="249"/>
      <c r="W215" s="249"/>
      <c r="X215" s="249"/>
      <c r="Y215" s="249"/>
      <c r="Z215" s="249"/>
      <c r="AA215" s="249"/>
    </row>
    <row r="216">
      <c r="A216" s="249"/>
      <c r="B216" s="249"/>
      <c r="C216" s="249"/>
      <c r="D216" s="249"/>
      <c r="E216" s="249"/>
      <c r="F216" s="249"/>
      <c r="G216" s="249"/>
      <c r="H216" s="249"/>
      <c r="I216" s="249"/>
      <c r="J216" s="249"/>
      <c r="K216" s="249"/>
      <c r="L216" s="249"/>
      <c r="M216" s="249"/>
      <c r="N216" s="249"/>
      <c r="O216" s="249"/>
      <c r="P216" s="249"/>
      <c r="Q216" s="249"/>
      <c r="R216" s="249"/>
      <c r="S216" s="249"/>
      <c r="T216" s="249"/>
      <c r="U216" s="249"/>
      <c r="V216" s="249"/>
      <c r="W216" s="249"/>
      <c r="X216" s="249"/>
      <c r="Y216" s="249"/>
      <c r="Z216" s="249"/>
      <c r="AA216" s="249"/>
    </row>
    <row r="217">
      <c r="A217" s="249"/>
      <c r="B217" s="249"/>
      <c r="C217" s="249"/>
      <c r="D217" s="249"/>
      <c r="E217" s="249"/>
      <c r="F217" s="249"/>
      <c r="G217" s="249"/>
      <c r="H217" s="249"/>
      <c r="I217" s="249"/>
      <c r="J217" s="249"/>
      <c r="K217" s="249"/>
      <c r="L217" s="249"/>
      <c r="M217" s="249"/>
      <c r="N217" s="249"/>
      <c r="O217" s="249"/>
      <c r="P217" s="249"/>
      <c r="Q217" s="249"/>
      <c r="R217" s="249"/>
      <c r="S217" s="249"/>
      <c r="T217" s="249"/>
      <c r="U217" s="249"/>
      <c r="V217" s="249"/>
      <c r="W217" s="249"/>
      <c r="X217" s="249"/>
      <c r="Y217" s="249"/>
      <c r="Z217" s="249"/>
      <c r="AA217" s="249"/>
    </row>
    <row r="218">
      <c r="A218" s="249"/>
      <c r="B218" s="249"/>
      <c r="C218" s="249"/>
      <c r="D218" s="249"/>
      <c r="E218" s="249"/>
      <c r="F218" s="249"/>
      <c r="G218" s="249"/>
      <c r="H218" s="249"/>
      <c r="I218" s="249"/>
      <c r="J218" s="249"/>
      <c r="K218" s="249"/>
      <c r="L218" s="249"/>
      <c r="M218" s="249"/>
      <c r="N218" s="249"/>
      <c r="O218" s="249"/>
      <c r="P218" s="249"/>
      <c r="Q218" s="249"/>
      <c r="R218" s="249"/>
      <c r="S218" s="249"/>
      <c r="T218" s="249"/>
      <c r="U218" s="249"/>
      <c r="V218" s="249"/>
      <c r="W218" s="249"/>
      <c r="X218" s="249"/>
      <c r="Y218" s="249"/>
      <c r="Z218" s="249"/>
      <c r="AA218" s="249"/>
    </row>
    <row r="219">
      <c r="A219" s="249"/>
      <c r="B219" s="249"/>
      <c r="C219" s="249"/>
      <c r="D219" s="249"/>
      <c r="E219" s="249"/>
      <c r="F219" s="249"/>
      <c r="G219" s="249"/>
      <c r="H219" s="249"/>
      <c r="I219" s="249"/>
      <c r="J219" s="249"/>
      <c r="K219" s="249"/>
      <c r="L219" s="249"/>
      <c r="M219" s="249"/>
      <c r="N219" s="249"/>
      <c r="O219" s="249"/>
      <c r="P219" s="249"/>
      <c r="Q219" s="249"/>
      <c r="R219" s="249"/>
      <c r="S219" s="249"/>
      <c r="T219" s="249"/>
      <c r="U219" s="249"/>
      <c r="V219" s="249"/>
      <c r="W219" s="249"/>
      <c r="X219" s="249"/>
      <c r="Y219" s="249"/>
      <c r="Z219" s="249"/>
      <c r="AA219" s="249"/>
    </row>
    <row r="220">
      <c r="A220" s="249"/>
      <c r="B220" s="249"/>
      <c r="C220" s="249"/>
      <c r="D220" s="249"/>
      <c r="E220" s="249"/>
      <c r="F220" s="249"/>
      <c r="G220" s="249"/>
      <c r="H220" s="249"/>
      <c r="I220" s="249"/>
      <c r="J220" s="249"/>
      <c r="K220" s="249"/>
      <c r="L220" s="249"/>
      <c r="M220" s="249"/>
      <c r="N220" s="249"/>
      <c r="O220" s="249"/>
      <c r="P220" s="249"/>
      <c r="Q220" s="249"/>
      <c r="R220" s="249"/>
      <c r="S220" s="249"/>
      <c r="T220" s="249"/>
      <c r="U220" s="249"/>
      <c r="V220" s="249"/>
      <c r="W220" s="249"/>
      <c r="X220" s="249"/>
      <c r="Y220" s="249"/>
      <c r="Z220" s="249"/>
      <c r="AA220" s="249"/>
    </row>
    <row r="221">
      <c r="A221" s="249"/>
      <c r="B221" s="249"/>
      <c r="C221" s="249"/>
      <c r="D221" s="249"/>
      <c r="E221" s="249"/>
      <c r="F221" s="249"/>
      <c r="G221" s="249"/>
      <c r="H221" s="249"/>
      <c r="I221" s="249"/>
      <c r="J221" s="249"/>
      <c r="K221" s="249"/>
      <c r="L221" s="249"/>
      <c r="M221" s="249"/>
      <c r="N221" s="249"/>
      <c r="O221" s="249"/>
      <c r="P221" s="249"/>
      <c r="Q221" s="249"/>
      <c r="R221" s="249"/>
      <c r="S221" s="249"/>
      <c r="T221" s="249"/>
      <c r="U221" s="249"/>
      <c r="V221" s="249"/>
      <c r="W221" s="249"/>
      <c r="X221" s="249"/>
      <c r="Y221" s="249"/>
      <c r="Z221" s="249"/>
      <c r="AA221" s="249"/>
    </row>
    <row r="222">
      <c r="A222" s="249"/>
      <c r="B222" s="249"/>
      <c r="C222" s="249"/>
      <c r="D222" s="249"/>
      <c r="E222" s="249"/>
      <c r="F222" s="249"/>
      <c r="G222" s="249"/>
      <c r="H222" s="249"/>
      <c r="I222" s="249"/>
      <c r="J222" s="249"/>
      <c r="K222" s="249"/>
      <c r="L222" s="249"/>
      <c r="M222" s="249"/>
      <c r="N222" s="249"/>
      <c r="O222" s="249"/>
      <c r="P222" s="249"/>
      <c r="Q222" s="249"/>
      <c r="R222" s="249"/>
      <c r="S222" s="249"/>
      <c r="T222" s="249"/>
      <c r="U222" s="249"/>
      <c r="V222" s="249"/>
      <c r="W222" s="249"/>
      <c r="X222" s="249"/>
      <c r="Y222" s="249"/>
      <c r="Z222" s="249"/>
      <c r="AA222" s="249"/>
    </row>
    <row r="223">
      <c r="A223" s="249"/>
      <c r="B223" s="249"/>
      <c r="C223" s="249"/>
      <c r="D223" s="249"/>
      <c r="E223" s="249"/>
      <c r="F223" s="249"/>
      <c r="G223" s="249"/>
      <c r="H223" s="249"/>
      <c r="I223" s="249"/>
      <c r="J223" s="249"/>
      <c r="K223" s="249"/>
      <c r="L223" s="249"/>
      <c r="M223" s="249"/>
      <c r="N223" s="249"/>
      <c r="O223" s="249"/>
      <c r="P223" s="249"/>
      <c r="Q223" s="249"/>
      <c r="R223" s="249"/>
      <c r="S223" s="249"/>
      <c r="T223" s="249"/>
      <c r="U223" s="249"/>
      <c r="V223" s="249"/>
      <c r="W223" s="249"/>
      <c r="X223" s="249"/>
      <c r="Y223" s="249"/>
      <c r="Z223" s="249"/>
      <c r="AA223" s="249"/>
    </row>
    <row r="224">
      <c r="A224" s="249"/>
      <c r="B224" s="249"/>
      <c r="C224" s="249"/>
      <c r="D224" s="249"/>
      <c r="E224" s="249"/>
      <c r="F224" s="249"/>
      <c r="G224" s="249"/>
      <c r="H224" s="249"/>
      <c r="I224" s="249"/>
      <c r="J224" s="249"/>
      <c r="K224" s="249"/>
      <c r="L224" s="249"/>
      <c r="M224" s="249"/>
      <c r="N224" s="249"/>
      <c r="O224" s="249"/>
      <c r="P224" s="249"/>
      <c r="Q224" s="249"/>
      <c r="R224" s="249"/>
      <c r="S224" s="249"/>
      <c r="T224" s="249"/>
      <c r="U224" s="249"/>
      <c r="V224" s="249"/>
      <c r="W224" s="249"/>
      <c r="X224" s="249"/>
      <c r="Y224" s="249"/>
      <c r="Z224" s="249"/>
      <c r="AA224" s="249"/>
    </row>
    <row r="225">
      <c r="A225" s="249"/>
      <c r="B225" s="249"/>
      <c r="C225" s="249"/>
      <c r="D225" s="249"/>
      <c r="E225" s="249"/>
      <c r="F225" s="249"/>
      <c r="G225" s="249"/>
      <c r="H225" s="249"/>
      <c r="I225" s="249"/>
      <c r="J225" s="249"/>
      <c r="K225" s="249"/>
      <c r="L225" s="249"/>
      <c r="M225" s="249"/>
      <c r="N225" s="249"/>
      <c r="O225" s="249"/>
      <c r="P225" s="249"/>
      <c r="Q225" s="249"/>
      <c r="R225" s="249"/>
      <c r="S225" s="249"/>
      <c r="T225" s="249"/>
      <c r="U225" s="249"/>
      <c r="V225" s="249"/>
      <c r="W225" s="249"/>
      <c r="X225" s="249"/>
      <c r="Y225" s="249"/>
      <c r="Z225" s="249"/>
      <c r="AA225" s="249"/>
    </row>
    <row r="226">
      <c r="A226" s="249"/>
      <c r="B226" s="249"/>
      <c r="C226" s="249"/>
      <c r="D226" s="249"/>
      <c r="E226" s="249"/>
      <c r="F226" s="249"/>
      <c r="G226" s="249"/>
      <c r="H226" s="249"/>
      <c r="I226" s="249"/>
      <c r="J226" s="249"/>
      <c r="K226" s="249"/>
      <c r="L226" s="249"/>
      <c r="M226" s="249"/>
      <c r="N226" s="249"/>
      <c r="O226" s="249"/>
      <c r="P226" s="249"/>
      <c r="Q226" s="249"/>
      <c r="R226" s="249"/>
      <c r="S226" s="249"/>
      <c r="T226" s="249"/>
      <c r="U226" s="249"/>
      <c r="V226" s="249"/>
      <c r="W226" s="249"/>
      <c r="X226" s="249"/>
      <c r="Y226" s="249"/>
      <c r="Z226" s="249"/>
      <c r="AA226" s="249"/>
    </row>
    <row r="227">
      <c r="A227" s="249"/>
      <c r="B227" s="249"/>
      <c r="C227" s="249"/>
      <c r="D227" s="249"/>
      <c r="E227" s="249"/>
      <c r="F227" s="249"/>
      <c r="G227" s="249"/>
      <c r="H227" s="249"/>
      <c r="I227" s="249"/>
      <c r="J227" s="249"/>
      <c r="K227" s="249"/>
      <c r="L227" s="249"/>
      <c r="M227" s="249"/>
      <c r="N227" s="249"/>
      <c r="O227" s="249"/>
      <c r="P227" s="249"/>
      <c r="Q227" s="249"/>
      <c r="R227" s="249"/>
      <c r="S227" s="249"/>
      <c r="T227" s="249"/>
      <c r="U227" s="249"/>
      <c r="V227" s="249"/>
      <c r="W227" s="249"/>
      <c r="X227" s="249"/>
      <c r="Y227" s="249"/>
      <c r="Z227" s="249"/>
      <c r="AA227" s="249"/>
    </row>
    <row r="228">
      <c r="A228" s="249"/>
      <c r="B228" s="249"/>
      <c r="C228" s="249"/>
      <c r="D228" s="249"/>
      <c r="E228" s="249"/>
      <c r="F228" s="249"/>
      <c r="G228" s="249"/>
      <c r="H228" s="249"/>
      <c r="I228" s="249"/>
      <c r="J228" s="249"/>
      <c r="K228" s="249"/>
      <c r="L228" s="249"/>
      <c r="M228" s="249"/>
      <c r="N228" s="249"/>
      <c r="O228" s="249"/>
      <c r="P228" s="249"/>
      <c r="Q228" s="249"/>
      <c r="R228" s="249"/>
      <c r="S228" s="249"/>
      <c r="T228" s="249"/>
      <c r="U228" s="249"/>
      <c r="V228" s="249"/>
      <c r="W228" s="249"/>
      <c r="X228" s="249"/>
      <c r="Y228" s="249"/>
      <c r="Z228" s="249"/>
      <c r="AA228" s="249"/>
    </row>
    <row r="229">
      <c r="A229" s="249"/>
      <c r="B229" s="249"/>
      <c r="C229" s="249"/>
      <c r="D229" s="249"/>
      <c r="E229" s="249"/>
      <c r="F229" s="249"/>
      <c r="G229" s="249"/>
      <c r="H229" s="249"/>
      <c r="I229" s="249"/>
      <c r="J229" s="249"/>
      <c r="K229" s="249"/>
      <c r="L229" s="249"/>
      <c r="M229" s="249"/>
      <c r="N229" s="249"/>
      <c r="O229" s="249"/>
      <c r="P229" s="249"/>
      <c r="Q229" s="249"/>
      <c r="R229" s="249"/>
      <c r="S229" s="249"/>
      <c r="T229" s="249"/>
      <c r="U229" s="249"/>
      <c r="V229" s="249"/>
      <c r="W229" s="249"/>
      <c r="X229" s="249"/>
      <c r="Y229" s="249"/>
      <c r="Z229" s="249"/>
      <c r="AA229" s="249"/>
    </row>
    <row r="230">
      <c r="A230" s="249"/>
      <c r="B230" s="249"/>
      <c r="C230" s="249"/>
      <c r="D230" s="249"/>
      <c r="E230" s="249"/>
      <c r="F230" s="249"/>
      <c r="G230" s="249"/>
      <c r="H230" s="249"/>
      <c r="I230" s="249"/>
      <c r="J230" s="249"/>
      <c r="K230" s="249"/>
      <c r="L230" s="249"/>
      <c r="M230" s="249"/>
      <c r="N230" s="249"/>
      <c r="O230" s="249"/>
      <c r="P230" s="249"/>
      <c r="Q230" s="249"/>
      <c r="R230" s="249"/>
      <c r="S230" s="249"/>
      <c r="T230" s="249"/>
      <c r="U230" s="249"/>
      <c r="V230" s="249"/>
      <c r="W230" s="249"/>
      <c r="X230" s="249"/>
      <c r="Y230" s="249"/>
      <c r="Z230" s="249"/>
      <c r="AA230" s="249"/>
    </row>
    <row r="231">
      <c r="A231" s="249"/>
      <c r="B231" s="249"/>
      <c r="C231" s="249"/>
      <c r="D231" s="249"/>
      <c r="E231" s="249"/>
      <c r="F231" s="249"/>
      <c r="G231" s="249"/>
      <c r="H231" s="249"/>
      <c r="I231" s="249"/>
      <c r="J231" s="249"/>
      <c r="K231" s="249"/>
      <c r="L231" s="249"/>
      <c r="M231" s="249"/>
      <c r="N231" s="249"/>
      <c r="O231" s="249"/>
      <c r="P231" s="249"/>
      <c r="Q231" s="249"/>
      <c r="R231" s="249"/>
      <c r="S231" s="249"/>
      <c r="T231" s="249"/>
      <c r="U231" s="249"/>
      <c r="V231" s="249"/>
      <c r="W231" s="249"/>
      <c r="X231" s="249"/>
      <c r="Y231" s="249"/>
      <c r="Z231" s="249"/>
      <c r="AA231" s="249"/>
    </row>
    <row r="232">
      <c r="A232" s="249"/>
      <c r="B232" s="249"/>
      <c r="C232" s="249"/>
      <c r="D232" s="249"/>
      <c r="E232" s="249"/>
      <c r="F232" s="249"/>
      <c r="G232" s="249"/>
      <c r="H232" s="249"/>
      <c r="I232" s="249"/>
      <c r="J232" s="249"/>
      <c r="K232" s="249"/>
      <c r="L232" s="249"/>
      <c r="M232" s="249"/>
      <c r="N232" s="249"/>
      <c r="O232" s="249"/>
      <c r="P232" s="249"/>
      <c r="Q232" s="249"/>
      <c r="R232" s="249"/>
      <c r="S232" s="249"/>
      <c r="T232" s="249"/>
      <c r="U232" s="249"/>
      <c r="V232" s="249"/>
      <c r="W232" s="249"/>
      <c r="X232" s="249"/>
      <c r="Y232" s="249"/>
      <c r="Z232" s="249"/>
      <c r="AA232" s="249"/>
    </row>
    <row r="233">
      <c r="A233" s="249"/>
      <c r="B233" s="249"/>
      <c r="C233" s="249"/>
      <c r="D233" s="249"/>
      <c r="E233" s="249"/>
      <c r="F233" s="249"/>
      <c r="G233" s="249"/>
      <c r="H233" s="249"/>
      <c r="I233" s="249"/>
      <c r="J233" s="249"/>
      <c r="K233" s="249"/>
      <c r="L233" s="249"/>
      <c r="M233" s="249"/>
      <c r="N233" s="249"/>
      <c r="O233" s="249"/>
      <c r="P233" s="249"/>
      <c r="Q233" s="249"/>
      <c r="R233" s="249"/>
      <c r="S233" s="249"/>
      <c r="T233" s="249"/>
      <c r="U233" s="249"/>
      <c r="V233" s="249"/>
      <c r="W233" s="249"/>
      <c r="X233" s="249"/>
      <c r="Y233" s="249"/>
      <c r="Z233" s="249"/>
      <c r="AA233" s="249"/>
    </row>
    <row r="234">
      <c r="A234" s="249"/>
      <c r="B234" s="249"/>
      <c r="C234" s="249"/>
      <c r="D234" s="249"/>
      <c r="E234" s="249"/>
      <c r="F234" s="249"/>
      <c r="G234" s="249"/>
      <c r="H234" s="249"/>
      <c r="I234" s="249"/>
      <c r="J234" s="249"/>
      <c r="K234" s="249"/>
      <c r="L234" s="249"/>
      <c r="M234" s="249"/>
      <c r="N234" s="249"/>
      <c r="O234" s="249"/>
      <c r="P234" s="249"/>
      <c r="Q234" s="249"/>
      <c r="R234" s="249"/>
      <c r="S234" s="249"/>
      <c r="T234" s="249"/>
      <c r="U234" s="249"/>
      <c r="V234" s="249"/>
      <c r="W234" s="249"/>
      <c r="X234" s="249"/>
      <c r="Y234" s="249"/>
      <c r="Z234" s="249"/>
      <c r="AA234" s="249"/>
    </row>
    <row r="235">
      <c r="A235" s="249"/>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c r="Y235" s="249"/>
      <c r="Z235" s="249"/>
      <c r="AA235" s="249"/>
    </row>
    <row r="236">
      <c r="A236" s="249"/>
      <c r="B236" s="249"/>
      <c r="C236" s="249"/>
      <c r="D236" s="249"/>
      <c r="E236" s="249"/>
      <c r="F236" s="249"/>
      <c r="G236" s="249"/>
      <c r="H236" s="249"/>
      <c r="I236" s="249"/>
      <c r="J236" s="249"/>
      <c r="K236" s="249"/>
      <c r="L236" s="249"/>
      <c r="M236" s="249"/>
      <c r="N236" s="249"/>
      <c r="O236" s="249"/>
      <c r="P236" s="249"/>
      <c r="Q236" s="249"/>
      <c r="R236" s="249"/>
      <c r="S236" s="249"/>
      <c r="T236" s="249"/>
      <c r="U236" s="249"/>
      <c r="V236" s="249"/>
      <c r="W236" s="249"/>
      <c r="X236" s="249"/>
      <c r="Y236" s="249"/>
      <c r="Z236" s="249"/>
      <c r="AA236" s="249"/>
    </row>
    <row r="237">
      <c r="A237" s="249"/>
      <c r="B237" s="249"/>
      <c r="C237" s="249"/>
      <c r="D237" s="249"/>
      <c r="E237" s="249"/>
      <c r="F237" s="249"/>
      <c r="G237" s="249"/>
      <c r="H237" s="249"/>
      <c r="I237" s="249"/>
      <c r="J237" s="249"/>
      <c r="K237" s="249"/>
      <c r="L237" s="249"/>
      <c r="M237" s="249"/>
      <c r="N237" s="249"/>
      <c r="O237" s="249"/>
      <c r="P237" s="249"/>
      <c r="Q237" s="249"/>
      <c r="R237" s="249"/>
      <c r="S237" s="249"/>
      <c r="T237" s="249"/>
      <c r="U237" s="249"/>
      <c r="V237" s="249"/>
      <c r="W237" s="249"/>
      <c r="X237" s="249"/>
      <c r="Y237" s="249"/>
      <c r="Z237" s="249"/>
      <c r="AA237" s="249"/>
    </row>
    <row r="238">
      <c r="A238" s="249"/>
      <c r="B238" s="249"/>
      <c r="C238" s="249"/>
      <c r="D238" s="249"/>
      <c r="E238" s="249"/>
      <c r="F238" s="249"/>
      <c r="G238" s="249"/>
      <c r="H238" s="249"/>
      <c r="I238" s="249"/>
      <c r="J238" s="249"/>
      <c r="K238" s="249"/>
      <c r="L238" s="249"/>
      <c r="M238" s="249"/>
      <c r="N238" s="249"/>
      <c r="O238" s="249"/>
      <c r="P238" s="249"/>
      <c r="Q238" s="249"/>
      <c r="R238" s="249"/>
      <c r="S238" s="249"/>
      <c r="T238" s="249"/>
      <c r="U238" s="249"/>
      <c r="V238" s="249"/>
      <c r="W238" s="249"/>
      <c r="X238" s="249"/>
      <c r="Y238" s="249"/>
      <c r="Z238" s="249"/>
      <c r="AA238" s="249"/>
    </row>
    <row r="239">
      <c r="A239" s="249"/>
      <c r="B239" s="249"/>
      <c r="C239" s="249"/>
      <c r="D239" s="249"/>
      <c r="E239" s="249"/>
      <c r="F239" s="249"/>
      <c r="G239" s="249"/>
      <c r="H239" s="249"/>
      <c r="I239" s="249"/>
      <c r="J239" s="249"/>
      <c r="K239" s="249"/>
      <c r="L239" s="249"/>
      <c r="M239" s="249"/>
      <c r="N239" s="249"/>
      <c r="O239" s="249"/>
      <c r="P239" s="249"/>
      <c r="Q239" s="249"/>
      <c r="R239" s="249"/>
      <c r="S239" s="249"/>
      <c r="T239" s="249"/>
      <c r="U239" s="249"/>
      <c r="V239" s="249"/>
      <c r="W239" s="249"/>
      <c r="X239" s="249"/>
      <c r="Y239" s="249"/>
      <c r="Z239" s="249"/>
      <c r="AA239" s="249"/>
    </row>
    <row r="240">
      <c r="A240" s="249"/>
      <c r="B240" s="249"/>
      <c r="C240" s="249"/>
      <c r="D240" s="249"/>
      <c r="E240" s="249"/>
      <c r="F240" s="249"/>
      <c r="G240" s="249"/>
      <c r="H240" s="249"/>
      <c r="I240" s="249"/>
      <c r="J240" s="249"/>
      <c r="K240" s="249"/>
      <c r="L240" s="249"/>
      <c r="M240" s="249"/>
      <c r="N240" s="249"/>
      <c r="O240" s="249"/>
      <c r="P240" s="249"/>
      <c r="Q240" s="249"/>
      <c r="R240" s="249"/>
      <c r="S240" s="249"/>
      <c r="T240" s="249"/>
      <c r="U240" s="249"/>
      <c r="V240" s="249"/>
      <c r="W240" s="249"/>
      <c r="X240" s="249"/>
      <c r="Y240" s="249"/>
      <c r="Z240" s="249"/>
      <c r="AA240" s="249"/>
    </row>
    <row r="241">
      <c r="A241" s="249"/>
      <c r="B241" s="249"/>
      <c r="C241" s="249"/>
      <c r="D241" s="249"/>
      <c r="E241" s="249"/>
      <c r="F241" s="249"/>
      <c r="G241" s="249"/>
      <c r="H241" s="249"/>
      <c r="I241" s="249"/>
      <c r="J241" s="249"/>
      <c r="K241" s="249"/>
      <c r="L241" s="249"/>
      <c r="M241" s="249"/>
      <c r="N241" s="249"/>
      <c r="O241" s="249"/>
      <c r="P241" s="249"/>
      <c r="Q241" s="249"/>
      <c r="R241" s="249"/>
      <c r="S241" s="249"/>
      <c r="T241" s="249"/>
      <c r="U241" s="249"/>
      <c r="V241" s="249"/>
      <c r="W241" s="249"/>
      <c r="X241" s="249"/>
      <c r="Y241" s="249"/>
      <c r="Z241" s="249"/>
      <c r="AA241" s="249"/>
    </row>
    <row r="242">
      <c r="A242" s="249"/>
      <c r="B242" s="249"/>
      <c r="C242" s="249"/>
      <c r="D242" s="249"/>
      <c r="E242" s="249"/>
      <c r="F242" s="249"/>
      <c r="G242" s="249"/>
      <c r="H242" s="249"/>
      <c r="I242" s="249"/>
      <c r="J242" s="249"/>
      <c r="K242" s="249"/>
      <c r="L242" s="249"/>
      <c r="M242" s="249"/>
      <c r="N242" s="249"/>
      <c r="O242" s="249"/>
      <c r="P242" s="249"/>
      <c r="Q242" s="249"/>
      <c r="R242" s="249"/>
      <c r="S242" s="249"/>
      <c r="T242" s="249"/>
      <c r="U242" s="249"/>
      <c r="V242" s="249"/>
      <c r="W242" s="249"/>
      <c r="X242" s="249"/>
      <c r="Y242" s="249"/>
      <c r="Z242" s="249"/>
      <c r="AA242" s="249"/>
    </row>
    <row r="243">
      <c r="A243" s="249"/>
      <c r="B243" s="249"/>
      <c r="C243" s="249"/>
      <c r="D243" s="249"/>
      <c r="E243" s="249"/>
      <c r="F243" s="249"/>
      <c r="G243" s="249"/>
      <c r="H243" s="249"/>
      <c r="I243" s="249"/>
      <c r="J243" s="249"/>
      <c r="K243" s="249"/>
      <c r="L243" s="249"/>
      <c r="M243" s="249"/>
      <c r="N243" s="249"/>
      <c r="O243" s="249"/>
      <c r="P243" s="249"/>
      <c r="Q243" s="249"/>
      <c r="R243" s="249"/>
      <c r="S243" s="249"/>
      <c r="T243" s="249"/>
      <c r="U243" s="249"/>
      <c r="V243" s="249"/>
      <c r="W243" s="249"/>
      <c r="X243" s="249"/>
      <c r="Y243" s="249"/>
      <c r="Z243" s="249"/>
      <c r="AA243" s="249"/>
    </row>
    <row r="244">
      <c r="A244" s="249"/>
      <c r="B244" s="249"/>
      <c r="C244" s="249"/>
      <c r="D244" s="249"/>
      <c r="E244" s="249"/>
      <c r="F244" s="249"/>
      <c r="G244" s="249"/>
      <c r="H244" s="249"/>
      <c r="I244" s="249"/>
      <c r="J244" s="249"/>
      <c r="K244" s="249"/>
      <c r="L244" s="249"/>
      <c r="M244" s="249"/>
      <c r="N244" s="249"/>
      <c r="O244" s="249"/>
      <c r="P244" s="249"/>
      <c r="Q244" s="249"/>
      <c r="R244" s="249"/>
      <c r="S244" s="249"/>
      <c r="T244" s="249"/>
      <c r="U244" s="249"/>
      <c r="V244" s="249"/>
      <c r="W244" s="249"/>
      <c r="X244" s="249"/>
      <c r="Y244" s="249"/>
      <c r="Z244" s="249"/>
      <c r="AA244" s="249"/>
    </row>
    <row r="245">
      <c r="A245" s="249"/>
      <c r="B245" s="249"/>
      <c r="C245" s="249"/>
      <c r="D245" s="249"/>
      <c r="E245" s="249"/>
      <c r="F245" s="249"/>
      <c r="G245" s="249"/>
      <c r="H245" s="249"/>
      <c r="I245" s="249"/>
      <c r="J245" s="249"/>
      <c r="K245" s="249"/>
      <c r="L245" s="249"/>
      <c r="M245" s="249"/>
      <c r="N245" s="249"/>
      <c r="O245" s="249"/>
      <c r="P245" s="249"/>
      <c r="Q245" s="249"/>
      <c r="R245" s="249"/>
      <c r="S245" s="249"/>
      <c r="T245" s="249"/>
      <c r="U245" s="249"/>
      <c r="V245" s="249"/>
      <c r="W245" s="249"/>
      <c r="X245" s="249"/>
      <c r="Y245" s="249"/>
      <c r="Z245" s="249"/>
      <c r="AA245" s="249"/>
    </row>
    <row r="246">
      <c r="A246" s="249"/>
      <c r="B246" s="249"/>
      <c r="C246" s="249"/>
      <c r="D246" s="249"/>
      <c r="E246" s="249"/>
      <c r="F246" s="249"/>
      <c r="G246" s="249"/>
      <c r="H246" s="249"/>
      <c r="I246" s="249"/>
      <c r="J246" s="249"/>
      <c r="K246" s="249"/>
      <c r="L246" s="249"/>
      <c r="M246" s="249"/>
      <c r="N246" s="249"/>
      <c r="O246" s="249"/>
      <c r="P246" s="249"/>
      <c r="Q246" s="249"/>
      <c r="R246" s="249"/>
      <c r="S246" s="249"/>
      <c r="T246" s="249"/>
      <c r="U246" s="249"/>
      <c r="V246" s="249"/>
      <c r="W246" s="249"/>
      <c r="X246" s="249"/>
      <c r="Y246" s="249"/>
      <c r="Z246" s="249"/>
      <c r="AA246" s="249"/>
    </row>
    <row r="247">
      <c r="A247" s="249"/>
      <c r="B247" s="249"/>
      <c r="C247" s="249"/>
      <c r="D247" s="249"/>
      <c r="E247" s="249"/>
      <c r="F247" s="249"/>
      <c r="G247" s="249"/>
      <c r="H247" s="249"/>
      <c r="I247" s="249"/>
      <c r="J247" s="249"/>
      <c r="K247" s="249"/>
      <c r="L247" s="249"/>
      <c r="M247" s="249"/>
      <c r="N247" s="249"/>
      <c r="O247" s="249"/>
      <c r="P247" s="249"/>
      <c r="Q247" s="249"/>
      <c r="R247" s="249"/>
      <c r="S247" s="249"/>
      <c r="T247" s="249"/>
      <c r="U247" s="249"/>
      <c r="V247" s="249"/>
      <c r="W247" s="249"/>
      <c r="X247" s="249"/>
      <c r="Y247" s="249"/>
      <c r="Z247" s="249"/>
      <c r="AA247" s="249"/>
    </row>
    <row r="248">
      <c r="A248" s="249"/>
      <c r="B248" s="249"/>
      <c r="C248" s="249"/>
      <c r="D248" s="249"/>
      <c r="E248" s="249"/>
      <c r="F248" s="249"/>
      <c r="G248" s="249"/>
      <c r="H248" s="249"/>
      <c r="I248" s="249"/>
      <c r="J248" s="249"/>
      <c r="K248" s="249"/>
      <c r="L248" s="249"/>
      <c r="M248" s="249"/>
      <c r="N248" s="249"/>
      <c r="O248" s="249"/>
      <c r="P248" s="249"/>
      <c r="Q248" s="249"/>
      <c r="R248" s="249"/>
      <c r="S248" s="249"/>
      <c r="T248" s="249"/>
      <c r="U248" s="249"/>
      <c r="V248" s="249"/>
      <c r="W248" s="249"/>
      <c r="X248" s="249"/>
      <c r="Y248" s="249"/>
      <c r="Z248" s="249"/>
      <c r="AA248" s="249"/>
    </row>
    <row r="249">
      <c r="A249" s="249"/>
      <c r="B249" s="249"/>
      <c r="C249" s="249"/>
      <c r="D249" s="249"/>
      <c r="E249" s="249"/>
      <c r="F249" s="249"/>
      <c r="G249" s="249"/>
      <c r="H249" s="249"/>
      <c r="I249" s="249"/>
      <c r="J249" s="249"/>
      <c r="K249" s="249"/>
      <c r="L249" s="249"/>
      <c r="M249" s="249"/>
      <c r="N249" s="249"/>
      <c r="O249" s="249"/>
      <c r="P249" s="249"/>
      <c r="Q249" s="249"/>
      <c r="R249" s="249"/>
      <c r="S249" s="249"/>
      <c r="T249" s="249"/>
      <c r="U249" s="249"/>
      <c r="V249" s="249"/>
      <c r="W249" s="249"/>
      <c r="X249" s="249"/>
      <c r="Y249" s="249"/>
      <c r="Z249" s="249"/>
      <c r="AA249" s="249"/>
    </row>
    <row r="250">
      <c r="A250" s="249"/>
      <c r="B250" s="249"/>
      <c r="C250" s="249"/>
      <c r="D250" s="249"/>
      <c r="E250" s="249"/>
      <c r="F250" s="249"/>
      <c r="G250" s="249"/>
      <c r="H250" s="249"/>
      <c r="I250" s="249"/>
      <c r="J250" s="249"/>
      <c r="K250" s="249"/>
      <c r="L250" s="249"/>
      <c r="M250" s="249"/>
      <c r="N250" s="249"/>
      <c r="O250" s="249"/>
      <c r="P250" s="249"/>
      <c r="Q250" s="249"/>
      <c r="R250" s="249"/>
      <c r="S250" s="249"/>
      <c r="T250" s="249"/>
      <c r="U250" s="249"/>
      <c r="V250" s="249"/>
      <c r="W250" s="249"/>
      <c r="X250" s="249"/>
      <c r="Y250" s="249"/>
      <c r="Z250" s="249"/>
      <c r="AA250" s="249"/>
    </row>
    <row r="251">
      <c r="A251" s="249"/>
      <c r="B251" s="249"/>
      <c r="C251" s="249"/>
      <c r="D251" s="249"/>
      <c r="E251" s="249"/>
      <c r="F251" s="249"/>
      <c r="G251" s="249"/>
      <c r="H251" s="249"/>
      <c r="I251" s="249"/>
      <c r="J251" s="249"/>
      <c r="K251" s="249"/>
      <c r="L251" s="249"/>
      <c r="M251" s="249"/>
      <c r="N251" s="249"/>
      <c r="O251" s="249"/>
      <c r="P251" s="249"/>
      <c r="Q251" s="249"/>
      <c r="R251" s="249"/>
      <c r="S251" s="249"/>
      <c r="T251" s="249"/>
      <c r="U251" s="249"/>
      <c r="V251" s="249"/>
      <c r="W251" s="249"/>
      <c r="X251" s="249"/>
      <c r="Y251" s="249"/>
      <c r="Z251" s="249"/>
      <c r="AA251" s="249"/>
    </row>
    <row r="252">
      <c r="A252" s="249"/>
      <c r="B252" s="249"/>
      <c r="C252" s="249"/>
      <c r="D252" s="249"/>
      <c r="E252" s="249"/>
      <c r="F252" s="249"/>
      <c r="G252" s="249"/>
      <c r="H252" s="249"/>
      <c r="I252" s="249"/>
      <c r="J252" s="249"/>
      <c r="K252" s="249"/>
      <c r="L252" s="249"/>
      <c r="M252" s="249"/>
      <c r="N252" s="249"/>
      <c r="O252" s="249"/>
      <c r="P252" s="249"/>
      <c r="Q252" s="249"/>
      <c r="R252" s="249"/>
      <c r="S252" s="249"/>
      <c r="T252" s="249"/>
      <c r="U252" s="249"/>
      <c r="V252" s="249"/>
      <c r="W252" s="249"/>
      <c r="X252" s="249"/>
      <c r="Y252" s="249"/>
      <c r="Z252" s="249"/>
      <c r="AA252" s="249"/>
    </row>
    <row r="253">
      <c r="A253" s="249"/>
      <c r="B253" s="249"/>
      <c r="C253" s="249"/>
      <c r="D253" s="249"/>
      <c r="E253" s="249"/>
      <c r="F253" s="249"/>
      <c r="G253" s="249"/>
      <c r="H253" s="249"/>
      <c r="I253" s="249"/>
      <c r="J253" s="249"/>
      <c r="K253" s="249"/>
      <c r="L253" s="249"/>
      <c r="M253" s="249"/>
      <c r="N253" s="249"/>
      <c r="O253" s="249"/>
      <c r="P253" s="249"/>
      <c r="Q253" s="249"/>
      <c r="R253" s="249"/>
      <c r="S253" s="249"/>
      <c r="T253" s="249"/>
      <c r="U253" s="249"/>
      <c r="V253" s="249"/>
      <c r="W253" s="249"/>
      <c r="X253" s="249"/>
      <c r="Y253" s="249"/>
      <c r="Z253" s="249"/>
      <c r="AA253" s="249"/>
    </row>
    <row r="254">
      <c r="A254" s="249"/>
      <c r="B254" s="249"/>
      <c r="C254" s="249"/>
      <c r="D254" s="249"/>
      <c r="E254" s="249"/>
      <c r="F254" s="249"/>
      <c r="G254" s="249"/>
      <c r="H254" s="249"/>
      <c r="I254" s="249"/>
      <c r="J254" s="249"/>
      <c r="K254" s="249"/>
      <c r="L254" s="249"/>
      <c r="M254" s="249"/>
      <c r="N254" s="249"/>
      <c r="O254" s="249"/>
      <c r="P254" s="249"/>
      <c r="Q254" s="249"/>
      <c r="R254" s="249"/>
      <c r="S254" s="249"/>
      <c r="T254" s="249"/>
      <c r="U254" s="249"/>
      <c r="V254" s="249"/>
      <c r="W254" s="249"/>
      <c r="X254" s="249"/>
      <c r="Y254" s="249"/>
      <c r="Z254" s="249"/>
      <c r="AA254" s="249"/>
    </row>
    <row r="255">
      <c r="A255" s="249"/>
      <c r="B255" s="249"/>
      <c r="C255" s="249"/>
      <c r="D255" s="249"/>
      <c r="E255" s="249"/>
      <c r="F255" s="249"/>
      <c r="G255" s="249"/>
      <c r="H255" s="249"/>
      <c r="I255" s="249"/>
      <c r="J255" s="249"/>
      <c r="K255" s="249"/>
      <c r="L255" s="249"/>
      <c r="M255" s="249"/>
      <c r="N255" s="249"/>
      <c r="O255" s="249"/>
      <c r="P255" s="249"/>
      <c r="Q255" s="249"/>
      <c r="R255" s="249"/>
      <c r="S255" s="249"/>
      <c r="T255" s="249"/>
      <c r="U255" s="249"/>
      <c r="V255" s="249"/>
      <c r="W255" s="249"/>
      <c r="X255" s="249"/>
      <c r="Y255" s="249"/>
      <c r="Z255" s="249"/>
      <c r="AA255" s="249"/>
    </row>
    <row r="256">
      <c r="A256" s="249"/>
      <c r="B256" s="249"/>
      <c r="C256" s="249"/>
      <c r="D256" s="249"/>
      <c r="E256" s="249"/>
      <c r="F256" s="249"/>
      <c r="G256" s="249"/>
      <c r="H256" s="249"/>
      <c r="I256" s="249"/>
      <c r="J256" s="249"/>
      <c r="K256" s="249"/>
      <c r="L256" s="249"/>
      <c r="M256" s="249"/>
      <c r="N256" s="249"/>
      <c r="O256" s="249"/>
      <c r="P256" s="249"/>
      <c r="Q256" s="249"/>
      <c r="R256" s="249"/>
      <c r="S256" s="249"/>
      <c r="T256" s="249"/>
      <c r="U256" s="249"/>
      <c r="V256" s="249"/>
      <c r="W256" s="249"/>
      <c r="X256" s="249"/>
      <c r="Y256" s="249"/>
      <c r="Z256" s="249"/>
      <c r="AA256" s="249"/>
    </row>
    <row r="257">
      <c r="A257" s="249"/>
      <c r="B257" s="249"/>
      <c r="C257" s="249"/>
      <c r="D257" s="249"/>
      <c r="E257" s="249"/>
      <c r="F257" s="249"/>
      <c r="G257" s="249"/>
      <c r="H257" s="249"/>
      <c r="I257" s="249"/>
      <c r="J257" s="249"/>
      <c r="K257" s="249"/>
      <c r="L257" s="249"/>
      <c r="M257" s="249"/>
      <c r="N257" s="249"/>
      <c r="O257" s="249"/>
      <c r="P257" s="249"/>
      <c r="Q257" s="249"/>
      <c r="R257" s="249"/>
      <c r="S257" s="249"/>
      <c r="T257" s="249"/>
      <c r="U257" s="249"/>
      <c r="V257" s="249"/>
      <c r="W257" s="249"/>
      <c r="X257" s="249"/>
      <c r="Y257" s="249"/>
      <c r="Z257" s="249"/>
      <c r="AA257" s="249"/>
    </row>
    <row r="258">
      <c r="A258" s="249"/>
      <c r="B258" s="249"/>
      <c r="C258" s="249"/>
      <c r="D258" s="249"/>
      <c r="E258" s="249"/>
      <c r="F258" s="249"/>
      <c r="G258" s="249"/>
      <c r="H258" s="249"/>
      <c r="I258" s="249"/>
      <c r="J258" s="249"/>
      <c r="K258" s="249"/>
      <c r="L258" s="249"/>
      <c r="M258" s="249"/>
      <c r="N258" s="249"/>
      <c r="O258" s="249"/>
      <c r="P258" s="249"/>
      <c r="Q258" s="249"/>
      <c r="R258" s="249"/>
      <c r="S258" s="249"/>
      <c r="T258" s="249"/>
      <c r="U258" s="249"/>
      <c r="V258" s="249"/>
      <c r="W258" s="249"/>
      <c r="X258" s="249"/>
      <c r="Y258" s="249"/>
      <c r="Z258" s="249"/>
      <c r="AA258" s="249"/>
    </row>
    <row r="259">
      <c r="A259" s="249"/>
      <c r="B259" s="249"/>
      <c r="C259" s="249"/>
      <c r="D259" s="249"/>
      <c r="E259" s="249"/>
      <c r="F259" s="249"/>
      <c r="G259" s="249"/>
      <c r="H259" s="249"/>
      <c r="I259" s="249"/>
      <c r="J259" s="249"/>
      <c r="K259" s="249"/>
      <c r="L259" s="249"/>
      <c r="M259" s="249"/>
      <c r="N259" s="249"/>
      <c r="O259" s="249"/>
      <c r="P259" s="249"/>
      <c r="Q259" s="249"/>
      <c r="R259" s="249"/>
      <c r="S259" s="249"/>
      <c r="T259" s="249"/>
      <c r="U259" s="249"/>
      <c r="V259" s="249"/>
      <c r="W259" s="249"/>
      <c r="X259" s="249"/>
      <c r="Y259" s="249"/>
      <c r="Z259" s="249"/>
      <c r="AA259" s="249"/>
    </row>
    <row r="260">
      <c r="A260" s="249"/>
      <c r="B260" s="249"/>
      <c r="C260" s="249"/>
      <c r="D260" s="249"/>
      <c r="E260" s="249"/>
      <c r="F260" s="249"/>
      <c r="G260" s="249"/>
      <c r="H260" s="249"/>
      <c r="I260" s="249"/>
      <c r="J260" s="249"/>
      <c r="K260" s="249"/>
      <c r="L260" s="249"/>
      <c r="M260" s="249"/>
      <c r="N260" s="249"/>
      <c r="O260" s="249"/>
      <c r="P260" s="249"/>
      <c r="Q260" s="249"/>
      <c r="R260" s="249"/>
      <c r="S260" s="249"/>
      <c r="T260" s="249"/>
      <c r="U260" s="249"/>
      <c r="V260" s="249"/>
      <c r="W260" s="249"/>
      <c r="X260" s="249"/>
      <c r="Y260" s="249"/>
      <c r="Z260" s="249"/>
      <c r="AA260" s="249"/>
    </row>
    <row r="261">
      <c r="A261" s="249"/>
      <c r="B261" s="249"/>
      <c r="C261" s="249"/>
      <c r="D261" s="249"/>
      <c r="E261" s="249"/>
      <c r="F261" s="249"/>
      <c r="G261" s="249"/>
      <c r="H261" s="249"/>
      <c r="I261" s="249"/>
      <c r="J261" s="249"/>
      <c r="K261" s="249"/>
      <c r="L261" s="249"/>
      <c r="M261" s="249"/>
      <c r="N261" s="249"/>
      <c r="O261" s="249"/>
      <c r="P261" s="249"/>
      <c r="Q261" s="249"/>
      <c r="R261" s="249"/>
      <c r="S261" s="249"/>
      <c r="T261" s="249"/>
      <c r="U261" s="249"/>
      <c r="V261" s="249"/>
      <c r="W261" s="249"/>
      <c r="X261" s="249"/>
      <c r="Y261" s="249"/>
      <c r="Z261" s="249"/>
      <c r="AA261" s="249"/>
    </row>
    <row r="262">
      <c r="A262" s="249"/>
      <c r="B262" s="249"/>
      <c r="C262" s="249"/>
      <c r="D262" s="249"/>
      <c r="E262" s="249"/>
      <c r="F262" s="249"/>
      <c r="G262" s="249"/>
      <c r="H262" s="249"/>
      <c r="I262" s="249"/>
      <c r="J262" s="249"/>
      <c r="K262" s="249"/>
      <c r="L262" s="249"/>
      <c r="M262" s="249"/>
      <c r="N262" s="249"/>
      <c r="O262" s="249"/>
      <c r="P262" s="249"/>
      <c r="Q262" s="249"/>
      <c r="R262" s="249"/>
      <c r="S262" s="249"/>
      <c r="T262" s="249"/>
      <c r="U262" s="249"/>
      <c r="V262" s="249"/>
      <c r="W262" s="249"/>
      <c r="X262" s="249"/>
      <c r="Y262" s="249"/>
      <c r="Z262" s="249"/>
      <c r="AA262" s="249"/>
    </row>
    <row r="263">
      <c r="A263" s="249"/>
      <c r="B263" s="249"/>
      <c r="C263" s="249"/>
      <c r="D263" s="249"/>
      <c r="E263" s="249"/>
      <c r="F263" s="249"/>
      <c r="G263" s="249"/>
      <c r="H263" s="249"/>
      <c r="I263" s="249"/>
      <c r="J263" s="249"/>
      <c r="K263" s="249"/>
      <c r="L263" s="249"/>
      <c r="M263" s="249"/>
      <c r="N263" s="249"/>
      <c r="O263" s="249"/>
      <c r="P263" s="249"/>
      <c r="Q263" s="249"/>
      <c r="R263" s="249"/>
      <c r="S263" s="249"/>
      <c r="T263" s="249"/>
      <c r="U263" s="249"/>
      <c r="V263" s="249"/>
      <c r="W263" s="249"/>
      <c r="X263" s="249"/>
      <c r="Y263" s="249"/>
      <c r="Z263" s="249"/>
      <c r="AA263" s="249"/>
    </row>
    <row r="264">
      <c r="A264" s="249"/>
      <c r="B264" s="249"/>
      <c r="C264" s="249"/>
      <c r="D264" s="249"/>
      <c r="E264" s="249"/>
      <c r="F264" s="249"/>
      <c r="G264" s="249"/>
      <c r="H264" s="249"/>
      <c r="I264" s="249"/>
      <c r="J264" s="249"/>
      <c r="K264" s="249"/>
      <c r="L264" s="249"/>
      <c r="M264" s="249"/>
      <c r="N264" s="249"/>
      <c r="O264" s="249"/>
      <c r="P264" s="249"/>
      <c r="Q264" s="249"/>
      <c r="R264" s="249"/>
      <c r="S264" s="249"/>
      <c r="T264" s="249"/>
      <c r="U264" s="249"/>
      <c r="V264" s="249"/>
      <c r="W264" s="249"/>
      <c r="X264" s="249"/>
      <c r="Y264" s="249"/>
      <c r="Z264" s="249"/>
      <c r="AA264" s="249"/>
    </row>
    <row r="265">
      <c r="A265" s="249"/>
      <c r="B265" s="249"/>
      <c r="C265" s="249"/>
      <c r="D265" s="249"/>
      <c r="E265" s="249"/>
      <c r="F265" s="249"/>
      <c r="G265" s="249"/>
      <c r="H265" s="249"/>
      <c r="I265" s="249"/>
      <c r="J265" s="249"/>
      <c r="K265" s="249"/>
      <c r="L265" s="249"/>
      <c r="M265" s="249"/>
      <c r="N265" s="249"/>
      <c r="O265" s="249"/>
      <c r="P265" s="249"/>
      <c r="Q265" s="249"/>
      <c r="R265" s="249"/>
      <c r="S265" s="249"/>
      <c r="T265" s="249"/>
      <c r="U265" s="249"/>
      <c r="V265" s="249"/>
      <c r="W265" s="249"/>
      <c r="X265" s="249"/>
      <c r="Y265" s="249"/>
      <c r="Z265" s="249"/>
      <c r="AA265" s="249"/>
    </row>
    <row r="266">
      <c r="A266" s="249"/>
      <c r="B266" s="249"/>
      <c r="C266" s="249"/>
      <c r="D266" s="249"/>
      <c r="E266" s="249"/>
      <c r="F266" s="249"/>
      <c r="G266" s="249"/>
      <c r="H266" s="249"/>
      <c r="I266" s="249"/>
      <c r="J266" s="249"/>
      <c r="K266" s="249"/>
      <c r="L266" s="249"/>
      <c r="M266" s="249"/>
      <c r="N266" s="249"/>
      <c r="O266" s="249"/>
      <c r="P266" s="249"/>
      <c r="Q266" s="249"/>
      <c r="R266" s="249"/>
      <c r="S266" s="249"/>
      <c r="T266" s="249"/>
      <c r="U266" s="249"/>
      <c r="V266" s="249"/>
      <c r="W266" s="249"/>
      <c r="X266" s="249"/>
      <c r="Y266" s="249"/>
      <c r="Z266" s="249"/>
      <c r="AA266" s="249"/>
    </row>
    <row r="267">
      <c r="A267" s="249"/>
      <c r="B267" s="249"/>
      <c r="C267" s="249"/>
      <c r="D267" s="249"/>
      <c r="E267" s="249"/>
      <c r="F267" s="249"/>
      <c r="G267" s="249"/>
      <c r="H267" s="249"/>
      <c r="I267" s="249"/>
      <c r="J267" s="249"/>
      <c r="K267" s="249"/>
      <c r="L267" s="249"/>
      <c r="M267" s="249"/>
      <c r="N267" s="249"/>
      <c r="O267" s="249"/>
      <c r="P267" s="249"/>
      <c r="Q267" s="249"/>
      <c r="R267" s="249"/>
      <c r="S267" s="249"/>
      <c r="T267" s="249"/>
      <c r="U267" s="249"/>
      <c r="V267" s="249"/>
      <c r="W267" s="249"/>
      <c r="X267" s="249"/>
      <c r="Y267" s="249"/>
      <c r="Z267" s="249"/>
      <c r="AA267" s="249"/>
    </row>
    <row r="268">
      <c r="A268" s="249"/>
      <c r="B268" s="249"/>
      <c r="C268" s="249"/>
      <c r="D268" s="249"/>
      <c r="E268" s="249"/>
      <c r="F268" s="249"/>
      <c r="G268" s="249"/>
      <c r="H268" s="249"/>
      <c r="I268" s="249"/>
      <c r="J268" s="249"/>
      <c r="K268" s="249"/>
      <c r="L268" s="249"/>
      <c r="M268" s="249"/>
      <c r="N268" s="249"/>
      <c r="O268" s="249"/>
      <c r="P268" s="249"/>
      <c r="Q268" s="249"/>
      <c r="R268" s="249"/>
      <c r="S268" s="249"/>
      <c r="T268" s="249"/>
      <c r="U268" s="249"/>
      <c r="V268" s="249"/>
      <c r="W268" s="249"/>
      <c r="X268" s="249"/>
      <c r="Y268" s="249"/>
      <c r="Z268" s="249"/>
      <c r="AA268" s="249"/>
    </row>
    <row r="269">
      <c r="A269" s="249"/>
      <c r="B269" s="249"/>
      <c r="C269" s="249"/>
      <c r="D269" s="249"/>
      <c r="E269" s="249"/>
      <c r="F269" s="249"/>
      <c r="G269" s="249"/>
      <c r="H269" s="249"/>
      <c r="I269" s="249"/>
      <c r="J269" s="249"/>
      <c r="K269" s="249"/>
      <c r="L269" s="249"/>
      <c r="M269" s="249"/>
      <c r="N269" s="249"/>
      <c r="O269" s="249"/>
      <c r="P269" s="249"/>
      <c r="Q269" s="249"/>
      <c r="R269" s="249"/>
      <c r="S269" s="249"/>
      <c r="T269" s="249"/>
      <c r="U269" s="249"/>
      <c r="V269" s="249"/>
      <c r="W269" s="249"/>
      <c r="X269" s="249"/>
      <c r="Y269" s="249"/>
      <c r="Z269" s="249"/>
      <c r="AA269" s="249"/>
    </row>
    <row r="270">
      <c r="A270" s="249"/>
      <c r="B270" s="249"/>
      <c r="C270" s="249"/>
      <c r="D270" s="249"/>
      <c r="E270" s="249"/>
      <c r="F270" s="249"/>
      <c r="G270" s="249"/>
      <c r="H270" s="249"/>
      <c r="I270" s="249"/>
      <c r="J270" s="249"/>
      <c r="K270" s="249"/>
      <c r="L270" s="249"/>
      <c r="M270" s="249"/>
      <c r="N270" s="249"/>
      <c r="O270" s="249"/>
      <c r="P270" s="249"/>
      <c r="Q270" s="249"/>
      <c r="R270" s="249"/>
      <c r="S270" s="249"/>
      <c r="T270" s="249"/>
      <c r="U270" s="249"/>
      <c r="V270" s="249"/>
      <c r="W270" s="249"/>
      <c r="X270" s="249"/>
      <c r="Y270" s="249"/>
      <c r="Z270" s="249"/>
      <c r="AA270" s="249"/>
    </row>
    <row r="271">
      <c r="A271" s="249"/>
      <c r="B271" s="249"/>
      <c r="C271" s="249"/>
      <c r="D271" s="249"/>
      <c r="E271" s="249"/>
      <c r="F271" s="249"/>
      <c r="G271" s="249"/>
      <c r="H271" s="249"/>
      <c r="I271" s="249"/>
      <c r="J271" s="249"/>
      <c r="K271" s="249"/>
      <c r="L271" s="249"/>
      <c r="M271" s="249"/>
      <c r="N271" s="249"/>
      <c r="O271" s="249"/>
      <c r="P271" s="249"/>
      <c r="Q271" s="249"/>
      <c r="R271" s="249"/>
      <c r="S271" s="249"/>
      <c r="T271" s="249"/>
      <c r="U271" s="249"/>
      <c r="V271" s="249"/>
      <c r="W271" s="249"/>
      <c r="X271" s="249"/>
      <c r="Y271" s="249"/>
      <c r="Z271" s="249"/>
      <c r="AA271" s="249"/>
    </row>
    <row r="272">
      <c r="A272" s="249"/>
      <c r="B272" s="249"/>
      <c r="C272" s="249"/>
      <c r="D272" s="249"/>
      <c r="E272" s="249"/>
      <c r="F272" s="249"/>
      <c r="G272" s="249"/>
      <c r="H272" s="249"/>
      <c r="I272" s="249"/>
      <c r="J272" s="249"/>
      <c r="K272" s="249"/>
      <c r="L272" s="249"/>
      <c r="M272" s="249"/>
      <c r="N272" s="249"/>
      <c r="O272" s="249"/>
      <c r="P272" s="249"/>
      <c r="Q272" s="249"/>
      <c r="R272" s="249"/>
      <c r="S272" s="249"/>
      <c r="T272" s="249"/>
      <c r="U272" s="249"/>
      <c r="V272" s="249"/>
      <c r="W272" s="249"/>
      <c r="X272" s="249"/>
      <c r="Y272" s="249"/>
      <c r="Z272" s="249"/>
      <c r="AA272" s="249"/>
    </row>
    <row r="273">
      <c r="A273" s="249"/>
      <c r="B273" s="249"/>
      <c r="C273" s="249"/>
      <c r="D273" s="249"/>
      <c r="E273" s="249"/>
      <c r="F273" s="249"/>
      <c r="G273" s="249"/>
      <c r="H273" s="249"/>
      <c r="I273" s="249"/>
      <c r="J273" s="249"/>
      <c r="K273" s="249"/>
      <c r="L273" s="249"/>
      <c r="M273" s="249"/>
      <c r="N273" s="249"/>
      <c r="O273" s="249"/>
      <c r="P273" s="249"/>
      <c r="Q273" s="249"/>
      <c r="R273" s="249"/>
      <c r="S273" s="249"/>
      <c r="T273" s="249"/>
      <c r="U273" s="249"/>
      <c r="V273" s="249"/>
      <c r="W273" s="249"/>
      <c r="X273" s="249"/>
      <c r="Y273" s="249"/>
      <c r="Z273" s="249"/>
      <c r="AA273" s="249"/>
    </row>
    <row r="274">
      <c r="A274" s="249"/>
      <c r="B274" s="249"/>
      <c r="C274" s="249"/>
      <c r="D274" s="249"/>
      <c r="E274" s="249"/>
      <c r="F274" s="249"/>
      <c r="G274" s="249"/>
      <c r="H274" s="249"/>
      <c r="I274" s="249"/>
      <c r="J274" s="249"/>
      <c r="K274" s="249"/>
      <c r="L274" s="249"/>
      <c r="M274" s="249"/>
      <c r="N274" s="249"/>
      <c r="O274" s="249"/>
      <c r="P274" s="249"/>
      <c r="Q274" s="249"/>
      <c r="R274" s="249"/>
      <c r="S274" s="249"/>
      <c r="T274" s="249"/>
      <c r="U274" s="249"/>
      <c r="V274" s="249"/>
      <c r="W274" s="249"/>
      <c r="X274" s="249"/>
      <c r="Y274" s="249"/>
      <c r="Z274" s="249"/>
      <c r="AA274" s="249"/>
    </row>
    <row r="275">
      <c r="A275" s="249"/>
      <c r="B275" s="249"/>
      <c r="C275" s="249"/>
      <c r="D275" s="249"/>
      <c r="E275" s="249"/>
      <c r="F275" s="249"/>
      <c r="G275" s="249"/>
      <c r="H275" s="249"/>
      <c r="I275" s="249"/>
      <c r="J275" s="249"/>
      <c r="K275" s="249"/>
      <c r="L275" s="249"/>
      <c r="M275" s="249"/>
      <c r="N275" s="249"/>
      <c r="O275" s="249"/>
      <c r="P275" s="249"/>
      <c r="Q275" s="249"/>
      <c r="R275" s="249"/>
      <c r="S275" s="249"/>
      <c r="T275" s="249"/>
      <c r="U275" s="249"/>
      <c r="V275" s="249"/>
      <c r="W275" s="249"/>
      <c r="X275" s="249"/>
      <c r="Y275" s="249"/>
      <c r="Z275" s="249"/>
      <c r="AA275" s="249"/>
    </row>
    <row r="276">
      <c r="A276" s="249"/>
      <c r="B276" s="249"/>
      <c r="C276" s="249"/>
      <c r="D276" s="249"/>
      <c r="E276" s="249"/>
      <c r="F276" s="249"/>
      <c r="G276" s="249"/>
      <c r="H276" s="249"/>
      <c r="I276" s="249"/>
      <c r="J276" s="249"/>
      <c r="K276" s="249"/>
      <c r="L276" s="249"/>
      <c r="M276" s="249"/>
      <c r="N276" s="249"/>
      <c r="O276" s="249"/>
      <c r="P276" s="249"/>
      <c r="Q276" s="249"/>
      <c r="R276" s="249"/>
      <c r="S276" s="249"/>
      <c r="T276" s="249"/>
      <c r="U276" s="249"/>
      <c r="V276" s="249"/>
      <c r="W276" s="249"/>
      <c r="X276" s="249"/>
      <c r="Y276" s="249"/>
      <c r="Z276" s="249"/>
      <c r="AA276" s="249"/>
    </row>
    <row r="277">
      <c r="A277" s="249"/>
      <c r="B277" s="249"/>
      <c r="C277" s="249"/>
      <c r="D277" s="249"/>
      <c r="E277" s="249"/>
      <c r="F277" s="249"/>
      <c r="G277" s="249"/>
      <c r="H277" s="249"/>
      <c r="I277" s="249"/>
      <c r="J277" s="249"/>
      <c r="K277" s="249"/>
      <c r="L277" s="249"/>
      <c r="M277" s="249"/>
      <c r="N277" s="249"/>
      <c r="O277" s="249"/>
      <c r="P277" s="249"/>
      <c r="Q277" s="249"/>
      <c r="R277" s="249"/>
      <c r="S277" s="249"/>
      <c r="T277" s="249"/>
      <c r="U277" s="249"/>
      <c r="V277" s="249"/>
      <c r="W277" s="249"/>
      <c r="X277" s="249"/>
      <c r="Y277" s="249"/>
      <c r="Z277" s="249"/>
      <c r="AA277" s="249"/>
    </row>
    <row r="278">
      <c r="A278" s="249"/>
      <c r="B278" s="249"/>
      <c r="C278" s="249"/>
      <c r="D278" s="249"/>
      <c r="E278" s="249"/>
      <c r="F278" s="249"/>
      <c r="G278" s="249"/>
      <c r="H278" s="249"/>
      <c r="I278" s="249"/>
      <c r="J278" s="249"/>
      <c r="K278" s="249"/>
      <c r="L278" s="249"/>
      <c r="M278" s="249"/>
      <c r="N278" s="249"/>
      <c r="O278" s="249"/>
      <c r="P278" s="249"/>
      <c r="Q278" s="249"/>
      <c r="R278" s="249"/>
      <c r="S278" s="249"/>
      <c r="T278" s="249"/>
      <c r="U278" s="249"/>
      <c r="V278" s="249"/>
      <c r="W278" s="249"/>
      <c r="X278" s="249"/>
      <c r="Y278" s="249"/>
      <c r="Z278" s="249"/>
      <c r="AA278" s="249"/>
    </row>
    <row r="279">
      <c r="A279" s="249"/>
      <c r="B279" s="249"/>
      <c r="C279" s="249"/>
      <c r="D279" s="249"/>
      <c r="E279" s="249"/>
      <c r="F279" s="249"/>
      <c r="G279" s="249"/>
      <c r="H279" s="249"/>
      <c r="I279" s="249"/>
      <c r="J279" s="249"/>
      <c r="K279" s="249"/>
      <c r="L279" s="249"/>
      <c r="M279" s="249"/>
      <c r="N279" s="249"/>
      <c r="O279" s="249"/>
      <c r="P279" s="249"/>
      <c r="Q279" s="249"/>
      <c r="R279" s="249"/>
      <c r="S279" s="249"/>
      <c r="T279" s="249"/>
      <c r="U279" s="249"/>
      <c r="V279" s="249"/>
      <c r="W279" s="249"/>
      <c r="X279" s="249"/>
      <c r="Y279" s="249"/>
      <c r="Z279" s="249"/>
      <c r="AA279" s="249"/>
    </row>
    <row r="280">
      <c r="A280" s="249"/>
      <c r="B280" s="249"/>
      <c r="C280" s="249"/>
      <c r="D280" s="249"/>
      <c r="E280" s="249"/>
      <c r="F280" s="249"/>
      <c r="G280" s="249"/>
      <c r="H280" s="249"/>
      <c r="I280" s="249"/>
      <c r="J280" s="249"/>
      <c r="K280" s="249"/>
      <c r="L280" s="249"/>
      <c r="M280" s="249"/>
      <c r="N280" s="249"/>
      <c r="O280" s="249"/>
      <c r="P280" s="249"/>
      <c r="Q280" s="249"/>
      <c r="R280" s="249"/>
      <c r="S280" s="249"/>
      <c r="T280" s="249"/>
      <c r="U280" s="249"/>
      <c r="V280" s="249"/>
      <c r="W280" s="249"/>
      <c r="X280" s="249"/>
      <c r="Y280" s="249"/>
      <c r="Z280" s="249"/>
      <c r="AA280" s="249"/>
    </row>
    <row r="281">
      <c r="A281" s="249"/>
      <c r="B281" s="249"/>
      <c r="C281" s="249"/>
      <c r="D281" s="249"/>
      <c r="E281" s="249"/>
      <c r="F281" s="249"/>
      <c r="G281" s="249"/>
      <c r="H281" s="249"/>
      <c r="I281" s="249"/>
      <c r="J281" s="249"/>
      <c r="K281" s="249"/>
      <c r="L281" s="249"/>
      <c r="M281" s="249"/>
      <c r="N281" s="249"/>
      <c r="O281" s="249"/>
      <c r="P281" s="249"/>
      <c r="Q281" s="249"/>
      <c r="R281" s="249"/>
      <c r="S281" s="249"/>
      <c r="T281" s="249"/>
      <c r="U281" s="249"/>
      <c r="V281" s="249"/>
      <c r="W281" s="249"/>
      <c r="X281" s="249"/>
      <c r="Y281" s="249"/>
      <c r="Z281" s="249"/>
      <c r="AA281" s="249"/>
    </row>
    <row r="282">
      <c r="A282" s="249"/>
      <c r="B282" s="249"/>
      <c r="C282" s="249"/>
      <c r="D282" s="249"/>
      <c r="E282" s="249"/>
      <c r="F282" s="249"/>
      <c r="G282" s="249"/>
      <c r="H282" s="249"/>
      <c r="I282" s="249"/>
      <c r="J282" s="249"/>
      <c r="K282" s="249"/>
      <c r="L282" s="249"/>
      <c r="M282" s="249"/>
      <c r="N282" s="249"/>
      <c r="O282" s="249"/>
      <c r="P282" s="249"/>
      <c r="Q282" s="249"/>
      <c r="R282" s="249"/>
      <c r="S282" s="249"/>
      <c r="T282" s="249"/>
      <c r="U282" s="249"/>
      <c r="V282" s="249"/>
      <c r="W282" s="249"/>
      <c r="X282" s="249"/>
      <c r="Y282" s="249"/>
      <c r="Z282" s="249"/>
      <c r="AA282" s="249"/>
    </row>
    <row r="283">
      <c r="A283" s="249"/>
      <c r="B283" s="249"/>
      <c r="C283" s="249"/>
      <c r="D283" s="249"/>
      <c r="E283" s="249"/>
      <c r="F283" s="249"/>
      <c r="G283" s="249"/>
      <c r="H283" s="249"/>
      <c r="I283" s="249"/>
      <c r="J283" s="249"/>
      <c r="K283" s="249"/>
      <c r="L283" s="249"/>
      <c r="M283" s="249"/>
      <c r="N283" s="249"/>
      <c r="O283" s="249"/>
      <c r="P283" s="249"/>
      <c r="Q283" s="249"/>
      <c r="R283" s="249"/>
      <c r="S283" s="249"/>
      <c r="T283" s="249"/>
      <c r="U283" s="249"/>
      <c r="V283" s="249"/>
      <c r="W283" s="249"/>
      <c r="X283" s="249"/>
      <c r="Y283" s="249"/>
      <c r="Z283" s="249"/>
      <c r="AA283" s="249"/>
    </row>
    <row r="284">
      <c r="A284" s="249"/>
      <c r="B284" s="249"/>
      <c r="C284" s="249"/>
      <c r="D284" s="249"/>
      <c r="E284" s="249"/>
      <c r="F284" s="249"/>
      <c r="G284" s="249"/>
      <c r="H284" s="249"/>
      <c r="I284" s="249"/>
      <c r="J284" s="249"/>
      <c r="K284" s="249"/>
      <c r="L284" s="249"/>
      <c r="M284" s="249"/>
      <c r="N284" s="249"/>
      <c r="O284" s="249"/>
      <c r="P284" s="249"/>
      <c r="Q284" s="249"/>
      <c r="R284" s="249"/>
      <c r="S284" s="249"/>
      <c r="T284" s="249"/>
      <c r="U284" s="249"/>
      <c r="V284" s="249"/>
      <c r="W284" s="249"/>
      <c r="X284" s="249"/>
      <c r="Y284" s="249"/>
      <c r="Z284" s="249"/>
      <c r="AA284" s="249"/>
    </row>
    <row r="285">
      <c r="A285" s="249"/>
      <c r="B285" s="249"/>
      <c r="C285" s="249"/>
      <c r="D285" s="249"/>
      <c r="E285" s="249"/>
      <c r="F285" s="249"/>
      <c r="G285" s="249"/>
      <c r="H285" s="249"/>
      <c r="I285" s="249"/>
      <c r="J285" s="249"/>
      <c r="K285" s="249"/>
      <c r="L285" s="249"/>
      <c r="M285" s="249"/>
      <c r="N285" s="249"/>
      <c r="O285" s="249"/>
      <c r="P285" s="249"/>
      <c r="Q285" s="249"/>
      <c r="R285" s="249"/>
      <c r="S285" s="249"/>
      <c r="T285" s="249"/>
      <c r="U285" s="249"/>
      <c r="V285" s="249"/>
      <c r="W285" s="249"/>
      <c r="X285" s="249"/>
      <c r="Y285" s="249"/>
      <c r="Z285" s="249"/>
      <c r="AA285" s="249"/>
    </row>
    <row r="286">
      <c r="A286" s="249"/>
      <c r="B286" s="249"/>
      <c r="C286" s="249"/>
      <c r="D286" s="249"/>
      <c r="E286" s="249"/>
      <c r="F286" s="249"/>
      <c r="G286" s="249"/>
      <c r="H286" s="249"/>
      <c r="I286" s="249"/>
      <c r="J286" s="249"/>
      <c r="K286" s="249"/>
      <c r="L286" s="249"/>
      <c r="M286" s="249"/>
      <c r="N286" s="249"/>
      <c r="O286" s="249"/>
      <c r="P286" s="249"/>
      <c r="Q286" s="249"/>
      <c r="R286" s="249"/>
      <c r="S286" s="249"/>
      <c r="T286" s="249"/>
      <c r="U286" s="249"/>
      <c r="V286" s="249"/>
      <c r="W286" s="249"/>
      <c r="X286" s="249"/>
      <c r="Y286" s="249"/>
      <c r="Z286" s="249"/>
      <c r="AA286" s="249"/>
    </row>
    <row r="287">
      <c r="A287" s="249"/>
      <c r="B287" s="249"/>
      <c r="C287" s="249"/>
      <c r="D287" s="249"/>
      <c r="E287" s="249"/>
      <c r="F287" s="249"/>
      <c r="G287" s="249"/>
      <c r="H287" s="249"/>
      <c r="I287" s="249"/>
      <c r="J287" s="249"/>
      <c r="K287" s="249"/>
      <c r="L287" s="249"/>
      <c r="M287" s="249"/>
      <c r="N287" s="249"/>
      <c r="O287" s="249"/>
      <c r="P287" s="249"/>
      <c r="Q287" s="249"/>
      <c r="R287" s="249"/>
      <c r="S287" s="249"/>
      <c r="T287" s="249"/>
      <c r="U287" s="249"/>
      <c r="V287" s="249"/>
      <c r="W287" s="249"/>
      <c r="X287" s="249"/>
      <c r="Y287" s="249"/>
      <c r="Z287" s="249"/>
      <c r="AA287" s="249"/>
    </row>
    <row r="288">
      <c r="A288" s="249"/>
      <c r="B288" s="249"/>
      <c r="C288" s="249"/>
      <c r="D288" s="249"/>
      <c r="E288" s="249"/>
      <c r="F288" s="249"/>
      <c r="G288" s="249"/>
      <c r="H288" s="249"/>
      <c r="I288" s="249"/>
      <c r="J288" s="249"/>
      <c r="K288" s="249"/>
      <c r="L288" s="249"/>
      <c r="M288" s="249"/>
      <c r="N288" s="249"/>
      <c r="O288" s="249"/>
      <c r="P288" s="249"/>
      <c r="Q288" s="249"/>
      <c r="R288" s="249"/>
      <c r="S288" s="249"/>
      <c r="T288" s="249"/>
      <c r="U288" s="249"/>
      <c r="V288" s="249"/>
      <c r="W288" s="249"/>
      <c r="X288" s="249"/>
      <c r="Y288" s="249"/>
      <c r="Z288" s="249"/>
      <c r="AA288" s="249"/>
    </row>
    <row r="289">
      <c r="A289" s="249"/>
      <c r="B289" s="249"/>
      <c r="C289" s="249"/>
      <c r="D289" s="249"/>
      <c r="E289" s="249"/>
      <c r="F289" s="249"/>
      <c r="G289" s="249"/>
      <c r="H289" s="249"/>
      <c r="I289" s="249"/>
      <c r="J289" s="249"/>
      <c r="K289" s="249"/>
      <c r="L289" s="249"/>
      <c r="M289" s="249"/>
      <c r="N289" s="249"/>
      <c r="O289" s="249"/>
      <c r="P289" s="249"/>
      <c r="Q289" s="249"/>
      <c r="R289" s="249"/>
      <c r="S289" s="249"/>
      <c r="T289" s="249"/>
      <c r="U289" s="249"/>
      <c r="V289" s="249"/>
      <c r="W289" s="249"/>
      <c r="X289" s="249"/>
      <c r="Y289" s="249"/>
      <c r="Z289" s="249"/>
      <c r="AA289" s="249"/>
    </row>
    <row r="290">
      <c r="A290" s="249"/>
      <c r="B290" s="249"/>
      <c r="C290" s="249"/>
      <c r="D290" s="249"/>
      <c r="E290" s="249"/>
      <c r="F290" s="249"/>
      <c r="G290" s="249"/>
      <c r="H290" s="249"/>
      <c r="I290" s="249"/>
      <c r="J290" s="249"/>
      <c r="K290" s="249"/>
      <c r="L290" s="249"/>
      <c r="M290" s="249"/>
      <c r="N290" s="249"/>
      <c r="O290" s="249"/>
      <c r="P290" s="249"/>
      <c r="Q290" s="249"/>
      <c r="R290" s="249"/>
      <c r="S290" s="249"/>
      <c r="T290" s="249"/>
      <c r="U290" s="249"/>
      <c r="V290" s="249"/>
      <c r="W290" s="249"/>
      <c r="X290" s="249"/>
      <c r="Y290" s="249"/>
      <c r="Z290" s="249"/>
      <c r="AA290" s="249"/>
    </row>
    <row r="291">
      <c r="A291" s="249"/>
      <c r="B291" s="249"/>
      <c r="C291" s="249"/>
      <c r="D291" s="249"/>
      <c r="E291" s="249"/>
      <c r="F291" s="249"/>
      <c r="G291" s="249"/>
      <c r="H291" s="249"/>
      <c r="I291" s="249"/>
      <c r="J291" s="249"/>
      <c r="K291" s="249"/>
      <c r="L291" s="249"/>
      <c r="M291" s="249"/>
      <c r="N291" s="249"/>
      <c r="O291" s="249"/>
      <c r="P291" s="249"/>
      <c r="Q291" s="249"/>
      <c r="R291" s="249"/>
      <c r="S291" s="249"/>
      <c r="T291" s="249"/>
      <c r="U291" s="249"/>
      <c r="V291" s="249"/>
      <c r="W291" s="249"/>
      <c r="X291" s="249"/>
      <c r="Y291" s="249"/>
      <c r="Z291" s="249"/>
      <c r="AA291" s="249"/>
    </row>
    <row r="292">
      <c r="A292" s="249"/>
      <c r="B292" s="249"/>
      <c r="C292" s="249"/>
      <c r="D292" s="249"/>
      <c r="E292" s="249"/>
      <c r="F292" s="249"/>
      <c r="G292" s="249"/>
      <c r="H292" s="249"/>
      <c r="I292" s="249"/>
      <c r="J292" s="249"/>
      <c r="K292" s="249"/>
      <c r="L292" s="249"/>
      <c r="M292" s="249"/>
      <c r="N292" s="249"/>
      <c r="O292" s="249"/>
      <c r="P292" s="249"/>
      <c r="Q292" s="249"/>
      <c r="R292" s="249"/>
      <c r="S292" s="249"/>
      <c r="T292" s="249"/>
      <c r="U292" s="249"/>
      <c r="V292" s="249"/>
      <c r="W292" s="249"/>
      <c r="X292" s="249"/>
      <c r="Y292" s="249"/>
      <c r="Z292" s="249"/>
      <c r="AA292" s="249"/>
    </row>
    <row r="293">
      <c r="A293" s="249"/>
      <c r="B293" s="249"/>
      <c r="C293" s="249"/>
      <c r="D293" s="249"/>
      <c r="E293" s="249"/>
      <c r="F293" s="249"/>
      <c r="G293" s="249"/>
      <c r="H293" s="249"/>
      <c r="I293" s="249"/>
      <c r="J293" s="249"/>
      <c r="K293" s="249"/>
      <c r="L293" s="249"/>
      <c r="M293" s="249"/>
      <c r="N293" s="249"/>
      <c r="O293" s="249"/>
      <c r="P293" s="249"/>
      <c r="Q293" s="249"/>
      <c r="R293" s="249"/>
      <c r="S293" s="249"/>
      <c r="T293" s="249"/>
      <c r="U293" s="249"/>
      <c r="V293" s="249"/>
      <c r="W293" s="249"/>
      <c r="X293" s="249"/>
      <c r="Y293" s="249"/>
      <c r="Z293" s="249"/>
      <c r="AA293" s="249"/>
    </row>
    <row r="294">
      <c r="A294" s="249"/>
      <c r="B294" s="249"/>
      <c r="C294" s="249"/>
      <c r="D294" s="249"/>
      <c r="E294" s="249"/>
      <c r="F294" s="249"/>
      <c r="G294" s="249"/>
      <c r="H294" s="249"/>
      <c r="I294" s="249"/>
      <c r="J294" s="249"/>
      <c r="K294" s="249"/>
      <c r="L294" s="249"/>
      <c r="M294" s="249"/>
      <c r="N294" s="249"/>
      <c r="O294" s="249"/>
      <c r="P294" s="249"/>
      <c r="Q294" s="249"/>
      <c r="R294" s="249"/>
      <c r="S294" s="249"/>
      <c r="T294" s="249"/>
      <c r="U294" s="249"/>
      <c r="V294" s="249"/>
      <c r="W294" s="249"/>
      <c r="X294" s="249"/>
      <c r="Y294" s="249"/>
      <c r="Z294" s="249"/>
      <c r="AA294" s="249"/>
    </row>
    <row r="295">
      <c r="A295" s="249"/>
      <c r="B295" s="249"/>
      <c r="C295" s="249"/>
      <c r="D295" s="249"/>
      <c r="E295" s="249"/>
      <c r="F295" s="249"/>
      <c r="G295" s="249"/>
      <c r="H295" s="249"/>
      <c r="I295" s="249"/>
      <c r="J295" s="249"/>
      <c r="K295" s="249"/>
      <c r="L295" s="249"/>
      <c r="M295" s="249"/>
      <c r="N295" s="249"/>
      <c r="O295" s="249"/>
      <c r="P295" s="249"/>
      <c r="Q295" s="249"/>
      <c r="R295" s="249"/>
      <c r="S295" s="249"/>
      <c r="T295" s="249"/>
      <c r="U295" s="249"/>
      <c r="V295" s="249"/>
      <c r="W295" s="249"/>
      <c r="X295" s="249"/>
      <c r="Y295" s="249"/>
      <c r="Z295" s="249"/>
      <c r="AA295" s="249"/>
    </row>
    <row r="296">
      <c r="A296" s="249"/>
      <c r="B296" s="249"/>
      <c r="C296" s="249"/>
      <c r="D296" s="249"/>
      <c r="E296" s="249"/>
      <c r="F296" s="249"/>
      <c r="G296" s="249"/>
      <c r="H296" s="249"/>
      <c r="I296" s="249"/>
      <c r="J296" s="249"/>
      <c r="K296" s="249"/>
      <c r="L296" s="249"/>
      <c r="M296" s="249"/>
      <c r="N296" s="249"/>
      <c r="O296" s="249"/>
      <c r="P296" s="249"/>
      <c r="Q296" s="249"/>
      <c r="R296" s="249"/>
      <c r="S296" s="249"/>
      <c r="T296" s="249"/>
      <c r="U296" s="249"/>
      <c r="V296" s="249"/>
      <c r="W296" s="249"/>
      <c r="X296" s="249"/>
      <c r="Y296" s="249"/>
      <c r="Z296" s="249"/>
      <c r="AA296" s="249"/>
    </row>
    <row r="297">
      <c r="A297" s="249"/>
      <c r="B297" s="249"/>
      <c r="C297" s="249"/>
      <c r="D297" s="249"/>
      <c r="E297" s="249"/>
      <c r="F297" s="249"/>
      <c r="G297" s="249"/>
      <c r="H297" s="249"/>
      <c r="I297" s="249"/>
      <c r="J297" s="249"/>
      <c r="K297" s="249"/>
      <c r="L297" s="249"/>
      <c r="M297" s="249"/>
      <c r="N297" s="249"/>
      <c r="O297" s="249"/>
      <c r="P297" s="249"/>
      <c r="Q297" s="249"/>
      <c r="R297" s="249"/>
      <c r="S297" s="249"/>
      <c r="T297" s="249"/>
      <c r="U297" s="249"/>
      <c r="V297" s="249"/>
      <c r="W297" s="249"/>
      <c r="X297" s="249"/>
      <c r="Y297" s="249"/>
      <c r="Z297" s="249"/>
      <c r="AA297" s="249"/>
    </row>
    <row r="298">
      <c r="A298" s="249"/>
      <c r="B298" s="249"/>
      <c r="C298" s="249"/>
      <c r="D298" s="249"/>
      <c r="E298" s="249"/>
      <c r="F298" s="249"/>
      <c r="G298" s="249"/>
      <c r="H298" s="249"/>
      <c r="I298" s="249"/>
      <c r="J298" s="249"/>
      <c r="K298" s="249"/>
      <c r="L298" s="249"/>
      <c r="M298" s="249"/>
      <c r="N298" s="249"/>
      <c r="O298" s="249"/>
      <c r="P298" s="249"/>
      <c r="Q298" s="249"/>
      <c r="R298" s="249"/>
      <c r="S298" s="249"/>
      <c r="T298" s="249"/>
      <c r="U298" s="249"/>
      <c r="V298" s="249"/>
      <c r="W298" s="249"/>
      <c r="X298" s="249"/>
      <c r="Y298" s="249"/>
      <c r="Z298" s="249"/>
      <c r="AA298" s="249"/>
    </row>
    <row r="299">
      <c r="A299" s="249"/>
      <c r="B299" s="249"/>
      <c r="C299" s="249"/>
      <c r="D299" s="249"/>
      <c r="E299" s="249"/>
      <c r="F299" s="249"/>
      <c r="G299" s="249"/>
      <c r="H299" s="249"/>
      <c r="I299" s="249"/>
      <c r="J299" s="249"/>
      <c r="K299" s="249"/>
      <c r="L299" s="249"/>
      <c r="M299" s="249"/>
      <c r="N299" s="249"/>
      <c r="O299" s="249"/>
      <c r="P299" s="249"/>
      <c r="Q299" s="249"/>
      <c r="R299" s="249"/>
      <c r="S299" s="249"/>
      <c r="T299" s="249"/>
      <c r="U299" s="249"/>
      <c r="V299" s="249"/>
      <c r="W299" s="249"/>
      <c r="X299" s="249"/>
      <c r="Y299" s="249"/>
      <c r="Z299" s="249"/>
      <c r="AA299" s="249"/>
    </row>
    <row r="300">
      <c r="A300" s="249"/>
      <c r="B300" s="249"/>
      <c r="C300" s="249"/>
      <c r="D300" s="249"/>
      <c r="E300" s="249"/>
      <c r="F300" s="249"/>
      <c r="G300" s="249"/>
      <c r="H300" s="249"/>
      <c r="I300" s="249"/>
      <c r="J300" s="249"/>
      <c r="K300" s="249"/>
      <c r="L300" s="249"/>
      <c r="M300" s="249"/>
      <c r="N300" s="249"/>
      <c r="O300" s="249"/>
      <c r="P300" s="249"/>
      <c r="Q300" s="249"/>
      <c r="R300" s="249"/>
      <c r="S300" s="249"/>
      <c r="T300" s="249"/>
      <c r="U300" s="249"/>
      <c r="V300" s="249"/>
      <c r="W300" s="249"/>
      <c r="X300" s="249"/>
      <c r="Y300" s="249"/>
      <c r="Z300" s="249"/>
      <c r="AA300" s="249"/>
    </row>
    <row r="301">
      <c r="A301" s="249"/>
      <c r="B301" s="249"/>
      <c r="C301" s="249"/>
      <c r="D301" s="249"/>
      <c r="E301" s="249"/>
      <c r="F301" s="249"/>
      <c r="G301" s="249"/>
      <c r="H301" s="249"/>
      <c r="I301" s="249"/>
      <c r="J301" s="249"/>
      <c r="K301" s="249"/>
      <c r="L301" s="249"/>
      <c r="M301" s="249"/>
      <c r="N301" s="249"/>
      <c r="O301" s="249"/>
      <c r="P301" s="249"/>
      <c r="Q301" s="249"/>
      <c r="R301" s="249"/>
      <c r="S301" s="249"/>
      <c r="T301" s="249"/>
      <c r="U301" s="249"/>
      <c r="V301" s="249"/>
      <c r="W301" s="249"/>
      <c r="X301" s="249"/>
      <c r="Y301" s="249"/>
      <c r="Z301" s="249"/>
      <c r="AA301" s="249"/>
    </row>
    <row r="302">
      <c r="A302" s="249"/>
      <c r="B302" s="249"/>
      <c r="C302" s="249"/>
      <c r="D302" s="249"/>
      <c r="E302" s="249"/>
      <c r="F302" s="249"/>
      <c r="G302" s="249"/>
      <c r="H302" s="249"/>
      <c r="I302" s="249"/>
      <c r="J302" s="249"/>
      <c r="K302" s="249"/>
      <c r="L302" s="249"/>
      <c r="M302" s="249"/>
      <c r="N302" s="249"/>
      <c r="O302" s="249"/>
      <c r="P302" s="249"/>
      <c r="Q302" s="249"/>
      <c r="R302" s="249"/>
      <c r="S302" s="249"/>
      <c r="T302" s="249"/>
      <c r="U302" s="249"/>
      <c r="V302" s="249"/>
      <c r="W302" s="249"/>
      <c r="X302" s="249"/>
      <c r="Y302" s="249"/>
      <c r="Z302" s="249"/>
      <c r="AA302" s="249"/>
    </row>
    <row r="303">
      <c r="A303" s="249"/>
      <c r="B303" s="249"/>
      <c r="C303" s="249"/>
      <c r="D303" s="249"/>
      <c r="E303" s="249"/>
      <c r="F303" s="249"/>
      <c r="G303" s="249"/>
      <c r="H303" s="249"/>
      <c r="I303" s="249"/>
      <c r="J303" s="249"/>
      <c r="K303" s="249"/>
      <c r="L303" s="249"/>
      <c r="M303" s="249"/>
      <c r="N303" s="249"/>
      <c r="O303" s="249"/>
      <c r="P303" s="249"/>
      <c r="Q303" s="249"/>
      <c r="R303" s="249"/>
      <c r="S303" s="249"/>
      <c r="T303" s="249"/>
      <c r="U303" s="249"/>
      <c r="V303" s="249"/>
      <c r="W303" s="249"/>
      <c r="X303" s="249"/>
      <c r="Y303" s="249"/>
      <c r="Z303" s="249"/>
      <c r="AA303" s="249"/>
    </row>
    <row r="304">
      <c r="A304" s="249"/>
      <c r="B304" s="249"/>
      <c r="C304" s="249"/>
      <c r="D304" s="249"/>
      <c r="E304" s="249"/>
      <c r="F304" s="249"/>
      <c r="G304" s="249"/>
      <c r="H304" s="249"/>
      <c r="I304" s="249"/>
      <c r="J304" s="249"/>
      <c r="K304" s="249"/>
      <c r="L304" s="249"/>
      <c r="M304" s="249"/>
      <c r="N304" s="249"/>
      <c r="O304" s="249"/>
      <c r="P304" s="249"/>
      <c r="Q304" s="249"/>
      <c r="R304" s="249"/>
      <c r="S304" s="249"/>
      <c r="T304" s="249"/>
      <c r="U304" s="249"/>
      <c r="V304" s="249"/>
      <c r="W304" s="249"/>
      <c r="X304" s="249"/>
      <c r="Y304" s="249"/>
      <c r="Z304" s="249"/>
      <c r="AA304" s="249"/>
    </row>
    <row r="305">
      <c r="A305" s="249"/>
      <c r="B305" s="249"/>
      <c r="C305" s="249"/>
      <c r="D305" s="249"/>
      <c r="E305" s="249"/>
      <c r="F305" s="249"/>
      <c r="G305" s="249"/>
      <c r="H305" s="249"/>
      <c r="I305" s="249"/>
      <c r="J305" s="249"/>
      <c r="K305" s="249"/>
      <c r="L305" s="249"/>
      <c r="M305" s="249"/>
      <c r="N305" s="249"/>
      <c r="O305" s="249"/>
      <c r="P305" s="249"/>
      <c r="Q305" s="249"/>
      <c r="R305" s="249"/>
      <c r="S305" s="249"/>
      <c r="T305" s="249"/>
      <c r="U305" s="249"/>
      <c r="V305" s="249"/>
      <c r="W305" s="249"/>
      <c r="X305" s="249"/>
      <c r="Y305" s="249"/>
      <c r="Z305" s="249"/>
      <c r="AA305" s="249"/>
    </row>
    <row r="306">
      <c r="A306" s="249"/>
      <c r="B306" s="249"/>
      <c r="C306" s="249"/>
      <c r="D306" s="249"/>
      <c r="E306" s="249"/>
      <c r="F306" s="249"/>
      <c r="G306" s="249"/>
      <c r="H306" s="249"/>
      <c r="I306" s="249"/>
      <c r="J306" s="249"/>
      <c r="K306" s="249"/>
      <c r="L306" s="249"/>
      <c r="M306" s="249"/>
      <c r="N306" s="249"/>
      <c r="O306" s="249"/>
      <c r="P306" s="249"/>
      <c r="Q306" s="249"/>
      <c r="R306" s="249"/>
      <c r="S306" s="249"/>
      <c r="T306" s="249"/>
      <c r="U306" s="249"/>
      <c r="V306" s="249"/>
      <c r="W306" s="249"/>
      <c r="X306" s="249"/>
      <c r="Y306" s="249"/>
      <c r="Z306" s="249"/>
      <c r="AA306" s="249"/>
    </row>
    <row r="307">
      <c r="A307" s="249"/>
      <c r="B307" s="249"/>
      <c r="C307" s="249"/>
      <c r="D307" s="249"/>
      <c r="E307" s="249"/>
      <c r="F307" s="249"/>
      <c r="G307" s="249"/>
      <c r="H307" s="249"/>
      <c r="I307" s="249"/>
      <c r="J307" s="249"/>
      <c r="K307" s="249"/>
      <c r="L307" s="249"/>
      <c r="M307" s="249"/>
      <c r="N307" s="249"/>
      <c r="O307" s="249"/>
      <c r="P307" s="249"/>
      <c r="Q307" s="249"/>
      <c r="R307" s="249"/>
      <c r="S307" s="249"/>
      <c r="T307" s="249"/>
      <c r="U307" s="249"/>
      <c r="V307" s="249"/>
      <c r="W307" s="249"/>
      <c r="X307" s="249"/>
      <c r="Y307" s="249"/>
      <c r="Z307" s="249"/>
      <c r="AA307" s="249"/>
    </row>
    <row r="308">
      <c r="A308" s="249"/>
      <c r="B308" s="249"/>
      <c r="C308" s="249"/>
      <c r="D308" s="249"/>
      <c r="E308" s="249"/>
      <c r="F308" s="249"/>
      <c r="G308" s="249"/>
      <c r="H308" s="249"/>
      <c r="I308" s="249"/>
      <c r="J308" s="249"/>
      <c r="K308" s="249"/>
      <c r="L308" s="249"/>
      <c r="M308" s="249"/>
      <c r="N308" s="249"/>
      <c r="O308" s="249"/>
      <c r="P308" s="249"/>
      <c r="Q308" s="249"/>
      <c r="R308" s="249"/>
      <c r="S308" s="249"/>
      <c r="T308" s="249"/>
      <c r="U308" s="249"/>
      <c r="V308" s="249"/>
      <c r="W308" s="249"/>
      <c r="X308" s="249"/>
      <c r="Y308" s="249"/>
      <c r="Z308" s="249"/>
      <c r="AA308" s="249"/>
    </row>
    <row r="309">
      <c r="A309" s="249"/>
      <c r="B309" s="249"/>
      <c r="C309" s="249"/>
      <c r="D309" s="249"/>
      <c r="E309" s="249"/>
      <c r="F309" s="249"/>
      <c r="G309" s="249"/>
      <c r="H309" s="249"/>
      <c r="I309" s="249"/>
      <c r="J309" s="249"/>
      <c r="K309" s="249"/>
      <c r="L309" s="249"/>
      <c r="M309" s="249"/>
      <c r="N309" s="249"/>
      <c r="O309" s="249"/>
      <c r="P309" s="249"/>
      <c r="Q309" s="249"/>
      <c r="R309" s="249"/>
      <c r="S309" s="249"/>
      <c r="T309" s="249"/>
      <c r="U309" s="249"/>
      <c r="V309" s="249"/>
      <c r="W309" s="249"/>
      <c r="X309" s="249"/>
      <c r="Y309" s="249"/>
      <c r="Z309" s="249"/>
      <c r="AA309" s="249"/>
    </row>
    <row r="310">
      <c r="A310" s="249"/>
      <c r="B310" s="249"/>
      <c r="C310" s="249"/>
      <c r="D310" s="249"/>
      <c r="E310" s="249"/>
      <c r="F310" s="249"/>
      <c r="G310" s="249"/>
      <c r="H310" s="249"/>
      <c r="I310" s="249"/>
      <c r="J310" s="249"/>
      <c r="K310" s="249"/>
      <c r="L310" s="249"/>
      <c r="M310" s="249"/>
      <c r="N310" s="249"/>
      <c r="O310" s="249"/>
      <c r="P310" s="249"/>
      <c r="Q310" s="249"/>
      <c r="R310" s="249"/>
      <c r="S310" s="249"/>
      <c r="T310" s="249"/>
      <c r="U310" s="249"/>
      <c r="V310" s="249"/>
      <c r="W310" s="249"/>
      <c r="X310" s="249"/>
      <c r="Y310" s="249"/>
      <c r="Z310" s="249"/>
      <c r="AA310" s="249"/>
    </row>
    <row r="311">
      <c r="A311" s="249"/>
      <c r="B311" s="249"/>
      <c r="C311" s="249"/>
      <c r="D311" s="249"/>
      <c r="E311" s="249"/>
      <c r="F311" s="249"/>
      <c r="G311" s="249"/>
      <c r="H311" s="249"/>
      <c r="I311" s="249"/>
      <c r="J311" s="249"/>
      <c r="K311" s="249"/>
      <c r="L311" s="249"/>
      <c r="M311" s="249"/>
      <c r="N311" s="249"/>
      <c r="O311" s="249"/>
      <c r="P311" s="249"/>
      <c r="Q311" s="249"/>
      <c r="R311" s="249"/>
      <c r="S311" s="249"/>
      <c r="T311" s="249"/>
      <c r="U311" s="249"/>
      <c r="V311" s="249"/>
      <c r="W311" s="249"/>
      <c r="X311" s="249"/>
      <c r="Y311" s="249"/>
      <c r="Z311" s="249"/>
      <c r="AA311" s="249"/>
    </row>
    <row r="312">
      <c r="A312" s="249"/>
      <c r="B312" s="249"/>
      <c r="C312" s="249"/>
      <c r="D312" s="249"/>
      <c r="E312" s="249"/>
      <c r="F312" s="249"/>
      <c r="G312" s="249"/>
      <c r="H312" s="249"/>
      <c r="I312" s="249"/>
      <c r="J312" s="249"/>
      <c r="K312" s="249"/>
      <c r="L312" s="249"/>
      <c r="M312" s="249"/>
      <c r="N312" s="249"/>
      <c r="O312" s="249"/>
      <c r="P312" s="249"/>
      <c r="Q312" s="249"/>
      <c r="R312" s="249"/>
      <c r="S312" s="249"/>
      <c r="T312" s="249"/>
      <c r="U312" s="249"/>
      <c r="V312" s="249"/>
      <c r="W312" s="249"/>
      <c r="X312" s="249"/>
      <c r="Y312" s="249"/>
      <c r="Z312" s="249"/>
      <c r="AA312" s="249"/>
    </row>
    <row r="313">
      <c r="A313" s="249"/>
      <c r="B313" s="249"/>
      <c r="C313" s="249"/>
      <c r="D313" s="249"/>
      <c r="E313" s="249"/>
      <c r="F313" s="249"/>
      <c r="G313" s="249"/>
      <c r="H313" s="249"/>
      <c r="I313" s="249"/>
      <c r="J313" s="249"/>
      <c r="K313" s="249"/>
      <c r="L313" s="249"/>
      <c r="M313" s="249"/>
      <c r="N313" s="249"/>
      <c r="O313" s="249"/>
      <c r="P313" s="249"/>
      <c r="Q313" s="249"/>
      <c r="R313" s="249"/>
      <c r="S313" s="249"/>
      <c r="T313" s="249"/>
      <c r="U313" s="249"/>
      <c r="V313" s="249"/>
      <c r="W313" s="249"/>
      <c r="X313" s="249"/>
      <c r="Y313" s="249"/>
      <c r="Z313" s="249"/>
      <c r="AA313" s="249"/>
    </row>
    <row r="314">
      <c r="A314" s="249"/>
      <c r="B314" s="249"/>
      <c r="C314" s="249"/>
      <c r="D314" s="249"/>
      <c r="E314" s="249"/>
      <c r="F314" s="249"/>
      <c r="G314" s="249"/>
      <c r="H314" s="249"/>
      <c r="I314" s="249"/>
      <c r="J314" s="249"/>
      <c r="K314" s="249"/>
      <c r="L314" s="249"/>
      <c r="M314" s="249"/>
      <c r="N314" s="249"/>
      <c r="O314" s="249"/>
      <c r="P314" s="249"/>
      <c r="Q314" s="249"/>
      <c r="R314" s="249"/>
      <c r="S314" s="249"/>
      <c r="T314" s="249"/>
      <c r="U314" s="249"/>
      <c r="V314" s="249"/>
      <c r="W314" s="249"/>
      <c r="X314" s="249"/>
      <c r="Y314" s="249"/>
      <c r="Z314" s="249"/>
      <c r="AA314" s="249"/>
    </row>
    <row r="315">
      <c r="A315" s="249"/>
      <c r="B315" s="249"/>
      <c r="C315" s="249"/>
      <c r="D315" s="249"/>
      <c r="E315" s="249"/>
      <c r="F315" s="249"/>
      <c r="G315" s="249"/>
      <c r="H315" s="249"/>
      <c r="I315" s="249"/>
      <c r="J315" s="249"/>
      <c r="K315" s="249"/>
      <c r="L315" s="249"/>
      <c r="M315" s="249"/>
      <c r="N315" s="249"/>
      <c r="O315" s="249"/>
      <c r="P315" s="249"/>
      <c r="Q315" s="249"/>
      <c r="R315" s="249"/>
      <c r="S315" s="249"/>
      <c r="T315" s="249"/>
      <c r="U315" s="249"/>
      <c r="V315" s="249"/>
      <c r="W315" s="249"/>
      <c r="X315" s="249"/>
      <c r="Y315" s="249"/>
      <c r="Z315" s="249"/>
      <c r="AA315" s="249"/>
    </row>
    <row r="316">
      <c r="A316" s="249"/>
      <c r="B316" s="249"/>
      <c r="C316" s="249"/>
      <c r="D316" s="249"/>
      <c r="E316" s="249"/>
      <c r="F316" s="249"/>
      <c r="G316" s="249"/>
      <c r="H316" s="249"/>
      <c r="I316" s="249"/>
      <c r="J316" s="249"/>
      <c r="K316" s="249"/>
      <c r="L316" s="249"/>
      <c r="M316" s="249"/>
      <c r="N316" s="249"/>
      <c r="O316" s="249"/>
      <c r="P316" s="249"/>
      <c r="Q316" s="249"/>
      <c r="R316" s="249"/>
      <c r="S316" s="249"/>
      <c r="T316" s="249"/>
      <c r="U316" s="249"/>
      <c r="V316" s="249"/>
      <c r="W316" s="249"/>
      <c r="X316" s="249"/>
      <c r="Y316" s="249"/>
      <c r="Z316" s="249"/>
      <c r="AA316" s="249"/>
    </row>
    <row r="317">
      <c r="A317" s="249"/>
      <c r="B317" s="249"/>
      <c r="C317" s="249"/>
      <c r="D317" s="249"/>
      <c r="E317" s="249"/>
      <c r="F317" s="249"/>
      <c r="G317" s="249"/>
      <c r="H317" s="249"/>
      <c r="I317" s="249"/>
      <c r="J317" s="249"/>
      <c r="K317" s="249"/>
      <c r="L317" s="249"/>
      <c r="M317" s="249"/>
      <c r="N317" s="249"/>
      <c r="O317" s="249"/>
      <c r="P317" s="249"/>
      <c r="Q317" s="249"/>
      <c r="R317" s="249"/>
      <c r="S317" s="249"/>
      <c r="T317" s="249"/>
      <c r="U317" s="249"/>
      <c r="V317" s="249"/>
      <c r="W317" s="249"/>
      <c r="X317" s="249"/>
      <c r="Y317" s="249"/>
      <c r="Z317" s="249"/>
      <c r="AA317" s="249"/>
    </row>
    <row r="318">
      <c r="A318" s="249"/>
      <c r="B318" s="249"/>
      <c r="C318" s="249"/>
      <c r="D318" s="249"/>
      <c r="E318" s="249"/>
      <c r="F318" s="249"/>
      <c r="G318" s="249"/>
      <c r="H318" s="249"/>
      <c r="I318" s="249"/>
      <c r="J318" s="249"/>
      <c r="K318" s="249"/>
      <c r="L318" s="249"/>
      <c r="M318" s="249"/>
      <c r="N318" s="249"/>
      <c r="O318" s="249"/>
      <c r="P318" s="249"/>
      <c r="Q318" s="249"/>
      <c r="R318" s="249"/>
      <c r="S318" s="249"/>
      <c r="T318" s="249"/>
      <c r="U318" s="249"/>
      <c r="V318" s="249"/>
      <c r="W318" s="249"/>
      <c r="X318" s="249"/>
      <c r="Y318" s="249"/>
      <c r="Z318" s="249"/>
      <c r="AA318" s="249"/>
    </row>
    <row r="319">
      <c r="A319" s="249"/>
      <c r="B319" s="249"/>
      <c r="C319" s="249"/>
      <c r="D319" s="249"/>
      <c r="E319" s="249"/>
      <c r="F319" s="249"/>
      <c r="G319" s="249"/>
      <c r="H319" s="249"/>
      <c r="I319" s="249"/>
      <c r="J319" s="249"/>
      <c r="K319" s="249"/>
      <c r="L319" s="249"/>
      <c r="M319" s="249"/>
      <c r="N319" s="249"/>
      <c r="O319" s="249"/>
      <c r="P319" s="249"/>
      <c r="Q319" s="249"/>
      <c r="R319" s="249"/>
      <c r="S319" s="249"/>
      <c r="T319" s="249"/>
      <c r="U319" s="249"/>
      <c r="V319" s="249"/>
      <c r="W319" s="249"/>
      <c r="X319" s="249"/>
      <c r="Y319" s="249"/>
      <c r="Z319" s="249"/>
      <c r="AA319" s="249"/>
    </row>
    <row r="320">
      <c r="A320" s="249"/>
      <c r="B320" s="249"/>
      <c r="C320" s="249"/>
      <c r="D320" s="249"/>
      <c r="E320" s="249"/>
      <c r="F320" s="249"/>
      <c r="G320" s="249"/>
      <c r="H320" s="249"/>
      <c r="I320" s="249"/>
      <c r="J320" s="249"/>
      <c r="K320" s="249"/>
      <c r="L320" s="249"/>
      <c r="M320" s="249"/>
      <c r="N320" s="249"/>
      <c r="O320" s="249"/>
      <c r="P320" s="249"/>
      <c r="Q320" s="249"/>
      <c r="R320" s="249"/>
      <c r="S320" s="249"/>
      <c r="T320" s="249"/>
      <c r="U320" s="249"/>
      <c r="V320" s="249"/>
      <c r="W320" s="249"/>
      <c r="X320" s="249"/>
      <c r="Y320" s="249"/>
      <c r="Z320" s="249"/>
      <c r="AA320" s="249"/>
    </row>
    <row r="321">
      <c r="A321" s="249"/>
      <c r="B321" s="249"/>
      <c r="C321" s="249"/>
      <c r="D321" s="249"/>
      <c r="E321" s="249"/>
      <c r="F321" s="249"/>
      <c r="G321" s="249"/>
      <c r="H321" s="249"/>
      <c r="I321" s="249"/>
      <c r="J321" s="249"/>
      <c r="K321" s="249"/>
      <c r="L321" s="249"/>
      <c r="M321" s="249"/>
      <c r="N321" s="249"/>
      <c r="O321" s="249"/>
      <c r="P321" s="249"/>
      <c r="Q321" s="249"/>
      <c r="R321" s="249"/>
      <c r="S321" s="249"/>
      <c r="T321" s="249"/>
      <c r="U321" s="249"/>
      <c r="V321" s="249"/>
      <c r="W321" s="249"/>
      <c r="X321" s="249"/>
      <c r="Y321" s="249"/>
      <c r="Z321" s="249"/>
      <c r="AA321" s="249"/>
    </row>
    <row r="322">
      <c r="A322" s="249"/>
      <c r="B322" s="249"/>
      <c r="C322" s="249"/>
      <c r="D322" s="249"/>
      <c r="E322" s="249"/>
      <c r="F322" s="249"/>
      <c r="G322" s="249"/>
      <c r="H322" s="249"/>
      <c r="I322" s="249"/>
      <c r="J322" s="249"/>
      <c r="K322" s="249"/>
      <c r="L322" s="249"/>
      <c r="M322" s="249"/>
      <c r="N322" s="249"/>
      <c r="O322" s="249"/>
      <c r="P322" s="249"/>
      <c r="Q322" s="249"/>
      <c r="R322" s="249"/>
      <c r="S322" s="249"/>
      <c r="T322" s="249"/>
      <c r="U322" s="249"/>
      <c r="V322" s="249"/>
      <c r="W322" s="249"/>
      <c r="X322" s="249"/>
      <c r="Y322" s="249"/>
      <c r="Z322" s="249"/>
      <c r="AA322" s="249"/>
    </row>
    <row r="323">
      <c r="A323" s="249"/>
      <c r="B323" s="249"/>
      <c r="C323" s="249"/>
      <c r="D323" s="249"/>
      <c r="E323" s="249"/>
      <c r="F323" s="249"/>
      <c r="G323" s="249"/>
      <c r="H323" s="249"/>
      <c r="I323" s="249"/>
      <c r="J323" s="249"/>
      <c r="K323" s="249"/>
      <c r="L323" s="249"/>
      <c r="M323" s="249"/>
      <c r="N323" s="249"/>
      <c r="O323" s="249"/>
      <c r="P323" s="249"/>
      <c r="Q323" s="249"/>
      <c r="R323" s="249"/>
      <c r="S323" s="249"/>
      <c r="T323" s="249"/>
      <c r="U323" s="249"/>
      <c r="V323" s="249"/>
      <c r="W323" s="249"/>
      <c r="X323" s="249"/>
      <c r="Y323" s="249"/>
      <c r="Z323" s="249"/>
      <c r="AA323" s="249"/>
    </row>
    <row r="324">
      <c r="A324" s="249"/>
      <c r="B324" s="249"/>
      <c r="C324" s="249"/>
      <c r="D324" s="249"/>
      <c r="E324" s="249"/>
      <c r="F324" s="249"/>
      <c r="G324" s="249"/>
      <c r="H324" s="249"/>
      <c r="I324" s="249"/>
      <c r="J324" s="249"/>
      <c r="K324" s="249"/>
      <c r="L324" s="249"/>
      <c r="M324" s="249"/>
      <c r="N324" s="249"/>
      <c r="O324" s="249"/>
      <c r="P324" s="249"/>
      <c r="Q324" s="249"/>
      <c r="R324" s="249"/>
      <c r="S324" s="249"/>
      <c r="T324" s="249"/>
      <c r="U324" s="249"/>
      <c r="V324" s="249"/>
      <c r="W324" s="249"/>
      <c r="X324" s="249"/>
      <c r="Y324" s="249"/>
      <c r="Z324" s="249"/>
      <c r="AA324" s="249"/>
    </row>
    <row r="325">
      <c r="A325" s="249"/>
      <c r="B325" s="249"/>
      <c r="C325" s="249"/>
      <c r="D325" s="249"/>
      <c r="E325" s="249"/>
      <c r="F325" s="249"/>
      <c r="G325" s="249"/>
      <c r="H325" s="249"/>
      <c r="I325" s="249"/>
      <c r="J325" s="249"/>
      <c r="K325" s="249"/>
      <c r="L325" s="249"/>
      <c r="M325" s="249"/>
      <c r="N325" s="249"/>
      <c r="O325" s="249"/>
      <c r="P325" s="249"/>
      <c r="Q325" s="249"/>
      <c r="R325" s="249"/>
      <c r="S325" s="249"/>
      <c r="T325" s="249"/>
      <c r="U325" s="249"/>
      <c r="V325" s="249"/>
      <c r="W325" s="249"/>
      <c r="X325" s="249"/>
      <c r="Y325" s="249"/>
      <c r="Z325" s="249"/>
      <c r="AA325" s="249"/>
    </row>
    <row r="326">
      <c r="A326" s="249"/>
      <c r="B326" s="249"/>
      <c r="C326" s="249"/>
      <c r="D326" s="249"/>
      <c r="E326" s="249"/>
      <c r="F326" s="249"/>
      <c r="G326" s="249"/>
      <c r="H326" s="249"/>
      <c r="I326" s="249"/>
      <c r="J326" s="249"/>
      <c r="K326" s="249"/>
      <c r="L326" s="249"/>
      <c r="M326" s="249"/>
      <c r="N326" s="249"/>
      <c r="O326" s="249"/>
      <c r="P326" s="249"/>
      <c r="Q326" s="249"/>
      <c r="R326" s="249"/>
      <c r="S326" s="249"/>
      <c r="T326" s="249"/>
      <c r="U326" s="249"/>
      <c r="V326" s="249"/>
      <c r="W326" s="249"/>
      <c r="X326" s="249"/>
      <c r="Y326" s="249"/>
      <c r="Z326" s="249"/>
      <c r="AA326" s="249"/>
    </row>
    <row r="327">
      <c r="A327" s="249"/>
      <c r="B327" s="249"/>
      <c r="C327" s="249"/>
      <c r="D327" s="249"/>
      <c r="E327" s="249"/>
      <c r="F327" s="249"/>
      <c r="G327" s="249"/>
      <c r="H327" s="249"/>
      <c r="I327" s="249"/>
      <c r="J327" s="249"/>
      <c r="K327" s="249"/>
      <c r="L327" s="249"/>
      <c r="M327" s="249"/>
      <c r="N327" s="249"/>
      <c r="O327" s="249"/>
      <c r="P327" s="249"/>
      <c r="Q327" s="249"/>
      <c r="R327" s="249"/>
      <c r="S327" s="249"/>
      <c r="T327" s="249"/>
      <c r="U327" s="249"/>
      <c r="V327" s="249"/>
      <c r="W327" s="249"/>
      <c r="X327" s="249"/>
      <c r="Y327" s="249"/>
      <c r="Z327" s="249"/>
      <c r="AA327" s="249"/>
    </row>
    <row r="328">
      <c r="A328" s="249"/>
      <c r="B328" s="249"/>
      <c r="C328" s="249"/>
      <c r="D328" s="249"/>
      <c r="E328" s="249"/>
      <c r="F328" s="249"/>
      <c r="G328" s="249"/>
      <c r="H328" s="249"/>
      <c r="I328" s="249"/>
      <c r="J328" s="249"/>
      <c r="K328" s="249"/>
      <c r="L328" s="249"/>
      <c r="M328" s="249"/>
      <c r="N328" s="249"/>
      <c r="O328" s="249"/>
      <c r="P328" s="249"/>
      <c r="Q328" s="249"/>
      <c r="R328" s="249"/>
      <c r="S328" s="249"/>
      <c r="T328" s="249"/>
      <c r="U328" s="249"/>
      <c r="V328" s="249"/>
      <c r="W328" s="249"/>
      <c r="X328" s="249"/>
      <c r="Y328" s="249"/>
      <c r="Z328" s="249"/>
      <c r="AA328" s="249"/>
    </row>
    <row r="329">
      <c r="A329" s="249"/>
      <c r="B329" s="249"/>
      <c r="C329" s="249"/>
      <c r="D329" s="249"/>
      <c r="E329" s="249"/>
      <c r="F329" s="249"/>
      <c r="G329" s="249"/>
      <c r="H329" s="249"/>
      <c r="I329" s="249"/>
      <c r="J329" s="249"/>
      <c r="K329" s="249"/>
      <c r="L329" s="249"/>
      <c r="M329" s="249"/>
      <c r="N329" s="249"/>
      <c r="O329" s="249"/>
      <c r="P329" s="249"/>
      <c r="Q329" s="249"/>
      <c r="R329" s="249"/>
      <c r="S329" s="249"/>
      <c r="T329" s="249"/>
      <c r="U329" s="249"/>
      <c r="V329" s="249"/>
      <c r="W329" s="249"/>
      <c r="X329" s="249"/>
      <c r="Y329" s="249"/>
      <c r="Z329" s="249"/>
      <c r="AA329" s="249"/>
    </row>
    <row r="330">
      <c r="A330" s="249"/>
      <c r="B330" s="249"/>
      <c r="C330" s="249"/>
      <c r="D330" s="249"/>
      <c r="E330" s="249"/>
      <c r="F330" s="249"/>
      <c r="G330" s="249"/>
      <c r="H330" s="249"/>
      <c r="I330" s="249"/>
      <c r="J330" s="249"/>
      <c r="K330" s="249"/>
      <c r="L330" s="249"/>
      <c r="M330" s="249"/>
      <c r="N330" s="249"/>
      <c r="O330" s="249"/>
      <c r="P330" s="249"/>
      <c r="Q330" s="249"/>
      <c r="R330" s="249"/>
      <c r="S330" s="249"/>
      <c r="T330" s="249"/>
      <c r="U330" s="249"/>
      <c r="V330" s="249"/>
      <c r="W330" s="249"/>
      <c r="X330" s="249"/>
      <c r="Y330" s="249"/>
      <c r="Z330" s="249"/>
      <c r="AA330" s="249"/>
    </row>
    <row r="331">
      <c r="A331" s="249"/>
      <c r="B331" s="249"/>
      <c r="C331" s="249"/>
      <c r="D331" s="249"/>
      <c r="E331" s="249"/>
      <c r="F331" s="249"/>
      <c r="G331" s="249"/>
      <c r="H331" s="249"/>
      <c r="I331" s="249"/>
      <c r="J331" s="249"/>
      <c r="K331" s="249"/>
      <c r="L331" s="249"/>
      <c r="M331" s="249"/>
      <c r="N331" s="249"/>
      <c r="O331" s="249"/>
      <c r="P331" s="249"/>
      <c r="Q331" s="249"/>
      <c r="R331" s="249"/>
      <c r="S331" s="249"/>
      <c r="T331" s="249"/>
      <c r="U331" s="249"/>
      <c r="V331" s="249"/>
      <c r="W331" s="249"/>
      <c r="X331" s="249"/>
      <c r="Y331" s="249"/>
      <c r="Z331" s="249"/>
      <c r="AA331" s="249"/>
    </row>
    <row r="332">
      <c r="A332" s="249"/>
      <c r="B332" s="249"/>
      <c r="C332" s="249"/>
      <c r="D332" s="249"/>
      <c r="E332" s="249"/>
      <c r="F332" s="249"/>
      <c r="G332" s="249"/>
      <c r="H332" s="249"/>
      <c r="I332" s="249"/>
      <c r="J332" s="249"/>
      <c r="K332" s="249"/>
      <c r="L332" s="249"/>
      <c r="M332" s="249"/>
      <c r="N332" s="249"/>
      <c r="O332" s="249"/>
      <c r="P332" s="249"/>
      <c r="Q332" s="249"/>
      <c r="R332" s="249"/>
      <c r="S332" s="249"/>
      <c r="T332" s="249"/>
      <c r="U332" s="249"/>
      <c r="V332" s="249"/>
      <c r="W332" s="249"/>
      <c r="X332" s="249"/>
      <c r="Y332" s="249"/>
      <c r="Z332" s="249"/>
      <c r="AA332" s="249"/>
    </row>
    <row r="333">
      <c r="A333" s="249"/>
      <c r="B333" s="249"/>
      <c r="C333" s="249"/>
      <c r="D333" s="249"/>
      <c r="E333" s="249"/>
      <c r="F333" s="249"/>
      <c r="G333" s="249"/>
      <c r="H333" s="249"/>
      <c r="I333" s="249"/>
      <c r="J333" s="249"/>
      <c r="K333" s="249"/>
      <c r="L333" s="249"/>
      <c r="M333" s="249"/>
      <c r="N333" s="249"/>
      <c r="O333" s="249"/>
      <c r="P333" s="249"/>
      <c r="Q333" s="249"/>
      <c r="R333" s="249"/>
      <c r="S333" s="249"/>
      <c r="T333" s="249"/>
      <c r="U333" s="249"/>
      <c r="V333" s="249"/>
      <c r="W333" s="249"/>
      <c r="X333" s="249"/>
      <c r="Y333" s="249"/>
      <c r="Z333" s="249"/>
      <c r="AA333" s="249"/>
    </row>
    <row r="334">
      <c r="A334" s="249"/>
      <c r="B334" s="249"/>
      <c r="C334" s="249"/>
      <c r="D334" s="249"/>
      <c r="E334" s="249"/>
      <c r="F334" s="249"/>
      <c r="G334" s="249"/>
      <c r="H334" s="249"/>
      <c r="I334" s="249"/>
      <c r="J334" s="249"/>
      <c r="K334" s="249"/>
      <c r="L334" s="249"/>
      <c r="M334" s="249"/>
      <c r="N334" s="249"/>
      <c r="O334" s="249"/>
      <c r="P334" s="249"/>
      <c r="Q334" s="249"/>
      <c r="R334" s="249"/>
      <c r="S334" s="249"/>
      <c r="T334" s="249"/>
      <c r="U334" s="249"/>
      <c r="V334" s="249"/>
      <c r="W334" s="249"/>
      <c r="X334" s="249"/>
      <c r="Y334" s="249"/>
      <c r="Z334" s="249"/>
      <c r="AA334" s="249"/>
    </row>
    <row r="335">
      <c r="A335" s="249"/>
      <c r="B335" s="249"/>
      <c r="C335" s="249"/>
      <c r="D335" s="249"/>
      <c r="E335" s="249"/>
      <c r="F335" s="249"/>
      <c r="G335" s="249"/>
      <c r="H335" s="249"/>
      <c r="I335" s="249"/>
      <c r="J335" s="249"/>
      <c r="K335" s="249"/>
      <c r="L335" s="249"/>
      <c r="M335" s="249"/>
      <c r="N335" s="249"/>
      <c r="O335" s="249"/>
      <c r="P335" s="249"/>
      <c r="Q335" s="249"/>
      <c r="R335" s="249"/>
      <c r="S335" s="249"/>
      <c r="T335" s="249"/>
      <c r="U335" s="249"/>
      <c r="V335" s="249"/>
      <c r="W335" s="249"/>
      <c r="X335" s="249"/>
      <c r="Y335" s="249"/>
      <c r="Z335" s="249"/>
      <c r="AA335" s="249"/>
    </row>
    <row r="336">
      <c r="A336" s="249"/>
      <c r="B336" s="249"/>
      <c r="C336" s="249"/>
      <c r="D336" s="249"/>
      <c r="E336" s="249"/>
      <c r="F336" s="249"/>
      <c r="G336" s="249"/>
      <c r="H336" s="249"/>
      <c r="I336" s="249"/>
      <c r="J336" s="249"/>
      <c r="K336" s="249"/>
      <c r="L336" s="249"/>
      <c r="M336" s="249"/>
      <c r="N336" s="249"/>
      <c r="O336" s="249"/>
      <c r="P336" s="249"/>
      <c r="Q336" s="249"/>
      <c r="R336" s="249"/>
      <c r="S336" s="249"/>
      <c r="T336" s="249"/>
      <c r="U336" s="249"/>
      <c r="V336" s="249"/>
      <c r="W336" s="249"/>
      <c r="X336" s="249"/>
      <c r="Y336" s="249"/>
      <c r="Z336" s="249"/>
      <c r="AA336" s="249"/>
    </row>
    <row r="337">
      <c r="A337" s="249"/>
      <c r="B337" s="249"/>
      <c r="C337" s="249"/>
      <c r="D337" s="249"/>
      <c r="E337" s="249"/>
      <c r="F337" s="249"/>
      <c r="G337" s="249"/>
      <c r="H337" s="249"/>
      <c r="I337" s="249"/>
      <c r="J337" s="249"/>
      <c r="K337" s="249"/>
      <c r="L337" s="249"/>
      <c r="M337" s="249"/>
      <c r="N337" s="249"/>
      <c r="O337" s="249"/>
      <c r="P337" s="249"/>
      <c r="Q337" s="249"/>
      <c r="R337" s="249"/>
      <c r="S337" s="249"/>
      <c r="T337" s="249"/>
      <c r="U337" s="249"/>
      <c r="V337" s="249"/>
      <c r="W337" s="249"/>
      <c r="X337" s="249"/>
      <c r="Y337" s="249"/>
      <c r="Z337" s="249"/>
      <c r="AA337" s="249"/>
    </row>
    <row r="338">
      <c r="A338" s="249"/>
      <c r="B338" s="249"/>
      <c r="C338" s="249"/>
      <c r="D338" s="249"/>
      <c r="E338" s="249"/>
      <c r="F338" s="249"/>
      <c r="G338" s="249"/>
      <c r="H338" s="249"/>
      <c r="I338" s="249"/>
      <c r="J338" s="249"/>
      <c r="K338" s="249"/>
      <c r="L338" s="249"/>
      <c r="M338" s="249"/>
      <c r="N338" s="249"/>
      <c r="O338" s="249"/>
      <c r="P338" s="249"/>
      <c r="Q338" s="249"/>
      <c r="R338" s="249"/>
      <c r="S338" s="249"/>
      <c r="T338" s="249"/>
      <c r="U338" s="249"/>
      <c r="V338" s="249"/>
      <c r="W338" s="249"/>
      <c r="X338" s="249"/>
      <c r="Y338" s="249"/>
      <c r="Z338" s="249"/>
      <c r="AA338" s="249"/>
    </row>
    <row r="339">
      <c r="A339" s="249"/>
      <c r="B339" s="249"/>
      <c r="C339" s="249"/>
      <c r="D339" s="249"/>
      <c r="E339" s="249"/>
      <c r="F339" s="249"/>
      <c r="G339" s="249"/>
      <c r="H339" s="249"/>
      <c r="I339" s="249"/>
      <c r="J339" s="249"/>
      <c r="K339" s="249"/>
      <c r="L339" s="249"/>
      <c r="M339" s="249"/>
      <c r="N339" s="249"/>
      <c r="O339" s="249"/>
      <c r="P339" s="249"/>
      <c r="Q339" s="249"/>
      <c r="R339" s="249"/>
      <c r="S339" s="249"/>
      <c r="T339" s="249"/>
      <c r="U339" s="249"/>
      <c r="V339" s="249"/>
      <c r="W339" s="249"/>
      <c r="X339" s="249"/>
      <c r="Y339" s="249"/>
      <c r="Z339" s="249"/>
      <c r="AA339" s="249"/>
    </row>
    <row r="340">
      <c r="A340" s="249"/>
      <c r="B340" s="249"/>
      <c r="C340" s="249"/>
      <c r="D340" s="249"/>
      <c r="E340" s="249"/>
      <c r="F340" s="249"/>
      <c r="G340" s="249"/>
      <c r="H340" s="249"/>
      <c r="I340" s="249"/>
      <c r="J340" s="249"/>
      <c r="K340" s="249"/>
      <c r="L340" s="249"/>
      <c r="M340" s="249"/>
      <c r="N340" s="249"/>
      <c r="O340" s="249"/>
      <c r="P340" s="249"/>
      <c r="Q340" s="249"/>
      <c r="R340" s="249"/>
      <c r="S340" s="249"/>
      <c r="T340" s="249"/>
      <c r="U340" s="249"/>
      <c r="V340" s="249"/>
      <c r="W340" s="249"/>
      <c r="X340" s="249"/>
      <c r="Y340" s="249"/>
      <c r="Z340" s="249"/>
      <c r="AA340" s="249"/>
    </row>
    <row r="341">
      <c r="A341" s="249"/>
      <c r="B341" s="249"/>
      <c r="C341" s="249"/>
      <c r="D341" s="249"/>
      <c r="E341" s="249"/>
      <c r="F341" s="249"/>
      <c r="G341" s="249"/>
      <c r="H341" s="249"/>
      <c r="I341" s="249"/>
      <c r="J341" s="249"/>
      <c r="K341" s="249"/>
      <c r="L341" s="249"/>
      <c r="M341" s="249"/>
      <c r="N341" s="249"/>
      <c r="O341" s="249"/>
      <c r="P341" s="249"/>
      <c r="Q341" s="249"/>
      <c r="R341" s="249"/>
      <c r="S341" s="249"/>
      <c r="T341" s="249"/>
      <c r="U341" s="249"/>
      <c r="V341" s="249"/>
      <c r="W341" s="249"/>
      <c r="X341" s="249"/>
      <c r="Y341" s="249"/>
      <c r="Z341" s="249"/>
      <c r="AA341" s="249"/>
    </row>
    <row r="342">
      <c r="A342" s="249"/>
      <c r="B342" s="249"/>
      <c r="C342" s="249"/>
      <c r="D342" s="249"/>
      <c r="E342" s="249"/>
      <c r="F342" s="249"/>
      <c r="G342" s="249"/>
      <c r="H342" s="249"/>
      <c r="I342" s="249"/>
      <c r="J342" s="249"/>
      <c r="K342" s="249"/>
      <c r="L342" s="249"/>
      <c r="M342" s="249"/>
      <c r="N342" s="249"/>
      <c r="O342" s="249"/>
      <c r="P342" s="249"/>
      <c r="Q342" s="249"/>
      <c r="R342" s="249"/>
      <c r="S342" s="249"/>
      <c r="T342" s="249"/>
      <c r="U342" s="249"/>
      <c r="V342" s="249"/>
      <c r="W342" s="249"/>
      <c r="X342" s="249"/>
      <c r="Y342" s="249"/>
      <c r="Z342" s="249"/>
      <c r="AA342" s="249"/>
    </row>
    <row r="343">
      <c r="A343" s="249"/>
      <c r="B343" s="249"/>
      <c r="C343" s="249"/>
      <c r="D343" s="249"/>
      <c r="E343" s="249"/>
      <c r="F343" s="249"/>
      <c r="G343" s="249"/>
      <c r="H343" s="249"/>
      <c r="I343" s="249"/>
      <c r="J343" s="249"/>
      <c r="K343" s="249"/>
      <c r="L343" s="249"/>
      <c r="M343" s="249"/>
      <c r="N343" s="249"/>
      <c r="O343" s="249"/>
      <c r="P343" s="249"/>
      <c r="Q343" s="249"/>
      <c r="R343" s="249"/>
      <c r="S343" s="249"/>
      <c r="T343" s="249"/>
      <c r="U343" s="249"/>
      <c r="V343" s="249"/>
      <c r="W343" s="249"/>
      <c r="X343" s="249"/>
      <c r="Y343" s="249"/>
      <c r="Z343" s="249"/>
      <c r="AA343" s="249"/>
    </row>
    <row r="344">
      <c r="A344" s="249"/>
      <c r="B344" s="249"/>
      <c r="C344" s="249"/>
      <c r="D344" s="249"/>
      <c r="E344" s="249"/>
      <c r="F344" s="249"/>
      <c r="G344" s="249"/>
      <c r="H344" s="249"/>
      <c r="I344" s="249"/>
      <c r="J344" s="249"/>
      <c r="K344" s="249"/>
      <c r="L344" s="249"/>
      <c r="M344" s="249"/>
      <c r="N344" s="249"/>
      <c r="O344" s="249"/>
      <c r="P344" s="249"/>
      <c r="Q344" s="249"/>
      <c r="R344" s="249"/>
      <c r="S344" s="249"/>
      <c r="T344" s="249"/>
      <c r="U344" s="249"/>
      <c r="V344" s="249"/>
      <c r="W344" s="249"/>
      <c r="X344" s="249"/>
      <c r="Y344" s="249"/>
      <c r="Z344" s="249"/>
      <c r="AA344" s="249"/>
    </row>
    <row r="345">
      <c r="A345" s="249"/>
      <c r="B345" s="249"/>
      <c r="C345" s="249"/>
      <c r="D345" s="249"/>
      <c r="E345" s="249"/>
      <c r="F345" s="249"/>
      <c r="G345" s="249"/>
      <c r="H345" s="249"/>
      <c r="I345" s="249"/>
      <c r="J345" s="249"/>
      <c r="K345" s="249"/>
      <c r="L345" s="249"/>
      <c r="M345" s="249"/>
      <c r="N345" s="249"/>
      <c r="O345" s="249"/>
      <c r="P345" s="249"/>
      <c r="Q345" s="249"/>
      <c r="R345" s="249"/>
      <c r="S345" s="249"/>
      <c r="T345" s="249"/>
      <c r="U345" s="249"/>
      <c r="V345" s="249"/>
      <c r="W345" s="249"/>
      <c r="X345" s="249"/>
      <c r="Y345" s="249"/>
      <c r="Z345" s="249"/>
      <c r="AA345" s="249"/>
    </row>
    <row r="346">
      <c r="A346" s="249"/>
      <c r="B346" s="249"/>
      <c r="C346" s="249"/>
      <c r="D346" s="249"/>
      <c r="E346" s="249"/>
      <c r="F346" s="249"/>
      <c r="G346" s="249"/>
      <c r="H346" s="249"/>
      <c r="I346" s="249"/>
      <c r="J346" s="249"/>
      <c r="K346" s="249"/>
      <c r="L346" s="249"/>
      <c r="M346" s="249"/>
      <c r="N346" s="249"/>
      <c r="O346" s="249"/>
      <c r="P346" s="249"/>
      <c r="Q346" s="249"/>
      <c r="R346" s="249"/>
      <c r="S346" s="249"/>
      <c r="T346" s="249"/>
      <c r="U346" s="249"/>
      <c r="V346" s="249"/>
      <c r="W346" s="249"/>
      <c r="X346" s="249"/>
      <c r="Y346" s="249"/>
      <c r="Z346" s="249"/>
      <c r="AA346" s="249"/>
    </row>
    <row r="347">
      <c r="A347" s="249"/>
      <c r="B347" s="249"/>
      <c r="C347" s="249"/>
      <c r="D347" s="249"/>
      <c r="E347" s="249"/>
      <c r="F347" s="249"/>
      <c r="G347" s="249"/>
      <c r="H347" s="249"/>
      <c r="I347" s="249"/>
      <c r="J347" s="249"/>
      <c r="K347" s="249"/>
      <c r="L347" s="249"/>
      <c r="M347" s="249"/>
      <c r="N347" s="249"/>
      <c r="O347" s="249"/>
      <c r="P347" s="249"/>
      <c r="Q347" s="249"/>
      <c r="R347" s="249"/>
      <c r="S347" s="249"/>
      <c r="T347" s="249"/>
      <c r="U347" s="249"/>
      <c r="V347" s="249"/>
      <c r="W347" s="249"/>
      <c r="X347" s="249"/>
      <c r="Y347" s="249"/>
      <c r="Z347" s="249"/>
      <c r="AA347" s="249"/>
    </row>
    <row r="348">
      <c r="A348" s="249"/>
      <c r="B348" s="249"/>
      <c r="C348" s="249"/>
      <c r="D348" s="249"/>
      <c r="E348" s="249"/>
      <c r="F348" s="249"/>
      <c r="G348" s="249"/>
      <c r="H348" s="249"/>
      <c r="I348" s="249"/>
      <c r="J348" s="249"/>
      <c r="K348" s="249"/>
      <c r="L348" s="249"/>
      <c r="M348" s="249"/>
      <c r="N348" s="249"/>
      <c r="O348" s="249"/>
      <c r="P348" s="249"/>
      <c r="Q348" s="249"/>
      <c r="R348" s="249"/>
      <c r="S348" s="249"/>
      <c r="T348" s="249"/>
      <c r="U348" s="249"/>
      <c r="V348" s="249"/>
      <c r="W348" s="249"/>
      <c r="X348" s="249"/>
      <c r="Y348" s="249"/>
      <c r="Z348" s="249"/>
      <c r="AA348" s="249"/>
    </row>
    <row r="349">
      <c r="A349" s="249"/>
      <c r="B349" s="249"/>
      <c r="C349" s="249"/>
      <c r="D349" s="249"/>
      <c r="E349" s="249"/>
      <c r="F349" s="249"/>
      <c r="G349" s="249"/>
      <c r="H349" s="249"/>
      <c r="I349" s="249"/>
      <c r="J349" s="249"/>
      <c r="K349" s="249"/>
      <c r="L349" s="249"/>
      <c r="M349" s="249"/>
      <c r="N349" s="249"/>
      <c r="O349" s="249"/>
      <c r="P349" s="249"/>
      <c r="Q349" s="249"/>
      <c r="R349" s="249"/>
      <c r="S349" s="249"/>
      <c r="T349" s="249"/>
      <c r="U349" s="249"/>
      <c r="V349" s="249"/>
      <c r="W349" s="249"/>
      <c r="X349" s="249"/>
      <c r="Y349" s="249"/>
      <c r="Z349" s="249"/>
      <c r="AA349" s="249"/>
    </row>
    <row r="350">
      <c r="A350" s="249"/>
      <c r="B350" s="249"/>
      <c r="C350" s="249"/>
      <c r="D350" s="249"/>
      <c r="E350" s="249"/>
      <c r="F350" s="249"/>
      <c r="G350" s="249"/>
      <c r="H350" s="249"/>
      <c r="I350" s="249"/>
      <c r="J350" s="249"/>
      <c r="K350" s="249"/>
      <c r="L350" s="249"/>
      <c r="M350" s="249"/>
      <c r="N350" s="249"/>
      <c r="O350" s="249"/>
      <c r="P350" s="249"/>
      <c r="Q350" s="249"/>
      <c r="R350" s="249"/>
      <c r="S350" s="249"/>
      <c r="T350" s="249"/>
      <c r="U350" s="249"/>
      <c r="V350" s="249"/>
      <c r="W350" s="249"/>
      <c r="X350" s="249"/>
      <c r="Y350" s="249"/>
      <c r="Z350" s="249"/>
      <c r="AA350" s="249"/>
    </row>
    <row r="351">
      <c r="A351" s="249"/>
      <c r="B351" s="249"/>
      <c r="C351" s="249"/>
      <c r="D351" s="249"/>
      <c r="E351" s="249"/>
      <c r="F351" s="249"/>
      <c r="G351" s="249"/>
      <c r="H351" s="249"/>
      <c r="I351" s="249"/>
      <c r="J351" s="249"/>
      <c r="K351" s="249"/>
      <c r="L351" s="249"/>
      <c r="M351" s="249"/>
      <c r="N351" s="249"/>
      <c r="O351" s="249"/>
      <c r="P351" s="249"/>
      <c r="Q351" s="249"/>
      <c r="R351" s="249"/>
      <c r="S351" s="249"/>
      <c r="T351" s="249"/>
      <c r="U351" s="249"/>
      <c r="V351" s="249"/>
      <c r="W351" s="249"/>
      <c r="X351" s="249"/>
      <c r="Y351" s="249"/>
      <c r="Z351" s="249"/>
      <c r="AA351" s="249"/>
    </row>
    <row r="352">
      <c r="A352" s="249"/>
      <c r="B352" s="249"/>
      <c r="C352" s="249"/>
      <c r="D352" s="249"/>
      <c r="E352" s="249"/>
      <c r="F352" s="249"/>
      <c r="G352" s="249"/>
      <c r="H352" s="249"/>
      <c r="I352" s="249"/>
      <c r="J352" s="249"/>
      <c r="K352" s="249"/>
      <c r="L352" s="249"/>
      <c r="M352" s="249"/>
      <c r="N352" s="249"/>
      <c r="O352" s="249"/>
      <c r="P352" s="249"/>
      <c r="Q352" s="249"/>
      <c r="R352" s="249"/>
      <c r="S352" s="249"/>
      <c r="T352" s="249"/>
      <c r="U352" s="249"/>
      <c r="V352" s="249"/>
      <c r="W352" s="249"/>
      <c r="X352" s="249"/>
      <c r="Y352" s="249"/>
      <c r="Z352" s="249"/>
      <c r="AA352" s="249"/>
    </row>
    <row r="353">
      <c r="A353" s="249"/>
      <c r="B353" s="249"/>
      <c r="C353" s="249"/>
      <c r="D353" s="249"/>
      <c r="E353" s="249"/>
      <c r="F353" s="249"/>
      <c r="G353" s="249"/>
      <c r="H353" s="249"/>
      <c r="I353" s="249"/>
      <c r="J353" s="249"/>
      <c r="K353" s="249"/>
      <c r="L353" s="249"/>
      <c r="M353" s="249"/>
      <c r="N353" s="249"/>
      <c r="O353" s="249"/>
      <c r="P353" s="249"/>
      <c r="Q353" s="249"/>
      <c r="R353" s="249"/>
      <c r="S353" s="249"/>
      <c r="T353" s="249"/>
      <c r="U353" s="249"/>
      <c r="V353" s="249"/>
      <c r="W353" s="249"/>
      <c r="X353" s="249"/>
      <c r="Y353" s="249"/>
      <c r="Z353" s="249"/>
      <c r="AA353" s="249"/>
    </row>
    <row r="354">
      <c r="A354" s="249"/>
      <c r="B354" s="249"/>
      <c r="C354" s="249"/>
      <c r="D354" s="249"/>
      <c r="E354" s="249"/>
      <c r="F354" s="249"/>
      <c r="G354" s="249"/>
      <c r="H354" s="249"/>
      <c r="I354" s="249"/>
      <c r="J354" s="249"/>
      <c r="K354" s="249"/>
      <c r="L354" s="249"/>
      <c r="M354" s="249"/>
      <c r="N354" s="249"/>
      <c r="O354" s="249"/>
      <c r="P354" s="249"/>
      <c r="Q354" s="249"/>
      <c r="R354" s="249"/>
      <c r="S354" s="249"/>
      <c r="T354" s="249"/>
      <c r="U354" s="249"/>
      <c r="V354" s="249"/>
      <c r="W354" s="249"/>
      <c r="X354" s="249"/>
      <c r="Y354" s="249"/>
      <c r="Z354" s="249"/>
      <c r="AA354" s="249"/>
    </row>
    <row r="355">
      <c r="A355" s="249"/>
      <c r="B355" s="249"/>
      <c r="C355" s="249"/>
      <c r="D355" s="249"/>
      <c r="E355" s="249"/>
      <c r="F355" s="249"/>
      <c r="G355" s="249"/>
      <c r="H355" s="249"/>
      <c r="I355" s="249"/>
      <c r="J355" s="249"/>
      <c r="K355" s="249"/>
      <c r="L355" s="249"/>
      <c r="M355" s="249"/>
      <c r="N355" s="249"/>
      <c r="O355" s="249"/>
      <c r="P355" s="249"/>
      <c r="Q355" s="249"/>
      <c r="R355" s="249"/>
      <c r="S355" s="249"/>
      <c r="T355" s="249"/>
      <c r="U355" s="249"/>
      <c r="V355" s="249"/>
      <c r="W355" s="249"/>
      <c r="X355" s="249"/>
      <c r="Y355" s="249"/>
      <c r="Z355" s="249"/>
      <c r="AA355" s="249"/>
    </row>
    <row r="356">
      <c r="A356" s="249"/>
      <c r="B356" s="249"/>
      <c r="C356" s="249"/>
      <c r="D356" s="249"/>
      <c r="E356" s="249"/>
      <c r="F356" s="249"/>
      <c r="G356" s="249"/>
      <c r="H356" s="249"/>
      <c r="I356" s="249"/>
      <c r="J356" s="249"/>
      <c r="K356" s="249"/>
      <c r="L356" s="249"/>
      <c r="M356" s="249"/>
      <c r="N356" s="249"/>
      <c r="O356" s="249"/>
      <c r="P356" s="249"/>
      <c r="Q356" s="249"/>
      <c r="R356" s="249"/>
      <c r="S356" s="249"/>
      <c r="T356" s="249"/>
      <c r="U356" s="249"/>
      <c r="V356" s="249"/>
      <c r="W356" s="249"/>
      <c r="X356" s="249"/>
      <c r="Y356" s="249"/>
      <c r="Z356" s="249"/>
      <c r="AA356" s="249"/>
    </row>
    <row r="357">
      <c r="A357" s="249"/>
      <c r="B357" s="249"/>
      <c r="C357" s="249"/>
      <c r="D357" s="249"/>
      <c r="E357" s="249"/>
      <c r="F357" s="249"/>
      <c r="G357" s="249"/>
      <c r="H357" s="249"/>
      <c r="I357" s="249"/>
      <c r="J357" s="249"/>
      <c r="K357" s="249"/>
      <c r="L357" s="249"/>
      <c r="M357" s="249"/>
      <c r="N357" s="249"/>
      <c r="O357" s="249"/>
      <c r="P357" s="249"/>
      <c r="Q357" s="249"/>
      <c r="R357" s="249"/>
      <c r="S357" s="249"/>
      <c r="T357" s="249"/>
      <c r="U357" s="249"/>
      <c r="V357" s="249"/>
      <c r="W357" s="249"/>
      <c r="X357" s="249"/>
      <c r="Y357" s="249"/>
      <c r="Z357" s="249"/>
      <c r="AA357" s="249"/>
    </row>
    <row r="358">
      <c r="A358" s="249"/>
      <c r="B358" s="249"/>
      <c r="C358" s="249"/>
      <c r="D358" s="249"/>
      <c r="E358" s="249"/>
      <c r="F358" s="249"/>
      <c r="G358" s="249"/>
      <c r="H358" s="249"/>
      <c r="I358" s="249"/>
      <c r="J358" s="249"/>
      <c r="K358" s="249"/>
      <c r="L358" s="249"/>
      <c r="M358" s="249"/>
      <c r="N358" s="249"/>
      <c r="O358" s="249"/>
      <c r="P358" s="249"/>
      <c r="Q358" s="249"/>
      <c r="R358" s="249"/>
      <c r="S358" s="249"/>
      <c r="T358" s="249"/>
      <c r="U358" s="249"/>
      <c r="V358" s="249"/>
      <c r="W358" s="249"/>
      <c r="X358" s="249"/>
      <c r="Y358" s="249"/>
      <c r="Z358" s="249"/>
      <c r="AA358" s="249"/>
    </row>
    <row r="359">
      <c r="A359" s="249"/>
      <c r="B359" s="249"/>
      <c r="C359" s="249"/>
      <c r="D359" s="249"/>
      <c r="E359" s="249"/>
      <c r="F359" s="249"/>
      <c r="G359" s="249"/>
      <c r="H359" s="249"/>
      <c r="I359" s="249"/>
      <c r="J359" s="249"/>
      <c r="K359" s="249"/>
      <c r="L359" s="249"/>
      <c r="M359" s="249"/>
      <c r="N359" s="249"/>
      <c r="O359" s="249"/>
      <c r="P359" s="249"/>
      <c r="Q359" s="249"/>
      <c r="R359" s="249"/>
      <c r="S359" s="249"/>
      <c r="T359" s="249"/>
      <c r="U359" s="249"/>
      <c r="V359" s="249"/>
      <c r="W359" s="249"/>
      <c r="X359" s="249"/>
      <c r="Y359" s="249"/>
      <c r="Z359" s="249"/>
      <c r="AA359" s="249"/>
    </row>
    <row r="360">
      <c r="A360" s="249"/>
      <c r="B360" s="249"/>
      <c r="C360" s="249"/>
      <c r="D360" s="249"/>
      <c r="E360" s="249"/>
      <c r="F360" s="249"/>
      <c r="G360" s="249"/>
      <c r="H360" s="249"/>
      <c r="I360" s="249"/>
      <c r="J360" s="249"/>
      <c r="K360" s="249"/>
      <c r="L360" s="249"/>
      <c r="M360" s="249"/>
      <c r="N360" s="249"/>
      <c r="O360" s="249"/>
      <c r="P360" s="249"/>
      <c r="Q360" s="249"/>
      <c r="R360" s="249"/>
      <c r="S360" s="249"/>
      <c r="T360" s="249"/>
      <c r="U360" s="249"/>
      <c r="V360" s="249"/>
      <c r="W360" s="249"/>
      <c r="X360" s="249"/>
      <c r="Y360" s="249"/>
      <c r="Z360" s="249"/>
      <c r="AA360" s="249"/>
    </row>
    <row r="361">
      <c r="A361" s="249"/>
      <c r="B361" s="249"/>
      <c r="C361" s="249"/>
      <c r="D361" s="249"/>
      <c r="E361" s="249"/>
      <c r="F361" s="249"/>
      <c r="G361" s="249"/>
      <c r="H361" s="249"/>
      <c r="I361" s="249"/>
      <c r="J361" s="249"/>
      <c r="K361" s="249"/>
      <c r="L361" s="249"/>
      <c r="M361" s="249"/>
      <c r="N361" s="249"/>
      <c r="O361" s="249"/>
      <c r="P361" s="249"/>
      <c r="Q361" s="249"/>
      <c r="R361" s="249"/>
      <c r="S361" s="249"/>
      <c r="T361" s="249"/>
      <c r="U361" s="249"/>
      <c r="V361" s="249"/>
      <c r="W361" s="249"/>
      <c r="X361" s="249"/>
      <c r="Y361" s="249"/>
      <c r="Z361" s="249"/>
      <c r="AA361" s="249"/>
    </row>
    <row r="362">
      <c r="A362" s="249"/>
      <c r="B362" s="249"/>
      <c r="C362" s="249"/>
      <c r="D362" s="249"/>
      <c r="E362" s="249"/>
      <c r="F362" s="249"/>
      <c r="G362" s="249"/>
      <c r="H362" s="249"/>
      <c r="I362" s="249"/>
      <c r="J362" s="249"/>
      <c r="K362" s="249"/>
      <c r="L362" s="249"/>
      <c r="M362" s="249"/>
      <c r="N362" s="249"/>
      <c r="O362" s="249"/>
      <c r="P362" s="249"/>
      <c r="Q362" s="249"/>
      <c r="R362" s="249"/>
      <c r="S362" s="249"/>
      <c r="T362" s="249"/>
      <c r="U362" s="249"/>
      <c r="V362" s="249"/>
      <c r="W362" s="249"/>
      <c r="X362" s="249"/>
      <c r="Y362" s="249"/>
      <c r="Z362" s="249"/>
      <c r="AA362" s="249"/>
    </row>
    <row r="363">
      <c r="A363" s="249"/>
      <c r="B363" s="249"/>
      <c r="C363" s="249"/>
      <c r="D363" s="249"/>
      <c r="E363" s="249"/>
      <c r="F363" s="249"/>
      <c r="G363" s="249"/>
      <c r="H363" s="249"/>
      <c r="I363" s="249"/>
      <c r="J363" s="249"/>
      <c r="K363" s="249"/>
      <c r="L363" s="249"/>
      <c r="M363" s="249"/>
      <c r="N363" s="249"/>
      <c r="O363" s="249"/>
      <c r="P363" s="249"/>
      <c r="Q363" s="249"/>
      <c r="R363" s="249"/>
      <c r="S363" s="249"/>
      <c r="T363" s="249"/>
      <c r="U363" s="249"/>
      <c r="V363" s="249"/>
      <c r="W363" s="249"/>
      <c r="X363" s="249"/>
      <c r="Y363" s="249"/>
      <c r="Z363" s="249"/>
      <c r="AA363" s="249"/>
    </row>
    <row r="364">
      <c r="A364" s="249"/>
      <c r="B364" s="249"/>
      <c r="C364" s="249"/>
      <c r="D364" s="249"/>
      <c r="E364" s="249"/>
      <c r="F364" s="249"/>
      <c r="G364" s="249"/>
      <c r="H364" s="249"/>
      <c r="I364" s="249"/>
      <c r="J364" s="249"/>
      <c r="K364" s="249"/>
      <c r="L364" s="249"/>
      <c r="M364" s="249"/>
      <c r="N364" s="249"/>
      <c r="O364" s="249"/>
      <c r="P364" s="249"/>
      <c r="Q364" s="249"/>
      <c r="R364" s="249"/>
      <c r="S364" s="249"/>
      <c r="T364" s="249"/>
      <c r="U364" s="249"/>
      <c r="V364" s="249"/>
      <c r="W364" s="249"/>
      <c r="X364" s="249"/>
      <c r="Y364" s="249"/>
      <c r="Z364" s="249"/>
      <c r="AA364" s="249"/>
    </row>
    <row r="365">
      <c r="A365" s="249"/>
      <c r="B365" s="249"/>
      <c r="C365" s="249"/>
      <c r="D365" s="249"/>
      <c r="E365" s="249"/>
      <c r="F365" s="249"/>
      <c r="G365" s="249"/>
      <c r="H365" s="249"/>
      <c r="I365" s="249"/>
      <c r="J365" s="249"/>
      <c r="K365" s="249"/>
      <c r="L365" s="249"/>
      <c r="M365" s="249"/>
      <c r="N365" s="249"/>
      <c r="O365" s="249"/>
      <c r="P365" s="249"/>
      <c r="Q365" s="249"/>
      <c r="R365" s="249"/>
      <c r="S365" s="249"/>
      <c r="T365" s="249"/>
      <c r="U365" s="249"/>
      <c r="V365" s="249"/>
      <c r="W365" s="249"/>
      <c r="X365" s="249"/>
      <c r="Y365" s="249"/>
      <c r="Z365" s="249"/>
      <c r="AA365" s="249"/>
    </row>
    <row r="366">
      <c r="A366" s="249"/>
      <c r="B366" s="249"/>
      <c r="C366" s="249"/>
      <c r="D366" s="249"/>
      <c r="E366" s="249"/>
      <c r="F366" s="249"/>
      <c r="G366" s="249"/>
      <c r="H366" s="249"/>
      <c r="I366" s="249"/>
      <c r="J366" s="249"/>
      <c r="K366" s="249"/>
      <c r="L366" s="249"/>
      <c r="M366" s="249"/>
      <c r="N366" s="249"/>
      <c r="O366" s="249"/>
      <c r="P366" s="249"/>
      <c r="Q366" s="249"/>
      <c r="R366" s="249"/>
      <c r="S366" s="249"/>
      <c r="T366" s="249"/>
      <c r="U366" s="249"/>
      <c r="V366" s="249"/>
      <c r="W366" s="249"/>
      <c r="X366" s="249"/>
      <c r="Y366" s="249"/>
      <c r="Z366" s="249"/>
      <c r="AA366" s="249"/>
    </row>
    <row r="367">
      <c r="A367" s="249"/>
      <c r="B367" s="249"/>
      <c r="C367" s="249"/>
      <c r="D367" s="249"/>
      <c r="E367" s="249"/>
      <c r="F367" s="249"/>
      <c r="G367" s="249"/>
      <c r="H367" s="249"/>
      <c r="I367" s="249"/>
      <c r="J367" s="249"/>
      <c r="K367" s="249"/>
      <c r="L367" s="249"/>
      <c r="M367" s="249"/>
      <c r="N367" s="249"/>
      <c r="O367" s="249"/>
      <c r="P367" s="249"/>
      <c r="Q367" s="249"/>
      <c r="R367" s="249"/>
      <c r="S367" s="249"/>
      <c r="T367" s="249"/>
      <c r="U367" s="249"/>
      <c r="V367" s="249"/>
      <c r="W367" s="249"/>
      <c r="X367" s="249"/>
      <c r="Y367" s="249"/>
      <c r="Z367" s="249"/>
      <c r="AA367" s="249"/>
    </row>
    <row r="368">
      <c r="A368" s="249"/>
      <c r="B368" s="249"/>
      <c r="C368" s="249"/>
      <c r="D368" s="249"/>
      <c r="E368" s="249"/>
      <c r="F368" s="249"/>
      <c r="G368" s="249"/>
      <c r="H368" s="249"/>
      <c r="I368" s="249"/>
      <c r="J368" s="249"/>
      <c r="K368" s="249"/>
      <c r="L368" s="249"/>
      <c r="M368" s="249"/>
      <c r="N368" s="249"/>
      <c r="O368" s="249"/>
      <c r="P368" s="249"/>
      <c r="Q368" s="249"/>
      <c r="R368" s="249"/>
      <c r="S368" s="249"/>
      <c r="T368" s="249"/>
      <c r="U368" s="249"/>
      <c r="V368" s="249"/>
      <c r="W368" s="249"/>
      <c r="X368" s="249"/>
      <c r="Y368" s="249"/>
      <c r="Z368" s="249"/>
      <c r="AA368" s="249"/>
    </row>
    <row r="369">
      <c r="A369" s="249"/>
      <c r="B369" s="249"/>
      <c r="C369" s="249"/>
      <c r="D369" s="249"/>
      <c r="E369" s="249"/>
      <c r="F369" s="249"/>
      <c r="G369" s="249"/>
      <c r="H369" s="249"/>
      <c r="I369" s="249"/>
      <c r="J369" s="249"/>
      <c r="K369" s="249"/>
      <c r="L369" s="249"/>
      <c r="M369" s="249"/>
      <c r="N369" s="249"/>
      <c r="O369" s="249"/>
      <c r="P369" s="249"/>
      <c r="Q369" s="249"/>
      <c r="R369" s="249"/>
      <c r="S369" s="249"/>
      <c r="T369" s="249"/>
      <c r="U369" s="249"/>
      <c r="V369" s="249"/>
      <c r="W369" s="249"/>
      <c r="X369" s="249"/>
      <c r="Y369" s="249"/>
      <c r="Z369" s="249"/>
      <c r="AA369" s="249"/>
    </row>
    <row r="370">
      <c r="A370" s="249"/>
      <c r="B370" s="249"/>
      <c r="C370" s="249"/>
      <c r="D370" s="249"/>
      <c r="E370" s="249"/>
      <c r="F370" s="249"/>
      <c r="G370" s="249"/>
      <c r="H370" s="249"/>
      <c r="I370" s="249"/>
      <c r="J370" s="249"/>
      <c r="K370" s="249"/>
      <c r="L370" s="249"/>
      <c r="M370" s="249"/>
      <c r="N370" s="249"/>
      <c r="O370" s="249"/>
      <c r="P370" s="249"/>
      <c r="Q370" s="249"/>
      <c r="R370" s="249"/>
      <c r="S370" s="249"/>
      <c r="T370" s="249"/>
      <c r="U370" s="249"/>
      <c r="V370" s="249"/>
      <c r="W370" s="249"/>
      <c r="X370" s="249"/>
      <c r="Y370" s="249"/>
      <c r="Z370" s="249"/>
      <c r="AA370" s="249"/>
    </row>
    <row r="371">
      <c r="A371" s="249"/>
      <c r="B371" s="249"/>
      <c r="C371" s="249"/>
      <c r="D371" s="249"/>
      <c r="E371" s="249"/>
      <c r="F371" s="249"/>
      <c r="G371" s="249"/>
      <c r="H371" s="249"/>
      <c r="I371" s="249"/>
      <c r="J371" s="249"/>
      <c r="K371" s="249"/>
      <c r="L371" s="249"/>
      <c r="M371" s="249"/>
      <c r="N371" s="249"/>
      <c r="O371" s="249"/>
      <c r="P371" s="249"/>
      <c r="Q371" s="249"/>
      <c r="R371" s="249"/>
      <c r="S371" s="249"/>
      <c r="T371" s="249"/>
      <c r="U371" s="249"/>
      <c r="V371" s="249"/>
      <c r="W371" s="249"/>
      <c r="X371" s="249"/>
      <c r="Y371" s="249"/>
      <c r="Z371" s="249"/>
      <c r="AA371" s="249"/>
    </row>
    <row r="372">
      <c r="A372" s="249"/>
      <c r="B372" s="249"/>
      <c r="C372" s="249"/>
      <c r="D372" s="249"/>
      <c r="E372" s="249"/>
      <c r="F372" s="249"/>
      <c r="G372" s="249"/>
      <c r="H372" s="249"/>
      <c r="I372" s="249"/>
      <c r="J372" s="249"/>
      <c r="K372" s="249"/>
      <c r="L372" s="249"/>
      <c r="M372" s="249"/>
      <c r="N372" s="249"/>
      <c r="O372" s="249"/>
      <c r="P372" s="249"/>
      <c r="Q372" s="249"/>
      <c r="R372" s="249"/>
      <c r="S372" s="249"/>
      <c r="T372" s="249"/>
      <c r="U372" s="249"/>
      <c r="V372" s="249"/>
      <c r="W372" s="249"/>
      <c r="X372" s="249"/>
      <c r="Y372" s="249"/>
      <c r="Z372" s="249"/>
      <c r="AA372" s="249"/>
    </row>
    <row r="373">
      <c r="A373" s="249"/>
      <c r="B373" s="249"/>
      <c r="C373" s="249"/>
      <c r="D373" s="249"/>
      <c r="E373" s="249"/>
      <c r="F373" s="249"/>
      <c r="G373" s="249"/>
      <c r="H373" s="249"/>
      <c r="I373" s="249"/>
      <c r="J373" s="249"/>
      <c r="K373" s="249"/>
      <c r="L373" s="249"/>
      <c r="M373" s="249"/>
      <c r="N373" s="249"/>
      <c r="O373" s="249"/>
      <c r="P373" s="249"/>
      <c r="Q373" s="249"/>
      <c r="R373" s="249"/>
      <c r="S373" s="249"/>
      <c r="T373" s="249"/>
      <c r="U373" s="249"/>
      <c r="V373" s="249"/>
      <c r="W373" s="249"/>
      <c r="X373" s="249"/>
      <c r="Y373" s="249"/>
      <c r="Z373" s="249"/>
      <c r="AA373" s="249"/>
    </row>
    <row r="374">
      <c r="A374" s="249"/>
      <c r="B374" s="249"/>
      <c r="C374" s="249"/>
      <c r="D374" s="249"/>
      <c r="E374" s="249"/>
      <c r="F374" s="249"/>
      <c r="G374" s="249"/>
      <c r="H374" s="249"/>
      <c r="I374" s="249"/>
      <c r="J374" s="249"/>
      <c r="K374" s="249"/>
      <c r="L374" s="249"/>
      <c r="M374" s="249"/>
      <c r="N374" s="249"/>
      <c r="O374" s="249"/>
      <c r="P374" s="249"/>
      <c r="Q374" s="249"/>
      <c r="R374" s="249"/>
      <c r="S374" s="249"/>
      <c r="T374" s="249"/>
      <c r="U374" s="249"/>
      <c r="V374" s="249"/>
      <c r="W374" s="249"/>
      <c r="X374" s="249"/>
      <c r="Y374" s="249"/>
      <c r="Z374" s="249"/>
      <c r="AA374" s="249"/>
    </row>
    <row r="375">
      <c r="A375" s="249"/>
      <c r="B375" s="249"/>
      <c r="C375" s="249"/>
      <c r="D375" s="249"/>
      <c r="E375" s="249"/>
      <c r="F375" s="249"/>
      <c r="G375" s="249"/>
      <c r="H375" s="249"/>
      <c r="I375" s="249"/>
      <c r="J375" s="249"/>
      <c r="K375" s="249"/>
      <c r="L375" s="249"/>
      <c r="M375" s="249"/>
      <c r="N375" s="249"/>
      <c r="O375" s="249"/>
      <c r="P375" s="249"/>
      <c r="Q375" s="249"/>
      <c r="R375" s="249"/>
      <c r="S375" s="249"/>
      <c r="T375" s="249"/>
      <c r="U375" s="249"/>
      <c r="V375" s="249"/>
      <c r="W375" s="249"/>
      <c r="X375" s="249"/>
      <c r="Y375" s="249"/>
      <c r="Z375" s="249"/>
      <c r="AA375" s="249"/>
    </row>
    <row r="376">
      <c r="A376" s="249"/>
      <c r="B376" s="249"/>
      <c r="C376" s="249"/>
      <c r="D376" s="249"/>
      <c r="E376" s="249"/>
      <c r="F376" s="249"/>
      <c r="G376" s="249"/>
      <c r="H376" s="249"/>
      <c r="I376" s="249"/>
      <c r="J376" s="249"/>
      <c r="K376" s="249"/>
      <c r="L376" s="249"/>
      <c r="M376" s="249"/>
      <c r="N376" s="249"/>
      <c r="O376" s="249"/>
      <c r="P376" s="249"/>
      <c r="Q376" s="249"/>
      <c r="R376" s="249"/>
      <c r="S376" s="249"/>
      <c r="T376" s="249"/>
      <c r="U376" s="249"/>
      <c r="V376" s="249"/>
      <c r="W376" s="249"/>
      <c r="X376" s="249"/>
      <c r="Y376" s="249"/>
      <c r="Z376" s="249"/>
      <c r="AA376" s="249"/>
    </row>
    <row r="377">
      <c r="A377" s="249"/>
      <c r="B377" s="249"/>
      <c r="C377" s="249"/>
      <c r="D377" s="249"/>
      <c r="E377" s="249"/>
      <c r="F377" s="249"/>
      <c r="G377" s="249"/>
      <c r="H377" s="249"/>
      <c r="I377" s="249"/>
      <c r="J377" s="249"/>
      <c r="K377" s="249"/>
      <c r="L377" s="249"/>
      <c r="M377" s="249"/>
      <c r="N377" s="249"/>
      <c r="O377" s="249"/>
      <c r="P377" s="249"/>
      <c r="Q377" s="249"/>
      <c r="R377" s="249"/>
      <c r="S377" s="249"/>
      <c r="T377" s="249"/>
      <c r="U377" s="249"/>
      <c r="V377" s="249"/>
      <c r="W377" s="249"/>
      <c r="X377" s="249"/>
      <c r="Y377" s="249"/>
      <c r="Z377" s="249"/>
      <c r="AA377" s="249"/>
    </row>
    <row r="378">
      <c r="A378" s="249"/>
      <c r="B378" s="249"/>
      <c r="C378" s="249"/>
      <c r="D378" s="249"/>
      <c r="E378" s="249"/>
      <c r="F378" s="249"/>
      <c r="G378" s="249"/>
      <c r="H378" s="249"/>
      <c r="I378" s="249"/>
      <c r="J378" s="249"/>
      <c r="K378" s="249"/>
      <c r="L378" s="249"/>
      <c r="M378" s="249"/>
      <c r="N378" s="249"/>
      <c r="O378" s="249"/>
      <c r="P378" s="249"/>
      <c r="Q378" s="249"/>
      <c r="R378" s="249"/>
      <c r="S378" s="249"/>
      <c r="T378" s="249"/>
      <c r="U378" s="249"/>
      <c r="V378" s="249"/>
      <c r="W378" s="249"/>
      <c r="X378" s="249"/>
      <c r="Y378" s="249"/>
      <c r="Z378" s="249"/>
      <c r="AA378" s="249"/>
    </row>
    <row r="379">
      <c r="A379" s="249"/>
      <c r="B379" s="249"/>
      <c r="C379" s="249"/>
      <c r="D379" s="249"/>
      <c r="E379" s="249"/>
      <c r="F379" s="249"/>
      <c r="G379" s="249"/>
      <c r="H379" s="249"/>
      <c r="I379" s="249"/>
      <c r="J379" s="249"/>
      <c r="K379" s="249"/>
      <c r="L379" s="249"/>
      <c r="M379" s="249"/>
      <c r="N379" s="249"/>
      <c r="O379" s="249"/>
      <c r="P379" s="249"/>
      <c r="Q379" s="249"/>
      <c r="R379" s="249"/>
      <c r="S379" s="249"/>
      <c r="T379" s="249"/>
      <c r="U379" s="249"/>
      <c r="V379" s="249"/>
      <c r="W379" s="249"/>
      <c r="X379" s="249"/>
      <c r="Y379" s="249"/>
      <c r="Z379" s="249"/>
      <c r="AA379" s="249"/>
    </row>
    <row r="380">
      <c r="A380" s="249"/>
      <c r="B380" s="249"/>
      <c r="C380" s="249"/>
      <c r="D380" s="249"/>
      <c r="E380" s="249"/>
      <c r="F380" s="249"/>
      <c r="G380" s="249"/>
      <c r="H380" s="249"/>
      <c r="I380" s="249"/>
      <c r="J380" s="249"/>
      <c r="K380" s="249"/>
      <c r="L380" s="249"/>
      <c r="M380" s="249"/>
      <c r="N380" s="249"/>
      <c r="O380" s="249"/>
      <c r="P380" s="249"/>
      <c r="Q380" s="249"/>
      <c r="R380" s="249"/>
      <c r="S380" s="249"/>
      <c r="T380" s="249"/>
      <c r="U380" s="249"/>
      <c r="V380" s="249"/>
      <c r="W380" s="249"/>
      <c r="X380" s="249"/>
      <c r="Y380" s="249"/>
      <c r="Z380" s="249"/>
      <c r="AA380" s="249"/>
    </row>
    <row r="381">
      <c r="A381" s="249"/>
      <c r="B381" s="249"/>
      <c r="C381" s="249"/>
      <c r="D381" s="249"/>
      <c r="E381" s="249"/>
      <c r="F381" s="249"/>
      <c r="G381" s="249"/>
      <c r="H381" s="249"/>
      <c r="I381" s="249"/>
      <c r="J381" s="249"/>
      <c r="K381" s="249"/>
      <c r="L381" s="249"/>
      <c r="M381" s="249"/>
      <c r="N381" s="249"/>
      <c r="O381" s="249"/>
      <c r="P381" s="249"/>
      <c r="Q381" s="249"/>
      <c r="R381" s="249"/>
      <c r="S381" s="249"/>
      <c r="T381" s="249"/>
      <c r="U381" s="249"/>
      <c r="V381" s="249"/>
      <c r="W381" s="249"/>
      <c r="X381" s="249"/>
      <c r="Y381" s="249"/>
      <c r="Z381" s="249"/>
      <c r="AA381" s="249"/>
    </row>
    <row r="382">
      <c r="A382" s="249"/>
      <c r="B382" s="249"/>
      <c r="C382" s="249"/>
      <c r="D382" s="249"/>
      <c r="E382" s="249"/>
      <c r="F382" s="249"/>
      <c r="G382" s="249"/>
      <c r="H382" s="249"/>
      <c r="I382" s="249"/>
      <c r="J382" s="249"/>
      <c r="K382" s="249"/>
      <c r="L382" s="249"/>
      <c r="M382" s="249"/>
      <c r="N382" s="249"/>
      <c r="O382" s="249"/>
      <c r="P382" s="249"/>
      <c r="Q382" s="249"/>
      <c r="R382" s="249"/>
      <c r="S382" s="249"/>
      <c r="T382" s="249"/>
      <c r="U382" s="249"/>
      <c r="V382" s="249"/>
      <c r="W382" s="249"/>
      <c r="X382" s="249"/>
      <c r="Y382" s="249"/>
      <c r="Z382" s="249"/>
      <c r="AA382" s="249"/>
    </row>
    <row r="383">
      <c r="A383" s="249"/>
      <c r="B383" s="249"/>
      <c r="C383" s="249"/>
      <c r="D383" s="249"/>
      <c r="E383" s="249"/>
      <c r="F383" s="249"/>
      <c r="G383" s="249"/>
      <c r="H383" s="249"/>
      <c r="I383" s="249"/>
      <c r="J383" s="249"/>
      <c r="K383" s="249"/>
      <c r="L383" s="249"/>
      <c r="M383" s="249"/>
      <c r="N383" s="249"/>
      <c r="O383" s="249"/>
      <c r="P383" s="249"/>
      <c r="Q383" s="249"/>
      <c r="R383" s="249"/>
      <c r="S383" s="249"/>
      <c r="T383" s="249"/>
      <c r="U383" s="249"/>
      <c r="V383" s="249"/>
      <c r="W383" s="249"/>
      <c r="X383" s="249"/>
      <c r="Y383" s="249"/>
      <c r="Z383" s="249"/>
      <c r="AA383" s="249"/>
    </row>
    <row r="384">
      <c r="A384" s="249"/>
      <c r="B384" s="249"/>
      <c r="C384" s="249"/>
      <c r="D384" s="249"/>
      <c r="E384" s="249"/>
      <c r="F384" s="249"/>
      <c r="G384" s="249"/>
      <c r="H384" s="249"/>
      <c r="I384" s="249"/>
      <c r="J384" s="249"/>
      <c r="K384" s="249"/>
      <c r="L384" s="249"/>
      <c r="M384" s="249"/>
      <c r="N384" s="249"/>
      <c r="O384" s="249"/>
      <c r="P384" s="249"/>
      <c r="Q384" s="249"/>
      <c r="R384" s="249"/>
      <c r="S384" s="249"/>
      <c r="T384" s="249"/>
      <c r="U384" s="249"/>
      <c r="V384" s="249"/>
      <c r="W384" s="249"/>
      <c r="X384" s="249"/>
      <c r="Y384" s="249"/>
      <c r="Z384" s="249"/>
      <c r="AA384" s="249"/>
    </row>
    <row r="385">
      <c r="A385" s="249"/>
      <c r="B385" s="249"/>
      <c r="C385" s="249"/>
      <c r="D385" s="249"/>
      <c r="E385" s="249"/>
      <c r="F385" s="249"/>
      <c r="G385" s="249"/>
      <c r="H385" s="249"/>
      <c r="I385" s="249"/>
      <c r="J385" s="249"/>
      <c r="K385" s="249"/>
      <c r="L385" s="249"/>
      <c r="M385" s="249"/>
      <c r="N385" s="249"/>
      <c r="O385" s="249"/>
      <c r="P385" s="249"/>
      <c r="Q385" s="249"/>
      <c r="R385" s="249"/>
      <c r="S385" s="249"/>
      <c r="T385" s="249"/>
      <c r="U385" s="249"/>
      <c r="V385" s="249"/>
      <c r="W385" s="249"/>
      <c r="X385" s="249"/>
      <c r="Y385" s="249"/>
      <c r="Z385" s="249"/>
      <c r="AA385" s="249"/>
    </row>
    <row r="386">
      <c r="A386" s="249"/>
      <c r="B386" s="249"/>
      <c r="C386" s="249"/>
      <c r="D386" s="249"/>
      <c r="E386" s="249"/>
      <c r="F386" s="249"/>
      <c r="G386" s="249"/>
      <c r="H386" s="249"/>
      <c r="I386" s="249"/>
      <c r="J386" s="249"/>
      <c r="K386" s="249"/>
      <c r="L386" s="249"/>
      <c r="M386" s="249"/>
      <c r="N386" s="249"/>
      <c r="O386" s="249"/>
      <c r="P386" s="249"/>
      <c r="Q386" s="249"/>
      <c r="R386" s="249"/>
      <c r="S386" s="249"/>
      <c r="T386" s="249"/>
      <c r="U386" s="249"/>
      <c r="V386" s="249"/>
      <c r="W386" s="249"/>
      <c r="X386" s="249"/>
      <c r="Y386" s="249"/>
      <c r="Z386" s="249"/>
      <c r="AA386" s="249"/>
    </row>
    <row r="387">
      <c r="A387" s="249"/>
      <c r="B387" s="249"/>
      <c r="C387" s="249"/>
      <c r="D387" s="249"/>
      <c r="E387" s="249"/>
      <c r="F387" s="249"/>
      <c r="G387" s="249"/>
      <c r="H387" s="249"/>
      <c r="I387" s="249"/>
      <c r="J387" s="249"/>
      <c r="K387" s="249"/>
      <c r="L387" s="249"/>
      <c r="M387" s="249"/>
      <c r="N387" s="249"/>
      <c r="O387" s="249"/>
      <c r="P387" s="249"/>
      <c r="Q387" s="249"/>
      <c r="R387" s="249"/>
      <c r="S387" s="249"/>
      <c r="T387" s="249"/>
      <c r="U387" s="249"/>
      <c r="V387" s="249"/>
      <c r="W387" s="249"/>
      <c r="X387" s="249"/>
      <c r="Y387" s="249"/>
      <c r="Z387" s="249"/>
      <c r="AA387" s="249"/>
    </row>
    <row r="388">
      <c r="A388" s="249"/>
      <c r="B388" s="249"/>
      <c r="C388" s="249"/>
      <c r="D388" s="249"/>
      <c r="E388" s="249"/>
      <c r="F388" s="249"/>
      <c r="G388" s="249"/>
      <c r="H388" s="249"/>
      <c r="I388" s="249"/>
      <c r="J388" s="249"/>
      <c r="K388" s="249"/>
      <c r="L388" s="249"/>
      <c r="M388" s="249"/>
      <c r="N388" s="249"/>
      <c r="O388" s="249"/>
      <c r="P388" s="249"/>
      <c r="Q388" s="249"/>
      <c r="R388" s="249"/>
      <c r="S388" s="249"/>
      <c r="T388" s="249"/>
      <c r="U388" s="249"/>
      <c r="V388" s="249"/>
      <c r="W388" s="249"/>
      <c r="X388" s="249"/>
      <c r="Y388" s="249"/>
      <c r="Z388" s="249"/>
      <c r="AA388" s="249"/>
    </row>
    <row r="389">
      <c r="A389" s="249"/>
      <c r="B389" s="249"/>
      <c r="C389" s="249"/>
      <c r="D389" s="249"/>
      <c r="E389" s="249"/>
      <c r="F389" s="249"/>
      <c r="G389" s="249"/>
      <c r="H389" s="249"/>
      <c r="I389" s="249"/>
      <c r="J389" s="249"/>
      <c r="K389" s="249"/>
      <c r="L389" s="249"/>
      <c r="M389" s="249"/>
      <c r="N389" s="249"/>
      <c r="O389" s="249"/>
      <c r="P389" s="249"/>
      <c r="Q389" s="249"/>
      <c r="R389" s="249"/>
      <c r="S389" s="249"/>
      <c r="T389" s="249"/>
      <c r="U389" s="249"/>
      <c r="V389" s="249"/>
      <c r="W389" s="249"/>
      <c r="X389" s="249"/>
      <c r="Y389" s="249"/>
      <c r="Z389" s="249"/>
      <c r="AA389" s="249"/>
    </row>
    <row r="390">
      <c r="A390" s="249"/>
      <c r="B390" s="249"/>
      <c r="C390" s="249"/>
      <c r="D390" s="249"/>
      <c r="E390" s="249"/>
      <c r="F390" s="249"/>
      <c r="G390" s="249"/>
      <c r="H390" s="249"/>
      <c r="I390" s="249"/>
      <c r="J390" s="249"/>
      <c r="K390" s="249"/>
      <c r="L390" s="249"/>
      <c r="M390" s="249"/>
      <c r="N390" s="249"/>
      <c r="O390" s="249"/>
      <c r="P390" s="249"/>
      <c r="Q390" s="249"/>
      <c r="R390" s="249"/>
      <c r="S390" s="249"/>
      <c r="T390" s="249"/>
      <c r="U390" s="249"/>
      <c r="V390" s="249"/>
      <c r="W390" s="249"/>
      <c r="X390" s="249"/>
      <c r="Y390" s="249"/>
      <c r="Z390" s="249"/>
      <c r="AA390" s="249"/>
    </row>
    <row r="391">
      <c r="A391" s="249"/>
      <c r="B391" s="249"/>
      <c r="C391" s="249"/>
      <c r="D391" s="249"/>
      <c r="E391" s="249"/>
      <c r="F391" s="249"/>
      <c r="G391" s="249"/>
      <c r="H391" s="249"/>
      <c r="I391" s="249"/>
      <c r="J391" s="249"/>
      <c r="K391" s="249"/>
      <c r="L391" s="249"/>
      <c r="M391" s="249"/>
      <c r="N391" s="249"/>
      <c r="O391" s="249"/>
      <c r="P391" s="249"/>
      <c r="Q391" s="249"/>
      <c r="R391" s="249"/>
      <c r="S391" s="249"/>
      <c r="T391" s="249"/>
      <c r="U391" s="249"/>
      <c r="V391" s="249"/>
      <c r="W391" s="249"/>
      <c r="X391" s="249"/>
      <c r="Y391" s="249"/>
      <c r="Z391" s="249"/>
      <c r="AA391" s="249"/>
    </row>
    <row r="392">
      <c r="A392" s="249"/>
      <c r="B392" s="249"/>
      <c r="C392" s="249"/>
      <c r="D392" s="249"/>
      <c r="E392" s="249"/>
      <c r="F392" s="249"/>
      <c r="G392" s="249"/>
      <c r="H392" s="249"/>
      <c r="I392" s="249"/>
      <c r="J392" s="249"/>
      <c r="K392" s="249"/>
      <c r="L392" s="249"/>
      <c r="M392" s="249"/>
      <c r="N392" s="249"/>
      <c r="O392" s="249"/>
      <c r="P392" s="249"/>
      <c r="Q392" s="249"/>
      <c r="R392" s="249"/>
      <c r="S392" s="249"/>
      <c r="T392" s="249"/>
      <c r="U392" s="249"/>
      <c r="V392" s="249"/>
      <c r="W392" s="249"/>
      <c r="X392" s="249"/>
      <c r="Y392" s="249"/>
      <c r="Z392" s="249"/>
      <c r="AA392" s="249"/>
    </row>
    <row r="393">
      <c r="A393" s="249"/>
      <c r="B393" s="249"/>
      <c r="C393" s="249"/>
      <c r="D393" s="249"/>
      <c r="E393" s="249"/>
      <c r="F393" s="249"/>
      <c r="G393" s="249"/>
      <c r="H393" s="249"/>
      <c r="I393" s="249"/>
      <c r="J393" s="249"/>
      <c r="K393" s="249"/>
      <c r="L393" s="249"/>
      <c r="M393" s="249"/>
      <c r="N393" s="249"/>
      <c r="O393" s="249"/>
      <c r="P393" s="249"/>
      <c r="Q393" s="249"/>
      <c r="R393" s="249"/>
      <c r="S393" s="249"/>
      <c r="T393" s="249"/>
      <c r="U393" s="249"/>
      <c r="V393" s="249"/>
      <c r="W393" s="249"/>
      <c r="X393" s="249"/>
      <c r="Y393" s="249"/>
      <c r="Z393" s="249"/>
      <c r="AA393" s="249"/>
    </row>
    <row r="394">
      <c r="A394" s="249"/>
      <c r="B394" s="249"/>
      <c r="C394" s="249"/>
      <c r="D394" s="249"/>
      <c r="E394" s="249"/>
      <c r="F394" s="249"/>
      <c r="G394" s="249"/>
      <c r="H394" s="249"/>
      <c r="I394" s="249"/>
      <c r="J394" s="249"/>
      <c r="K394" s="249"/>
      <c r="L394" s="249"/>
      <c r="M394" s="249"/>
      <c r="N394" s="249"/>
      <c r="O394" s="249"/>
      <c r="P394" s="249"/>
      <c r="Q394" s="249"/>
      <c r="R394" s="249"/>
      <c r="S394" s="249"/>
      <c r="T394" s="249"/>
      <c r="U394" s="249"/>
      <c r="V394" s="249"/>
      <c r="W394" s="249"/>
      <c r="X394" s="249"/>
      <c r="Y394" s="249"/>
      <c r="Z394" s="249"/>
      <c r="AA394" s="249"/>
    </row>
    <row r="395">
      <c r="A395" s="249"/>
      <c r="B395" s="249"/>
      <c r="C395" s="249"/>
      <c r="D395" s="249"/>
      <c r="E395" s="249"/>
      <c r="F395" s="249"/>
      <c r="G395" s="249"/>
      <c r="H395" s="249"/>
      <c r="I395" s="249"/>
      <c r="J395" s="249"/>
      <c r="K395" s="249"/>
      <c r="L395" s="249"/>
      <c r="M395" s="249"/>
      <c r="N395" s="249"/>
      <c r="O395" s="249"/>
      <c r="P395" s="249"/>
      <c r="Q395" s="249"/>
      <c r="R395" s="249"/>
      <c r="S395" s="249"/>
      <c r="T395" s="249"/>
      <c r="U395" s="249"/>
      <c r="V395" s="249"/>
      <c r="W395" s="249"/>
      <c r="X395" s="249"/>
      <c r="Y395" s="249"/>
      <c r="Z395" s="249"/>
      <c r="AA395" s="249"/>
    </row>
    <row r="396">
      <c r="A396" s="249"/>
      <c r="B396" s="249"/>
      <c r="C396" s="249"/>
      <c r="D396" s="249"/>
      <c r="E396" s="249"/>
      <c r="F396" s="249"/>
      <c r="G396" s="249"/>
      <c r="H396" s="249"/>
      <c r="I396" s="249"/>
      <c r="J396" s="249"/>
      <c r="K396" s="249"/>
      <c r="L396" s="249"/>
      <c r="M396" s="249"/>
      <c r="N396" s="249"/>
      <c r="O396" s="249"/>
      <c r="P396" s="249"/>
      <c r="Q396" s="249"/>
      <c r="R396" s="249"/>
      <c r="S396" s="249"/>
      <c r="T396" s="249"/>
      <c r="U396" s="249"/>
      <c r="V396" s="249"/>
      <c r="W396" s="249"/>
      <c r="X396" s="249"/>
      <c r="Y396" s="249"/>
      <c r="Z396" s="249"/>
      <c r="AA396" s="249"/>
    </row>
    <row r="397">
      <c r="A397" s="249"/>
      <c r="B397" s="249"/>
      <c r="C397" s="249"/>
      <c r="D397" s="249"/>
      <c r="E397" s="249"/>
      <c r="F397" s="249"/>
      <c r="G397" s="249"/>
      <c r="H397" s="249"/>
      <c r="I397" s="249"/>
      <c r="J397" s="249"/>
      <c r="K397" s="249"/>
      <c r="L397" s="249"/>
      <c r="M397" s="249"/>
      <c r="N397" s="249"/>
      <c r="O397" s="249"/>
      <c r="P397" s="249"/>
      <c r="Q397" s="249"/>
      <c r="R397" s="249"/>
      <c r="S397" s="249"/>
      <c r="T397" s="249"/>
      <c r="U397" s="249"/>
      <c r="V397" s="249"/>
      <c r="W397" s="249"/>
      <c r="X397" s="249"/>
      <c r="Y397" s="249"/>
      <c r="Z397" s="249"/>
      <c r="AA397" s="249"/>
    </row>
    <row r="398">
      <c r="A398" s="249"/>
      <c r="B398" s="249"/>
      <c r="C398" s="249"/>
      <c r="D398" s="249"/>
      <c r="E398" s="249"/>
      <c r="F398" s="249"/>
      <c r="G398" s="249"/>
      <c r="H398" s="249"/>
      <c r="I398" s="249"/>
      <c r="J398" s="249"/>
      <c r="K398" s="249"/>
      <c r="L398" s="249"/>
      <c r="M398" s="249"/>
      <c r="N398" s="249"/>
      <c r="O398" s="249"/>
      <c r="P398" s="249"/>
      <c r="Q398" s="249"/>
      <c r="R398" s="249"/>
      <c r="S398" s="249"/>
      <c r="T398" s="249"/>
      <c r="U398" s="249"/>
      <c r="V398" s="249"/>
      <c r="W398" s="249"/>
      <c r="X398" s="249"/>
      <c r="Y398" s="249"/>
      <c r="Z398" s="249"/>
      <c r="AA398" s="249"/>
    </row>
    <row r="399">
      <c r="A399" s="249"/>
      <c r="B399" s="249"/>
      <c r="C399" s="249"/>
      <c r="D399" s="249"/>
      <c r="E399" s="249"/>
      <c r="F399" s="249"/>
      <c r="G399" s="249"/>
      <c r="H399" s="249"/>
      <c r="I399" s="249"/>
      <c r="J399" s="249"/>
      <c r="K399" s="249"/>
      <c r="L399" s="249"/>
      <c r="M399" s="249"/>
      <c r="N399" s="249"/>
      <c r="O399" s="249"/>
      <c r="P399" s="249"/>
      <c r="Q399" s="249"/>
      <c r="R399" s="249"/>
      <c r="S399" s="249"/>
      <c r="T399" s="249"/>
      <c r="U399" s="249"/>
      <c r="V399" s="249"/>
      <c r="W399" s="249"/>
      <c r="X399" s="249"/>
      <c r="Y399" s="249"/>
      <c r="Z399" s="249"/>
      <c r="AA399" s="249"/>
    </row>
    <row r="400">
      <c r="A400" s="249"/>
      <c r="B400" s="249"/>
      <c r="C400" s="249"/>
      <c r="D400" s="249"/>
      <c r="E400" s="249"/>
      <c r="F400" s="249"/>
      <c r="G400" s="249"/>
      <c r="H400" s="249"/>
      <c r="I400" s="249"/>
      <c r="J400" s="249"/>
      <c r="K400" s="249"/>
      <c r="L400" s="249"/>
      <c r="M400" s="249"/>
      <c r="N400" s="249"/>
      <c r="O400" s="249"/>
      <c r="P400" s="249"/>
      <c r="Q400" s="249"/>
      <c r="R400" s="249"/>
      <c r="S400" s="249"/>
      <c r="T400" s="249"/>
      <c r="U400" s="249"/>
      <c r="V400" s="249"/>
      <c r="W400" s="249"/>
      <c r="X400" s="249"/>
      <c r="Y400" s="249"/>
      <c r="Z400" s="249"/>
      <c r="AA400" s="249"/>
    </row>
    <row r="401">
      <c r="A401" s="249"/>
      <c r="B401" s="249"/>
      <c r="C401" s="249"/>
      <c r="D401" s="249"/>
      <c r="E401" s="249"/>
      <c r="F401" s="249"/>
      <c r="G401" s="249"/>
      <c r="H401" s="249"/>
      <c r="I401" s="249"/>
      <c r="J401" s="249"/>
      <c r="K401" s="249"/>
      <c r="L401" s="249"/>
      <c r="M401" s="249"/>
      <c r="N401" s="249"/>
      <c r="O401" s="249"/>
      <c r="P401" s="249"/>
      <c r="Q401" s="249"/>
      <c r="R401" s="249"/>
      <c r="S401" s="249"/>
      <c r="T401" s="249"/>
      <c r="U401" s="249"/>
      <c r="V401" s="249"/>
      <c r="W401" s="249"/>
      <c r="X401" s="249"/>
      <c r="Y401" s="249"/>
      <c r="Z401" s="249"/>
      <c r="AA401" s="249"/>
    </row>
    <row r="402">
      <c r="A402" s="249"/>
      <c r="B402" s="249"/>
      <c r="C402" s="249"/>
      <c r="D402" s="249"/>
      <c r="E402" s="249"/>
      <c r="F402" s="249"/>
      <c r="G402" s="249"/>
      <c r="H402" s="249"/>
      <c r="I402" s="249"/>
      <c r="J402" s="249"/>
      <c r="K402" s="249"/>
      <c r="L402" s="249"/>
      <c r="M402" s="249"/>
      <c r="N402" s="249"/>
      <c r="O402" s="249"/>
      <c r="P402" s="249"/>
      <c r="Q402" s="249"/>
      <c r="R402" s="249"/>
      <c r="S402" s="249"/>
      <c r="T402" s="249"/>
      <c r="U402" s="249"/>
      <c r="V402" s="249"/>
      <c r="W402" s="249"/>
      <c r="X402" s="249"/>
      <c r="Y402" s="249"/>
      <c r="Z402" s="249"/>
      <c r="AA402" s="249"/>
    </row>
    <row r="403">
      <c r="A403" s="249"/>
      <c r="B403" s="249"/>
      <c r="C403" s="249"/>
      <c r="D403" s="249"/>
      <c r="E403" s="249"/>
      <c r="F403" s="249"/>
      <c r="G403" s="249"/>
      <c r="H403" s="249"/>
      <c r="I403" s="249"/>
      <c r="J403" s="249"/>
      <c r="K403" s="249"/>
      <c r="L403" s="249"/>
      <c r="M403" s="249"/>
      <c r="N403" s="249"/>
      <c r="O403" s="249"/>
      <c r="P403" s="249"/>
      <c r="Q403" s="249"/>
      <c r="R403" s="249"/>
      <c r="S403" s="249"/>
      <c r="T403" s="249"/>
      <c r="U403" s="249"/>
      <c r="V403" s="249"/>
      <c r="W403" s="249"/>
      <c r="X403" s="249"/>
      <c r="Y403" s="249"/>
      <c r="Z403" s="249"/>
      <c r="AA403" s="249"/>
    </row>
    <row r="404">
      <c r="A404" s="249"/>
      <c r="B404" s="249"/>
      <c r="C404" s="249"/>
      <c r="D404" s="249"/>
      <c r="E404" s="249"/>
      <c r="F404" s="249"/>
      <c r="G404" s="249"/>
      <c r="H404" s="249"/>
      <c r="I404" s="249"/>
      <c r="J404" s="249"/>
      <c r="K404" s="249"/>
      <c r="L404" s="249"/>
      <c r="M404" s="249"/>
      <c r="N404" s="249"/>
      <c r="O404" s="249"/>
      <c r="P404" s="249"/>
      <c r="Q404" s="249"/>
      <c r="R404" s="249"/>
      <c r="S404" s="249"/>
      <c r="T404" s="249"/>
      <c r="U404" s="249"/>
      <c r="V404" s="249"/>
      <c r="W404" s="249"/>
      <c r="X404" s="249"/>
      <c r="Y404" s="249"/>
      <c r="Z404" s="249"/>
      <c r="AA404" s="249"/>
    </row>
    <row r="405">
      <c r="A405" s="249"/>
      <c r="B405" s="249"/>
      <c r="C405" s="249"/>
      <c r="D405" s="249"/>
      <c r="E405" s="249"/>
      <c r="F405" s="249"/>
      <c r="G405" s="249"/>
      <c r="H405" s="249"/>
      <c r="I405" s="249"/>
      <c r="J405" s="249"/>
      <c r="K405" s="249"/>
      <c r="L405" s="249"/>
      <c r="M405" s="249"/>
      <c r="N405" s="249"/>
      <c r="O405" s="249"/>
      <c r="P405" s="249"/>
      <c r="Q405" s="249"/>
      <c r="R405" s="249"/>
      <c r="S405" s="249"/>
      <c r="T405" s="249"/>
      <c r="U405" s="249"/>
      <c r="V405" s="249"/>
      <c r="W405" s="249"/>
      <c r="X405" s="249"/>
      <c r="Y405" s="249"/>
      <c r="Z405" s="249"/>
      <c r="AA405" s="249"/>
    </row>
    <row r="406">
      <c r="A406" s="249"/>
      <c r="B406" s="249"/>
      <c r="C406" s="249"/>
      <c r="D406" s="249"/>
      <c r="E406" s="249"/>
      <c r="F406" s="249"/>
      <c r="G406" s="249"/>
      <c r="H406" s="249"/>
      <c r="I406" s="249"/>
      <c r="J406" s="249"/>
      <c r="K406" s="249"/>
      <c r="L406" s="249"/>
      <c r="M406" s="249"/>
      <c r="N406" s="249"/>
      <c r="O406" s="249"/>
      <c r="P406" s="249"/>
      <c r="Q406" s="249"/>
      <c r="R406" s="249"/>
      <c r="S406" s="249"/>
      <c r="T406" s="249"/>
      <c r="U406" s="249"/>
      <c r="V406" s="249"/>
      <c r="W406" s="249"/>
      <c r="X406" s="249"/>
      <c r="Y406" s="249"/>
      <c r="Z406" s="249"/>
      <c r="AA406" s="249"/>
    </row>
    <row r="407">
      <c r="A407" s="249"/>
      <c r="B407" s="249"/>
      <c r="C407" s="249"/>
      <c r="D407" s="249"/>
      <c r="E407" s="249"/>
      <c r="F407" s="249"/>
      <c r="G407" s="249"/>
      <c r="H407" s="249"/>
      <c r="I407" s="249"/>
      <c r="J407" s="249"/>
      <c r="K407" s="249"/>
      <c r="L407" s="249"/>
      <c r="M407" s="249"/>
      <c r="N407" s="249"/>
      <c r="O407" s="249"/>
      <c r="P407" s="249"/>
      <c r="Q407" s="249"/>
      <c r="R407" s="249"/>
      <c r="S407" s="249"/>
      <c r="T407" s="249"/>
      <c r="U407" s="249"/>
      <c r="V407" s="249"/>
      <c r="W407" s="249"/>
      <c r="X407" s="249"/>
      <c r="Y407" s="249"/>
      <c r="Z407" s="249"/>
      <c r="AA407" s="249"/>
    </row>
    <row r="408">
      <c r="A408" s="249"/>
      <c r="B408" s="249"/>
      <c r="C408" s="249"/>
      <c r="D408" s="249"/>
      <c r="E408" s="249"/>
      <c r="F408" s="249"/>
      <c r="G408" s="249"/>
      <c r="H408" s="249"/>
      <c r="I408" s="249"/>
      <c r="J408" s="249"/>
      <c r="K408" s="249"/>
      <c r="L408" s="249"/>
      <c r="M408" s="249"/>
      <c r="N408" s="249"/>
      <c r="O408" s="249"/>
      <c r="P408" s="249"/>
      <c r="Q408" s="249"/>
      <c r="R408" s="249"/>
      <c r="S408" s="249"/>
      <c r="T408" s="249"/>
      <c r="U408" s="249"/>
      <c r="V408" s="249"/>
      <c r="W408" s="249"/>
      <c r="X408" s="249"/>
      <c r="Y408" s="249"/>
      <c r="Z408" s="249"/>
      <c r="AA408" s="249"/>
    </row>
    <row r="409">
      <c r="A409" s="249"/>
      <c r="B409" s="249"/>
      <c r="C409" s="249"/>
      <c r="D409" s="249"/>
      <c r="E409" s="249"/>
      <c r="F409" s="249"/>
      <c r="G409" s="249"/>
      <c r="H409" s="249"/>
      <c r="I409" s="249"/>
      <c r="J409" s="249"/>
      <c r="K409" s="249"/>
      <c r="L409" s="249"/>
      <c r="M409" s="249"/>
      <c r="N409" s="249"/>
      <c r="O409" s="249"/>
      <c r="P409" s="249"/>
      <c r="Q409" s="249"/>
      <c r="R409" s="249"/>
      <c r="S409" s="249"/>
      <c r="T409" s="249"/>
      <c r="U409" s="249"/>
      <c r="V409" s="249"/>
      <c r="W409" s="249"/>
      <c r="X409" s="249"/>
      <c r="Y409" s="249"/>
      <c r="Z409" s="249"/>
      <c r="AA409" s="249"/>
    </row>
    <row r="410">
      <c r="A410" s="249"/>
      <c r="B410" s="249"/>
      <c r="C410" s="249"/>
      <c r="D410" s="249"/>
      <c r="E410" s="249"/>
      <c r="F410" s="249"/>
      <c r="G410" s="249"/>
      <c r="H410" s="249"/>
      <c r="I410" s="249"/>
      <c r="J410" s="249"/>
      <c r="K410" s="249"/>
      <c r="L410" s="249"/>
      <c r="M410" s="249"/>
      <c r="N410" s="249"/>
      <c r="O410" s="249"/>
      <c r="P410" s="249"/>
      <c r="Q410" s="249"/>
      <c r="R410" s="249"/>
      <c r="S410" s="249"/>
      <c r="T410" s="249"/>
      <c r="U410" s="249"/>
      <c r="V410" s="249"/>
      <c r="W410" s="249"/>
      <c r="X410" s="249"/>
      <c r="Y410" s="249"/>
      <c r="Z410" s="249"/>
      <c r="AA410" s="249"/>
    </row>
    <row r="411">
      <c r="A411" s="249"/>
      <c r="B411" s="249"/>
      <c r="C411" s="249"/>
      <c r="D411" s="249"/>
      <c r="E411" s="249"/>
      <c r="F411" s="249"/>
      <c r="G411" s="249"/>
      <c r="H411" s="249"/>
      <c r="I411" s="249"/>
      <c r="J411" s="249"/>
      <c r="K411" s="249"/>
      <c r="L411" s="249"/>
      <c r="M411" s="249"/>
      <c r="N411" s="249"/>
      <c r="O411" s="249"/>
      <c r="P411" s="249"/>
      <c r="Q411" s="249"/>
      <c r="R411" s="249"/>
      <c r="S411" s="249"/>
      <c r="T411" s="249"/>
      <c r="U411" s="249"/>
      <c r="V411" s="249"/>
      <c r="W411" s="249"/>
      <c r="X411" s="249"/>
      <c r="Y411" s="249"/>
      <c r="Z411" s="249"/>
      <c r="AA411" s="249"/>
    </row>
    <row r="412">
      <c r="A412" s="249"/>
      <c r="B412" s="249"/>
      <c r="C412" s="249"/>
      <c r="D412" s="249"/>
      <c r="E412" s="249"/>
      <c r="F412" s="249"/>
      <c r="G412" s="249"/>
      <c r="H412" s="249"/>
      <c r="I412" s="249"/>
      <c r="J412" s="249"/>
      <c r="K412" s="249"/>
      <c r="L412" s="249"/>
      <c r="M412" s="249"/>
      <c r="N412" s="249"/>
      <c r="O412" s="249"/>
      <c r="P412" s="249"/>
      <c r="Q412" s="249"/>
      <c r="R412" s="249"/>
      <c r="S412" s="249"/>
      <c r="T412" s="249"/>
      <c r="U412" s="249"/>
      <c r="V412" s="249"/>
      <c r="W412" s="249"/>
      <c r="X412" s="249"/>
      <c r="Y412" s="249"/>
      <c r="Z412" s="249"/>
      <c r="AA412" s="249"/>
    </row>
    <row r="413">
      <c r="A413" s="249"/>
      <c r="B413" s="249"/>
      <c r="C413" s="249"/>
      <c r="D413" s="249"/>
      <c r="E413" s="249"/>
      <c r="F413" s="249"/>
      <c r="G413" s="249"/>
      <c r="H413" s="249"/>
      <c r="I413" s="249"/>
      <c r="J413" s="249"/>
      <c r="K413" s="249"/>
      <c r="L413" s="249"/>
      <c r="M413" s="249"/>
      <c r="N413" s="249"/>
      <c r="O413" s="249"/>
      <c r="P413" s="249"/>
      <c r="Q413" s="249"/>
      <c r="R413" s="249"/>
      <c r="S413" s="249"/>
      <c r="T413" s="249"/>
      <c r="U413" s="249"/>
      <c r="V413" s="249"/>
      <c r="W413" s="249"/>
      <c r="X413" s="249"/>
      <c r="Y413" s="249"/>
      <c r="Z413" s="249"/>
      <c r="AA413" s="249"/>
    </row>
    <row r="414">
      <c r="A414" s="249"/>
      <c r="B414" s="249"/>
      <c r="C414" s="249"/>
      <c r="D414" s="249"/>
      <c r="E414" s="249"/>
      <c r="F414" s="249"/>
      <c r="G414" s="249"/>
      <c r="H414" s="249"/>
      <c r="I414" s="249"/>
      <c r="J414" s="249"/>
      <c r="K414" s="249"/>
      <c r="L414" s="249"/>
      <c r="M414" s="249"/>
      <c r="N414" s="249"/>
      <c r="O414" s="249"/>
      <c r="P414" s="249"/>
      <c r="Q414" s="249"/>
      <c r="R414" s="249"/>
      <c r="S414" s="249"/>
      <c r="T414" s="249"/>
      <c r="U414" s="249"/>
      <c r="V414" s="249"/>
      <c r="W414" s="249"/>
      <c r="X414" s="249"/>
      <c r="Y414" s="249"/>
      <c r="Z414" s="249"/>
      <c r="AA414" s="249"/>
    </row>
    <row r="415">
      <c r="A415" s="249"/>
      <c r="B415" s="249"/>
      <c r="C415" s="249"/>
      <c r="D415" s="249"/>
      <c r="E415" s="249"/>
      <c r="F415" s="249"/>
      <c r="G415" s="249"/>
      <c r="H415" s="249"/>
      <c r="I415" s="249"/>
      <c r="J415" s="249"/>
      <c r="K415" s="249"/>
      <c r="L415" s="249"/>
      <c r="M415" s="249"/>
      <c r="N415" s="249"/>
      <c r="O415" s="249"/>
      <c r="P415" s="249"/>
      <c r="Q415" s="249"/>
      <c r="R415" s="249"/>
      <c r="S415" s="249"/>
      <c r="T415" s="249"/>
      <c r="U415" s="249"/>
      <c r="V415" s="249"/>
      <c r="W415" s="249"/>
      <c r="X415" s="249"/>
      <c r="Y415" s="249"/>
      <c r="Z415" s="249"/>
      <c r="AA415" s="249"/>
    </row>
    <row r="416">
      <c r="A416" s="249"/>
      <c r="B416" s="249"/>
      <c r="C416" s="249"/>
      <c r="D416" s="249"/>
      <c r="E416" s="249"/>
      <c r="F416" s="249"/>
      <c r="G416" s="249"/>
      <c r="H416" s="249"/>
      <c r="I416" s="249"/>
      <c r="J416" s="249"/>
      <c r="K416" s="249"/>
      <c r="L416" s="249"/>
      <c r="M416" s="249"/>
      <c r="N416" s="249"/>
      <c r="O416" s="249"/>
      <c r="P416" s="249"/>
      <c r="Q416" s="249"/>
      <c r="R416" s="249"/>
      <c r="S416" s="249"/>
      <c r="T416" s="249"/>
      <c r="U416" s="249"/>
      <c r="V416" s="249"/>
      <c r="W416" s="249"/>
      <c r="X416" s="249"/>
      <c r="Y416" s="249"/>
      <c r="Z416" s="249"/>
      <c r="AA416" s="249"/>
    </row>
    <row r="417">
      <c r="A417" s="249"/>
      <c r="B417" s="249"/>
      <c r="C417" s="249"/>
      <c r="D417" s="249"/>
      <c r="E417" s="249"/>
      <c r="F417" s="249"/>
      <c r="G417" s="249"/>
      <c r="H417" s="249"/>
      <c r="I417" s="249"/>
      <c r="J417" s="249"/>
      <c r="K417" s="249"/>
      <c r="L417" s="249"/>
      <c r="M417" s="249"/>
      <c r="N417" s="249"/>
      <c r="O417" s="249"/>
      <c r="P417" s="249"/>
      <c r="Q417" s="249"/>
      <c r="R417" s="249"/>
      <c r="S417" s="249"/>
      <c r="T417" s="249"/>
      <c r="U417" s="249"/>
      <c r="V417" s="249"/>
      <c r="W417" s="249"/>
      <c r="X417" s="249"/>
      <c r="Y417" s="249"/>
      <c r="Z417" s="249"/>
      <c r="AA417" s="249"/>
    </row>
    <row r="418">
      <c r="A418" s="249"/>
      <c r="B418" s="249"/>
      <c r="C418" s="249"/>
      <c r="D418" s="249"/>
      <c r="E418" s="249"/>
      <c r="F418" s="249"/>
      <c r="G418" s="249"/>
      <c r="H418" s="249"/>
      <c r="I418" s="249"/>
      <c r="J418" s="249"/>
      <c r="K418" s="249"/>
      <c r="L418" s="249"/>
      <c r="M418" s="249"/>
      <c r="N418" s="249"/>
      <c r="O418" s="249"/>
      <c r="P418" s="249"/>
      <c r="Q418" s="249"/>
      <c r="R418" s="249"/>
      <c r="S418" s="249"/>
      <c r="T418" s="249"/>
      <c r="U418" s="249"/>
      <c r="V418" s="249"/>
      <c r="W418" s="249"/>
      <c r="X418" s="249"/>
      <c r="Y418" s="249"/>
      <c r="Z418" s="249"/>
      <c r="AA418" s="249"/>
    </row>
    <row r="419">
      <c r="A419" s="249"/>
      <c r="B419" s="249"/>
      <c r="C419" s="249"/>
      <c r="D419" s="249"/>
      <c r="E419" s="249"/>
      <c r="F419" s="249"/>
      <c r="G419" s="249"/>
      <c r="H419" s="249"/>
      <c r="I419" s="249"/>
      <c r="J419" s="249"/>
      <c r="K419" s="249"/>
      <c r="L419" s="249"/>
      <c r="M419" s="249"/>
      <c r="N419" s="249"/>
      <c r="O419" s="249"/>
      <c r="P419" s="249"/>
      <c r="Q419" s="249"/>
      <c r="R419" s="249"/>
      <c r="S419" s="249"/>
      <c r="T419" s="249"/>
      <c r="U419" s="249"/>
      <c r="V419" s="249"/>
      <c r="W419" s="249"/>
      <c r="X419" s="249"/>
      <c r="Y419" s="249"/>
      <c r="Z419" s="249"/>
      <c r="AA419" s="249"/>
    </row>
    <row r="420">
      <c r="A420" s="249"/>
      <c r="B420" s="249"/>
      <c r="C420" s="249"/>
      <c r="D420" s="249"/>
      <c r="E420" s="249"/>
      <c r="F420" s="249"/>
      <c r="G420" s="249"/>
      <c r="H420" s="249"/>
      <c r="I420" s="249"/>
      <c r="J420" s="249"/>
      <c r="K420" s="249"/>
      <c r="L420" s="249"/>
      <c r="M420" s="249"/>
      <c r="N420" s="249"/>
      <c r="O420" s="249"/>
      <c r="P420" s="249"/>
      <c r="Q420" s="249"/>
      <c r="R420" s="249"/>
      <c r="S420" s="249"/>
      <c r="T420" s="249"/>
      <c r="U420" s="249"/>
      <c r="V420" s="249"/>
      <c r="W420" s="249"/>
      <c r="X420" s="249"/>
      <c r="Y420" s="249"/>
      <c r="Z420" s="249"/>
      <c r="AA420" s="249"/>
    </row>
    <row r="421">
      <c r="A421" s="249"/>
      <c r="B421" s="249"/>
      <c r="C421" s="249"/>
      <c r="D421" s="249"/>
      <c r="E421" s="249"/>
      <c r="F421" s="249"/>
      <c r="G421" s="249"/>
      <c r="H421" s="249"/>
      <c r="I421" s="249"/>
      <c r="J421" s="249"/>
      <c r="K421" s="249"/>
      <c r="L421" s="249"/>
      <c r="M421" s="249"/>
      <c r="N421" s="249"/>
      <c r="O421" s="249"/>
      <c r="P421" s="249"/>
      <c r="Q421" s="249"/>
      <c r="R421" s="249"/>
      <c r="S421" s="249"/>
      <c r="T421" s="249"/>
      <c r="U421" s="249"/>
      <c r="V421" s="249"/>
      <c r="W421" s="249"/>
      <c r="X421" s="249"/>
      <c r="Y421" s="249"/>
      <c r="Z421" s="249"/>
      <c r="AA421" s="249"/>
    </row>
    <row r="422">
      <c r="A422" s="249"/>
      <c r="B422" s="249"/>
      <c r="C422" s="249"/>
      <c r="D422" s="249"/>
      <c r="E422" s="249"/>
      <c r="F422" s="249"/>
      <c r="G422" s="249"/>
      <c r="H422" s="249"/>
      <c r="I422" s="249"/>
      <c r="J422" s="249"/>
      <c r="K422" s="249"/>
      <c r="L422" s="249"/>
      <c r="M422" s="249"/>
      <c r="N422" s="249"/>
      <c r="O422" s="249"/>
      <c r="P422" s="249"/>
      <c r="Q422" s="249"/>
      <c r="R422" s="249"/>
      <c r="S422" s="249"/>
      <c r="T422" s="249"/>
      <c r="U422" s="249"/>
      <c r="V422" s="249"/>
      <c r="W422" s="249"/>
      <c r="X422" s="249"/>
      <c r="Y422" s="249"/>
      <c r="Z422" s="249"/>
      <c r="AA422" s="249"/>
    </row>
    <row r="423">
      <c r="A423" s="249"/>
      <c r="B423" s="249"/>
      <c r="C423" s="249"/>
      <c r="D423" s="249"/>
      <c r="E423" s="249"/>
      <c r="F423" s="249"/>
      <c r="G423" s="249"/>
      <c r="H423" s="249"/>
      <c r="I423" s="249"/>
      <c r="J423" s="249"/>
      <c r="K423" s="249"/>
      <c r="L423" s="249"/>
      <c r="M423" s="249"/>
      <c r="N423" s="249"/>
      <c r="O423" s="249"/>
      <c r="P423" s="249"/>
      <c r="Q423" s="249"/>
      <c r="R423" s="249"/>
      <c r="S423" s="249"/>
      <c r="T423" s="249"/>
      <c r="U423" s="249"/>
      <c r="V423" s="249"/>
      <c r="W423" s="249"/>
      <c r="X423" s="249"/>
      <c r="Y423" s="249"/>
      <c r="Z423" s="249"/>
      <c r="AA423" s="249"/>
    </row>
    <row r="424">
      <c r="A424" s="249"/>
      <c r="B424" s="249"/>
      <c r="C424" s="249"/>
      <c r="D424" s="249"/>
      <c r="E424" s="249"/>
      <c r="F424" s="249"/>
      <c r="G424" s="249"/>
      <c r="H424" s="249"/>
      <c r="I424" s="249"/>
      <c r="J424" s="249"/>
      <c r="K424" s="249"/>
      <c r="L424" s="249"/>
      <c r="M424" s="249"/>
      <c r="N424" s="249"/>
      <c r="O424" s="249"/>
      <c r="P424" s="249"/>
      <c r="Q424" s="249"/>
      <c r="R424" s="249"/>
      <c r="S424" s="249"/>
      <c r="T424" s="249"/>
      <c r="U424" s="249"/>
      <c r="V424" s="249"/>
      <c r="W424" s="249"/>
      <c r="X424" s="249"/>
      <c r="Y424" s="249"/>
      <c r="Z424" s="249"/>
      <c r="AA424" s="249"/>
    </row>
    <row r="425">
      <c r="A425" s="249"/>
      <c r="B425" s="249"/>
      <c r="C425" s="249"/>
      <c r="D425" s="249"/>
      <c r="E425" s="249"/>
      <c r="F425" s="249"/>
      <c r="G425" s="249"/>
      <c r="H425" s="249"/>
      <c r="I425" s="249"/>
      <c r="J425" s="249"/>
      <c r="K425" s="249"/>
      <c r="L425" s="249"/>
      <c r="M425" s="249"/>
      <c r="N425" s="249"/>
      <c r="O425" s="249"/>
      <c r="P425" s="249"/>
      <c r="Q425" s="249"/>
      <c r="R425" s="249"/>
      <c r="S425" s="249"/>
      <c r="T425" s="249"/>
      <c r="U425" s="249"/>
      <c r="V425" s="249"/>
      <c r="W425" s="249"/>
      <c r="X425" s="249"/>
      <c r="Y425" s="249"/>
      <c r="Z425" s="249"/>
      <c r="AA425" s="249"/>
    </row>
    <row r="426">
      <c r="A426" s="249"/>
      <c r="B426" s="249"/>
      <c r="C426" s="249"/>
      <c r="D426" s="249"/>
      <c r="E426" s="249"/>
      <c r="F426" s="249"/>
      <c r="G426" s="249"/>
      <c r="H426" s="249"/>
      <c r="I426" s="249"/>
      <c r="J426" s="249"/>
      <c r="K426" s="249"/>
      <c r="L426" s="249"/>
      <c r="M426" s="249"/>
      <c r="N426" s="249"/>
      <c r="O426" s="249"/>
      <c r="P426" s="249"/>
      <c r="Q426" s="249"/>
      <c r="R426" s="249"/>
      <c r="S426" s="249"/>
      <c r="T426" s="249"/>
      <c r="U426" s="249"/>
      <c r="V426" s="249"/>
      <c r="W426" s="249"/>
      <c r="X426" s="249"/>
      <c r="Y426" s="249"/>
      <c r="Z426" s="249"/>
      <c r="AA426" s="249"/>
    </row>
    <row r="427">
      <c r="A427" s="249"/>
      <c r="B427" s="249"/>
      <c r="C427" s="249"/>
      <c r="D427" s="249"/>
      <c r="E427" s="249"/>
      <c r="F427" s="249"/>
      <c r="G427" s="249"/>
      <c r="H427" s="249"/>
      <c r="I427" s="249"/>
      <c r="J427" s="249"/>
      <c r="K427" s="249"/>
      <c r="L427" s="249"/>
      <c r="M427" s="249"/>
      <c r="N427" s="249"/>
      <c r="O427" s="249"/>
      <c r="P427" s="249"/>
      <c r="Q427" s="249"/>
      <c r="R427" s="249"/>
      <c r="S427" s="249"/>
      <c r="T427" s="249"/>
      <c r="U427" s="249"/>
      <c r="V427" s="249"/>
      <c r="W427" s="249"/>
      <c r="X427" s="249"/>
      <c r="Y427" s="249"/>
      <c r="Z427" s="249"/>
      <c r="AA427" s="249"/>
    </row>
    <row r="428">
      <c r="A428" s="249"/>
      <c r="B428" s="249"/>
      <c r="C428" s="249"/>
      <c r="D428" s="249"/>
      <c r="E428" s="249"/>
      <c r="F428" s="249"/>
      <c r="G428" s="249"/>
      <c r="H428" s="249"/>
      <c r="I428" s="249"/>
      <c r="J428" s="249"/>
      <c r="K428" s="249"/>
      <c r="L428" s="249"/>
      <c r="M428" s="249"/>
      <c r="N428" s="249"/>
      <c r="O428" s="249"/>
      <c r="P428" s="249"/>
      <c r="Q428" s="249"/>
      <c r="R428" s="249"/>
      <c r="S428" s="249"/>
      <c r="T428" s="249"/>
      <c r="U428" s="249"/>
      <c r="V428" s="249"/>
      <c r="W428" s="249"/>
      <c r="X428" s="249"/>
      <c r="Y428" s="249"/>
      <c r="Z428" s="249"/>
      <c r="AA428" s="249"/>
    </row>
    <row r="429">
      <c r="A429" s="249"/>
      <c r="B429" s="249"/>
      <c r="C429" s="249"/>
      <c r="D429" s="249"/>
      <c r="E429" s="249"/>
      <c r="F429" s="249"/>
      <c r="G429" s="249"/>
      <c r="H429" s="249"/>
      <c r="I429" s="249"/>
      <c r="J429" s="249"/>
      <c r="K429" s="249"/>
      <c r="L429" s="249"/>
      <c r="M429" s="249"/>
      <c r="N429" s="249"/>
      <c r="O429" s="249"/>
      <c r="P429" s="249"/>
      <c r="Q429" s="249"/>
      <c r="R429" s="249"/>
      <c r="S429" s="249"/>
      <c r="T429" s="249"/>
      <c r="U429" s="249"/>
      <c r="V429" s="249"/>
      <c r="W429" s="249"/>
      <c r="X429" s="249"/>
      <c r="Y429" s="249"/>
      <c r="Z429" s="249"/>
      <c r="AA429" s="249"/>
    </row>
    <row r="430">
      <c r="A430" s="249"/>
      <c r="B430" s="249"/>
      <c r="C430" s="249"/>
      <c r="D430" s="249"/>
      <c r="E430" s="249"/>
      <c r="F430" s="249"/>
      <c r="G430" s="249"/>
      <c r="H430" s="249"/>
      <c r="I430" s="249"/>
      <c r="J430" s="249"/>
      <c r="K430" s="249"/>
      <c r="L430" s="249"/>
      <c r="M430" s="249"/>
      <c r="N430" s="249"/>
      <c r="O430" s="249"/>
      <c r="P430" s="249"/>
      <c r="Q430" s="249"/>
      <c r="R430" s="249"/>
      <c r="S430" s="249"/>
      <c r="T430" s="249"/>
      <c r="U430" s="249"/>
      <c r="V430" s="249"/>
      <c r="W430" s="249"/>
      <c r="X430" s="249"/>
      <c r="Y430" s="249"/>
      <c r="Z430" s="249"/>
      <c r="AA430" s="249"/>
    </row>
    <row r="431">
      <c r="A431" s="249"/>
      <c r="B431" s="249"/>
      <c r="C431" s="249"/>
      <c r="D431" s="249"/>
      <c r="E431" s="249"/>
      <c r="F431" s="249"/>
      <c r="G431" s="249"/>
      <c r="H431" s="249"/>
      <c r="I431" s="249"/>
      <c r="J431" s="249"/>
      <c r="K431" s="249"/>
      <c r="L431" s="249"/>
      <c r="M431" s="249"/>
      <c r="N431" s="249"/>
      <c r="O431" s="249"/>
      <c r="P431" s="249"/>
      <c r="Q431" s="249"/>
      <c r="R431" s="249"/>
      <c r="S431" s="249"/>
      <c r="T431" s="249"/>
      <c r="U431" s="249"/>
      <c r="V431" s="249"/>
      <c r="W431" s="249"/>
      <c r="X431" s="249"/>
      <c r="Y431" s="249"/>
      <c r="Z431" s="249"/>
      <c r="AA431" s="249"/>
    </row>
    <row r="432">
      <c r="A432" s="249"/>
      <c r="B432" s="249"/>
      <c r="C432" s="249"/>
      <c r="D432" s="249"/>
      <c r="E432" s="249"/>
      <c r="F432" s="249"/>
      <c r="G432" s="249"/>
      <c r="H432" s="249"/>
      <c r="I432" s="249"/>
      <c r="J432" s="249"/>
      <c r="K432" s="249"/>
      <c r="L432" s="249"/>
      <c r="M432" s="249"/>
      <c r="N432" s="249"/>
      <c r="O432" s="249"/>
      <c r="P432" s="249"/>
      <c r="Q432" s="249"/>
      <c r="R432" s="249"/>
      <c r="S432" s="249"/>
      <c r="T432" s="249"/>
      <c r="U432" s="249"/>
      <c r="V432" s="249"/>
      <c r="W432" s="249"/>
      <c r="X432" s="249"/>
      <c r="Y432" s="249"/>
      <c r="Z432" s="249"/>
      <c r="AA432" s="249"/>
    </row>
    <row r="433">
      <c r="A433" s="249"/>
      <c r="B433" s="249"/>
      <c r="C433" s="249"/>
      <c r="D433" s="249"/>
      <c r="E433" s="249"/>
      <c r="F433" s="249"/>
      <c r="G433" s="249"/>
      <c r="H433" s="249"/>
      <c r="I433" s="249"/>
      <c r="J433" s="249"/>
      <c r="K433" s="249"/>
      <c r="L433" s="249"/>
      <c r="M433" s="249"/>
      <c r="N433" s="249"/>
      <c r="O433" s="249"/>
      <c r="P433" s="249"/>
      <c r="Q433" s="249"/>
      <c r="R433" s="249"/>
      <c r="S433" s="249"/>
      <c r="T433" s="249"/>
      <c r="U433" s="249"/>
      <c r="V433" s="249"/>
      <c r="W433" s="249"/>
      <c r="X433" s="249"/>
      <c r="Y433" s="249"/>
      <c r="Z433" s="249"/>
      <c r="AA433" s="249"/>
    </row>
    <row r="434">
      <c r="A434" s="249"/>
      <c r="B434" s="249"/>
      <c r="C434" s="249"/>
      <c r="D434" s="249"/>
      <c r="E434" s="249"/>
      <c r="F434" s="249"/>
      <c r="G434" s="249"/>
      <c r="H434" s="249"/>
      <c r="I434" s="249"/>
      <c r="J434" s="249"/>
      <c r="K434" s="249"/>
      <c r="L434" s="249"/>
      <c r="M434" s="249"/>
      <c r="N434" s="249"/>
      <c r="O434" s="249"/>
      <c r="P434" s="249"/>
      <c r="Q434" s="249"/>
      <c r="R434" s="249"/>
      <c r="S434" s="249"/>
      <c r="T434" s="249"/>
      <c r="U434" s="249"/>
      <c r="V434" s="249"/>
      <c r="W434" s="249"/>
      <c r="X434" s="249"/>
      <c r="Y434" s="249"/>
      <c r="Z434" s="249"/>
      <c r="AA434" s="249"/>
    </row>
    <row r="435">
      <c r="A435" s="249"/>
      <c r="B435" s="249"/>
      <c r="C435" s="249"/>
      <c r="D435" s="249"/>
      <c r="E435" s="249"/>
      <c r="F435" s="249"/>
      <c r="G435" s="249"/>
      <c r="H435" s="249"/>
      <c r="I435" s="249"/>
      <c r="J435" s="249"/>
      <c r="K435" s="249"/>
      <c r="L435" s="249"/>
      <c r="M435" s="249"/>
      <c r="N435" s="249"/>
      <c r="O435" s="249"/>
      <c r="P435" s="249"/>
      <c r="Q435" s="249"/>
      <c r="R435" s="249"/>
      <c r="S435" s="249"/>
      <c r="T435" s="249"/>
      <c r="U435" s="249"/>
      <c r="V435" s="249"/>
      <c r="W435" s="249"/>
      <c r="X435" s="249"/>
      <c r="Y435" s="249"/>
      <c r="Z435" s="249"/>
      <c r="AA435" s="249"/>
    </row>
    <row r="436">
      <c r="A436" s="249"/>
      <c r="B436" s="249"/>
      <c r="C436" s="249"/>
      <c r="D436" s="249"/>
      <c r="E436" s="249"/>
      <c r="F436" s="249"/>
      <c r="G436" s="249"/>
      <c r="H436" s="249"/>
      <c r="I436" s="249"/>
      <c r="J436" s="249"/>
      <c r="K436" s="249"/>
      <c r="L436" s="249"/>
      <c r="M436" s="249"/>
      <c r="N436" s="249"/>
      <c r="O436" s="249"/>
      <c r="P436" s="249"/>
      <c r="Q436" s="249"/>
      <c r="R436" s="249"/>
      <c r="S436" s="249"/>
      <c r="T436" s="249"/>
      <c r="U436" s="249"/>
      <c r="V436" s="249"/>
      <c r="W436" s="249"/>
      <c r="X436" s="249"/>
      <c r="Y436" s="249"/>
      <c r="Z436" s="249"/>
      <c r="AA436" s="249"/>
    </row>
    <row r="437">
      <c r="A437" s="249"/>
      <c r="B437" s="249"/>
      <c r="C437" s="249"/>
      <c r="D437" s="249"/>
      <c r="E437" s="249"/>
      <c r="F437" s="249"/>
      <c r="G437" s="249"/>
      <c r="H437" s="249"/>
      <c r="I437" s="249"/>
      <c r="J437" s="249"/>
      <c r="K437" s="249"/>
      <c r="L437" s="249"/>
      <c r="M437" s="249"/>
      <c r="N437" s="249"/>
      <c r="O437" s="249"/>
      <c r="P437" s="249"/>
      <c r="Q437" s="249"/>
      <c r="R437" s="249"/>
      <c r="S437" s="249"/>
      <c r="T437" s="249"/>
      <c r="U437" s="249"/>
      <c r="V437" s="249"/>
      <c r="W437" s="249"/>
      <c r="X437" s="249"/>
      <c r="Y437" s="249"/>
      <c r="Z437" s="249"/>
      <c r="AA437" s="249"/>
    </row>
    <row r="438">
      <c r="A438" s="249"/>
      <c r="B438" s="249"/>
      <c r="C438" s="249"/>
      <c r="D438" s="249"/>
      <c r="E438" s="249"/>
      <c r="F438" s="249"/>
      <c r="G438" s="249"/>
      <c r="H438" s="249"/>
      <c r="I438" s="249"/>
      <c r="J438" s="249"/>
      <c r="K438" s="249"/>
      <c r="L438" s="249"/>
      <c r="M438" s="249"/>
      <c r="N438" s="249"/>
      <c r="O438" s="249"/>
      <c r="P438" s="249"/>
      <c r="Q438" s="249"/>
      <c r="R438" s="249"/>
      <c r="S438" s="249"/>
      <c r="T438" s="249"/>
      <c r="U438" s="249"/>
      <c r="V438" s="249"/>
      <c r="W438" s="249"/>
      <c r="X438" s="249"/>
      <c r="Y438" s="249"/>
      <c r="Z438" s="249"/>
      <c r="AA438" s="249"/>
    </row>
    <row r="439">
      <c r="A439" s="249"/>
      <c r="B439" s="249"/>
      <c r="C439" s="249"/>
      <c r="D439" s="249"/>
      <c r="E439" s="249"/>
      <c r="F439" s="249"/>
      <c r="G439" s="249"/>
      <c r="H439" s="249"/>
      <c r="I439" s="249"/>
      <c r="J439" s="249"/>
      <c r="K439" s="249"/>
      <c r="L439" s="249"/>
      <c r="M439" s="249"/>
      <c r="N439" s="249"/>
      <c r="O439" s="249"/>
      <c r="P439" s="249"/>
      <c r="Q439" s="249"/>
      <c r="R439" s="249"/>
      <c r="S439" s="249"/>
      <c r="T439" s="249"/>
      <c r="U439" s="249"/>
      <c r="V439" s="249"/>
      <c r="W439" s="249"/>
      <c r="X439" s="249"/>
      <c r="Y439" s="249"/>
      <c r="Z439" s="249"/>
      <c r="AA439" s="249"/>
    </row>
    <row r="440">
      <c r="A440" s="249"/>
      <c r="B440" s="249"/>
      <c r="C440" s="249"/>
      <c r="D440" s="249"/>
      <c r="E440" s="249"/>
      <c r="F440" s="249"/>
      <c r="G440" s="249"/>
      <c r="H440" s="249"/>
      <c r="I440" s="249"/>
      <c r="J440" s="249"/>
      <c r="K440" s="249"/>
      <c r="L440" s="249"/>
      <c r="M440" s="249"/>
      <c r="N440" s="249"/>
      <c r="O440" s="249"/>
      <c r="P440" s="249"/>
      <c r="Q440" s="249"/>
      <c r="R440" s="249"/>
      <c r="S440" s="249"/>
      <c r="T440" s="249"/>
      <c r="U440" s="249"/>
      <c r="V440" s="249"/>
      <c r="W440" s="249"/>
      <c r="X440" s="249"/>
      <c r="Y440" s="249"/>
      <c r="Z440" s="249"/>
      <c r="AA440" s="249"/>
    </row>
    <row r="441">
      <c r="A441" s="249"/>
      <c r="B441" s="249"/>
      <c r="C441" s="249"/>
      <c r="D441" s="249"/>
      <c r="E441" s="249"/>
      <c r="F441" s="249"/>
      <c r="G441" s="249"/>
      <c r="H441" s="249"/>
      <c r="I441" s="249"/>
      <c r="J441" s="249"/>
      <c r="K441" s="249"/>
      <c r="L441" s="249"/>
      <c r="M441" s="249"/>
      <c r="N441" s="249"/>
      <c r="O441" s="249"/>
      <c r="P441" s="249"/>
      <c r="Q441" s="249"/>
      <c r="R441" s="249"/>
      <c r="S441" s="249"/>
      <c r="T441" s="249"/>
      <c r="U441" s="249"/>
      <c r="V441" s="249"/>
      <c r="W441" s="249"/>
      <c r="X441" s="249"/>
      <c r="Y441" s="249"/>
      <c r="Z441" s="249"/>
      <c r="AA441" s="249"/>
    </row>
    <row r="442">
      <c r="A442" s="249"/>
      <c r="B442" s="249"/>
      <c r="C442" s="249"/>
      <c r="D442" s="249"/>
      <c r="E442" s="249"/>
      <c r="F442" s="249"/>
      <c r="G442" s="249"/>
      <c r="H442" s="249"/>
      <c r="I442" s="249"/>
      <c r="J442" s="249"/>
      <c r="K442" s="249"/>
      <c r="L442" s="249"/>
      <c r="M442" s="249"/>
      <c r="N442" s="249"/>
      <c r="O442" s="249"/>
      <c r="P442" s="249"/>
      <c r="Q442" s="249"/>
      <c r="R442" s="249"/>
      <c r="S442" s="249"/>
      <c r="T442" s="249"/>
      <c r="U442" s="249"/>
      <c r="V442" s="249"/>
      <c r="W442" s="249"/>
      <c r="X442" s="249"/>
      <c r="Y442" s="249"/>
      <c r="Z442" s="249"/>
      <c r="AA442" s="249"/>
    </row>
    <row r="443">
      <c r="A443" s="249"/>
      <c r="B443" s="249"/>
      <c r="C443" s="249"/>
      <c r="D443" s="249"/>
      <c r="E443" s="249"/>
      <c r="F443" s="249"/>
      <c r="G443" s="249"/>
      <c r="H443" s="249"/>
      <c r="I443" s="249"/>
      <c r="J443" s="249"/>
      <c r="K443" s="249"/>
      <c r="L443" s="249"/>
      <c r="M443" s="249"/>
      <c r="N443" s="249"/>
      <c r="O443" s="249"/>
      <c r="P443" s="249"/>
      <c r="Q443" s="249"/>
      <c r="R443" s="249"/>
      <c r="S443" s="249"/>
      <c r="T443" s="249"/>
      <c r="U443" s="249"/>
      <c r="V443" s="249"/>
      <c r="W443" s="249"/>
      <c r="X443" s="249"/>
      <c r="Y443" s="249"/>
      <c r="Z443" s="249"/>
      <c r="AA443" s="249"/>
    </row>
    <row r="444">
      <c r="A444" s="249"/>
      <c r="B444" s="249"/>
      <c r="C444" s="249"/>
      <c r="D444" s="249"/>
      <c r="E444" s="249"/>
      <c r="F444" s="249"/>
      <c r="G444" s="249"/>
      <c r="H444" s="249"/>
      <c r="I444" s="249"/>
      <c r="J444" s="249"/>
      <c r="K444" s="249"/>
      <c r="L444" s="249"/>
      <c r="M444" s="249"/>
      <c r="N444" s="249"/>
      <c r="O444" s="249"/>
      <c r="P444" s="249"/>
      <c r="Q444" s="249"/>
      <c r="R444" s="249"/>
      <c r="S444" s="249"/>
      <c r="T444" s="249"/>
      <c r="U444" s="249"/>
      <c r="V444" s="249"/>
      <c r="W444" s="249"/>
      <c r="X444" s="249"/>
      <c r="Y444" s="249"/>
      <c r="Z444" s="249"/>
      <c r="AA444" s="249"/>
    </row>
    <row r="445">
      <c r="A445" s="249"/>
      <c r="B445" s="249"/>
      <c r="C445" s="249"/>
      <c r="D445" s="249"/>
      <c r="E445" s="249"/>
      <c r="F445" s="249"/>
      <c r="G445" s="249"/>
      <c r="H445" s="249"/>
      <c r="I445" s="249"/>
      <c r="J445" s="249"/>
      <c r="K445" s="249"/>
      <c r="L445" s="249"/>
      <c r="M445" s="249"/>
      <c r="N445" s="249"/>
      <c r="O445" s="249"/>
      <c r="P445" s="249"/>
      <c r="Q445" s="249"/>
      <c r="R445" s="249"/>
      <c r="S445" s="249"/>
      <c r="T445" s="249"/>
      <c r="U445" s="249"/>
      <c r="V445" s="249"/>
      <c r="W445" s="249"/>
      <c r="X445" s="249"/>
      <c r="Y445" s="249"/>
      <c r="Z445" s="249"/>
      <c r="AA445" s="249"/>
    </row>
    <row r="446">
      <c r="A446" s="249"/>
      <c r="B446" s="249"/>
      <c r="C446" s="249"/>
      <c r="D446" s="249"/>
      <c r="E446" s="249"/>
      <c r="F446" s="249"/>
      <c r="G446" s="249"/>
      <c r="H446" s="249"/>
      <c r="I446" s="249"/>
      <c r="J446" s="249"/>
      <c r="K446" s="249"/>
      <c r="L446" s="249"/>
      <c r="M446" s="249"/>
      <c r="N446" s="249"/>
      <c r="O446" s="249"/>
      <c r="P446" s="249"/>
      <c r="Q446" s="249"/>
      <c r="R446" s="249"/>
      <c r="S446" s="249"/>
      <c r="T446" s="249"/>
      <c r="U446" s="249"/>
      <c r="V446" s="249"/>
      <c r="W446" s="249"/>
      <c r="X446" s="249"/>
      <c r="Y446" s="249"/>
      <c r="Z446" s="249"/>
      <c r="AA446" s="249"/>
    </row>
    <row r="447">
      <c r="A447" s="249"/>
      <c r="B447" s="249"/>
      <c r="C447" s="249"/>
      <c r="D447" s="249"/>
      <c r="E447" s="249"/>
      <c r="F447" s="249"/>
      <c r="G447" s="249"/>
      <c r="H447" s="249"/>
      <c r="I447" s="249"/>
      <c r="J447" s="249"/>
      <c r="K447" s="249"/>
      <c r="L447" s="249"/>
      <c r="M447" s="249"/>
      <c r="N447" s="249"/>
      <c r="O447" s="249"/>
      <c r="P447" s="249"/>
      <c r="Q447" s="249"/>
      <c r="R447" s="249"/>
      <c r="S447" s="249"/>
      <c r="T447" s="249"/>
      <c r="U447" s="249"/>
      <c r="V447" s="249"/>
      <c r="W447" s="249"/>
      <c r="X447" s="249"/>
      <c r="Y447" s="249"/>
      <c r="Z447" s="249"/>
      <c r="AA447" s="249"/>
    </row>
    <row r="448">
      <c r="A448" s="249"/>
      <c r="B448" s="249"/>
      <c r="C448" s="249"/>
      <c r="D448" s="249"/>
      <c r="E448" s="249"/>
      <c r="F448" s="249"/>
      <c r="G448" s="249"/>
      <c r="H448" s="249"/>
      <c r="I448" s="249"/>
      <c r="J448" s="249"/>
      <c r="K448" s="249"/>
      <c r="L448" s="249"/>
      <c r="M448" s="249"/>
      <c r="N448" s="249"/>
      <c r="O448" s="249"/>
      <c r="P448" s="249"/>
      <c r="Q448" s="249"/>
      <c r="R448" s="249"/>
      <c r="S448" s="249"/>
      <c r="T448" s="249"/>
      <c r="U448" s="249"/>
      <c r="V448" s="249"/>
      <c r="W448" s="249"/>
      <c r="X448" s="249"/>
      <c r="Y448" s="249"/>
      <c r="Z448" s="249"/>
      <c r="AA448" s="249"/>
    </row>
    <row r="449">
      <c r="A449" s="249"/>
      <c r="B449" s="249"/>
      <c r="C449" s="249"/>
      <c r="D449" s="249"/>
      <c r="E449" s="249"/>
      <c r="F449" s="249"/>
      <c r="G449" s="249"/>
      <c r="H449" s="249"/>
      <c r="I449" s="249"/>
      <c r="J449" s="249"/>
      <c r="K449" s="249"/>
      <c r="L449" s="249"/>
      <c r="M449" s="249"/>
      <c r="N449" s="249"/>
      <c r="O449" s="249"/>
      <c r="P449" s="249"/>
      <c r="Q449" s="249"/>
      <c r="R449" s="249"/>
      <c r="S449" s="249"/>
      <c r="T449" s="249"/>
      <c r="U449" s="249"/>
      <c r="V449" s="249"/>
      <c r="W449" s="249"/>
      <c r="X449" s="249"/>
      <c r="Y449" s="249"/>
      <c r="Z449" s="249"/>
      <c r="AA449" s="249"/>
    </row>
    <row r="450">
      <c r="A450" s="249"/>
      <c r="B450" s="249"/>
      <c r="C450" s="249"/>
      <c r="D450" s="249"/>
      <c r="E450" s="249"/>
      <c r="F450" s="249"/>
      <c r="G450" s="249"/>
      <c r="H450" s="249"/>
      <c r="I450" s="249"/>
      <c r="J450" s="249"/>
      <c r="K450" s="249"/>
      <c r="L450" s="249"/>
      <c r="M450" s="249"/>
      <c r="N450" s="249"/>
      <c r="O450" s="249"/>
      <c r="P450" s="249"/>
      <c r="Q450" s="249"/>
      <c r="R450" s="249"/>
      <c r="S450" s="249"/>
      <c r="T450" s="249"/>
      <c r="U450" s="249"/>
      <c r="V450" s="249"/>
      <c r="W450" s="249"/>
      <c r="X450" s="249"/>
      <c r="Y450" s="249"/>
      <c r="Z450" s="249"/>
      <c r="AA450" s="249"/>
    </row>
    <row r="451">
      <c r="A451" s="249"/>
      <c r="B451" s="249"/>
      <c r="C451" s="249"/>
      <c r="D451" s="249"/>
      <c r="E451" s="249"/>
      <c r="F451" s="249"/>
      <c r="G451" s="249"/>
      <c r="H451" s="249"/>
      <c r="I451" s="249"/>
      <c r="J451" s="249"/>
      <c r="K451" s="249"/>
      <c r="L451" s="249"/>
      <c r="M451" s="249"/>
      <c r="N451" s="249"/>
      <c r="O451" s="249"/>
      <c r="P451" s="249"/>
      <c r="Q451" s="249"/>
      <c r="R451" s="249"/>
      <c r="S451" s="249"/>
      <c r="T451" s="249"/>
      <c r="U451" s="249"/>
      <c r="V451" s="249"/>
      <c r="W451" s="249"/>
      <c r="X451" s="249"/>
      <c r="Y451" s="249"/>
      <c r="Z451" s="249"/>
      <c r="AA451" s="249"/>
    </row>
    <row r="452">
      <c r="A452" s="249"/>
      <c r="B452" s="249"/>
      <c r="C452" s="249"/>
      <c r="D452" s="249"/>
      <c r="E452" s="249"/>
      <c r="F452" s="249"/>
      <c r="G452" s="249"/>
      <c r="H452" s="249"/>
      <c r="I452" s="249"/>
      <c r="J452" s="249"/>
      <c r="K452" s="249"/>
      <c r="L452" s="249"/>
      <c r="M452" s="249"/>
      <c r="N452" s="249"/>
      <c r="O452" s="249"/>
      <c r="P452" s="249"/>
      <c r="Q452" s="249"/>
      <c r="R452" s="249"/>
      <c r="S452" s="249"/>
      <c r="T452" s="249"/>
      <c r="U452" s="249"/>
      <c r="V452" s="249"/>
      <c r="W452" s="249"/>
      <c r="X452" s="249"/>
      <c r="Y452" s="249"/>
      <c r="Z452" s="249"/>
      <c r="AA452" s="249"/>
    </row>
    <row r="453">
      <c r="A453" s="249"/>
      <c r="B453" s="249"/>
      <c r="C453" s="249"/>
      <c r="D453" s="249"/>
      <c r="E453" s="249"/>
      <c r="F453" s="249"/>
      <c r="G453" s="249"/>
      <c r="H453" s="249"/>
      <c r="I453" s="249"/>
      <c r="J453" s="249"/>
      <c r="K453" s="249"/>
      <c r="L453" s="249"/>
      <c r="M453" s="249"/>
      <c r="N453" s="249"/>
      <c r="O453" s="249"/>
      <c r="P453" s="249"/>
      <c r="Q453" s="249"/>
      <c r="R453" s="249"/>
      <c r="S453" s="249"/>
      <c r="T453" s="249"/>
      <c r="U453" s="249"/>
      <c r="V453" s="249"/>
      <c r="W453" s="249"/>
      <c r="X453" s="249"/>
      <c r="Y453" s="249"/>
      <c r="Z453" s="249"/>
      <c r="AA453" s="249"/>
    </row>
    <row r="454">
      <c r="A454" s="249"/>
      <c r="B454" s="249"/>
      <c r="C454" s="249"/>
      <c r="D454" s="249"/>
      <c r="E454" s="249"/>
      <c r="F454" s="249"/>
      <c r="G454" s="249"/>
      <c r="H454" s="249"/>
      <c r="I454" s="249"/>
      <c r="J454" s="249"/>
      <c r="K454" s="249"/>
      <c r="L454" s="249"/>
      <c r="M454" s="249"/>
      <c r="N454" s="249"/>
      <c r="O454" s="249"/>
      <c r="P454" s="249"/>
      <c r="Q454" s="249"/>
      <c r="R454" s="249"/>
      <c r="S454" s="249"/>
      <c r="T454" s="249"/>
      <c r="U454" s="249"/>
      <c r="V454" s="249"/>
      <c r="W454" s="249"/>
      <c r="X454" s="249"/>
      <c r="Y454" s="249"/>
      <c r="Z454" s="249"/>
      <c r="AA454" s="249"/>
    </row>
    <row r="455">
      <c r="A455" s="249"/>
      <c r="B455" s="249"/>
      <c r="C455" s="249"/>
      <c r="D455" s="249"/>
      <c r="E455" s="249"/>
      <c r="F455" s="249"/>
      <c r="G455" s="249"/>
      <c r="H455" s="249"/>
      <c r="I455" s="249"/>
      <c r="J455" s="249"/>
      <c r="K455" s="249"/>
      <c r="L455" s="249"/>
      <c r="M455" s="249"/>
      <c r="N455" s="249"/>
      <c r="O455" s="249"/>
      <c r="P455" s="249"/>
      <c r="Q455" s="249"/>
      <c r="R455" s="249"/>
      <c r="S455" s="249"/>
      <c r="T455" s="249"/>
      <c r="U455" s="249"/>
      <c r="V455" s="249"/>
      <c r="W455" s="249"/>
      <c r="X455" s="249"/>
      <c r="Y455" s="249"/>
      <c r="Z455" s="249"/>
      <c r="AA455" s="249"/>
    </row>
    <row r="456">
      <c r="A456" s="249"/>
      <c r="B456" s="249"/>
      <c r="C456" s="249"/>
      <c r="D456" s="249"/>
      <c r="E456" s="249"/>
      <c r="F456" s="249"/>
      <c r="G456" s="249"/>
      <c r="H456" s="249"/>
      <c r="I456" s="249"/>
      <c r="J456" s="249"/>
      <c r="K456" s="249"/>
      <c r="L456" s="249"/>
      <c r="M456" s="249"/>
      <c r="N456" s="249"/>
      <c r="O456" s="249"/>
      <c r="P456" s="249"/>
      <c r="Q456" s="249"/>
      <c r="R456" s="249"/>
      <c r="S456" s="249"/>
      <c r="T456" s="249"/>
      <c r="U456" s="249"/>
      <c r="V456" s="249"/>
      <c r="W456" s="249"/>
      <c r="X456" s="249"/>
      <c r="Y456" s="249"/>
      <c r="Z456" s="249"/>
      <c r="AA456" s="249"/>
    </row>
    <row r="457">
      <c r="A457" s="249"/>
      <c r="B457" s="249"/>
      <c r="C457" s="249"/>
      <c r="D457" s="249"/>
      <c r="E457" s="249"/>
      <c r="F457" s="249"/>
      <c r="G457" s="249"/>
      <c r="H457" s="249"/>
      <c r="I457" s="249"/>
      <c r="J457" s="249"/>
      <c r="K457" s="249"/>
      <c r="L457" s="249"/>
      <c r="M457" s="249"/>
      <c r="N457" s="249"/>
      <c r="O457" s="249"/>
      <c r="P457" s="249"/>
      <c r="Q457" s="249"/>
      <c r="R457" s="249"/>
      <c r="S457" s="249"/>
      <c r="T457" s="249"/>
      <c r="U457" s="249"/>
      <c r="V457" s="249"/>
      <c r="W457" s="249"/>
      <c r="X457" s="249"/>
      <c r="Y457" s="249"/>
      <c r="Z457" s="249"/>
      <c r="AA457" s="249"/>
    </row>
    <row r="458">
      <c r="A458" s="249"/>
      <c r="B458" s="249"/>
      <c r="C458" s="249"/>
      <c r="D458" s="249"/>
      <c r="E458" s="249"/>
      <c r="F458" s="249"/>
      <c r="G458" s="249"/>
      <c r="H458" s="249"/>
      <c r="I458" s="249"/>
      <c r="J458" s="249"/>
      <c r="K458" s="249"/>
      <c r="L458" s="249"/>
      <c r="M458" s="249"/>
      <c r="N458" s="249"/>
      <c r="O458" s="249"/>
      <c r="P458" s="249"/>
      <c r="Q458" s="249"/>
      <c r="R458" s="249"/>
      <c r="S458" s="249"/>
      <c r="T458" s="249"/>
      <c r="U458" s="249"/>
      <c r="V458" s="249"/>
      <c r="W458" s="249"/>
      <c r="X458" s="249"/>
      <c r="Y458" s="249"/>
      <c r="Z458" s="249"/>
      <c r="AA458" s="249"/>
    </row>
    <row r="459">
      <c r="A459" s="249"/>
      <c r="B459" s="249"/>
      <c r="C459" s="249"/>
      <c r="D459" s="249"/>
      <c r="E459" s="249"/>
      <c r="F459" s="249"/>
      <c r="G459" s="249"/>
      <c r="H459" s="249"/>
      <c r="I459" s="249"/>
      <c r="J459" s="249"/>
      <c r="K459" s="249"/>
      <c r="L459" s="249"/>
      <c r="M459" s="249"/>
      <c r="N459" s="249"/>
      <c r="O459" s="249"/>
      <c r="P459" s="249"/>
      <c r="Q459" s="249"/>
      <c r="R459" s="249"/>
      <c r="S459" s="249"/>
      <c r="T459" s="249"/>
      <c r="U459" s="249"/>
      <c r="V459" s="249"/>
      <c r="W459" s="249"/>
      <c r="X459" s="249"/>
      <c r="Y459" s="249"/>
      <c r="Z459" s="249"/>
      <c r="AA459" s="249"/>
    </row>
    <row r="460">
      <c r="A460" s="249"/>
      <c r="B460" s="249"/>
      <c r="C460" s="249"/>
      <c r="D460" s="249"/>
      <c r="E460" s="249"/>
      <c r="F460" s="249"/>
      <c r="G460" s="249"/>
      <c r="H460" s="249"/>
      <c r="I460" s="249"/>
      <c r="J460" s="249"/>
      <c r="K460" s="249"/>
      <c r="L460" s="249"/>
      <c r="M460" s="249"/>
      <c r="N460" s="249"/>
      <c r="O460" s="249"/>
      <c r="P460" s="249"/>
      <c r="Q460" s="249"/>
      <c r="R460" s="249"/>
      <c r="S460" s="249"/>
      <c r="T460" s="249"/>
      <c r="U460" s="249"/>
      <c r="V460" s="249"/>
      <c r="W460" s="249"/>
      <c r="X460" s="249"/>
      <c r="Y460" s="249"/>
      <c r="Z460" s="249"/>
      <c r="AA460" s="249"/>
    </row>
    <row r="461">
      <c r="A461" s="249"/>
      <c r="B461" s="249"/>
      <c r="C461" s="249"/>
      <c r="D461" s="249"/>
      <c r="E461" s="249"/>
      <c r="F461" s="249"/>
      <c r="G461" s="249"/>
      <c r="H461" s="249"/>
      <c r="I461" s="249"/>
      <c r="J461" s="249"/>
      <c r="K461" s="249"/>
      <c r="L461" s="249"/>
      <c r="M461" s="249"/>
      <c r="N461" s="249"/>
      <c r="O461" s="249"/>
      <c r="P461" s="249"/>
      <c r="Q461" s="249"/>
      <c r="R461" s="249"/>
      <c r="S461" s="249"/>
      <c r="T461" s="249"/>
      <c r="U461" s="249"/>
      <c r="V461" s="249"/>
      <c r="W461" s="249"/>
      <c r="X461" s="249"/>
      <c r="Y461" s="249"/>
      <c r="Z461" s="249"/>
      <c r="AA461" s="249"/>
    </row>
    <row r="462">
      <c r="A462" s="249"/>
      <c r="B462" s="249"/>
      <c r="C462" s="249"/>
      <c r="D462" s="249"/>
      <c r="E462" s="249"/>
      <c r="F462" s="249"/>
      <c r="G462" s="249"/>
      <c r="H462" s="249"/>
      <c r="I462" s="249"/>
      <c r="J462" s="249"/>
      <c r="K462" s="249"/>
      <c r="L462" s="249"/>
      <c r="M462" s="249"/>
      <c r="N462" s="249"/>
      <c r="O462" s="249"/>
      <c r="P462" s="249"/>
      <c r="Q462" s="249"/>
      <c r="R462" s="249"/>
      <c r="S462" s="249"/>
      <c r="T462" s="249"/>
      <c r="U462" s="249"/>
      <c r="V462" s="249"/>
      <c r="W462" s="249"/>
      <c r="X462" s="249"/>
      <c r="Y462" s="249"/>
      <c r="Z462" s="249"/>
      <c r="AA462" s="249"/>
    </row>
    <row r="463">
      <c r="A463" s="249"/>
      <c r="B463" s="249"/>
      <c r="C463" s="249"/>
      <c r="D463" s="249"/>
      <c r="E463" s="249"/>
      <c r="F463" s="249"/>
      <c r="G463" s="249"/>
      <c r="H463" s="249"/>
      <c r="I463" s="249"/>
      <c r="J463" s="249"/>
      <c r="K463" s="249"/>
      <c r="L463" s="249"/>
      <c r="M463" s="249"/>
      <c r="N463" s="249"/>
      <c r="O463" s="249"/>
      <c r="P463" s="249"/>
      <c r="Q463" s="249"/>
      <c r="R463" s="249"/>
      <c r="S463" s="249"/>
      <c r="T463" s="249"/>
      <c r="U463" s="249"/>
      <c r="V463" s="249"/>
      <c r="W463" s="249"/>
      <c r="X463" s="249"/>
      <c r="Y463" s="249"/>
      <c r="Z463" s="249"/>
      <c r="AA463" s="249"/>
    </row>
    <row r="464">
      <c r="A464" s="249"/>
      <c r="B464" s="249"/>
      <c r="C464" s="249"/>
      <c r="D464" s="249"/>
      <c r="E464" s="249"/>
      <c r="F464" s="249"/>
      <c r="G464" s="249"/>
      <c r="H464" s="249"/>
      <c r="I464" s="249"/>
      <c r="J464" s="249"/>
      <c r="K464" s="249"/>
      <c r="L464" s="249"/>
      <c r="M464" s="249"/>
      <c r="N464" s="249"/>
      <c r="O464" s="249"/>
      <c r="P464" s="249"/>
      <c r="Q464" s="249"/>
      <c r="R464" s="249"/>
      <c r="S464" s="249"/>
      <c r="T464" s="249"/>
      <c r="U464" s="249"/>
      <c r="V464" s="249"/>
      <c r="W464" s="249"/>
      <c r="X464" s="249"/>
      <c r="Y464" s="249"/>
      <c r="Z464" s="249"/>
      <c r="AA464" s="249"/>
    </row>
    <row r="465">
      <c r="A465" s="249"/>
      <c r="B465" s="249"/>
      <c r="C465" s="249"/>
      <c r="D465" s="249"/>
      <c r="E465" s="249"/>
      <c r="F465" s="249"/>
      <c r="G465" s="249"/>
      <c r="H465" s="249"/>
      <c r="I465" s="249"/>
      <c r="J465" s="249"/>
      <c r="K465" s="249"/>
      <c r="L465" s="249"/>
      <c r="M465" s="249"/>
      <c r="N465" s="249"/>
      <c r="O465" s="249"/>
      <c r="P465" s="249"/>
      <c r="Q465" s="249"/>
      <c r="R465" s="249"/>
      <c r="S465" s="249"/>
      <c r="T465" s="249"/>
      <c r="U465" s="249"/>
      <c r="V465" s="249"/>
      <c r="W465" s="249"/>
      <c r="X465" s="249"/>
      <c r="Y465" s="249"/>
      <c r="Z465" s="249"/>
      <c r="AA465" s="249"/>
    </row>
    <row r="466">
      <c r="A466" s="249"/>
      <c r="B466" s="249"/>
      <c r="C466" s="249"/>
      <c r="D466" s="249"/>
      <c r="E466" s="249"/>
      <c r="F466" s="249"/>
      <c r="G466" s="249"/>
      <c r="H466" s="249"/>
      <c r="I466" s="249"/>
      <c r="J466" s="249"/>
      <c r="K466" s="249"/>
      <c r="L466" s="249"/>
      <c r="M466" s="249"/>
      <c r="N466" s="249"/>
      <c r="O466" s="249"/>
      <c r="P466" s="249"/>
      <c r="Q466" s="249"/>
      <c r="R466" s="249"/>
      <c r="S466" s="249"/>
      <c r="T466" s="249"/>
      <c r="U466" s="249"/>
      <c r="V466" s="249"/>
      <c r="W466" s="249"/>
      <c r="X466" s="249"/>
      <c r="Y466" s="249"/>
      <c r="Z466" s="249"/>
      <c r="AA466" s="249"/>
    </row>
    <row r="467">
      <c r="A467" s="249"/>
      <c r="B467" s="249"/>
      <c r="C467" s="249"/>
      <c r="D467" s="249"/>
      <c r="E467" s="249"/>
      <c r="F467" s="249"/>
      <c r="G467" s="249"/>
      <c r="H467" s="249"/>
      <c r="I467" s="249"/>
      <c r="J467" s="249"/>
      <c r="K467" s="249"/>
      <c r="L467" s="249"/>
      <c r="M467" s="249"/>
      <c r="N467" s="249"/>
      <c r="O467" s="249"/>
      <c r="P467" s="249"/>
      <c r="Q467" s="249"/>
      <c r="R467" s="249"/>
      <c r="S467" s="249"/>
      <c r="T467" s="249"/>
      <c r="U467" s="249"/>
      <c r="V467" s="249"/>
      <c r="W467" s="249"/>
      <c r="X467" s="249"/>
      <c r="Y467" s="249"/>
      <c r="Z467" s="249"/>
      <c r="AA467" s="249"/>
    </row>
    <row r="468">
      <c r="A468" s="249"/>
      <c r="B468" s="249"/>
      <c r="C468" s="249"/>
      <c r="D468" s="249"/>
      <c r="E468" s="249"/>
      <c r="F468" s="249"/>
      <c r="G468" s="249"/>
      <c r="H468" s="249"/>
      <c r="I468" s="249"/>
      <c r="J468" s="249"/>
      <c r="K468" s="249"/>
      <c r="L468" s="249"/>
      <c r="M468" s="249"/>
      <c r="N468" s="249"/>
      <c r="O468" s="249"/>
      <c r="P468" s="249"/>
      <c r="Q468" s="249"/>
      <c r="R468" s="249"/>
      <c r="S468" s="249"/>
      <c r="T468" s="249"/>
      <c r="U468" s="249"/>
      <c r="V468" s="249"/>
      <c r="W468" s="249"/>
      <c r="X468" s="249"/>
      <c r="Y468" s="249"/>
      <c r="Z468" s="249"/>
      <c r="AA468" s="249"/>
    </row>
    <row r="469">
      <c r="A469" s="249"/>
      <c r="B469" s="249"/>
      <c r="C469" s="249"/>
      <c r="D469" s="249"/>
      <c r="E469" s="249"/>
      <c r="F469" s="249"/>
      <c r="G469" s="249"/>
      <c r="H469" s="249"/>
      <c r="I469" s="249"/>
      <c r="J469" s="249"/>
      <c r="K469" s="249"/>
      <c r="L469" s="249"/>
      <c r="M469" s="249"/>
      <c r="N469" s="249"/>
      <c r="O469" s="249"/>
      <c r="P469" s="249"/>
      <c r="Q469" s="249"/>
      <c r="R469" s="249"/>
      <c r="S469" s="249"/>
      <c r="T469" s="249"/>
      <c r="U469" s="249"/>
      <c r="V469" s="249"/>
      <c r="W469" s="249"/>
      <c r="X469" s="249"/>
      <c r="Y469" s="249"/>
      <c r="Z469" s="249"/>
      <c r="AA469" s="249"/>
    </row>
    <row r="470">
      <c r="A470" s="249"/>
      <c r="B470" s="249"/>
      <c r="C470" s="249"/>
      <c r="D470" s="249"/>
      <c r="E470" s="249"/>
      <c r="F470" s="249"/>
      <c r="G470" s="249"/>
      <c r="H470" s="249"/>
      <c r="I470" s="249"/>
      <c r="J470" s="249"/>
      <c r="K470" s="249"/>
      <c r="L470" s="249"/>
      <c r="M470" s="249"/>
      <c r="N470" s="249"/>
      <c r="O470" s="249"/>
      <c r="P470" s="249"/>
      <c r="Q470" s="249"/>
      <c r="R470" s="249"/>
      <c r="S470" s="249"/>
      <c r="T470" s="249"/>
      <c r="U470" s="249"/>
      <c r="V470" s="249"/>
      <c r="W470" s="249"/>
      <c r="X470" s="249"/>
      <c r="Y470" s="249"/>
      <c r="Z470" s="249"/>
      <c r="AA470" s="249"/>
    </row>
    <row r="471">
      <c r="A471" s="249"/>
      <c r="B471" s="249"/>
      <c r="C471" s="249"/>
      <c r="D471" s="249"/>
      <c r="E471" s="249"/>
      <c r="F471" s="249"/>
      <c r="G471" s="249"/>
      <c r="H471" s="249"/>
      <c r="I471" s="249"/>
      <c r="J471" s="249"/>
      <c r="K471" s="249"/>
      <c r="L471" s="249"/>
      <c r="M471" s="249"/>
      <c r="N471" s="249"/>
      <c r="O471" s="249"/>
      <c r="P471" s="249"/>
      <c r="Q471" s="249"/>
      <c r="R471" s="249"/>
      <c r="S471" s="249"/>
      <c r="T471" s="249"/>
      <c r="U471" s="249"/>
      <c r="V471" s="249"/>
      <c r="W471" s="249"/>
      <c r="X471" s="249"/>
      <c r="Y471" s="249"/>
      <c r="Z471" s="249"/>
      <c r="AA471" s="249"/>
    </row>
    <row r="472">
      <c r="A472" s="249"/>
      <c r="B472" s="249"/>
      <c r="C472" s="249"/>
      <c r="D472" s="249"/>
      <c r="E472" s="249"/>
      <c r="F472" s="249"/>
      <c r="G472" s="249"/>
      <c r="H472" s="249"/>
      <c r="I472" s="249"/>
      <c r="J472" s="249"/>
      <c r="K472" s="249"/>
      <c r="L472" s="249"/>
      <c r="M472" s="249"/>
      <c r="N472" s="249"/>
      <c r="O472" s="249"/>
      <c r="P472" s="249"/>
      <c r="Q472" s="249"/>
      <c r="R472" s="249"/>
      <c r="S472" s="249"/>
      <c r="T472" s="249"/>
      <c r="U472" s="249"/>
      <c r="V472" s="249"/>
      <c r="W472" s="249"/>
      <c r="X472" s="249"/>
      <c r="Y472" s="249"/>
      <c r="Z472" s="249"/>
      <c r="AA472" s="249"/>
    </row>
    <row r="473">
      <c r="A473" s="249"/>
      <c r="B473" s="249"/>
      <c r="C473" s="249"/>
      <c r="D473" s="249"/>
      <c r="E473" s="249"/>
      <c r="F473" s="249"/>
      <c r="G473" s="249"/>
      <c r="H473" s="249"/>
      <c r="I473" s="249"/>
      <c r="J473" s="249"/>
      <c r="K473" s="249"/>
      <c r="L473" s="249"/>
      <c r="M473" s="249"/>
      <c r="N473" s="249"/>
      <c r="O473" s="249"/>
      <c r="P473" s="249"/>
      <c r="Q473" s="249"/>
      <c r="R473" s="249"/>
      <c r="S473" s="249"/>
      <c r="T473" s="249"/>
      <c r="U473" s="249"/>
      <c r="V473" s="249"/>
      <c r="W473" s="249"/>
      <c r="X473" s="249"/>
      <c r="Y473" s="249"/>
      <c r="Z473" s="249"/>
      <c r="AA473" s="249"/>
    </row>
    <row r="474">
      <c r="A474" s="249"/>
      <c r="B474" s="249"/>
      <c r="C474" s="249"/>
      <c r="D474" s="249"/>
      <c r="E474" s="249"/>
      <c r="F474" s="249"/>
      <c r="G474" s="249"/>
      <c r="H474" s="249"/>
      <c r="I474" s="249"/>
      <c r="J474" s="249"/>
      <c r="K474" s="249"/>
      <c r="L474" s="249"/>
      <c r="M474" s="249"/>
      <c r="N474" s="249"/>
      <c r="O474" s="249"/>
      <c r="P474" s="249"/>
      <c r="Q474" s="249"/>
      <c r="R474" s="249"/>
      <c r="S474" s="249"/>
      <c r="T474" s="249"/>
      <c r="U474" s="249"/>
      <c r="V474" s="249"/>
      <c r="W474" s="249"/>
      <c r="X474" s="249"/>
      <c r="Y474" s="249"/>
      <c r="Z474" s="249"/>
      <c r="AA474" s="249"/>
    </row>
    <row r="475">
      <c r="A475" s="249"/>
      <c r="B475" s="249"/>
      <c r="C475" s="249"/>
      <c r="D475" s="249"/>
      <c r="E475" s="249"/>
      <c r="F475" s="249"/>
      <c r="G475" s="249"/>
      <c r="H475" s="249"/>
      <c r="I475" s="249"/>
      <c r="J475" s="249"/>
      <c r="K475" s="249"/>
      <c r="L475" s="249"/>
      <c r="M475" s="249"/>
      <c r="N475" s="249"/>
      <c r="O475" s="249"/>
      <c r="P475" s="249"/>
      <c r="Q475" s="249"/>
      <c r="R475" s="249"/>
      <c r="S475" s="249"/>
      <c r="T475" s="249"/>
      <c r="U475" s="249"/>
      <c r="V475" s="249"/>
      <c r="W475" s="249"/>
      <c r="X475" s="249"/>
      <c r="Y475" s="249"/>
      <c r="Z475" s="249"/>
      <c r="AA475" s="249"/>
    </row>
    <row r="476">
      <c r="A476" s="249"/>
      <c r="B476" s="249"/>
      <c r="C476" s="249"/>
      <c r="D476" s="249"/>
      <c r="E476" s="249"/>
      <c r="F476" s="249"/>
      <c r="G476" s="249"/>
      <c r="H476" s="249"/>
      <c r="I476" s="249"/>
      <c r="J476" s="249"/>
      <c r="K476" s="249"/>
      <c r="L476" s="249"/>
      <c r="M476" s="249"/>
      <c r="N476" s="249"/>
      <c r="O476" s="249"/>
      <c r="P476" s="249"/>
      <c r="Q476" s="249"/>
      <c r="R476" s="249"/>
      <c r="S476" s="249"/>
      <c r="T476" s="249"/>
      <c r="U476" s="249"/>
      <c r="V476" s="249"/>
      <c r="W476" s="249"/>
      <c r="X476" s="249"/>
      <c r="Y476" s="249"/>
      <c r="Z476" s="249"/>
      <c r="AA476" s="249"/>
    </row>
    <row r="477">
      <c r="A477" s="249"/>
      <c r="B477" s="249"/>
      <c r="C477" s="249"/>
      <c r="D477" s="249"/>
      <c r="E477" s="249"/>
      <c r="F477" s="249"/>
      <c r="G477" s="249"/>
      <c r="H477" s="249"/>
      <c r="I477" s="249"/>
      <c r="J477" s="249"/>
      <c r="K477" s="249"/>
      <c r="L477" s="249"/>
      <c r="M477" s="249"/>
      <c r="N477" s="249"/>
      <c r="O477" s="249"/>
      <c r="P477" s="249"/>
      <c r="Q477" s="249"/>
      <c r="R477" s="249"/>
      <c r="S477" s="249"/>
      <c r="T477" s="249"/>
      <c r="U477" s="249"/>
      <c r="V477" s="249"/>
      <c r="W477" s="249"/>
      <c r="X477" s="249"/>
      <c r="Y477" s="249"/>
      <c r="Z477" s="249"/>
      <c r="AA477" s="249"/>
    </row>
    <row r="478">
      <c r="A478" s="249"/>
      <c r="B478" s="249"/>
      <c r="C478" s="249"/>
      <c r="D478" s="249"/>
      <c r="E478" s="249"/>
      <c r="F478" s="249"/>
      <c r="G478" s="249"/>
      <c r="H478" s="249"/>
      <c r="I478" s="249"/>
      <c r="J478" s="249"/>
      <c r="K478" s="249"/>
      <c r="L478" s="249"/>
      <c r="M478" s="249"/>
      <c r="N478" s="249"/>
      <c r="O478" s="249"/>
      <c r="P478" s="249"/>
      <c r="Q478" s="249"/>
      <c r="R478" s="249"/>
      <c r="S478" s="249"/>
      <c r="T478" s="249"/>
      <c r="U478" s="249"/>
      <c r="V478" s="249"/>
      <c r="W478" s="249"/>
      <c r="X478" s="249"/>
      <c r="Y478" s="249"/>
      <c r="Z478" s="249"/>
      <c r="AA478" s="249"/>
    </row>
    <row r="479">
      <c r="A479" s="249"/>
      <c r="B479" s="249"/>
      <c r="C479" s="249"/>
      <c r="D479" s="249"/>
      <c r="E479" s="249"/>
      <c r="F479" s="249"/>
      <c r="G479" s="249"/>
      <c r="H479" s="249"/>
      <c r="I479" s="249"/>
      <c r="J479" s="249"/>
      <c r="K479" s="249"/>
      <c r="L479" s="249"/>
      <c r="M479" s="249"/>
      <c r="N479" s="249"/>
      <c r="O479" s="249"/>
      <c r="P479" s="249"/>
      <c r="Q479" s="249"/>
      <c r="R479" s="249"/>
      <c r="S479" s="249"/>
      <c r="T479" s="249"/>
      <c r="U479" s="249"/>
      <c r="V479" s="249"/>
      <c r="W479" s="249"/>
      <c r="X479" s="249"/>
      <c r="Y479" s="249"/>
      <c r="Z479" s="249"/>
      <c r="AA479" s="249"/>
    </row>
    <row r="480">
      <c r="A480" s="249"/>
      <c r="B480" s="249"/>
      <c r="C480" s="249"/>
      <c r="D480" s="249"/>
      <c r="E480" s="249"/>
      <c r="F480" s="249"/>
      <c r="G480" s="249"/>
      <c r="H480" s="249"/>
      <c r="I480" s="249"/>
      <c r="J480" s="249"/>
      <c r="K480" s="249"/>
      <c r="L480" s="249"/>
      <c r="M480" s="249"/>
      <c r="N480" s="249"/>
      <c r="O480" s="249"/>
      <c r="P480" s="249"/>
      <c r="Q480" s="249"/>
      <c r="R480" s="249"/>
      <c r="S480" s="249"/>
      <c r="T480" s="249"/>
      <c r="U480" s="249"/>
      <c r="V480" s="249"/>
      <c r="W480" s="249"/>
      <c r="X480" s="249"/>
      <c r="Y480" s="249"/>
      <c r="Z480" s="249"/>
      <c r="AA480" s="249"/>
    </row>
    <row r="481">
      <c r="A481" s="249"/>
      <c r="B481" s="249"/>
      <c r="C481" s="249"/>
      <c r="D481" s="249"/>
      <c r="E481" s="249"/>
      <c r="F481" s="249"/>
      <c r="G481" s="249"/>
      <c r="H481" s="249"/>
      <c r="I481" s="249"/>
      <c r="J481" s="249"/>
      <c r="K481" s="249"/>
      <c r="L481" s="249"/>
      <c r="M481" s="249"/>
      <c r="N481" s="249"/>
      <c r="O481" s="249"/>
      <c r="P481" s="249"/>
      <c r="Q481" s="249"/>
      <c r="R481" s="249"/>
      <c r="S481" s="249"/>
      <c r="T481" s="249"/>
      <c r="U481" s="249"/>
      <c r="V481" s="249"/>
      <c r="W481" s="249"/>
      <c r="X481" s="249"/>
      <c r="Y481" s="249"/>
      <c r="Z481" s="249"/>
      <c r="AA481" s="249"/>
    </row>
    <row r="482">
      <c r="A482" s="249"/>
      <c r="B482" s="249"/>
      <c r="C482" s="249"/>
      <c r="D482" s="249"/>
      <c r="E482" s="249"/>
      <c r="F482" s="249"/>
      <c r="G482" s="249"/>
      <c r="H482" s="249"/>
      <c r="I482" s="249"/>
      <c r="J482" s="249"/>
      <c r="K482" s="249"/>
      <c r="L482" s="249"/>
      <c r="M482" s="249"/>
      <c r="N482" s="249"/>
      <c r="O482" s="249"/>
      <c r="P482" s="249"/>
      <c r="Q482" s="249"/>
      <c r="R482" s="249"/>
      <c r="S482" s="249"/>
      <c r="T482" s="249"/>
      <c r="U482" s="249"/>
      <c r="V482" s="249"/>
      <c r="W482" s="249"/>
      <c r="X482" s="249"/>
      <c r="Y482" s="249"/>
      <c r="Z482" s="249"/>
      <c r="AA482" s="249"/>
    </row>
    <row r="483">
      <c r="A483" s="249"/>
      <c r="B483" s="249"/>
      <c r="C483" s="249"/>
      <c r="D483" s="249"/>
      <c r="E483" s="249"/>
      <c r="F483" s="249"/>
      <c r="G483" s="249"/>
      <c r="H483" s="249"/>
      <c r="I483" s="249"/>
      <c r="J483" s="249"/>
      <c r="K483" s="249"/>
      <c r="L483" s="249"/>
      <c r="M483" s="249"/>
      <c r="N483" s="249"/>
      <c r="O483" s="249"/>
      <c r="P483" s="249"/>
      <c r="Q483" s="249"/>
      <c r="R483" s="249"/>
      <c r="S483" s="249"/>
      <c r="T483" s="249"/>
      <c r="U483" s="249"/>
      <c r="V483" s="249"/>
      <c r="W483" s="249"/>
      <c r="X483" s="249"/>
      <c r="Y483" s="249"/>
      <c r="Z483" s="249"/>
      <c r="AA483" s="249"/>
    </row>
    <row r="484">
      <c r="A484" s="249"/>
      <c r="B484" s="249"/>
      <c r="C484" s="249"/>
      <c r="D484" s="249"/>
      <c r="E484" s="249"/>
      <c r="F484" s="249"/>
      <c r="G484" s="249"/>
      <c r="H484" s="249"/>
      <c r="I484" s="249"/>
      <c r="J484" s="249"/>
      <c r="K484" s="249"/>
      <c r="L484" s="249"/>
      <c r="M484" s="249"/>
      <c r="N484" s="249"/>
      <c r="O484" s="249"/>
      <c r="P484" s="249"/>
      <c r="Q484" s="249"/>
      <c r="R484" s="249"/>
      <c r="S484" s="249"/>
      <c r="T484" s="249"/>
      <c r="U484" s="249"/>
      <c r="V484" s="249"/>
      <c r="W484" s="249"/>
      <c r="X484" s="249"/>
      <c r="Y484" s="249"/>
      <c r="Z484" s="249"/>
      <c r="AA484" s="249"/>
    </row>
    <row r="485">
      <c r="A485" s="249"/>
      <c r="B485" s="249"/>
      <c r="C485" s="249"/>
      <c r="D485" s="249"/>
      <c r="E485" s="249"/>
      <c r="F485" s="249"/>
      <c r="G485" s="249"/>
      <c r="H485" s="249"/>
      <c r="I485" s="249"/>
      <c r="J485" s="249"/>
      <c r="K485" s="249"/>
      <c r="L485" s="249"/>
      <c r="M485" s="249"/>
      <c r="N485" s="249"/>
      <c r="O485" s="249"/>
      <c r="P485" s="249"/>
      <c r="Q485" s="249"/>
      <c r="R485" s="249"/>
      <c r="S485" s="249"/>
      <c r="T485" s="249"/>
      <c r="U485" s="249"/>
      <c r="V485" s="249"/>
      <c r="W485" s="249"/>
      <c r="X485" s="249"/>
      <c r="Y485" s="249"/>
      <c r="Z485" s="249"/>
      <c r="AA485" s="249"/>
    </row>
    <row r="486">
      <c r="A486" s="249"/>
      <c r="B486" s="249"/>
      <c r="C486" s="249"/>
      <c r="D486" s="249"/>
      <c r="E486" s="249"/>
      <c r="F486" s="249"/>
      <c r="G486" s="249"/>
      <c r="H486" s="249"/>
      <c r="I486" s="249"/>
      <c r="J486" s="249"/>
      <c r="K486" s="249"/>
      <c r="L486" s="249"/>
      <c r="M486" s="249"/>
      <c r="N486" s="249"/>
      <c r="O486" s="249"/>
      <c r="P486" s="249"/>
      <c r="Q486" s="249"/>
      <c r="R486" s="249"/>
      <c r="S486" s="249"/>
      <c r="T486" s="249"/>
      <c r="U486" s="249"/>
      <c r="V486" s="249"/>
      <c r="W486" s="249"/>
      <c r="X486" s="249"/>
      <c r="Y486" s="249"/>
      <c r="Z486" s="249"/>
      <c r="AA486" s="249"/>
    </row>
    <row r="487">
      <c r="A487" s="249"/>
      <c r="B487" s="249"/>
      <c r="C487" s="249"/>
      <c r="D487" s="249"/>
      <c r="E487" s="249"/>
      <c r="F487" s="249"/>
      <c r="G487" s="249"/>
      <c r="H487" s="249"/>
      <c r="I487" s="249"/>
      <c r="J487" s="249"/>
      <c r="K487" s="249"/>
      <c r="L487" s="249"/>
      <c r="M487" s="249"/>
      <c r="N487" s="249"/>
      <c r="O487" s="249"/>
      <c r="P487" s="249"/>
      <c r="Q487" s="249"/>
      <c r="R487" s="249"/>
      <c r="S487" s="249"/>
      <c r="T487" s="249"/>
      <c r="U487" s="249"/>
      <c r="V487" s="249"/>
      <c r="W487" s="249"/>
      <c r="X487" s="249"/>
      <c r="Y487" s="249"/>
      <c r="Z487" s="249"/>
      <c r="AA487" s="249"/>
    </row>
    <row r="488">
      <c r="A488" s="249"/>
      <c r="B488" s="249"/>
      <c r="C488" s="249"/>
      <c r="D488" s="249"/>
      <c r="E488" s="249"/>
      <c r="F488" s="249"/>
      <c r="G488" s="249"/>
      <c r="H488" s="249"/>
      <c r="I488" s="249"/>
      <c r="J488" s="249"/>
      <c r="K488" s="249"/>
      <c r="L488" s="249"/>
      <c r="M488" s="249"/>
      <c r="N488" s="249"/>
      <c r="O488" s="249"/>
      <c r="P488" s="249"/>
      <c r="Q488" s="249"/>
      <c r="R488" s="249"/>
      <c r="S488" s="249"/>
      <c r="T488" s="249"/>
      <c r="U488" s="249"/>
      <c r="V488" s="249"/>
      <c r="W488" s="249"/>
      <c r="X488" s="249"/>
      <c r="Y488" s="249"/>
      <c r="Z488" s="249"/>
      <c r="AA488" s="249"/>
    </row>
    <row r="489">
      <c r="A489" s="249"/>
      <c r="B489" s="249"/>
      <c r="C489" s="249"/>
      <c r="D489" s="249"/>
      <c r="E489" s="249"/>
      <c r="F489" s="249"/>
      <c r="G489" s="249"/>
      <c r="H489" s="249"/>
      <c r="I489" s="249"/>
      <c r="J489" s="249"/>
      <c r="K489" s="249"/>
      <c r="L489" s="249"/>
      <c r="M489" s="249"/>
      <c r="N489" s="249"/>
      <c r="O489" s="249"/>
      <c r="P489" s="249"/>
      <c r="Q489" s="249"/>
      <c r="R489" s="249"/>
      <c r="S489" s="249"/>
      <c r="T489" s="249"/>
      <c r="U489" s="249"/>
      <c r="V489" s="249"/>
      <c r="W489" s="249"/>
      <c r="X489" s="249"/>
      <c r="Y489" s="249"/>
      <c r="Z489" s="249"/>
      <c r="AA489" s="249"/>
    </row>
    <row r="490">
      <c r="A490" s="249"/>
      <c r="B490" s="249"/>
      <c r="C490" s="249"/>
      <c r="D490" s="249"/>
      <c r="E490" s="249"/>
      <c r="F490" s="249"/>
      <c r="G490" s="249"/>
      <c r="H490" s="249"/>
      <c r="I490" s="249"/>
      <c r="J490" s="249"/>
      <c r="K490" s="249"/>
      <c r="L490" s="249"/>
      <c r="M490" s="249"/>
      <c r="N490" s="249"/>
      <c r="O490" s="249"/>
      <c r="P490" s="249"/>
      <c r="Q490" s="249"/>
      <c r="R490" s="249"/>
      <c r="S490" s="249"/>
      <c r="T490" s="249"/>
      <c r="U490" s="249"/>
      <c r="V490" s="249"/>
      <c r="W490" s="249"/>
      <c r="X490" s="249"/>
      <c r="Y490" s="249"/>
      <c r="Z490" s="249"/>
      <c r="AA490" s="249"/>
    </row>
    <row r="491">
      <c r="A491" s="249"/>
      <c r="B491" s="249"/>
      <c r="C491" s="249"/>
      <c r="D491" s="249"/>
      <c r="E491" s="249"/>
      <c r="F491" s="249"/>
      <c r="G491" s="249"/>
      <c r="H491" s="249"/>
      <c r="I491" s="249"/>
      <c r="J491" s="249"/>
      <c r="K491" s="249"/>
      <c r="L491" s="249"/>
      <c r="M491" s="249"/>
      <c r="N491" s="249"/>
      <c r="O491" s="249"/>
      <c r="P491" s="249"/>
      <c r="Q491" s="249"/>
      <c r="R491" s="249"/>
      <c r="S491" s="249"/>
      <c r="T491" s="249"/>
      <c r="U491" s="249"/>
      <c r="V491" s="249"/>
      <c r="W491" s="249"/>
      <c r="X491" s="249"/>
      <c r="Y491" s="249"/>
      <c r="Z491" s="249"/>
      <c r="AA491" s="249"/>
    </row>
    <row r="492">
      <c r="A492" s="249"/>
      <c r="B492" s="249"/>
      <c r="C492" s="249"/>
      <c r="D492" s="249"/>
      <c r="E492" s="249"/>
      <c r="F492" s="249"/>
      <c r="G492" s="249"/>
      <c r="H492" s="249"/>
      <c r="I492" s="249"/>
      <c r="J492" s="249"/>
      <c r="K492" s="249"/>
      <c r="L492" s="249"/>
      <c r="M492" s="249"/>
      <c r="N492" s="249"/>
      <c r="O492" s="249"/>
      <c r="P492" s="249"/>
      <c r="Q492" s="249"/>
      <c r="R492" s="249"/>
      <c r="S492" s="249"/>
      <c r="T492" s="249"/>
      <c r="U492" s="249"/>
      <c r="V492" s="249"/>
      <c r="W492" s="249"/>
      <c r="X492" s="249"/>
      <c r="Y492" s="249"/>
      <c r="Z492" s="249"/>
      <c r="AA492" s="249"/>
    </row>
    <row r="493">
      <c r="A493" s="249"/>
      <c r="B493" s="249"/>
      <c r="C493" s="249"/>
      <c r="D493" s="249"/>
      <c r="E493" s="249"/>
      <c r="F493" s="249"/>
      <c r="G493" s="249"/>
      <c r="H493" s="249"/>
      <c r="I493" s="249"/>
      <c r="J493" s="249"/>
      <c r="K493" s="249"/>
      <c r="L493" s="249"/>
      <c r="M493" s="249"/>
      <c r="N493" s="249"/>
      <c r="O493" s="249"/>
      <c r="P493" s="249"/>
      <c r="Q493" s="249"/>
      <c r="R493" s="249"/>
      <c r="S493" s="249"/>
      <c r="T493" s="249"/>
      <c r="U493" s="249"/>
      <c r="V493" s="249"/>
      <c r="W493" s="249"/>
      <c r="X493" s="249"/>
      <c r="Y493" s="249"/>
      <c r="Z493" s="249"/>
      <c r="AA493" s="249"/>
    </row>
    <row r="494">
      <c r="A494" s="249"/>
      <c r="B494" s="249"/>
      <c r="C494" s="249"/>
      <c r="D494" s="249"/>
      <c r="E494" s="249"/>
      <c r="F494" s="249"/>
      <c r="G494" s="249"/>
      <c r="H494" s="249"/>
      <c r="I494" s="249"/>
      <c r="J494" s="249"/>
      <c r="K494" s="249"/>
      <c r="L494" s="249"/>
      <c r="M494" s="249"/>
      <c r="N494" s="249"/>
      <c r="O494" s="249"/>
      <c r="P494" s="249"/>
      <c r="Q494" s="249"/>
      <c r="R494" s="249"/>
      <c r="S494" s="249"/>
      <c r="T494" s="249"/>
      <c r="U494" s="249"/>
      <c r="V494" s="249"/>
      <c r="W494" s="249"/>
      <c r="X494" s="249"/>
      <c r="Y494" s="249"/>
      <c r="Z494" s="249"/>
      <c r="AA494" s="249"/>
    </row>
    <row r="495">
      <c r="A495" s="249"/>
      <c r="B495" s="249"/>
      <c r="C495" s="249"/>
      <c r="D495" s="249"/>
      <c r="E495" s="249"/>
      <c r="F495" s="249"/>
      <c r="G495" s="249"/>
      <c r="H495" s="249"/>
      <c r="I495" s="249"/>
      <c r="J495" s="249"/>
      <c r="K495" s="249"/>
      <c r="L495" s="249"/>
      <c r="M495" s="249"/>
      <c r="N495" s="249"/>
      <c r="O495" s="249"/>
      <c r="P495" s="249"/>
      <c r="Q495" s="249"/>
      <c r="R495" s="249"/>
      <c r="S495" s="249"/>
      <c r="T495" s="249"/>
      <c r="U495" s="249"/>
      <c r="V495" s="249"/>
      <c r="W495" s="249"/>
      <c r="X495" s="249"/>
      <c r="Y495" s="249"/>
      <c r="Z495" s="249"/>
      <c r="AA495" s="249"/>
    </row>
    <row r="496">
      <c r="A496" s="249"/>
      <c r="B496" s="249"/>
      <c r="C496" s="249"/>
      <c r="D496" s="249"/>
      <c r="E496" s="249"/>
      <c r="F496" s="249"/>
      <c r="G496" s="249"/>
      <c r="H496" s="249"/>
      <c r="I496" s="249"/>
      <c r="J496" s="249"/>
      <c r="K496" s="249"/>
      <c r="L496" s="249"/>
      <c r="M496" s="249"/>
      <c r="N496" s="249"/>
      <c r="O496" s="249"/>
      <c r="P496" s="249"/>
      <c r="Q496" s="249"/>
      <c r="R496" s="249"/>
      <c r="S496" s="249"/>
      <c r="T496" s="249"/>
      <c r="U496" s="249"/>
      <c r="V496" s="249"/>
      <c r="W496" s="249"/>
      <c r="X496" s="249"/>
      <c r="Y496" s="249"/>
      <c r="Z496" s="249"/>
      <c r="AA496" s="249"/>
    </row>
    <row r="497">
      <c r="A497" s="249"/>
      <c r="B497" s="249"/>
      <c r="C497" s="249"/>
      <c r="D497" s="249"/>
      <c r="E497" s="249"/>
      <c r="F497" s="249"/>
      <c r="G497" s="249"/>
      <c r="H497" s="249"/>
      <c r="I497" s="249"/>
      <c r="J497" s="249"/>
      <c r="K497" s="249"/>
      <c r="L497" s="249"/>
      <c r="M497" s="249"/>
      <c r="N497" s="249"/>
      <c r="O497" s="249"/>
      <c r="P497" s="249"/>
      <c r="Q497" s="249"/>
      <c r="R497" s="249"/>
      <c r="S497" s="249"/>
      <c r="T497" s="249"/>
      <c r="U497" s="249"/>
      <c r="V497" s="249"/>
      <c r="W497" s="249"/>
      <c r="X497" s="249"/>
      <c r="Y497" s="249"/>
      <c r="Z497" s="249"/>
      <c r="AA497" s="249"/>
    </row>
    <row r="498">
      <c r="A498" s="249"/>
      <c r="B498" s="249"/>
      <c r="C498" s="249"/>
      <c r="D498" s="249"/>
      <c r="E498" s="249"/>
      <c r="F498" s="249"/>
      <c r="G498" s="249"/>
      <c r="H498" s="249"/>
      <c r="I498" s="249"/>
      <c r="J498" s="249"/>
      <c r="K498" s="249"/>
      <c r="L498" s="249"/>
      <c r="M498" s="249"/>
      <c r="N498" s="249"/>
      <c r="O498" s="249"/>
      <c r="P498" s="249"/>
      <c r="Q498" s="249"/>
      <c r="R498" s="249"/>
      <c r="S498" s="249"/>
      <c r="T498" s="249"/>
      <c r="U498" s="249"/>
      <c r="V498" s="249"/>
      <c r="W498" s="249"/>
      <c r="X498" s="249"/>
      <c r="Y498" s="249"/>
      <c r="Z498" s="249"/>
      <c r="AA498" s="249"/>
    </row>
    <row r="499">
      <c r="A499" s="249"/>
      <c r="B499" s="249"/>
      <c r="C499" s="249"/>
      <c r="D499" s="249"/>
      <c r="E499" s="249"/>
      <c r="F499" s="249"/>
      <c r="G499" s="249"/>
      <c r="H499" s="249"/>
      <c r="I499" s="249"/>
      <c r="J499" s="249"/>
      <c r="K499" s="249"/>
      <c r="L499" s="249"/>
      <c r="M499" s="249"/>
      <c r="N499" s="249"/>
      <c r="O499" s="249"/>
      <c r="P499" s="249"/>
      <c r="Q499" s="249"/>
      <c r="R499" s="249"/>
      <c r="S499" s="249"/>
      <c r="T499" s="249"/>
      <c r="U499" s="249"/>
      <c r="V499" s="249"/>
      <c r="W499" s="249"/>
      <c r="X499" s="249"/>
      <c r="Y499" s="249"/>
      <c r="Z499" s="249"/>
      <c r="AA499" s="249"/>
    </row>
    <row r="500">
      <c r="A500" s="249"/>
      <c r="B500" s="249"/>
      <c r="C500" s="249"/>
      <c r="D500" s="249"/>
      <c r="E500" s="249"/>
      <c r="F500" s="249"/>
      <c r="G500" s="249"/>
      <c r="H500" s="249"/>
      <c r="I500" s="249"/>
      <c r="J500" s="249"/>
      <c r="K500" s="249"/>
      <c r="L500" s="249"/>
      <c r="M500" s="249"/>
      <c r="N500" s="249"/>
      <c r="O500" s="249"/>
      <c r="P500" s="249"/>
      <c r="Q500" s="249"/>
      <c r="R500" s="249"/>
      <c r="S500" s="249"/>
      <c r="T500" s="249"/>
      <c r="U500" s="249"/>
      <c r="V500" s="249"/>
      <c r="W500" s="249"/>
      <c r="X500" s="249"/>
      <c r="Y500" s="249"/>
      <c r="Z500" s="249"/>
      <c r="AA500" s="249"/>
    </row>
    <row r="501">
      <c r="A501" s="249"/>
      <c r="B501" s="249"/>
      <c r="C501" s="249"/>
      <c r="D501" s="249"/>
      <c r="E501" s="249"/>
      <c r="F501" s="249"/>
      <c r="G501" s="249"/>
      <c r="H501" s="249"/>
      <c r="I501" s="249"/>
      <c r="J501" s="249"/>
      <c r="K501" s="249"/>
      <c r="L501" s="249"/>
      <c r="M501" s="249"/>
      <c r="N501" s="249"/>
      <c r="O501" s="249"/>
      <c r="P501" s="249"/>
      <c r="Q501" s="249"/>
      <c r="R501" s="249"/>
      <c r="S501" s="249"/>
      <c r="T501" s="249"/>
      <c r="U501" s="249"/>
      <c r="V501" s="249"/>
      <c r="W501" s="249"/>
      <c r="X501" s="249"/>
      <c r="Y501" s="249"/>
      <c r="Z501" s="249"/>
      <c r="AA501" s="249"/>
    </row>
    <row r="502">
      <c r="A502" s="249"/>
      <c r="B502" s="249"/>
      <c r="C502" s="249"/>
      <c r="D502" s="249"/>
      <c r="E502" s="249"/>
      <c r="F502" s="249"/>
      <c r="G502" s="249"/>
      <c r="H502" s="249"/>
      <c r="I502" s="249"/>
      <c r="J502" s="249"/>
      <c r="K502" s="249"/>
      <c r="L502" s="249"/>
      <c r="M502" s="249"/>
      <c r="N502" s="249"/>
      <c r="O502" s="249"/>
      <c r="P502" s="249"/>
      <c r="Q502" s="249"/>
      <c r="R502" s="249"/>
      <c r="S502" s="249"/>
      <c r="T502" s="249"/>
      <c r="U502" s="249"/>
      <c r="V502" s="249"/>
      <c r="W502" s="249"/>
      <c r="X502" s="249"/>
      <c r="Y502" s="249"/>
      <c r="Z502" s="249"/>
      <c r="AA502" s="249"/>
    </row>
    <row r="503">
      <c r="A503" s="249"/>
      <c r="B503" s="249"/>
      <c r="C503" s="249"/>
      <c r="D503" s="249"/>
      <c r="E503" s="249"/>
      <c r="F503" s="249"/>
      <c r="G503" s="249"/>
      <c r="H503" s="249"/>
      <c r="I503" s="249"/>
      <c r="J503" s="249"/>
      <c r="K503" s="249"/>
      <c r="L503" s="249"/>
      <c r="M503" s="249"/>
      <c r="N503" s="249"/>
      <c r="O503" s="249"/>
      <c r="P503" s="249"/>
      <c r="Q503" s="249"/>
      <c r="R503" s="249"/>
      <c r="S503" s="249"/>
      <c r="T503" s="249"/>
      <c r="U503" s="249"/>
      <c r="V503" s="249"/>
      <c r="W503" s="249"/>
      <c r="X503" s="249"/>
      <c r="Y503" s="249"/>
      <c r="Z503" s="249"/>
      <c r="AA503" s="249"/>
    </row>
    <row r="504">
      <c r="A504" s="249"/>
      <c r="B504" s="249"/>
      <c r="C504" s="249"/>
      <c r="D504" s="249"/>
      <c r="E504" s="249"/>
      <c r="F504" s="249"/>
      <c r="G504" s="249"/>
      <c r="H504" s="249"/>
      <c r="I504" s="249"/>
      <c r="J504" s="249"/>
      <c r="K504" s="249"/>
      <c r="L504" s="249"/>
      <c r="M504" s="249"/>
      <c r="N504" s="249"/>
      <c r="O504" s="249"/>
      <c r="P504" s="249"/>
      <c r="Q504" s="249"/>
      <c r="R504" s="249"/>
      <c r="S504" s="249"/>
      <c r="T504" s="249"/>
      <c r="U504" s="249"/>
      <c r="V504" s="249"/>
      <c r="W504" s="249"/>
      <c r="X504" s="249"/>
      <c r="Y504" s="249"/>
      <c r="Z504" s="249"/>
      <c r="AA504" s="249"/>
    </row>
    <row r="505">
      <c r="A505" s="249"/>
      <c r="B505" s="249"/>
      <c r="C505" s="249"/>
      <c r="D505" s="249"/>
      <c r="E505" s="249"/>
      <c r="F505" s="249"/>
      <c r="G505" s="249"/>
      <c r="H505" s="249"/>
      <c r="I505" s="249"/>
      <c r="J505" s="249"/>
      <c r="K505" s="249"/>
      <c r="L505" s="249"/>
      <c r="M505" s="249"/>
      <c r="N505" s="249"/>
      <c r="O505" s="249"/>
      <c r="P505" s="249"/>
      <c r="Q505" s="249"/>
      <c r="R505" s="249"/>
      <c r="S505" s="249"/>
      <c r="T505" s="249"/>
      <c r="U505" s="249"/>
      <c r="V505" s="249"/>
      <c r="W505" s="249"/>
      <c r="X505" s="249"/>
      <c r="Y505" s="249"/>
      <c r="Z505" s="249"/>
      <c r="AA505" s="249"/>
    </row>
    <row r="506">
      <c r="A506" s="249"/>
      <c r="B506" s="249"/>
      <c r="C506" s="249"/>
      <c r="D506" s="249"/>
      <c r="E506" s="249"/>
      <c r="F506" s="249"/>
      <c r="G506" s="249"/>
      <c r="H506" s="249"/>
      <c r="I506" s="249"/>
      <c r="J506" s="249"/>
      <c r="K506" s="249"/>
      <c r="L506" s="249"/>
      <c r="M506" s="249"/>
      <c r="N506" s="249"/>
      <c r="O506" s="249"/>
      <c r="P506" s="249"/>
      <c r="Q506" s="249"/>
      <c r="R506" s="249"/>
      <c r="S506" s="249"/>
      <c r="T506" s="249"/>
      <c r="U506" s="249"/>
      <c r="V506" s="249"/>
      <c r="W506" s="249"/>
      <c r="X506" s="249"/>
      <c r="Y506" s="249"/>
      <c r="Z506" s="249"/>
      <c r="AA506" s="249"/>
    </row>
    <row r="507">
      <c r="A507" s="249"/>
      <c r="B507" s="249"/>
      <c r="C507" s="249"/>
      <c r="D507" s="249"/>
      <c r="E507" s="249"/>
      <c r="F507" s="249"/>
      <c r="G507" s="249"/>
      <c r="H507" s="249"/>
      <c r="I507" s="249"/>
      <c r="J507" s="249"/>
      <c r="K507" s="249"/>
      <c r="L507" s="249"/>
      <c r="M507" s="249"/>
      <c r="N507" s="249"/>
      <c r="O507" s="249"/>
      <c r="P507" s="249"/>
      <c r="Q507" s="249"/>
      <c r="R507" s="249"/>
      <c r="S507" s="249"/>
      <c r="T507" s="249"/>
      <c r="U507" s="249"/>
      <c r="V507" s="249"/>
      <c r="W507" s="249"/>
      <c r="X507" s="249"/>
      <c r="Y507" s="249"/>
      <c r="Z507" s="249"/>
      <c r="AA507" s="249"/>
    </row>
    <row r="508">
      <c r="A508" s="249"/>
      <c r="B508" s="249"/>
      <c r="C508" s="249"/>
      <c r="D508" s="249"/>
      <c r="E508" s="249"/>
      <c r="F508" s="249"/>
      <c r="G508" s="249"/>
      <c r="H508" s="249"/>
      <c r="I508" s="249"/>
      <c r="J508" s="249"/>
      <c r="K508" s="249"/>
      <c r="L508" s="249"/>
      <c r="M508" s="249"/>
      <c r="N508" s="249"/>
      <c r="O508" s="249"/>
      <c r="P508" s="249"/>
      <c r="Q508" s="249"/>
      <c r="R508" s="249"/>
      <c r="S508" s="249"/>
      <c r="T508" s="249"/>
      <c r="U508" s="249"/>
      <c r="V508" s="249"/>
      <c r="W508" s="249"/>
      <c r="X508" s="249"/>
      <c r="Y508" s="249"/>
      <c r="Z508" s="249"/>
      <c r="AA508" s="249"/>
    </row>
    <row r="509">
      <c r="A509" s="249"/>
      <c r="B509" s="249"/>
      <c r="C509" s="249"/>
      <c r="D509" s="249"/>
      <c r="E509" s="249"/>
      <c r="F509" s="249"/>
      <c r="G509" s="249"/>
      <c r="H509" s="249"/>
      <c r="I509" s="249"/>
      <c r="J509" s="249"/>
      <c r="K509" s="249"/>
      <c r="L509" s="249"/>
      <c r="M509" s="249"/>
      <c r="N509" s="249"/>
      <c r="O509" s="249"/>
      <c r="P509" s="249"/>
      <c r="Q509" s="249"/>
      <c r="R509" s="249"/>
      <c r="S509" s="249"/>
      <c r="T509" s="249"/>
      <c r="U509" s="249"/>
      <c r="V509" s="249"/>
      <c r="W509" s="249"/>
      <c r="X509" s="249"/>
      <c r="Y509" s="249"/>
      <c r="Z509" s="249"/>
      <c r="AA509" s="249"/>
    </row>
    <row r="510">
      <c r="A510" s="249"/>
      <c r="B510" s="249"/>
      <c r="C510" s="249"/>
      <c r="D510" s="249"/>
      <c r="E510" s="249"/>
      <c r="F510" s="249"/>
      <c r="G510" s="249"/>
      <c r="H510" s="249"/>
      <c r="I510" s="249"/>
      <c r="J510" s="249"/>
      <c r="K510" s="249"/>
      <c r="L510" s="249"/>
      <c r="M510" s="249"/>
      <c r="N510" s="249"/>
      <c r="O510" s="249"/>
      <c r="P510" s="249"/>
      <c r="Q510" s="249"/>
      <c r="R510" s="249"/>
      <c r="S510" s="249"/>
      <c r="T510" s="249"/>
      <c r="U510" s="249"/>
      <c r="V510" s="249"/>
      <c r="W510" s="249"/>
      <c r="X510" s="249"/>
      <c r="Y510" s="249"/>
      <c r="Z510" s="249"/>
      <c r="AA510" s="249"/>
    </row>
    <row r="511">
      <c r="A511" s="249"/>
      <c r="B511" s="249"/>
      <c r="C511" s="249"/>
      <c r="D511" s="249"/>
      <c r="E511" s="249"/>
      <c r="F511" s="249"/>
      <c r="G511" s="249"/>
      <c r="H511" s="249"/>
      <c r="I511" s="249"/>
      <c r="J511" s="249"/>
      <c r="K511" s="249"/>
      <c r="L511" s="249"/>
      <c r="M511" s="249"/>
      <c r="N511" s="249"/>
      <c r="O511" s="249"/>
      <c r="P511" s="249"/>
      <c r="Q511" s="249"/>
      <c r="R511" s="249"/>
      <c r="S511" s="249"/>
      <c r="T511" s="249"/>
      <c r="U511" s="249"/>
      <c r="V511" s="249"/>
      <c r="W511" s="249"/>
      <c r="X511" s="249"/>
      <c r="Y511" s="249"/>
      <c r="Z511" s="249"/>
      <c r="AA511" s="249"/>
    </row>
    <row r="512">
      <c r="A512" s="249"/>
      <c r="B512" s="249"/>
      <c r="C512" s="249"/>
      <c r="D512" s="249"/>
      <c r="E512" s="249"/>
      <c r="F512" s="249"/>
      <c r="G512" s="249"/>
      <c r="H512" s="249"/>
      <c r="I512" s="249"/>
      <c r="J512" s="249"/>
      <c r="K512" s="249"/>
      <c r="L512" s="249"/>
      <c r="M512" s="249"/>
      <c r="N512" s="249"/>
      <c r="O512" s="249"/>
      <c r="P512" s="249"/>
      <c r="Q512" s="249"/>
      <c r="R512" s="249"/>
      <c r="S512" s="249"/>
      <c r="T512" s="249"/>
      <c r="U512" s="249"/>
      <c r="V512" s="249"/>
      <c r="W512" s="249"/>
      <c r="X512" s="249"/>
      <c r="Y512" s="249"/>
      <c r="Z512" s="249"/>
      <c r="AA512" s="249"/>
    </row>
    <row r="513">
      <c r="A513" s="249"/>
      <c r="B513" s="249"/>
      <c r="C513" s="249"/>
      <c r="D513" s="249"/>
      <c r="E513" s="249"/>
      <c r="F513" s="249"/>
      <c r="G513" s="249"/>
      <c r="H513" s="249"/>
      <c r="I513" s="249"/>
      <c r="J513" s="249"/>
      <c r="K513" s="249"/>
      <c r="L513" s="249"/>
      <c r="M513" s="249"/>
      <c r="N513" s="249"/>
      <c r="O513" s="249"/>
      <c r="P513" s="249"/>
      <c r="Q513" s="249"/>
      <c r="R513" s="249"/>
      <c r="S513" s="249"/>
      <c r="T513" s="249"/>
      <c r="U513" s="249"/>
      <c r="V513" s="249"/>
      <c r="W513" s="249"/>
      <c r="X513" s="249"/>
      <c r="Y513" s="249"/>
      <c r="Z513" s="249"/>
      <c r="AA513" s="249"/>
    </row>
    <row r="514">
      <c r="A514" s="249"/>
      <c r="B514" s="249"/>
      <c r="C514" s="249"/>
      <c r="D514" s="249"/>
      <c r="E514" s="249"/>
      <c r="F514" s="249"/>
      <c r="G514" s="249"/>
      <c r="H514" s="249"/>
      <c r="I514" s="249"/>
      <c r="J514" s="249"/>
      <c r="K514" s="249"/>
      <c r="L514" s="249"/>
      <c r="M514" s="249"/>
      <c r="N514" s="249"/>
      <c r="O514" s="249"/>
      <c r="P514" s="249"/>
      <c r="Q514" s="249"/>
      <c r="R514" s="249"/>
      <c r="S514" s="249"/>
      <c r="T514" s="249"/>
      <c r="U514" s="249"/>
      <c r="V514" s="249"/>
      <c r="W514" s="249"/>
      <c r="X514" s="249"/>
      <c r="Y514" s="249"/>
      <c r="Z514" s="249"/>
      <c r="AA514" s="249"/>
    </row>
    <row r="515">
      <c r="A515" s="249"/>
      <c r="B515" s="249"/>
      <c r="C515" s="249"/>
      <c r="D515" s="249"/>
      <c r="E515" s="249"/>
      <c r="F515" s="249"/>
      <c r="G515" s="249"/>
      <c r="H515" s="249"/>
      <c r="I515" s="249"/>
      <c r="J515" s="249"/>
      <c r="K515" s="249"/>
      <c r="L515" s="249"/>
      <c r="M515" s="249"/>
      <c r="N515" s="249"/>
      <c r="O515" s="249"/>
      <c r="P515" s="249"/>
      <c r="Q515" s="249"/>
      <c r="R515" s="249"/>
      <c r="S515" s="249"/>
      <c r="T515" s="249"/>
      <c r="U515" s="249"/>
      <c r="V515" s="249"/>
      <c r="W515" s="249"/>
      <c r="X515" s="249"/>
      <c r="Y515" s="249"/>
      <c r="Z515" s="249"/>
      <c r="AA515" s="249"/>
    </row>
    <row r="516">
      <c r="A516" s="249"/>
      <c r="B516" s="249"/>
      <c r="C516" s="249"/>
      <c r="D516" s="249"/>
      <c r="E516" s="249"/>
      <c r="F516" s="249"/>
      <c r="G516" s="249"/>
      <c r="H516" s="249"/>
      <c r="I516" s="249"/>
      <c r="J516" s="249"/>
      <c r="K516" s="249"/>
      <c r="L516" s="249"/>
      <c r="M516" s="249"/>
      <c r="N516" s="249"/>
      <c r="O516" s="249"/>
      <c r="P516" s="249"/>
      <c r="Q516" s="249"/>
      <c r="R516" s="249"/>
      <c r="S516" s="249"/>
      <c r="T516" s="249"/>
      <c r="U516" s="249"/>
      <c r="V516" s="249"/>
      <c r="W516" s="249"/>
      <c r="X516" s="249"/>
      <c r="Y516" s="249"/>
      <c r="Z516" s="249"/>
      <c r="AA516" s="249"/>
    </row>
    <row r="517">
      <c r="A517" s="249"/>
      <c r="B517" s="249"/>
      <c r="C517" s="249"/>
      <c r="D517" s="249"/>
      <c r="E517" s="249"/>
      <c r="F517" s="249"/>
      <c r="G517" s="249"/>
      <c r="H517" s="249"/>
      <c r="I517" s="249"/>
      <c r="J517" s="249"/>
      <c r="K517" s="249"/>
      <c r="L517" s="249"/>
      <c r="M517" s="249"/>
      <c r="N517" s="249"/>
      <c r="O517" s="249"/>
      <c r="P517" s="249"/>
      <c r="Q517" s="249"/>
      <c r="R517" s="249"/>
      <c r="S517" s="249"/>
      <c r="T517" s="249"/>
      <c r="U517" s="249"/>
      <c r="V517" s="249"/>
      <c r="W517" s="249"/>
      <c r="X517" s="249"/>
      <c r="Y517" s="249"/>
      <c r="Z517" s="249"/>
      <c r="AA517" s="249"/>
    </row>
    <row r="518">
      <c r="A518" s="249"/>
      <c r="B518" s="249"/>
      <c r="C518" s="249"/>
      <c r="D518" s="249"/>
      <c r="E518" s="249"/>
      <c r="F518" s="249"/>
      <c r="G518" s="249"/>
      <c r="H518" s="249"/>
      <c r="I518" s="249"/>
      <c r="J518" s="249"/>
      <c r="K518" s="249"/>
      <c r="L518" s="249"/>
      <c r="M518" s="249"/>
      <c r="N518" s="249"/>
      <c r="O518" s="249"/>
      <c r="P518" s="249"/>
      <c r="Q518" s="249"/>
      <c r="R518" s="249"/>
      <c r="S518" s="249"/>
      <c r="T518" s="249"/>
      <c r="U518" s="249"/>
      <c r="V518" s="249"/>
      <c r="W518" s="249"/>
      <c r="X518" s="249"/>
      <c r="Y518" s="249"/>
      <c r="Z518" s="249"/>
      <c r="AA518" s="249"/>
    </row>
    <row r="519">
      <c r="A519" s="249"/>
      <c r="B519" s="249"/>
      <c r="C519" s="249"/>
      <c r="D519" s="249"/>
      <c r="E519" s="249"/>
      <c r="F519" s="249"/>
      <c r="G519" s="249"/>
      <c r="H519" s="249"/>
      <c r="I519" s="249"/>
      <c r="J519" s="249"/>
      <c r="K519" s="249"/>
      <c r="L519" s="249"/>
      <c r="M519" s="249"/>
      <c r="N519" s="249"/>
      <c r="O519" s="249"/>
      <c r="P519" s="249"/>
      <c r="Q519" s="249"/>
      <c r="R519" s="249"/>
      <c r="S519" s="249"/>
      <c r="T519" s="249"/>
      <c r="U519" s="249"/>
      <c r="V519" s="249"/>
      <c r="W519" s="249"/>
      <c r="X519" s="249"/>
      <c r="Y519" s="249"/>
      <c r="Z519" s="249"/>
      <c r="AA519" s="249"/>
    </row>
    <row r="520">
      <c r="A520" s="249"/>
      <c r="B520" s="249"/>
      <c r="C520" s="249"/>
      <c r="D520" s="249"/>
      <c r="E520" s="249"/>
      <c r="F520" s="249"/>
      <c r="G520" s="249"/>
      <c r="H520" s="249"/>
      <c r="I520" s="249"/>
      <c r="J520" s="249"/>
      <c r="K520" s="249"/>
      <c r="L520" s="249"/>
      <c r="M520" s="249"/>
      <c r="N520" s="249"/>
      <c r="O520" s="249"/>
      <c r="P520" s="249"/>
      <c r="Q520" s="249"/>
      <c r="R520" s="249"/>
      <c r="S520" s="249"/>
      <c r="T520" s="249"/>
      <c r="U520" s="249"/>
      <c r="V520" s="249"/>
      <c r="W520" s="249"/>
      <c r="X520" s="249"/>
      <c r="Y520" s="249"/>
      <c r="Z520" s="249"/>
      <c r="AA520" s="249"/>
    </row>
    <row r="521">
      <c r="A521" s="249"/>
      <c r="B521" s="249"/>
      <c r="C521" s="249"/>
      <c r="D521" s="249"/>
      <c r="E521" s="249"/>
      <c r="F521" s="249"/>
      <c r="G521" s="249"/>
      <c r="H521" s="249"/>
      <c r="I521" s="249"/>
      <c r="J521" s="249"/>
      <c r="K521" s="249"/>
      <c r="L521" s="249"/>
      <c r="M521" s="249"/>
      <c r="N521" s="249"/>
      <c r="O521" s="249"/>
      <c r="P521" s="249"/>
      <c r="Q521" s="249"/>
      <c r="R521" s="249"/>
      <c r="S521" s="249"/>
      <c r="T521" s="249"/>
      <c r="U521" s="249"/>
      <c r="V521" s="249"/>
      <c r="W521" s="249"/>
      <c r="X521" s="249"/>
      <c r="Y521" s="249"/>
      <c r="Z521" s="249"/>
      <c r="AA521" s="249"/>
    </row>
    <row r="522">
      <c r="A522" s="249"/>
      <c r="B522" s="249"/>
      <c r="C522" s="249"/>
      <c r="D522" s="249"/>
      <c r="E522" s="249"/>
      <c r="F522" s="249"/>
      <c r="G522" s="249"/>
      <c r="H522" s="249"/>
      <c r="I522" s="249"/>
      <c r="J522" s="249"/>
      <c r="K522" s="249"/>
      <c r="L522" s="249"/>
      <c r="M522" s="249"/>
      <c r="N522" s="249"/>
      <c r="O522" s="249"/>
      <c r="P522" s="249"/>
      <c r="Q522" s="249"/>
      <c r="R522" s="249"/>
      <c r="S522" s="249"/>
      <c r="T522" s="249"/>
      <c r="U522" s="249"/>
      <c r="V522" s="249"/>
      <c r="W522" s="249"/>
      <c r="X522" s="249"/>
      <c r="Y522" s="249"/>
      <c r="Z522" s="249"/>
      <c r="AA522" s="249"/>
    </row>
    <row r="523">
      <c r="A523" s="249"/>
      <c r="B523" s="249"/>
      <c r="C523" s="249"/>
      <c r="D523" s="249"/>
      <c r="E523" s="249"/>
      <c r="F523" s="249"/>
      <c r="G523" s="249"/>
      <c r="H523" s="249"/>
      <c r="I523" s="249"/>
      <c r="J523" s="249"/>
      <c r="K523" s="249"/>
      <c r="L523" s="249"/>
      <c r="M523" s="249"/>
      <c r="N523" s="249"/>
      <c r="O523" s="249"/>
      <c r="P523" s="249"/>
      <c r="Q523" s="249"/>
      <c r="R523" s="249"/>
      <c r="S523" s="249"/>
      <c r="T523" s="249"/>
      <c r="U523" s="249"/>
      <c r="V523" s="249"/>
      <c r="W523" s="249"/>
      <c r="X523" s="249"/>
      <c r="Y523" s="249"/>
      <c r="Z523" s="249"/>
      <c r="AA523" s="249"/>
    </row>
    <row r="524">
      <c r="A524" s="249"/>
      <c r="B524" s="249"/>
      <c r="C524" s="249"/>
      <c r="D524" s="249"/>
      <c r="E524" s="249"/>
      <c r="F524" s="249"/>
      <c r="G524" s="249"/>
      <c r="H524" s="249"/>
      <c r="I524" s="249"/>
      <c r="J524" s="249"/>
      <c r="K524" s="249"/>
      <c r="L524" s="249"/>
      <c r="M524" s="249"/>
      <c r="N524" s="249"/>
      <c r="O524" s="249"/>
      <c r="P524" s="249"/>
      <c r="Q524" s="249"/>
      <c r="R524" s="249"/>
      <c r="S524" s="249"/>
      <c r="T524" s="249"/>
      <c r="U524" s="249"/>
      <c r="V524" s="249"/>
      <c r="W524" s="249"/>
      <c r="X524" s="249"/>
      <c r="Y524" s="249"/>
      <c r="Z524" s="249"/>
      <c r="AA524" s="249"/>
    </row>
    <row r="525">
      <c r="A525" s="249"/>
      <c r="B525" s="249"/>
      <c r="C525" s="249"/>
      <c r="D525" s="249"/>
      <c r="E525" s="249"/>
      <c r="F525" s="249"/>
      <c r="G525" s="249"/>
      <c r="H525" s="249"/>
      <c r="I525" s="249"/>
      <c r="J525" s="249"/>
      <c r="K525" s="249"/>
      <c r="L525" s="249"/>
      <c r="M525" s="249"/>
      <c r="N525" s="249"/>
      <c r="O525" s="249"/>
      <c r="P525" s="249"/>
      <c r="Q525" s="249"/>
      <c r="R525" s="249"/>
      <c r="S525" s="249"/>
      <c r="T525" s="249"/>
      <c r="U525" s="249"/>
      <c r="V525" s="249"/>
      <c r="W525" s="249"/>
      <c r="X525" s="249"/>
      <c r="Y525" s="249"/>
      <c r="Z525" s="249"/>
      <c r="AA525" s="249"/>
    </row>
    <row r="526">
      <c r="A526" s="249"/>
      <c r="B526" s="249"/>
      <c r="C526" s="249"/>
      <c r="D526" s="249"/>
      <c r="E526" s="249"/>
      <c r="F526" s="249"/>
      <c r="G526" s="249"/>
      <c r="H526" s="249"/>
      <c r="I526" s="249"/>
      <c r="J526" s="249"/>
      <c r="K526" s="249"/>
      <c r="L526" s="249"/>
      <c r="M526" s="249"/>
      <c r="N526" s="249"/>
      <c r="O526" s="249"/>
      <c r="P526" s="249"/>
      <c r="Q526" s="249"/>
      <c r="R526" s="249"/>
      <c r="S526" s="249"/>
      <c r="T526" s="249"/>
      <c r="U526" s="249"/>
      <c r="V526" s="249"/>
      <c r="W526" s="249"/>
      <c r="X526" s="249"/>
      <c r="Y526" s="249"/>
      <c r="Z526" s="249"/>
      <c r="AA526" s="249"/>
    </row>
    <row r="527">
      <c r="A527" s="249"/>
      <c r="B527" s="249"/>
      <c r="C527" s="249"/>
      <c r="D527" s="249"/>
      <c r="E527" s="249"/>
      <c r="F527" s="249"/>
      <c r="G527" s="249"/>
      <c r="H527" s="249"/>
      <c r="I527" s="249"/>
      <c r="J527" s="249"/>
      <c r="K527" s="249"/>
      <c r="L527" s="249"/>
      <c r="M527" s="249"/>
      <c r="N527" s="249"/>
      <c r="O527" s="249"/>
      <c r="P527" s="249"/>
      <c r="Q527" s="249"/>
      <c r="R527" s="249"/>
      <c r="S527" s="249"/>
      <c r="T527" s="249"/>
      <c r="U527" s="249"/>
      <c r="V527" s="249"/>
      <c r="W527" s="249"/>
      <c r="X527" s="249"/>
      <c r="Y527" s="249"/>
      <c r="Z527" s="249"/>
      <c r="AA527" s="249"/>
    </row>
    <row r="528">
      <c r="A528" s="249"/>
      <c r="B528" s="249"/>
      <c r="C528" s="249"/>
      <c r="D528" s="249"/>
      <c r="E528" s="249"/>
      <c r="F528" s="249"/>
      <c r="G528" s="249"/>
      <c r="H528" s="249"/>
      <c r="I528" s="249"/>
      <c r="J528" s="249"/>
      <c r="K528" s="249"/>
      <c r="L528" s="249"/>
      <c r="M528" s="249"/>
      <c r="N528" s="249"/>
      <c r="O528" s="249"/>
      <c r="P528" s="249"/>
      <c r="Q528" s="249"/>
      <c r="R528" s="249"/>
      <c r="S528" s="249"/>
      <c r="T528" s="249"/>
      <c r="U528" s="249"/>
      <c r="V528" s="249"/>
      <c r="W528" s="249"/>
      <c r="X528" s="249"/>
      <c r="Y528" s="249"/>
      <c r="Z528" s="249"/>
      <c r="AA528" s="249"/>
    </row>
    <row r="529">
      <c r="A529" s="249"/>
      <c r="B529" s="249"/>
      <c r="C529" s="249"/>
      <c r="D529" s="249"/>
      <c r="E529" s="249"/>
      <c r="F529" s="249"/>
      <c r="G529" s="249"/>
      <c r="H529" s="249"/>
      <c r="I529" s="249"/>
      <c r="J529" s="249"/>
      <c r="K529" s="249"/>
      <c r="L529" s="249"/>
      <c r="M529" s="249"/>
      <c r="N529" s="249"/>
      <c r="O529" s="249"/>
      <c r="P529" s="249"/>
      <c r="Q529" s="249"/>
      <c r="R529" s="249"/>
      <c r="S529" s="249"/>
      <c r="T529" s="249"/>
      <c r="U529" s="249"/>
      <c r="V529" s="249"/>
      <c r="W529" s="249"/>
      <c r="X529" s="249"/>
      <c r="Y529" s="249"/>
      <c r="Z529" s="249"/>
      <c r="AA529" s="249"/>
    </row>
    <row r="530">
      <c r="A530" s="249"/>
      <c r="B530" s="249"/>
      <c r="C530" s="249"/>
      <c r="D530" s="249"/>
      <c r="E530" s="249"/>
      <c r="F530" s="249"/>
      <c r="G530" s="249"/>
      <c r="H530" s="249"/>
      <c r="I530" s="249"/>
      <c r="J530" s="249"/>
      <c r="K530" s="249"/>
      <c r="L530" s="249"/>
      <c r="M530" s="249"/>
      <c r="N530" s="249"/>
      <c r="O530" s="249"/>
      <c r="P530" s="249"/>
      <c r="Q530" s="249"/>
      <c r="R530" s="249"/>
      <c r="S530" s="249"/>
      <c r="T530" s="249"/>
      <c r="U530" s="249"/>
      <c r="V530" s="249"/>
      <c r="W530" s="249"/>
      <c r="X530" s="249"/>
      <c r="Y530" s="249"/>
      <c r="Z530" s="249"/>
      <c r="AA530" s="249"/>
    </row>
    <row r="531">
      <c r="A531" s="249"/>
      <c r="B531" s="249"/>
      <c r="C531" s="249"/>
      <c r="D531" s="249"/>
      <c r="E531" s="249"/>
      <c r="F531" s="249"/>
      <c r="G531" s="249"/>
      <c r="H531" s="249"/>
      <c r="I531" s="249"/>
      <c r="J531" s="249"/>
      <c r="K531" s="249"/>
      <c r="L531" s="249"/>
      <c r="M531" s="249"/>
      <c r="N531" s="249"/>
      <c r="O531" s="249"/>
      <c r="P531" s="249"/>
      <c r="Q531" s="249"/>
      <c r="R531" s="249"/>
      <c r="S531" s="249"/>
      <c r="T531" s="249"/>
      <c r="U531" s="249"/>
      <c r="V531" s="249"/>
      <c r="W531" s="249"/>
      <c r="X531" s="249"/>
      <c r="Y531" s="249"/>
      <c r="Z531" s="249"/>
      <c r="AA531" s="249"/>
    </row>
    <row r="532">
      <c r="A532" s="249"/>
      <c r="B532" s="249"/>
      <c r="C532" s="249"/>
      <c r="D532" s="249"/>
      <c r="E532" s="249"/>
      <c r="F532" s="249"/>
      <c r="G532" s="249"/>
      <c r="H532" s="249"/>
      <c r="I532" s="249"/>
      <c r="J532" s="249"/>
      <c r="K532" s="249"/>
      <c r="L532" s="249"/>
      <c r="M532" s="249"/>
      <c r="N532" s="249"/>
      <c r="O532" s="249"/>
      <c r="P532" s="249"/>
      <c r="Q532" s="249"/>
      <c r="R532" s="249"/>
      <c r="S532" s="249"/>
      <c r="T532" s="249"/>
      <c r="U532" s="249"/>
      <c r="V532" s="249"/>
      <c r="W532" s="249"/>
      <c r="X532" s="249"/>
      <c r="Y532" s="249"/>
      <c r="Z532" s="249"/>
      <c r="AA532" s="249"/>
    </row>
    <row r="533">
      <c r="A533" s="249"/>
      <c r="B533" s="249"/>
      <c r="C533" s="249"/>
      <c r="D533" s="249"/>
      <c r="E533" s="249"/>
      <c r="F533" s="249"/>
      <c r="G533" s="249"/>
      <c r="H533" s="249"/>
      <c r="I533" s="249"/>
      <c r="J533" s="249"/>
      <c r="K533" s="249"/>
      <c r="L533" s="249"/>
      <c r="M533" s="249"/>
      <c r="N533" s="249"/>
      <c r="O533" s="249"/>
      <c r="P533" s="249"/>
      <c r="Q533" s="249"/>
      <c r="R533" s="249"/>
      <c r="S533" s="249"/>
      <c r="T533" s="249"/>
      <c r="U533" s="249"/>
      <c r="V533" s="249"/>
      <c r="W533" s="249"/>
      <c r="X533" s="249"/>
      <c r="Y533" s="249"/>
      <c r="Z533" s="249"/>
      <c r="AA533" s="249"/>
    </row>
    <row r="534">
      <c r="A534" s="249"/>
      <c r="B534" s="249"/>
      <c r="C534" s="249"/>
      <c r="D534" s="249"/>
      <c r="E534" s="249"/>
      <c r="F534" s="249"/>
      <c r="G534" s="249"/>
      <c r="H534" s="249"/>
      <c r="I534" s="249"/>
      <c r="J534" s="249"/>
      <c r="K534" s="249"/>
      <c r="L534" s="249"/>
      <c r="M534" s="249"/>
      <c r="N534" s="249"/>
      <c r="O534" s="249"/>
      <c r="P534" s="249"/>
      <c r="Q534" s="249"/>
      <c r="R534" s="249"/>
      <c r="S534" s="249"/>
      <c r="T534" s="249"/>
      <c r="U534" s="249"/>
      <c r="V534" s="249"/>
      <c r="W534" s="249"/>
      <c r="X534" s="249"/>
      <c r="Y534" s="249"/>
      <c r="Z534" s="249"/>
      <c r="AA534" s="249"/>
    </row>
    <row r="535">
      <c r="A535" s="249"/>
      <c r="B535" s="249"/>
      <c r="C535" s="249"/>
      <c r="D535" s="249"/>
      <c r="E535" s="249"/>
      <c r="F535" s="249"/>
      <c r="G535" s="249"/>
      <c r="H535" s="249"/>
      <c r="I535" s="249"/>
      <c r="J535" s="249"/>
      <c r="K535" s="249"/>
      <c r="L535" s="249"/>
      <c r="M535" s="249"/>
      <c r="N535" s="249"/>
      <c r="O535" s="249"/>
      <c r="P535" s="249"/>
      <c r="Q535" s="249"/>
      <c r="R535" s="249"/>
      <c r="S535" s="249"/>
      <c r="T535" s="249"/>
      <c r="U535" s="249"/>
      <c r="V535" s="249"/>
      <c r="W535" s="249"/>
      <c r="X535" s="249"/>
      <c r="Y535" s="249"/>
      <c r="Z535" s="249"/>
      <c r="AA535" s="249"/>
    </row>
    <row r="536">
      <c r="A536" s="249"/>
      <c r="B536" s="249"/>
      <c r="C536" s="249"/>
      <c r="D536" s="249"/>
      <c r="E536" s="249"/>
      <c r="F536" s="249"/>
      <c r="G536" s="249"/>
      <c r="H536" s="249"/>
      <c r="I536" s="249"/>
      <c r="J536" s="249"/>
      <c r="K536" s="249"/>
      <c r="L536" s="249"/>
      <c r="M536" s="249"/>
      <c r="N536" s="249"/>
      <c r="O536" s="249"/>
      <c r="P536" s="249"/>
      <c r="Q536" s="249"/>
      <c r="R536" s="249"/>
      <c r="S536" s="249"/>
      <c r="T536" s="249"/>
      <c r="U536" s="249"/>
      <c r="V536" s="249"/>
      <c r="W536" s="249"/>
      <c r="X536" s="249"/>
      <c r="Y536" s="249"/>
      <c r="Z536" s="249"/>
      <c r="AA536" s="249"/>
    </row>
    <row r="537">
      <c r="A537" s="249"/>
      <c r="B537" s="249"/>
      <c r="C537" s="249"/>
      <c r="D537" s="249"/>
      <c r="E537" s="249"/>
      <c r="F537" s="249"/>
      <c r="G537" s="249"/>
      <c r="H537" s="249"/>
      <c r="I537" s="249"/>
      <c r="J537" s="249"/>
      <c r="K537" s="249"/>
      <c r="L537" s="249"/>
      <c r="M537" s="249"/>
      <c r="N537" s="249"/>
      <c r="O537" s="249"/>
      <c r="P537" s="249"/>
      <c r="Q537" s="249"/>
      <c r="R537" s="249"/>
      <c r="S537" s="249"/>
      <c r="T537" s="249"/>
      <c r="U537" s="249"/>
      <c r="V537" s="249"/>
      <c r="W537" s="249"/>
      <c r="X537" s="249"/>
      <c r="Y537" s="249"/>
      <c r="Z537" s="249"/>
      <c r="AA537" s="249"/>
    </row>
    <row r="538">
      <c r="A538" s="249"/>
      <c r="B538" s="249"/>
      <c r="C538" s="249"/>
      <c r="D538" s="249"/>
      <c r="E538" s="249"/>
      <c r="F538" s="249"/>
      <c r="G538" s="249"/>
      <c r="H538" s="249"/>
      <c r="I538" s="249"/>
      <c r="J538" s="249"/>
      <c r="K538" s="249"/>
      <c r="L538" s="249"/>
      <c r="M538" s="249"/>
      <c r="N538" s="249"/>
      <c r="O538" s="249"/>
      <c r="P538" s="249"/>
      <c r="Q538" s="249"/>
      <c r="R538" s="249"/>
      <c r="S538" s="249"/>
      <c r="T538" s="249"/>
      <c r="U538" s="249"/>
      <c r="V538" s="249"/>
      <c r="W538" s="249"/>
      <c r="X538" s="249"/>
      <c r="Y538" s="249"/>
      <c r="Z538" s="249"/>
      <c r="AA538" s="249"/>
    </row>
    <row r="539">
      <c r="A539" s="249"/>
      <c r="B539" s="249"/>
      <c r="C539" s="249"/>
      <c r="D539" s="249"/>
      <c r="E539" s="249"/>
      <c r="F539" s="249"/>
      <c r="G539" s="249"/>
      <c r="H539" s="249"/>
      <c r="I539" s="249"/>
      <c r="J539" s="249"/>
      <c r="K539" s="249"/>
      <c r="L539" s="249"/>
      <c r="M539" s="249"/>
      <c r="N539" s="249"/>
      <c r="O539" s="249"/>
      <c r="P539" s="249"/>
      <c r="Q539" s="249"/>
      <c r="R539" s="249"/>
      <c r="S539" s="249"/>
      <c r="T539" s="249"/>
      <c r="U539" s="249"/>
      <c r="V539" s="249"/>
      <c r="W539" s="249"/>
      <c r="X539" s="249"/>
      <c r="Y539" s="249"/>
      <c r="Z539" s="249"/>
      <c r="AA539" s="249"/>
    </row>
    <row r="540">
      <c r="A540" s="249"/>
      <c r="B540" s="249"/>
      <c r="C540" s="249"/>
      <c r="D540" s="249"/>
      <c r="E540" s="249"/>
      <c r="F540" s="249"/>
      <c r="G540" s="249"/>
      <c r="H540" s="249"/>
      <c r="I540" s="249"/>
      <c r="J540" s="249"/>
      <c r="K540" s="249"/>
      <c r="L540" s="249"/>
      <c r="M540" s="249"/>
      <c r="N540" s="249"/>
      <c r="O540" s="249"/>
      <c r="P540" s="249"/>
      <c r="Q540" s="249"/>
      <c r="R540" s="249"/>
      <c r="S540" s="249"/>
      <c r="T540" s="249"/>
      <c r="U540" s="249"/>
      <c r="V540" s="249"/>
      <c r="W540" s="249"/>
      <c r="X540" s="249"/>
      <c r="Y540" s="249"/>
      <c r="Z540" s="249"/>
      <c r="AA540" s="249"/>
    </row>
    <row r="541">
      <c r="A541" s="249"/>
      <c r="B541" s="249"/>
      <c r="C541" s="249"/>
      <c r="D541" s="249"/>
      <c r="E541" s="249"/>
      <c r="F541" s="249"/>
      <c r="G541" s="249"/>
      <c r="H541" s="249"/>
      <c r="I541" s="249"/>
      <c r="J541" s="249"/>
      <c r="K541" s="249"/>
      <c r="L541" s="249"/>
      <c r="M541" s="249"/>
      <c r="N541" s="249"/>
      <c r="O541" s="249"/>
      <c r="P541" s="249"/>
      <c r="Q541" s="249"/>
      <c r="R541" s="249"/>
      <c r="S541" s="249"/>
      <c r="T541" s="249"/>
      <c r="U541" s="249"/>
      <c r="V541" s="249"/>
      <c r="W541" s="249"/>
      <c r="X541" s="249"/>
      <c r="Y541" s="249"/>
      <c r="Z541" s="249"/>
      <c r="AA541" s="249"/>
    </row>
    <row r="542">
      <c r="A542" s="249"/>
      <c r="B542" s="249"/>
      <c r="C542" s="249"/>
      <c r="D542" s="249"/>
      <c r="E542" s="249"/>
      <c r="F542" s="249"/>
      <c r="G542" s="249"/>
      <c r="H542" s="249"/>
      <c r="I542" s="249"/>
      <c r="J542" s="249"/>
      <c r="K542" s="249"/>
      <c r="L542" s="249"/>
      <c r="M542" s="249"/>
      <c r="N542" s="249"/>
      <c r="O542" s="249"/>
      <c r="P542" s="249"/>
      <c r="Q542" s="249"/>
      <c r="R542" s="249"/>
      <c r="S542" s="249"/>
      <c r="T542" s="249"/>
      <c r="U542" s="249"/>
      <c r="V542" s="249"/>
      <c r="W542" s="249"/>
      <c r="X542" s="249"/>
      <c r="Y542" s="249"/>
      <c r="Z542" s="249"/>
      <c r="AA542" s="249"/>
    </row>
    <row r="543">
      <c r="A543" s="249"/>
      <c r="B543" s="249"/>
      <c r="C543" s="249"/>
      <c r="D543" s="249"/>
      <c r="E543" s="249"/>
      <c r="F543" s="249"/>
      <c r="G543" s="249"/>
      <c r="H543" s="249"/>
      <c r="I543" s="249"/>
      <c r="J543" s="249"/>
      <c r="K543" s="249"/>
      <c r="L543" s="249"/>
      <c r="M543" s="249"/>
      <c r="N543" s="249"/>
      <c r="O543" s="249"/>
      <c r="P543" s="249"/>
      <c r="Q543" s="249"/>
      <c r="R543" s="249"/>
      <c r="S543" s="249"/>
      <c r="T543" s="249"/>
      <c r="U543" s="249"/>
      <c r="V543" s="249"/>
      <c r="W543" s="249"/>
      <c r="X543" s="249"/>
      <c r="Y543" s="249"/>
      <c r="Z543" s="249"/>
      <c r="AA543" s="249"/>
    </row>
    <row r="544">
      <c r="A544" s="249"/>
      <c r="B544" s="249"/>
      <c r="C544" s="249"/>
      <c r="D544" s="249"/>
      <c r="E544" s="249"/>
      <c r="F544" s="249"/>
      <c r="G544" s="249"/>
      <c r="H544" s="249"/>
      <c r="I544" s="249"/>
      <c r="J544" s="249"/>
      <c r="K544" s="249"/>
      <c r="L544" s="249"/>
      <c r="M544" s="249"/>
      <c r="N544" s="249"/>
      <c r="O544" s="249"/>
      <c r="P544" s="249"/>
      <c r="Q544" s="249"/>
      <c r="R544" s="249"/>
      <c r="S544" s="249"/>
      <c r="T544" s="249"/>
      <c r="U544" s="249"/>
      <c r="V544" s="249"/>
      <c r="W544" s="249"/>
      <c r="X544" s="249"/>
      <c r="Y544" s="249"/>
      <c r="Z544" s="249"/>
      <c r="AA544" s="249"/>
    </row>
    <row r="545">
      <c r="A545" s="249"/>
      <c r="B545" s="249"/>
      <c r="C545" s="249"/>
      <c r="D545" s="249"/>
      <c r="E545" s="249"/>
      <c r="F545" s="249"/>
      <c r="G545" s="249"/>
      <c r="H545" s="249"/>
      <c r="I545" s="249"/>
      <c r="J545" s="249"/>
      <c r="K545" s="249"/>
      <c r="L545" s="249"/>
      <c r="M545" s="249"/>
      <c r="N545" s="249"/>
      <c r="O545" s="249"/>
      <c r="P545" s="249"/>
      <c r="Q545" s="249"/>
      <c r="R545" s="249"/>
      <c r="S545" s="249"/>
      <c r="T545" s="249"/>
      <c r="U545" s="249"/>
      <c r="V545" s="249"/>
      <c r="W545" s="249"/>
      <c r="X545" s="249"/>
      <c r="Y545" s="249"/>
      <c r="Z545" s="249"/>
      <c r="AA545" s="249"/>
    </row>
    <row r="546">
      <c r="A546" s="249"/>
      <c r="B546" s="249"/>
      <c r="C546" s="249"/>
      <c r="D546" s="249"/>
      <c r="E546" s="249"/>
      <c r="F546" s="249"/>
      <c r="G546" s="249"/>
      <c r="H546" s="249"/>
      <c r="I546" s="249"/>
      <c r="J546" s="249"/>
      <c r="K546" s="249"/>
      <c r="L546" s="249"/>
      <c r="M546" s="249"/>
      <c r="N546" s="249"/>
      <c r="O546" s="249"/>
      <c r="P546" s="249"/>
      <c r="Q546" s="249"/>
      <c r="R546" s="249"/>
      <c r="S546" s="249"/>
      <c r="T546" s="249"/>
      <c r="U546" s="249"/>
      <c r="V546" s="249"/>
      <c r="W546" s="249"/>
      <c r="X546" s="249"/>
      <c r="Y546" s="249"/>
      <c r="Z546" s="249"/>
      <c r="AA546" s="249"/>
    </row>
    <row r="547">
      <c r="A547" s="249"/>
      <c r="B547" s="249"/>
      <c r="C547" s="249"/>
      <c r="D547" s="249"/>
      <c r="E547" s="249"/>
      <c r="F547" s="249"/>
      <c r="G547" s="249"/>
      <c r="H547" s="249"/>
      <c r="I547" s="249"/>
      <c r="J547" s="249"/>
      <c r="K547" s="249"/>
      <c r="L547" s="249"/>
      <c r="M547" s="249"/>
      <c r="N547" s="249"/>
      <c r="O547" s="249"/>
      <c r="P547" s="249"/>
      <c r="Q547" s="249"/>
      <c r="R547" s="249"/>
      <c r="S547" s="249"/>
      <c r="T547" s="249"/>
      <c r="U547" s="249"/>
      <c r="V547" s="249"/>
      <c r="W547" s="249"/>
      <c r="X547" s="249"/>
      <c r="Y547" s="249"/>
      <c r="Z547" s="249"/>
      <c r="AA547" s="249"/>
    </row>
    <row r="548">
      <c r="A548" s="249"/>
      <c r="B548" s="249"/>
      <c r="C548" s="249"/>
      <c r="D548" s="249"/>
      <c r="E548" s="249"/>
      <c r="F548" s="249"/>
      <c r="G548" s="249"/>
      <c r="H548" s="249"/>
      <c r="I548" s="249"/>
      <c r="J548" s="249"/>
      <c r="K548" s="249"/>
      <c r="L548" s="249"/>
      <c r="M548" s="249"/>
      <c r="N548" s="249"/>
      <c r="O548" s="249"/>
      <c r="P548" s="249"/>
      <c r="Q548" s="249"/>
      <c r="R548" s="249"/>
      <c r="S548" s="249"/>
      <c r="T548" s="249"/>
      <c r="U548" s="249"/>
      <c r="V548" s="249"/>
      <c r="W548" s="249"/>
      <c r="X548" s="249"/>
      <c r="Y548" s="249"/>
      <c r="Z548" s="249"/>
      <c r="AA548" s="249"/>
    </row>
    <row r="549">
      <c r="A549" s="249"/>
      <c r="B549" s="249"/>
      <c r="C549" s="249"/>
      <c r="D549" s="249"/>
      <c r="E549" s="249"/>
      <c r="F549" s="249"/>
      <c r="G549" s="249"/>
      <c r="H549" s="249"/>
      <c r="I549" s="249"/>
      <c r="J549" s="249"/>
      <c r="K549" s="249"/>
      <c r="L549" s="249"/>
      <c r="M549" s="249"/>
      <c r="N549" s="249"/>
      <c r="O549" s="249"/>
      <c r="P549" s="249"/>
      <c r="Q549" s="249"/>
      <c r="R549" s="249"/>
      <c r="S549" s="249"/>
      <c r="T549" s="249"/>
      <c r="U549" s="249"/>
      <c r="V549" s="249"/>
      <c r="W549" s="249"/>
      <c r="X549" s="249"/>
      <c r="Y549" s="249"/>
      <c r="Z549" s="249"/>
      <c r="AA549" s="249"/>
    </row>
    <row r="550">
      <c r="A550" s="249"/>
      <c r="B550" s="249"/>
      <c r="C550" s="249"/>
      <c r="D550" s="249"/>
      <c r="E550" s="249"/>
      <c r="F550" s="249"/>
      <c r="G550" s="249"/>
      <c r="H550" s="249"/>
      <c r="I550" s="249"/>
      <c r="J550" s="249"/>
      <c r="K550" s="249"/>
      <c r="L550" s="249"/>
      <c r="M550" s="249"/>
      <c r="N550" s="249"/>
      <c r="O550" s="249"/>
      <c r="P550" s="249"/>
      <c r="Q550" s="249"/>
      <c r="R550" s="249"/>
      <c r="S550" s="249"/>
      <c r="T550" s="249"/>
      <c r="U550" s="249"/>
      <c r="V550" s="249"/>
      <c r="W550" s="249"/>
      <c r="X550" s="249"/>
      <c r="Y550" s="249"/>
      <c r="Z550" s="249"/>
      <c r="AA550" s="249"/>
    </row>
    <row r="551">
      <c r="A551" s="249"/>
      <c r="B551" s="249"/>
      <c r="C551" s="249"/>
      <c r="D551" s="249"/>
      <c r="E551" s="249"/>
      <c r="F551" s="249"/>
      <c r="G551" s="249"/>
      <c r="H551" s="249"/>
      <c r="I551" s="249"/>
      <c r="J551" s="249"/>
      <c r="K551" s="249"/>
      <c r="L551" s="249"/>
      <c r="M551" s="249"/>
      <c r="N551" s="249"/>
      <c r="O551" s="249"/>
      <c r="P551" s="249"/>
      <c r="Q551" s="249"/>
      <c r="R551" s="249"/>
      <c r="S551" s="249"/>
      <c r="T551" s="249"/>
      <c r="U551" s="249"/>
      <c r="V551" s="249"/>
      <c r="W551" s="249"/>
      <c r="X551" s="249"/>
      <c r="Y551" s="249"/>
      <c r="Z551" s="249"/>
      <c r="AA551" s="249"/>
    </row>
    <row r="552">
      <c r="A552" s="249"/>
      <c r="B552" s="249"/>
      <c r="C552" s="249"/>
      <c r="D552" s="249"/>
      <c r="E552" s="249"/>
      <c r="F552" s="249"/>
      <c r="G552" s="249"/>
      <c r="H552" s="249"/>
      <c r="I552" s="249"/>
      <c r="J552" s="249"/>
      <c r="K552" s="249"/>
      <c r="L552" s="249"/>
      <c r="M552" s="249"/>
      <c r="N552" s="249"/>
      <c r="O552" s="249"/>
      <c r="P552" s="249"/>
      <c r="Q552" s="249"/>
      <c r="R552" s="249"/>
      <c r="S552" s="249"/>
      <c r="T552" s="249"/>
      <c r="U552" s="249"/>
      <c r="V552" s="249"/>
      <c r="W552" s="249"/>
      <c r="X552" s="249"/>
      <c r="Y552" s="249"/>
      <c r="Z552" s="249"/>
      <c r="AA552" s="249"/>
    </row>
    <row r="553">
      <c r="A553" s="249"/>
      <c r="B553" s="249"/>
      <c r="C553" s="249"/>
      <c r="D553" s="249"/>
      <c r="E553" s="249"/>
      <c r="F553" s="249"/>
      <c r="G553" s="249"/>
      <c r="H553" s="249"/>
      <c r="I553" s="249"/>
      <c r="J553" s="249"/>
      <c r="K553" s="249"/>
      <c r="L553" s="249"/>
      <c r="M553" s="249"/>
      <c r="N553" s="249"/>
      <c r="O553" s="249"/>
      <c r="P553" s="249"/>
      <c r="Q553" s="249"/>
      <c r="R553" s="249"/>
      <c r="S553" s="249"/>
      <c r="T553" s="249"/>
      <c r="U553" s="249"/>
      <c r="V553" s="249"/>
      <c r="W553" s="249"/>
      <c r="X553" s="249"/>
      <c r="Y553" s="249"/>
      <c r="Z553" s="249"/>
      <c r="AA553" s="249"/>
    </row>
    <row r="554">
      <c r="A554" s="249"/>
      <c r="B554" s="249"/>
      <c r="C554" s="249"/>
      <c r="D554" s="249"/>
      <c r="E554" s="249"/>
      <c r="F554" s="249"/>
      <c r="G554" s="249"/>
      <c r="H554" s="249"/>
      <c r="I554" s="249"/>
      <c r="J554" s="249"/>
      <c r="K554" s="249"/>
      <c r="L554" s="249"/>
      <c r="M554" s="249"/>
      <c r="N554" s="249"/>
      <c r="O554" s="249"/>
      <c r="P554" s="249"/>
      <c r="Q554" s="249"/>
      <c r="R554" s="249"/>
      <c r="S554" s="249"/>
      <c r="T554" s="249"/>
      <c r="U554" s="249"/>
      <c r="V554" s="249"/>
      <c r="W554" s="249"/>
      <c r="X554" s="249"/>
      <c r="Y554" s="249"/>
      <c r="Z554" s="249"/>
      <c r="AA554" s="249"/>
    </row>
    <row r="555">
      <c r="A555" s="249"/>
      <c r="B555" s="249"/>
      <c r="C555" s="249"/>
      <c r="D555" s="249"/>
      <c r="E555" s="249"/>
      <c r="F555" s="249"/>
      <c r="G555" s="249"/>
      <c r="H555" s="249"/>
      <c r="I555" s="249"/>
      <c r="J555" s="249"/>
      <c r="K555" s="249"/>
      <c r="L555" s="249"/>
      <c r="M555" s="249"/>
      <c r="N555" s="249"/>
      <c r="O555" s="249"/>
      <c r="P555" s="249"/>
      <c r="Q555" s="249"/>
      <c r="R555" s="249"/>
      <c r="S555" s="249"/>
      <c r="T555" s="249"/>
      <c r="U555" s="249"/>
      <c r="V555" s="249"/>
      <c r="W555" s="249"/>
      <c r="X555" s="249"/>
      <c r="Y555" s="249"/>
      <c r="Z555" s="249"/>
      <c r="AA555" s="249"/>
    </row>
    <row r="556">
      <c r="A556" s="249"/>
      <c r="B556" s="249"/>
      <c r="C556" s="249"/>
      <c r="D556" s="249"/>
      <c r="E556" s="249"/>
      <c r="F556" s="249"/>
      <c r="G556" s="249"/>
      <c r="H556" s="249"/>
      <c r="I556" s="249"/>
      <c r="J556" s="249"/>
      <c r="K556" s="249"/>
      <c r="L556" s="249"/>
      <c r="M556" s="249"/>
      <c r="N556" s="249"/>
      <c r="O556" s="249"/>
      <c r="P556" s="249"/>
      <c r="Q556" s="249"/>
      <c r="R556" s="249"/>
      <c r="S556" s="249"/>
      <c r="T556" s="249"/>
      <c r="U556" s="249"/>
      <c r="V556" s="249"/>
      <c r="W556" s="249"/>
      <c r="X556" s="249"/>
      <c r="Y556" s="249"/>
      <c r="Z556" s="249"/>
      <c r="AA556" s="249"/>
    </row>
    <row r="557">
      <c r="A557" s="249"/>
      <c r="B557" s="249"/>
      <c r="C557" s="249"/>
      <c r="D557" s="249"/>
      <c r="E557" s="249"/>
      <c r="F557" s="249"/>
      <c r="G557" s="249"/>
      <c r="H557" s="249"/>
      <c r="I557" s="249"/>
      <c r="J557" s="249"/>
      <c r="K557" s="249"/>
      <c r="L557" s="249"/>
      <c r="M557" s="249"/>
      <c r="N557" s="249"/>
      <c r="O557" s="249"/>
      <c r="P557" s="249"/>
      <c r="Q557" s="249"/>
      <c r="R557" s="249"/>
      <c r="S557" s="249"/>
      <c r="T557" s="249"/>
      <c r="U557" s="249"/>
      <c r="V557" s="249"/>
      <c r="W557" s="249"/>
      <c r="X557" s="249"/>
      <c r="Y557" s="249"/>
      <c r="Z557" s="249"/>
      <c r="AA557" s="249"/>
    </row>
    <row r="558">
      <c r="A558" s="249"/>
      <c r="B558" s="249"/>
      <c r="C558" s="249"/>
      <c r="D558" s="249"/>
      <c r="E558" s="249"/>
      <c r="F558" s="249"/>
      <c r="G558" s="249"/>
      <c r="H558" s="249"/>
      <c r="I558" s="249"/>
      <c r="J558" s="249"/>
      <c r="K558" s="249"/>
      <c r="L558" s="249"/>
      <c r="M558" s="249"/>
      <c r="N558" s="249"/>
      <c r="O558" s="249"/>
      <c r="P558" s="249"/>
      <c r="Q558" s="249"/>
      <c r="R558" s="249"/>
      <c r="S558" s="249"/>
      <c r="T558" s="249"/>
      <c r="U558" s="249"/>
      <c r="V558" s="249"/>
      <c r="W558" s="249"/>
      <c r="X558" s="249"/>
      <c r="Y558" s="249"/>
      <c r="Z558" s="249"/>
      <c r="AA558" s="249"/>
    </row>
    <row r="559">
      <c r="A559" s="249"/>
      <c r="B559" s="249"/>
      <c r="C559" s="249"/>
      <c r="D559" s="249"/>
      <c r="E559" s="249"/>
      <c r="F559" s="249"/>
      <c r="G559" s="249"/>
      <c r="H559" s="249"/>
      <c r="I559" s="249"/>
      <c r="J559" s="249"/>
      <c r="K559" s="249"/>
      <c r="L559" s="249"/>
      <c r="M559" s="249"/>
      <c r="N559" s="249"/>
      <c r="O559" s="249"/>
      <c r="P559" s="249"/>
      <c r="Q559" s="249"/>
      <c r="R559" s="249"/>
      <c r="S559" s="249"/>
      <c r="T559" s="249"/>
      <c r="U559" s="249"/>
      <c r="V559" s="249"/>
      <c r="W559" s="249"/>
      <c r="X559" s="249"/>
      <c r="Y559" s="249"/>
      <c r="Z559" s="249"/>
      <c r="AA559" s="249"/>
    </row>
    <row r="560">
      <c r="A560" s="249"/>
      <c r="B560" s="249"/>
      <c r="C560" s="249"/>
      <c r="D560" s="249"/>
      <c r="E560" s="249"/>
      <c r="F560" s="249"/>
      <c r="G560" s="249"/>
      <c r="H560" s="249"/>
      <c r="I560" s="249"/>
      <c r="J560" s="249"/>
      <c r="K560" s="249"/>
      <c r="L560" s="249"/>
      <c r="M560" s="249"/>
      <c r="N560" s="249"/>
      <c r="O560" s="249"/>
      <c r="P560" s="249"/>
      <c r="Q560" s="249"/>
      <c r="R560" s="249"/>
      <c r="S560" s="249"/>
      <c r="T560" s="249"/>
      <c r="U560" s="249"/>
      <c r="V560" s="249"/>
      <c r="W560" s="249"/>
      <c r="X560" s="249"/>
      <c r="Y560" s="249"/>
      <c r="Z560" s="249"/>
      <c r="AA560" s="249"/>
    </row>
    <row r="561">
      <c r="A561" s="249"/>
      <c r="B561" s="249"/>
      <c r="C561" s="249"/>
      <c r="D561" s="249"/>
      <c r="E561" s="249"/>
      <c r="F561" s="249"/>
      <c r="G561" s="249"/>
      <c r="H561" s="249"/>
      <c r="I561" s="249"/>
      <c r="J561" s="249"/>
      <c r="K561" s="249"/>
      <c r="L561" s="249"/>
      <c r="M561" s="249"/>
      <c r="N561" s="249"/>
      <c r="O561" s="249"/>
      <c r="P561" s="249"/>
      <c r="Q561" s="249"/>
      <c r="R561" s="249"/>
      <c r="S561" s="249"/>
      <c r="T561" s="249"/>
      <c r="U561" s="249"/>
      <c r="V561" s="249"/>
      <c r="W561" s="249"/>
      <c r="X561" s="249"/>
      <c r="Y561" s="249"/>
      <c r="Z561" s="249"/>
      <c r="AA561" s="249"/>
    </row>
    <row r="562">
      <c r="A562" s="249"/>
      <c r="B562" s="249"/>
      <c r="C562" s="249"/>
      <c r="D562" s="249"/>
      <c r="E562" s="249"/>
      <c r="F562" s="249"/>
      <c r="G562" s="249"/>
      <c r="H562" s="249"/>
      <c r="I562" s="249"/>
      <c r="J562" s="249"/>
      <c r="K562" s="249"/>
      <c r="L562" s="249"/>
      <c r="M562" s="249"/>
      <c r="N562" s="249"/>
      <c r="O562" s="249"/>
      <c r="P562" s="249"/>
      <c r="Q562" s="249"/>
      <c r="R562" s="249"/>
      <c r="S562" s="249"/>
      <c r="T562" s="249"/>
      <c r="U562" s="249"/>
      <c r="V562" s="249"/>
      <c r="W562" s="249"/>
      <c r="X562" s="249"/>
      <c r="Y562" s="249"/>
      <c r="Z562" s="249"/>
      <c r="AA562" s="249"/>
    </row>
    <row r="563">
      <c r="A563" s="249"/>
      <c r="B563" s="249"/>
      <c r="C563" s="249"/>
      <c r="D563" s="249"/>
      <c r="E563" s="249"/>
      <c r="F563" s="249"/>
      <c r="G563" s="249"/>
      <c r="H563" s="249"/>
      <c r="I563" s="249"/>
      <c r="J563" s="249"/>
      <c r="K563" s="249"/>
      <c r="L563" s="249"/>
      <c r="M563" s="249"/>
      <c r="N563" s="249"/>
      <c r="O563" s="249"/>
      <c r="P563" s="249"/>
      <c r="Q563" s="249"/>
      <c r="R563" s="249"/>
      <c r="S563" s="249"/>
      <c r="T563" s="249"/>
      <c r="U563" s="249"/>
      <c r="V563" s="249"/>
      <c r="W563" s="249"/>
      <c r="X563" s="249"/>
      <c r="Y563" s="249"/>
      <c r="Z563" s="249"/>
      <c r="AA563" s="249"/>
    </row>
    <row r="564">
      <c r="A564" s="249"/>
      <c r="B564" s="249"/>
      <c r="C564" s="249"/>
      <c r="D564" s="249"/>
      <c r="E564" s="249"/>
      <c r="F564" s="249"/>
      <c r="G564" s="249"/>
      <c r="H564" s="249"/>
      <c r="I564" s="249"/>
      <c r="J564" s="249"/>
      <c r="K564" s="249"/>
      <c r="L564" s="249"/>
      <c r="M564" s="249"/>
      <c r="N564" s="249"/>
      <c r="O564" s="249"/>
      <c r="P564" s="249"/>
      <c r="Q564" s="249"/>
      <c r="R564" s="249"/>
      <c r="S564" s="249"/>
      <c r="T564" s="249"/>
      <c r="U564" s="249"/>
      <c r="V564" s="249"/>
      <c r="W564" s="249"/>
      <c r="X564" s="249"/>
      <c r="Y564" s="249"/>
      <c r="Z564" s="249"/>
      <c r="AA564" s="249"/>
    </row>
    <row r="565">
      <c r="A565" s="249"/>
      <c r="B565" s="249"/>
      <c r="C565" s="249"/>
      <c r="D565" s="249"/>
      <c r="E565" s="249"/>
      <c r="F565" s="249"/>
      <c r="G565" s="249"/>
      <c r="H565" s="249"/>
      <c r="I565" s="249"/>
      <c r="J565" s="249"/>
      <c r="K565" s="249"/>
      <c r="L565" s="249"/>
      <c r="M565" s="249"/>
      <c r="N565" s="249"/>
      <c r="O565" s="249"/>
      <c r="P565" s="249"/>
      <c r="Q565" s="249"/>
      <c r="R565" s="249"/>
      <c r="S565" s="249"/>
      <c r="T565" s="249"/>
      <c r="U565" s="249"/>
      <c r="V565" s="249"/>
      <c r="W565" s="249"/>
      <c r="X565" s="249"/>
      <c r="Y565" s="249"/>
      <c r="Z565" s="249"/>
      <c r="AA565" s="249"/>
    </row>
    <row r="566">
      <c r="A566" s="249"/>
      <c r="B566" s="249"/>
      <c r="C566" s="249"/>
      <c r="D566" s="249"/>
      <c r="E566" s="249"/>
      <c r="F566" s="249"/>
      <c r="G566" s="249"/>
      <c r="H566" s="249"/>
      <c r="I566" s="249"/>
      <c r="J566" s="249"/>
      <c r="K566" s="249"/>
      <c r="L566" s="249"/>
      <c r="M566" s="249"/>
      <c r="N566" s="249"/>
      <c r="O566" s="249"/>
      <c r="P566" s="249"/>
      <c r="Q566" s="249"/>
      <c r="R566" s="249"/>
      <c r="S566" s="249"/>
      <c r="T566" s="249"/>
      <c r="U566" s="249"/>
      <c r="V566" s="249"/>
      <c r="W566" s="249"/>
      <c r="X566" s="249"/>
      <c r="Y566" s="249"/>
      <c r="Z566" s="249"/>
      <c r="AA566" s="249"/>
    </row>
    <row r="567">
      <c r="A567" s="249"/>
      <c r="B567" s="249"/>
      <c r="C567" s="249"/>
      <c r="D567" s="249"/>
      <c r="E567" s="249"/>
      <c r="F567" s="249"/>
      <c r="G567" s="249"/>
      <c r="H567" s="249"/>
      <c r="I567" s="249"/>
      <c r="J567" s="249"/>
      <c r="K567" s="249"/>
      <c r="L567" s="249"/>
      <c r="M567" s="249"/>
      <c r="N567" s="249"/>
      <c r="O567" s="249"/>
      <c r="P567" s="249"/>
      <c r="Q567" s="249"/>
      <c r="R567" s="249"/>
      <c r="S567" s="249"/>
      <c r="T567" s="249"/>
      <c r="U567" s="249"/>
      <c r="V567" s="249"/>
      <c r="W567" s="249"/>
      <c r="X567" s="249"/>
      <c r="Y567" s="249"/>
      <c r="Z567" s="249"/>
      <c r="AA567" s="249"/>
    </row>
    <row r="568">
      <c r="A568" s="249"/>
      <c r="B568" s="249"/>
      <c r="C568" s="249"/>
      <c r="D568" s="249"/>
      <c r="E568" s="249"/>
      <c r="F568" s="249"/>
      <c r="G568" s="249"/>
      <c r="H568" s="249"/>
      <c r="I568" s="249"/>
      <c r="J568" s="249"/>
      <c r="K568" s="249"/>
      <c r="L568" s="249"/>
      <c r="M568" s="249"/>
      <c r="N568" s="249"/>
      <c r="O568" s="249"/>
      <c r="P568" s="249"/>
      <c r="Q568" s="249"/>
      <c r="R568" s="249"/>
      <c r="S568" s="249"/>
      <c r="T568" s="249"/>
      <c r="U568" s="249"/>
      <c r="V568" s="249"/>
      <c r="W568" s="249"/>
      <c r="X568" s="249"/>
      <c r="Y568" s="249"/>
      <c r="Z568" s="249"/>
      <c r="AA568" s="249"/>
    </row>
    <row r="569">
      <c r="A569" s="249"/>
      <c r="B569" s="249"/>
      <c r="C569" s="249"/>
      <c r="D569" s="249"/>
      <c r="E569" s="249"/>
      <c r="F569" s="249"/>
      <c r="G569" s="249"/>
      <c r="H569" s="249"/>
      <c r="I569" s="249"/>
      <c r="J569" s="249"/>
      <c r="K569" s="249"/>
      <c r="L569" s="249"/>
      <c r="M569" s="249"/>
      <c r="N569" s="249"/>
      <c r="O569" s="249"/>
      <c r="P569" s="249"/>
      <c r="Q569" s="249"/>
      <c r="R569" s="249"/>
      <c r="S569" s="249"/>
      <c r="T569" s="249"/>
      <c r="U569" s="249"/>
      <c r="V569" s="249"/>
      <c r="W569" s="249"/>
      <c r="X569" s="249"/>
      <c r="Y569" s="249"/>
      <c r="Z569" s="249"/>
      <c r="AA569" s="249"/>
    </row>
    <row r="570">
      <c r="A570" s="249"/>
      <c r="B570" s="249"/>
      <c r="C570" s="249"/>
      <c r="D570" s="249"/>
      <c r="E570" s="249"/>
      <c r="F570" s="249"/>
      <c r="G570" s="249"/>
      <c r="H570" s="249"/>
      <c r="I570" s="249"/>
      <c r="J570" s="249"/>
      <c r="K570" s="249"/>
      <c r="L570" s="249"/>
      <c r="M570" s="249"/>
      <c r="N570" s="249"/>
      <c r="O570" s="249"/>
      <c r="P570" s="249"/>
      <c r="Q570" s="249"/>
      <c r="R570" s="249"/>
      <c r="S570" s="249"/>
      <c r="T570" s="249"/>
      <c r="U570" s="249"/>
      <c r="V570" s="249"/>
      <c r="W570" s="249"/>
      <c r="X570" s="249"/>
      <c r="Y570" s="249"/>
      <c r="Z570" s="249"/>
      <c r="AA570" s="249"/>
    </row>
    <row r="571">
      <c r="A571" s="249"/>
      <c r="B571" s="249"/>
      <c r="C571" s="249"/>
      <c r="D571" s="249"/>
      <c r="E571" s="249"/>
      <c r="F571" s="249"/>
      <c r="G571" s="249"/>
      <c r="H571" s="249"/>
      <c r="I571" s="249"/>
      <c r="J571" s="249"/>
      <c r="K571" s="249"/>
      <c r="L571" s="249"/>
      <c r="M571" s="249"/>
      <c r="N571" s="249"/>
      <c r="O571" s="249"/>
      <c r="P571" s="249"/>
      <c r="Q571" s="249"/>
      <c r="R571" s="249"/>
      <c r="S571" s="249"/>
      <c r="T571" s="249"/>
      <c r="U571" s="249"/>
      <c r="V571" s="249"/>
      <c r="W571" s="249"/>
      <c r="X571" s="249"/>
      <c r="Y571" s="249"/>
      <c r="Z571" s="249"/>
      <c r="AA571" s="249"/>
    </row>
    <row r="572">
      <c r="A572" s="249"/>
      <c r="B572" s="249"/>
      <c r="C572" s="249"/>
      <c r="D572" s="249"/>
      <c r="E572" s="249"/>
      <c r="F572" s="249"/>
      <c r="G572" s="249"/>
      <c r="H572" s="249"/>
      <c r="I572" s="249"/>
      <c r="J572" s="249"/>
      <c r="K572" s="249"/>
      <c r="L572" s="249"/>
      <c r="M572" s="249"/>
      <c r="N572" s="249"/>
      <c r="O572" s="249"/>
      <c r="P572" s="249"/>
      <c r="Q572" s="249"/>
      <c r="R572" s="249"/>
      <c r="S572" s="249"/>
      <c r="T572" s="249"/>
      <c r="U572" s="249"/>
      <c r="V572" s="249"/>
      <c r="W572" s="249"/>
      <c r="X572" s="249"/>
      <c r="Y572" s="249"/>
      <c r="Z572" s="249"/>
      <c r="AA572" s="249"/>
    </row>
    <row r="573">
      <c r="A573" s="249"/>
      <c r="B573" s="249"/>
      <c r="C573" s="249"/>
      <c r="D573" s="249"/>
      <c r="E573" s="249"/>
      <c r="F573" s="249"/>
      <c r="G573" s="249"/>
      <c r="H573" s="249"/>
      <c r="I573" s="249"/>
      <c r="J573" s="249"/>
      <c r="K573" s="249"/>
      <c r="L573" s="249"/>
      <c r="M573" s="249"/>
      <c r="N573" s="249"/>
      <c r="O573" s="249"/>
      <c r="P573" s="249"/>
      <c r="Q573" s="249"/>
      <c r="R573" s="249"/>
      <c r="S573" s="249"/>
      <c r="T573" s="249"/>
      <c r="U573" s="249"/>
      <c r="V573" s="249"/>
      <c r="W573" s="249"/>
      <c r="X573" s="249"/>
      <c r="Y573" s="249"/>
      <c r="Z573" s="249"/>
      <c r="AA573" s="249"/>
    </row>
    <row r="574">
      <c r="A574" s="249"/>
      <c r="B574" s="249"/>
      <c r="C574" s="249"/>
      <c r="D574" s="249"/>
      <c r="E574" s="249"/>
      <c r="F574" s="249"/>
      <c r="G574" s="249"/>
      <c r="H574" s="249"/>
      <c r="I574" s="249"/>
      <c r="J574" s="249"/>
      <c r="K574" s="249"/>
      <c r="L574" s="249"/>
      <c r="M574" s="249"/>
      <c r="N574" s="249"/>
      <c r="O574" s="249"/>
      <c r="P574" s="249"/>
      <c r="Q574" s="249"/>
      <c r="R574" s="249"/>
      <c r="S574" s="249"/>
      <c r="T574" s="249"/>
      <c r="U574" s="249"/>
      <c r="V574" s="249"/>
      <c r="W574" s="249"/>
      <c r="X574" s="249"/>
      <c r="Y574" s="249"/>
      <c r="Z574" s="249"/>
      <c r="AA574" s="249"/>
    </row>
    <row r="575">
      <c r="A575" s="249"/>
      <c r="B575" s="249"/>
      <c r="C575" s="249"/>
      <c r="D575" s="249"/>
      <c r="E575" s="249"/>
      <c r="F575" s="249"/>
      <c r="G575" s="249"/>
      <c r="H575" s="249"/>
      <c r="I575" s="249"/>
      <c r="J575" s="249"/>
      <c r="K575" s="249"/>
      <c r="L575" s="249"/>
      <c r="M575" s="249"/>
      <c r="N575" s="249"/>
      <c r="O575" s="249"/>
      <c r="P575" s="249"/>
      <c r="Q575" s="249"/>
      <c r="R575" s="249"/>
      <c r="S575" s="249"/>
      <c r="T575" s="249"/>
      <c r="U575" s="249"/>
      <c r="V575" s="249"/>
      <c r="W575" s="249"/>
      <c r="X575" s="249"/>
      <c r="Y575" s="249"/>
      <c r="Z575" s="249"/>
      <c r="AA575" s="249"/>
    </row>
    <row r="576">
      <c r="A576" s="249"/>
      <c r="B576" s="249"/>
      <c r="C576" s="249"/>
      <c r="D576" s="249"/>
      <c r="E576" s="249"/>
      <c r="F576" s="249"/>
      <c r="G576" s="249"/>
      <c r="H576" s="249"/>
      <c r="I576" s="249"/>
      <c r="J576" s="249"/>
      <c r="K576" s="249"/>
      <c r="L576" s="249"/>
      <c r="M576" s="249"/>
      <c r="N576" s="249"/>
      <c r="O576" s="249"/>
      <c r="P576" s="249"/>
      <c r="Q576" s="249"/>
      <c r="R576" s="249"/>
      <c r="S576" s="249"/>
      <c r="T576" s="249"/>
      <c r="U576" s="249"/>
      <c r="V576" s="249"/>
      <c r="W576" s="249"/>
      <c r="X576" s="249"/>
      <c r="Y576" s="249"/>
      <c r="Z576" s="249"/>
      <c r="AA576" s="249"/>
    </row>
    <row r="577">
      <c r="A577" s="249"/>
      <c r="B577" s="249"/>
      <c r="C577" s="249"/>
      <c r="D577" s="249"/>
      <c r="E577" s="249"/>
      <c r="F577" s="249"/>
      <c r="G577" s="249"/>
      <c r="H577" s="249"/>
      <c r="I577" s="249"/>
      <c r="J577" s="249"/>
      <c r="K577" s="249"/>
      <c r="L577" s="249"/>
      <c r="M577" s="249"/>
      <c r="N577" s="249"/>
      <c r="O577" s="249"/>
      <c r="P577" s="249"/>
      <c r="Q577" s="249"/>
      <c r="R577" s="249"/>
      <c r="S577" s="249"/>
      <c r="T577" s="249"/>
      <c r="U577" s="249"/>
      <c r="V577" s="249"/>
      <c r="W577" s="249"/>
      <c r="X577" s="249"/>
      <c r="Y577" s="249"/>
      <c r="Z577" s="249"/>
      <c r="AA577" s="249"/>
    </row>
    <row r="578">
      <c r="A578" s="249"/>
      <c r="B578" s="249"/>
      <c r="C578" s="249"/>
      <c r="D578" s="249"/>
      <c r="E578" s="249"/>
      <c r="F578" s="249"/>
      <c r="G578" s="249"/>
      <c r="H578" s="249"/>
      <c r="I578" s="249"/>
      <c r="J578" s="249"/>
      <c r="K578" s="249"/>
      <c r="L578" s="249"/>
      <c r="M578" s="249"/>
      <c r="N578" s="249"/>
      <c r="O578" s="249"/>
      <c r="P578" s="249"/>
      <c r="Q578" s="249"/>
      <c r="R578" s="249"/>
      <c r="S578" s="249"/>
      <c r="T578" s="249"/>
      <c r="U578" s="249"/>
      <c r="V578" s="249"/>
      <c r="W578" s="249"/>
      <c r="X578" s="249"/>
      <c r="Y578" s="249"/>
      <c r="Z578" s="249"/>
      <c r="AA578" s="249"/>
    </row>
    <row r="579">
      <c r="A579" s="249"/>
      <c r="B579" s="249"/>
      <c r="C579" s="249"/>
      <c r="D579" s="249"/>
      <c r="E579" s="249"/>
      <c r="F579" s="249"/>
      <c r="G579" s="249"/>
      <c r="H579" s="249"/>
      <c r="I579" s="249"/>
      <c r="J579" s="249"/>
      <c r="K579" s="249"/>
      <c r="L579" s="249"/>
      <c r="M579" s="249"/>
      <c r="N579" s="249"/>
      <c r="O579" s="249"/>
      <c r="P579" s="249"/>
      <c r="Q579" s="249"/>
      <c r="R579" s="249"/>
      <c r="S579" s="249"/>
      <c r="T579" s="249"/>
      <c r="U579" s="249"/>
      <c r="V579" s="249"/>
      <c r="W579" s="249"/>
      <c r="X579" s="249"/>
      <c r="Y579" s="249"/>
      <c r="Z579" s="249"/>
      <c r="AA579" s="249"/>
    </row>
    <row r="580">
      <c r="A580" s="249"/>
      <c r="B580" s="249"/>
      <c r="C580" s="249"/>
      <c r="D580" s="249"/>
      <c r="E580" s="249"/>
      <c r="F580" s="249"/>
      <c r="G580" s="249"/>
      <c r="H580" s="249"/>
      <c r="I580" s="249"/>
      <c r="J580" s="249"/>
      <c r="K580" s="249"/>
      <c r="L580" s="249"/>
      <c r="M580" s="249"/>
      <c r="N580" s="249"/>
      <c r="O580" s="249"/>
      <c r="P580" s="249"/>
      <c r="Q580" s="249"/>
      <c r="R580" s="249"/>
      <c r="S580" s="249"/>
      <c r="T580" s="249"/>
      <c r="U580" s="249"/>
      <c r="V580" s="249"/>
      <c r="W580" s="249"/>
      <c r="X580" s="249"/>
      <c r="Y580" s="249"/>
      <c r="Z580" s="249"/>
      <c r="AA580" s="249"/>
    </row>
    <row r="581">
      <c r="A581" s="249"/>
      <c r="B581" s="249"/>
      <c r="C581" s="249"/>
      <c r="D581" s="249"/>
      <c r="E581" s="249"/>
      <c r="F581" s="249"/>
      <c r="G581" s="249"/>
      <c r="H581" s="249"/>
      <c r="I581" s="249"/>
      <c r="J581" s="249"/>
      <c r="K581" s="249"/>
      <c r="L581" s="249"/>
      <c r="M581" s="249"/>
      <c r="N581" s="249"/>
      <c r="O581" s="249"/>
      <c r="P581" s="249"/>
      <c r="Q581" s="249"/>
      <c r="R581" s="249"/>
      <c r="S581" s="249"/>
      <c r="T581" s="249"/>
      <c r="U581" s="249"/>
      <c r="V581" s="249"/>
      <c r="W581" s="249"/>
      <c r="X581" s="249"/>
      <c r="Y581" s="249"/>
      <c r="Z581" s="249"/>
      <c r="AA581" s="249"/>
    </row>
    <row r="582">
      <c r="A582" s="249"/>
      <c r="B582" s="249"/>
      <c r="C582" s="249"/>
      <c r="D582" s="249"/>
      <c r="E582" s="249"/>
      <c r="F582" s="249"/>
      <c r="G582" s="249"/>
      <c r="H582" s="249"/>
      <c r="I582" s="249"/>
      <c r="J582" s="249"/>
      <c r="K582" s="249"/>
      <c r="L582" s="249"/>
      <c r="M582" s="249"/>
      <c r="N582" s="249"/>
      <c r="O582" s="249"/>
      <c r="P582" s="249"/>
      <c r="Q582" s="249"/>
      <c r="R582" s="249"/>
      <c r="S582" s="249"/>
      <c r="T582" s="249"/>
      <c r="U582" s="249"/>
      <c r="V582" s="249"/>
      <c r="W582" s="249"/>
      <c r="X582" s="249"/>
      <c r="Y582" s="249"/>
      <c r="Z582" s="249"/>
      <c r="AA582" s="249"/>
    </row>
    <row r="583">
      <c r="A583" s="249"/>
      <c r="B583" s="249"/>
      <c r="C583" s="249"/>
      <c r="D583" s="249"/>
      <c r="E583" s="249"/>
      <c r="F583" s="249"/>
      <c r="G583" s="249"/>
      <c r="H583" s="249"/>
      <c r="I583" s="249"/>
      <c r="J583" s="249"/>
      <c r="K583" s="249"/>
      <c r="L583" s="249"/>
      <c r="M583" s="249"/>
      <c r="N583" s="249"/>
      <c r="O583" s="249"/>
      <c r="P583" s="249"/>
      <c r="Q583" s="249"/>
      <c r="R583" s="249"/>
      <c r="S583" s="249"/>
      <c r="T583" s="249"/>
      <c r="U583" s="249"/>
      <c r="V583" s="249"/>
      <c r="W583" s="249"/>
      <c r="X583" s="249"/>
      <c r="Y583" s="249"/>
      <c r="Z583" s="249"/>
      <c r="AA583" s="249"/>
    </row>
    <row r="584">
      <c r="A584" s="249"/>
      <c r="B584" s="249"/>
      <c r="C584" s="249"/>
      <c r="D584" s="249"/>
      <c r="E584" s="249"/>
      <c r="F584" s="249"/>
      <c r="G584" s="249"/>
      <c r="H584" s="249"/>
      <c r="I584" s="249"/>
      <c r="J584" s="249"/>
      <c r="K584" s="249"/>
      <c r="L584" s="249"/>
      <c r="M584" s="249"/>
      <c r="N584" s="249"/>
      <c r="O584" s="249"/>
      <c r="P584" s="249"/>
      <c r="Q584" s="249"/>
      <c r="R584" s="249"/>
      <c r="S584" s="249"/>
      <c r="T584" s="249"/>
      <c r="U584" s="249"/>
      <c r="V584" s="249"/>
      <c r="W584" s="249"/>
      <c r="X584" s="249"/>
      <c r="Y584" s="249"/>
      <c r="Z584" s="249"/>
      <c r="AA584" s="249"/>
    </row>
    <row r="585">
      <c r="A585" s="249"/>
      <c r="B585" s="249"/>
      <c r="C585" s="249"/>
      <c r="D585" s="249"/>
      <c r="E585" s="249"/>
      <c r="F585" s="249"/>
      <c r="G585" s="249"/>
      <c r="H585" s="249"/>
      <c r="I585" s="249"/>
      <c r="J585" s="249"/>
      <c r="K585" s="249"/>
      <c r="L585" s="249"/>
      <c r="M585" s="249"/>
      <c r="N585" s="249"/>
      <c r="O585" s="249"/>
      <c r="P585" s="249"/>
      <c r="Q585" s="249"/>
      <c r="R585" s="249"/>
      <c r="S585" s="249"/>
      <c r="T585" s="249"/>
      <c r="U585" s="249"/>
      <c r="V585" s="249"/>
      <c r="W585" s="249"/>
      <c r="X585" s="249"/>
      <c r="Y585" s="249"/>
      <c r="Z585" s="249"/>
      <c r="AA585" s="249"/>
    </row>
    <row r="586">
      <c r="A586" s="249"/>
      <c r="B586" s="249"/>
      <c r="C586" s="249"/>
      <c r="D586" s="249"/>
      <c r="E586" s="249"/>
      <c r="F586" s="249"/>
      <c r="G586" s="249"/>
      <c r="H586" s="249"/>
      <c r="I586" s="249"/>
      <c r="J586" s="249"/>
      <c r="K586" s="249"/>
      <c r="L586" s="249"/>
      <c r="M586" s="249"/>
      <c r="N586" s="249"/>
      <c r="O586" s="249"/>
      <c r="P586" s="249"/>
      <c r="Q586" s="249"/>
      <c r="R586" s="249"/>
      <c r="S586" s="249"/>
      <c r="T586" s="249"/>
      <c r="U586" s="249"/>
      <c r="V586" s="249"/>
      <c r="W586" s="249"/>
      <c r="X586" s="249"/>
      <c r="Y586" s="249"/>
      <c r="Z586" s="249"/>
      <c r="AA586" s="249"/>
    </row>
    <row r="587">
      <c r="A587" s="249"/>
      <c r="B587" s="249"/>
      <c r="C587" s="249"/>
      <c r="D587" s="249"/>
      <c r="E587" s="249"/>
      <c r="F587" s="249"/>
      <c r="G587" s="249"/>
      <c r="H587" s="249"/>
      <c r="I587" s="249"/>
      <c r="J587" s="249"/>
      <c r="K587" s="249"/>
      <c r="L587" s="249"/>
      <c r="M587" s="249"/>
      <c r="N587" s="249"/>
      <c r="O587" s="249"/>
      <c r="P587" s="249"/>
      <c r="Q587" s="249"/>
      <c r="R587" s="249"/>
      <c r="S587" s="249"/>
      <c r="T587" s="249"/>
      <c r="U587" s="249"/>
      <c r="V587" s="249"/>
      <c r="W587" s="249"/>
      <c r="X587" s="249"/>
      <c r="Y587" s="249"/>
      <c r="Z587" s="249"/>
      <c r="AA587" s="249"/>
    </row>
    <row r="588">
      <c r="A588" s="249"/>
      <c r="B588" s="249"/>
      <c r="C588" s="249"/>
      <c r="D588" s="249"/>
      <c r="E588" s="249"/>
      <c r="F588" s="249"/>
      <c r="G588" s="249"/>
      <c r="H588" s="249"/>
      <c r="I588" s="249"/>
      <c r="J588" s="249"/>
      <c r="K588" s="249"/>
      <c r="L588" s="249"/>
      <c r="M588" s="249"/>
      <c r="N588" s="249"/>
      <c r="O588" s="249"/>
      <c r="P588" s="249"/>
      <c r="Q588" s="249"/>
      <c r="R588" s="249"/>
      <c r="S588" s="249"/>
      <c r="T588" s="249"/>
      <c r="U588" s="249"/>
      <c r="V588" s="249"/>
      <c r="W588" s="249"/>
      <c r="X588" s="249"/>
      <c r="Y588" s="249"/>
      <c r="Z588" s="249"/>
      <c r="AA588" s="249"/>
    </row>
    <row r="589">
      <c r="A589" s="249"/>
      <c r="B589" s="249"/>
      <c r="C589" s="249"/>
      <c r="D589" s="249"/>
      <c r="E589" s="249"/>
      <c r="F589" s="249"/>
      <c r="G589" s="249"/>
      <c r="H589" s="249"/>
      <c r="I589" s="249"/>
      <c r="J589" s="249"/>
      <c r="K589" s="249"/>
      <c r="L589" s="249"/>
      <c r="M589" s="249"/>
      <c r="N589" s="249"/>
      <c r="O589" s="249"/>
      <c r="P589" s="249"/>
      <c r="Q589" s="249"/>
      <c r="R589" s="249"/>
      <c r="S589" s="249"/>
      <c r="T589" s="249"/>
      <c r="U589" s="249"/>
      <c r="V589" s="249"/>
      <c r="W589" s="249"/>
      <c r="X589" s="249"/>
      <c r="Y589" s="249"/>
      <c r="Z589" s="249"/>
      <c r="AA589" s="249"/>
    </row>
    <row r="590">
      <c r="A590" s="249"/>
      <c r="B590" s="249"/>
      <c r="C590" s="249"/>
      <c r="D590" s="249"/>
      <c r="E590" s="249"/>
      <c r="F590" s="249"/>
      <c r="G590" s="249"/>
      <c r="H590" s="249"/>
      <c r="I590" s="249"/>
      <c r="J590" s="249"/>
      <c r="K590" s="249"/>
      <c r="L590" s="249"/>
      <c r="M590" s="249"/>
      <c r="N590" s="249"/>
      <c r="O590" s="249"/>
      <c r="P590" s="249"/>
      <c r="Q590" s="249"/>
      <c r="R590" s="249"/>
      <c r="S590" s="249"/>
      <c r="T590" s="249"/>
      <c r="U590" s="249"/>
      <c r="V590" s="249"/>
      <c r="W590" s="249"/>
      <c r="X590" s="249"/>
      <c r="Y590" s="249"/>
      <c r="Z590" s="249"/>
      <c r="AA590" s="249"/>
    </row>
    <row r="591">
      <c r="A591" s="249"/>
      <c r="B591" s="249"/>
      <c r="C591" s="249"/>
      <c r="D591" s="249"/>
      <c r="E591" s="249"/>
      <c r="F591" s="249"/>
      <c r="G591" s="249"/>
      <c r="H591" s="249"/>
      <c r="I591" s="249"/>
      <c r="J591" s="249"/>
      <c r="K591" s="249"/>
      <c r="L591" s="249"/>
      <c r="M591" s="249"/>
      <c r="N591" s="249"/>
      <c r="O591" s="249"/>
      <c r="P591" s="249"/>
      <c r="Q591" s="249"/>
      <c r="R591" s="249"/>
      <c r="S591" s="249"/>
      <c r="T591" s="249"/>
      <c r="U591" s="249"/>
      <c r="V591" s="249"/>
      <c r="W591" s="249"/>
      <c r="X591" s="249"/>
      <c r="Y591" s="249"/>
      <c r="Z591" s="249"/>
      <c r="AA591" s="249"/>
    </row>
    <row r="592">
      <c r="A592" s="249"/>
      <c r="B592" s="249"/>
      <c r="C592" s="249"/>
      <c r="D592" s="249"/>
      <c r="E592" s="249"/>
      <c r="F592" s="249"/>
      <c r="G592" s="249"/>
      <c r="H592" s="249"/>
      <c r="I592" s="249"/>
      <c r="J592" s="249"/>
      <c r="K592" s="249"/>
      <c r="L592" s="249"/>
      <c r="M592" s="249"/>
      <c r="N592" s="249"/>
      <c r="O592" s="249"/>
      <c r="P592" s="249"/>
      <c r="Q592" s="249"/>
      <c r="R592" s="249"/>
      <c r="S592" s="249"/>
      <c r="T592" s="249"/>
      <c r="U592" s="249"/>
      <c r="V592" s="249"/>
      <c r="W592" s="249"/>
      <c r="X592" s="249"/>
      <c r="Y592" s="249"/>
      <c r="Z592" s="249"/>
      <c r="AA592" s="249"/>
    </row>
    <row r="593">
      <c r="A593" s="249"/>
      <c r="B593" s="249"/>
      <c r="C593" s="249"/>
      <c r="D593" s="249"/>
      <c r="E593" s="249"/>
      <c r="F593" s="249"/>
      <c r="G593" s="249"/>
      <c r="H593" s="249"/>
      <c r="I593" s="249"/>
      <c r="J593" s="249"/>
      <c r="K593" s="249"/>
      <c r="L593" s="249"/>
      <c r="M593" s="249"/>
      <c r="N593" s="249"/>
      <c r="O593" s="249"/>
      <c r="P593" s="249"/>
      <c r="Q593" s="249"/>
      <c r="R593" s="249"/>
      <c r="S593" s="249"/>
      <c r="T593" s="249"/>
      <c r="U593" s="249"/>
      <c r="V593" s="249"/>
      <c r="W593" s="249"/>
      <c r="X593" s="249"/>
      <c r="Y593" s="249"/>
      <c r="Z593" s="249"/>
      <c r="AA593" s="249"/>
    </row>
    <row r="594">
      <c r="A594" s="249"/>
      <c r="B594" s="249"/>
      <c r="C594" s="249"/>
      <c r="D594" s="249"/>
      <c r="E594" s="249"/>
      <c r="F594" s="249"/>
      <c r="G594" s="249"/>
      <c r="H594" s="249"/>
      <c r="I594" s="249"/>
      <c r="J594" s="249"/>
      <c r="K594" s="249"/>
      <c r="L594" s="249"/>
      <c r="M594" s="249"/>
      <c r="N594" s="249"/>
      <c r="O594" s="249"/>
      <c r="P594" s="249"/>
      <c r="Q594" s="249"/>
      <c r="R594" s="249"/>
      <c r="S594" s="249"/>
      <c r="T594" s="249"/>
      <c r="U594" s="249"/>
      <c r="V594" s="249"/>
      <c r="W594" s="249"/>
      <c r="X594" s="249"/>
      <c r="Y594" s="249"/>
      <c r="Z594" s="249"/>
      <c r="AA594" s="249"/>
    </row>
    <row r="595">
      <c r="A595" s="249"/>
      <c r="B595" s="249"/>
      <c r="C595" s="249"/>
      <c r="D595" s="249"/>
      <c r="E595" s="249"/>
      <c r="F595" s="249"/>
      <c r="G595" s="249"/>
      <c r="H595" s="249"/>
      <c r="I595" s="249"/>
      <c r="J595" s="249"/>
      <c r="K595" s="249"/>
      <c r="L595" s="249"/>
      <c r="M595" s="249"/>
      <c r="N595" s="249"/>
      <c r="O595" s="249"/>
      <c r="P595" s="249"/>
      <c r="Q595" s="249"/>
      <c r="R595" s="249"/>
      <c r="S595" s="249"/>
      <c r="T595" s="249"/>
      <c r="U595" s="249"/>
      <c r="V595" s="249"/>
      <c r="W595" s="249"/>
      <c r="X595" s="249"/>
      <c r="Y595" s="249"/>
      <c r="Z595" s="249"/>
      <c r="AA595" s="249"/>
    </row>
    <row r="596">
      <c r="A596" s="249"/>
      <c r="B596" s="249"/>
      <c r="C596" s="249"/>
      <c r="D596" s="249"/>
      <c r="E596" s="249"/>
      <c r="F596" s="249"/>
      <c r="G596" s="249"/>
      <c r="H596" s="249"/>
      <c r="I596" s="249"/>
      <c r="J596" s="249"/>
      <c r="K596" s="249"/>
      <c r="L596" s="249"/>
      <c r="M596" s="249"/>
      <c r="N596" s="249"/>
      <c r="O596" s="249"/>
      <c r="P596" s="249"/>
      <c r="Q596" s="249"/>
      <c r="R596" s="249"/>
      <c r="S596" s="249"/>
      <c r="T596" s="249"/>
      <c r="U596" s="249"/>
      <c r="V596" s="249"/>
      <c r="W596" s="249"/>
      <c r="X596" s="249"/>
      <c r="Y596" s="249"/>
      <c r="Z596" s="249"/>
      <c r="AA596" s="249"/>
    </row>
    <row r="597">
      <c r="A597" s="249"/>
      <c r="B597" s="249"/>
      <c r="C597" s="249"/>
      <c r="D597" s="249"/>
      <c r="E597" s="249"/>
      <c r="F597" s="249"/>
      <c r="G597" s="249"/>
      <c r="H597" s="249"/>
      <c r="I597" s="249"/>
      <c r="J597" s="249"/>
      <c r="K597" s="249"/>
      <c r="L597" s="249"/>
      <c r="M597" s="249"/>
      <c r="N597" s="249"/>
      <c r="O597" s="249"/>
      <c r="P597" s="249"/>
      <c r="Q597" s="249"/>
      <c r="R597" s="249"/>
      <c r="S597" s="249"/>
      <c r="T597" s="249"/>
      <c r="U597" s="249"/>
      <c r="V597" s="249"/>
      <c r="W597" s="249"/>
      <c r="X597" s="249"/>
      <c r="Y597" s="249"/>
      <c r="Z597" s="249"/>
      <c r="AA597" s="249"/>
    </row>
    <row r="598">
      <c r="A598" s="249"/>
      <c r="B598" s="249"/>
      <c r="C598" s="249"/>
      <c r="D598" s="249"/>
      <c r="E598" s="249"/>
      <c r="F598" s="249"/>
      <c r="G598" s="249"/>
      <c r="H598" s="249"/>
      <c r="I598" s="249"/>
      <c r="J598" s="249"/>
      <c r="K598" s="249"/>
      <c r="L598" s="249"/>
      <c r="M598" s="249"/>
      <c r="N598" s="249"/>
      <c r="O598" s="249"/>
      <c r="P598" s="249"/>
      <c r="Q598" s="249"/>
      <c r="R598" s="249"/>
      <c r="S598" s="249"/>
      <c r="T598" s="249"/>
      <c r="U598" s="249"/>
      <c r="V598" s="249"/>
      <c r="W598" s="249"/>
      <c r="X598" s="249"/>
      <c r="Y598" s="249"/>
      <c r="Z598" s="249"/>
      <c r="AA598" s="249"/>
    </row>
    <row r="599">
      <c r="A599" s="249"/>
      <c r="B599" s="249"/>
      <c r="C599" s="249"/>
      <c r="D599" s="249"/>
      <c r="E599" s="249"/>
      <c r="F599" s="249"/>
      <c r="G599" s="249"/>
      <c r="H599" s="249"/>
      <c r="I599" s="249"/>
      <c r="J599" s="249"/>
      <c r="K599" s="249"/>
      <c r="L599" s="249"/>
      <c r="M599" s="249"/>
      <c r="N599" s="249"/>
      <c r="O599" s="249"/>
      <c r="P599" s="249"/>
      <c r="Q599" s="249"/>
      <c r="R599" s="249"/>
      <c r="S599" s="249"/>
      <c r="T599" s="249"/>
      <c r="U599" s="249"/>
      <c r="V599" s="249"/>
      <c r="W599" s="249"/>
      <c r="X599" s="249"/>
      <c r="Y599" s="249"/>
      <c r="Z599" s="249"/>
      <c r="AA599" s="249"/>
    </row>
    <row r="600">
      <c r="A600" s="249"/>
      <c r="B600" s="249"/>
      <c r="C600" s="249"/>
      <c r="D600" s="249"/>
      <c r="E600" s="249"/>
      <c r="F600" s="249"/>
      <c r="G600" s="249"/>
      <c r="H600" s="249"/>
      <c r="I600" s="249"/>
      <c r="J600" s="249"/>
      <c r="K600" s="249"/>
      <c r="L600" s="249"/>
      <c r="M600" s="249"/>
      <c r="N600" s="249"/>
      <c r="O600" s="249"/>
      <c r="P600" s="249"/>
      <c r="Q600" s="249"/>
      <c r="R600" s="249"/>
      <c r="S600" s="249"/>
      <c r="T600" s="249"/>
      <c r="U600" s="249"/>
      <c r="V600" s="249"/>
      <c r="W600" s="249"/>
      <c r="X600" s="249"/>
      <c r="Y600" s="249"/>
      <c r="Z600" s="249"/>
      <c r="AA600" s="249"/>
    </row>
    <row r="601">
      <c r="A601" s="249"/>
      <c r="B601" s="249"/>
      <c r="C601" s="249"/>
      <c r="D601" s="249"/>
      <c r="E601" s="249"/>
      <c r="F601" s="249"/>
      <c r="G601" s="249"/>
      <c r="H601" s="249"/>
      <c r="I601" s="249"/>
      <c r="J601" s="249"/>
      <c r="K601" s="249"/>
      <c r="L601" s="249"/>
      <c r="M601" s="249"/>
      <c r="N601" s="249"/>
      <c r="O601" s="249"/>
      <c r="P601" s="249"/>
      <c r="Q601" s="249"/>
      <c r="R601" s="249"/>
      <c r="S601" s="249"/>
      <c r="T601" s="249"/>
      <c r="U601" s="249"/>
      <c r="V601" s="249"/>
      <c r="W601" s="249"/>
      <c r="X601" s="249"/>
      <c r="Y601" s="249"/>
      <c r="Z601" s="249"/>
      <c r="AA601" s="249"/>
    </row>
    <row r="602">
      <c r="A602" s="249"/>
      <c r="B602" s="249"/>
      <c r="C602" s="249"/>
      <c r="D602" s="249"/>
      <c r="E602" s="249"/>
      <c r="F602" s="249"/>
      <c r="G602" s="249"/>
      <c r="H602" s="249"/>
      <c r="I602" s="249"/>
      <c r="J602" s="249"/>
      <c r="K602" s="249"/>
      <c r="L602" s="249"/>
      <c r="M602" s="249"/>
      <c r="N602" s="249"/>
      <c r="O602" s="249"/>
      <c r="P602" s="249"/>
      <c r="Q602" s="249"/>
      <c r="R602" s="249"/>
      <c r="S602" s="249"/>
      <c r="T602" s="249"/>
      <c r="U602" s="249"/>
      <c r="V602" s="249"/>
      <c r="W602" s="249"/>
      <c r="X602" s="249"/>
      <c r="Y602" s="249"/>
      <c r="Z602" s="249"/>
      <c r="AA602" s="249"/>
    </row>
    <row r="603">
      <c r="A603" s="249"/>
      <c r="B603" s="249"/>
      <c r="C603" s="249"/>
      <c r="D603" s="249"/>
      <c r="E603" s="249"/>
      <c r="F603" s="249"/>
      <c r="G603" s="249"/>
      <c r="H603" s="249"/>
      <c r="I603" s="249"/>
      <c r="J603" s="249"/>
      <c r="K603" s="249"/>
      <c r="L603" s="249"/>
      <c r="M603" s="249"/>
      <c r="N603" s="249"/>
      <c r="O603" s="249"/>
      <c r="P603" s="249"/>
      <c r="Q603" s="249"/>
      <c r="R603" s="249"/>
      <c r="S603" s="249"/>
      <c r="T603" s="249"/>
      <c r="U603" s="249"/>
      <c r="V603" s="249"/>
      <c r="W603" s="249"/>
      <c r="X603" s="249"/>
      <c r="Y603" s="249"/>
      <c r="Z603" s="249"/>
      <c r="AA603" s="249"/>
    </row>
    <row r="604">
      <c r="A604" s="249"/>
      <c r="B604" s="249"/>
      <c r="C604" s="249"/>
      <c r="D604" s="249"/>
      <c r="E604" s="249"/>
      <c r="F604" s="249"/>
      <c r="G604" s="249"/>
      <c r="H604" s="249"/>
      <c r="I604" s="249"/>
      <c r="J604" s="249"/>
      <c r="K604" s="249"/>
      <c r="L604" s="249"/>
      <c r="M604" s="249"/>
      <c r="N604" s="249"/>
      <c r="O604" s="249"/>
      <c r="P604" s="249"/>
      <c r="Q604" s="249"/>
      <c r="R604" s="249"/>
      <c r="S604" s="249"/>
      <c r="T604" s="249"/>
      <c r="U604" s="249"/>
      <c r="V604" s="249"/>
      <c r="W604" s="249"/>
      <c r="X604" s="249"/>
      <c r="Y604" s="249"/>
      <c r="Z604" s="249"/>
      <c r="AA604" s="249"/>
    </row>
    <row r="605">
      <c r="A605" s="249"/>
      <c r="B605" s="249"/>
      <c r="C605" s="249"/>
      <c r="D605" s="249"/>
      <c r="E605" s="249"/>
      <c r="F605" s="249"/>
      <c r="G605" s="249"/>
      <c r="H605" s="249"/>
      <c r="I605" s="249"/>
      <c r="J605" s="249"/>
      <c r="K605" s="249"/>
      <c r="L605" s="249"/>
      <c r="M605" s="249"/>
      <c r="N605" s="249"/>
      <c r="O605" s="249"/>
      <c r="P605" s="249"/>
      <c r="Q605" s="249"/>
      <c r="R605" s="249"/>
      <c r="S605" s="249"/>
      <c r="T605" s="249"/>
      <c r="U605" s="249"/>
      <c r="V605" s="249"/>
      <c r="W605" s="249"/>
      <c r="X605" s="249"/>
      <c r="Y605" s="249"/>
      <c r="Z605" s="249"/>
      <c r="AA605" s="249"/>
    </row>
    <row r="606">
      <c r="A606" s="249"/>
      <c r="B606" s="249"/>
      <c r="C606" s="249"/>
      <c r="D606" s="249"/>
      <c r="E606" s="249"/>
      <c r="F606" s="249"/>
      <c r="G606" s="249"/>
      <c r="H606" s="249"/>
      <c r="I606" s="249"/>
      <c r="J606" s="249"/>
      <c r="K606" s="249"/>
      <c r="L606" s="249"/>
      <c r="M606" s="249"/>
      <c r="N606" s="249"/>
      <c r="O606" s="249"/>
      <c r="P606" s="249"/>
      <c r="Q606" s="249"/>
      <c r="R606" s="249"/>
      <c r="S606" s="249"/>
      <c r="T606" s="249"/>
      <c r="U606" s="249"/>
      <c r="V606" s="249"/>
      <c r="W606" s="249"/>
      <c r="X606" s="249"/>
      <c r="Y606" s="249"/>
      <c r="Z606" s="249"/>
      <c r="AA606" s="249"/>
    </row>
    <row r="607">
      <c r="A607" s="249"/>
      <c r="B607" s="249"/>
      <c r="C607" s="249"/>
      <c r="D607" s="249"/>
      <c r="E607" s="249"/>
      <c r="F607" s="249"/>
      <c r="G607" s="249"/>
      <c r="H607" s="249"/>
      <c r="I607" s="249"/>
      <c r="J607" s="249"/>
      <c r="K607" s="249"/>
      <c r="L607" s="249"/>
      <c r="M607" s="249"/>
      <c r="N607" s="249"/>
      <c r="O607" s="249"/>
      <c r="P607" s="249"/>
      <c r="Q607" s="249"/>
      <c r="R607" s="249"/>
      <c r="S607" s="249"/>
      <c r="T607" s="249"/>
      <c r="U607" s="249"/>
      <c r="V607" s="249"/>
      <c r="W607" s="249"/>
      <c r="X607" s="249"/>
      <c r="Y607" s="249"/>
      <c r="Z607" s="249"/>
      <c r="AA607" s="249"/>
    </row>
    <row r="608">
      <c r="A608" s="249"/>
      <c r="B608" s="249"/>
      <c r="C608" s="249"/>
      <c r="D608" s="249"/>
      <c r="E608" s="249"/>
      <c r="F608" s="249"/>
      <c r="G608" s="249"/>
      <c r="H608" s="249"/>
      <c r="I608" s="249"/>
      <c r="J608" s="249"/>
      <c r="K608" s="249"/>
      <c r="L608" s="249"/>
      <c r="M608" s="249"/>
      <c r="N608" s="249"/>
      <c r="O608" s="249"/>
      <c r="P608" s="249"/>
      <c r="Q608" s="249"/>
      <c r="R608" s="249"/>
      <c r="S608" s="249"/>
      <c r="T608" s="249"/>
      <c r="U608" s="249"/>
      <c r="V608" s="249"/>
      <c r="W608" s="249"/>
      <c r="X608" s="249"/>
      <c r="Y608" s="249"/>
      <c r="Z608" s="249"/>
      <c r="AA608" s="249"/>
    </row>
    <row r="609">
      <c r="A609" s="249"/>
      <c r="B609" s="249"/>
      <c r="C609" s="249"/>
      <c r="D609" s="249"/>
      <c r="E609" s="249"/>
      <c r="F609" s="249"/>
      <c r="G609" s="249"/>
      <c r="H609" s="249"/>
      <c r="I609" s="249"/>
      <c r="J609" s="249"/>
      <c r="K609" s="249"/>
      <c r="L609" s="249"/>
      <c r="M609" s="249"/>
      <c r="N609" s="249"/>
      <c r="O609" s="249"/>
      <c r="P609" s="249"/>
      <c r="Q609" s="249"/>
      <c r="R609" s="249"/>
      <c r="S609" s="249"/>
      <c r="T609" s="249"/>
      <c r="U609" s="249"/>
      <c r="V609" s="249"/>
      <c r="W609" s="249"/>
      <c r="X609" s="249"/>
      <c r="Y609" s="249"/>
      <c r="Z609" s="249"/>
      <c r="AA609" s="249"/>
    </row>
    <row r="610">
      <c r="A610" s="249"/>
      <c r="B610" s="249"/>
      <c r="C610" s="249"/>
      <c r="D610" s="249"/>
      <c r="E610" s="249"/>
      <c r="F610" s="249"/>
      <c r="G610" s="249"/>
      <c r="H610" s="249"/>
      <c r="I610" s="249"/>
      <c r="J610" s="249"/>
      <c r="K610" s="249"/>
      <c r="L610" s="249"/>
      <c r="M610" s="249"/>
      <c r="N610" s="249"/>
      <c r="O610" s="249"/>
      <c r="P610" s="249"/>
      <c r="Q610" s="249"/>
      <c r="R610" s="249"/>
      <c r="S610" s="249"/>
      <c r="T610" s="249"/>
      <c r="U610" s="249"/>
      <c r="V610" s="249"/>
      <c r="W610" s="249"/>
      <c r="X610" s="249"/>
      <c r="Y610" s="249"/>
      <c r="Z610" s="249"/>
      <c r="AA610" s="249"/>
    </row>
    <row r="611">
      <c r="A611" s="249"/>
      <c r="B611" s="249"/>
      <c r="C611" s="249"/>
      <c r="D611" s="249"/>
      <c r="E611" s="249"/>
      <c r="F611" s="249"/>
      <c r="G611" s="249"/>
      <c r="H611" s="249"/>
      <c r="I611" s="249"/>
      <c r="J611" s="249"/>
      <c r="K611" s="249"/>
      <c r="L611" s="249"/>
      <c r="M611" s="249"/>
      <c r="N611" s="249"/>
      <c r="O611" s="249"/>
      <c r="P611" s="249"/>
      <c r="Q611" s="249"/>
      <c r="R611" s="249"/>
      <c r="S611" s="249"/>
      <c r="T611" s="249"/>
      <c r="U611" s="249"/>
      <c r="V611" s="249"/>
      <c r="W611" s="249"/>
      <c r="X611" s="249"/>
      <c r="Y611" s="249"/>
      <c r="Z611" s="249"/>
      <c r="AA611" s="249"/>
    </row>
    <row r="612">
      <c r="A612" s="249"/>
      <c r="B612" s="249"/>
      <c r="C612" s="249"/>
      <c r="D612" s="249"/>
      <c r="E612" s="249"/>
      <c r="F612" s="249"/>
      <c r="G612" s="249"/>
      <c r="H612" s="249"/>
      <c r="I612" s="249"/>
      <c r="J612" s="249"/>
      <c r="K612" s="249"/>
      <c r="L612" s="249"/>
      <c r="M612" s="249"/>
      <c r="N612" s="249"/>
      <c r="O612" s="249"/>
      <c r="P612" s="249"/>
      <c r="Q612" s="249"/>
      <c r="R612" s="249"/>
      <c r="S612" s="249"/>
      <c r="T612" s="249"/>
      <c r="U612" s="249"/>
      <c r="V612" s="249"/>
      <c r="W612" s="249"/>
      <c r="X612" s="249"/>
      <c r="Y612" s="249"/>
      <c r="Z612" s="249"/>
      <c r="AA612" s="249"/>
    </row>
    <row r="613">
      <c r="A613" s="249"/>
      <c r="B613" s="249"/>
      <c r="C613" s="249"/>
      <c r="D613" s="249"/>
      <c r="E613" s="249"/>
      <c r="F613" s="249"/>
      <c r="G613" s="249"/>
      <c r="H613" s="249"/>
      <c r="I613" s="249"/>
      <c r="J613" s="249"/>
      <c r="K613" s="249"/>
      <c r="L613" s="249"/>
      <c r="M613" s="249"/>
      <c r="N613" s="249"/>
      <c r="O613" s="249"/>
      <c r="P613" s="249"/>
      <c r="Q613" s="249"/>
      <c r="R613" s="249"/>
      <c r="S613" s="249"/>
      <c r="T613" s="249"/>
      <c r="U613" s="249"/>
      <c r="V613" s="249"/>
      <c r="W613" s="249"/>
      <c r="X613" s="249"/>
      <c r="Y613" s="249"/>
      <c r="Z613" s="249"/>
      <c r="AA613" s="249"/>
    </row>
    <row r="614">
      <c r="A614" s="249"/>
      <c r="B614" s="249"/>
      <c r="C614" s="249"/>
      <c r="D614" s="249"/>
      <c r="E614" s="249"/>
      <c r="F614" s="249"/>
      <c r="G614" s="249"/>
      <c r="H614" s="249"/>
      <c r="I614" s="249"/>
      <c r="J614" s="249"/>
      <c r="K614" s="249"/>
      <c r="L614" s="249"/>
      <c r="M614" s="249"/>
      <c r="N614" s="249"/>
      <c r="O614" s="249"/>
      <c r="P614" s="249"/>
      <c r="Q614" s="249"/>
      <c r="R614" s="249"/>
      <c r="S614" s="249"/>
      <c r="T614" s="249"/>
      <c r="U614" s="249"/>
      <c r="V614" s="249"/>
      <c r="W614" s="249"/>
      <c r="X614" s="249"/>
      <c r="Y614" s="249"/>
      <c r="Z614" s="249"/>
      <c r="AA614" s="249"/>
    </row>
    <row r="615">
      <c r="A615" s="249"/>
      <c r="B615" s="249"/>
      <c r="C615" s="249"/>
      <c r="D615" s="249"/>
      <c r="E615" s="249"/>
      <c r="F615" s="249"/>
      <c r="G615" s="249"/>
      <c r="H615" s="249"/>
      <c r="I615" s="249"/>
      <c r="J615" s="249"/>
      <c r="K615" s="249"/>
      <c r="L615" s="249"/>
      <c r="M615" s="249"/>
      <c r="N615" s="249"/>
      <c r="O615" s="249"/>
      <c r="P615" s="249"/>
      <c r="Q615" s="249"/>
      <c r="R615" s="249"/>
      <c r="S615" s="249"/>
      <c r="T615" s="249"/>
      <c r="U615" s="249"/>
      <c r="V615" s="249"/>
      <c r="W615" s="249"/>
      <c r="X615" s="249"/>
      <c r="Y615" s="249"/>
      <c r="Z615" s="249"/>
      <c r="AA615" s="249"/>
    </row>
    <row r="616">
      <c r="A616" s="249"/>
      <c r="B616" s="249"/>
      <c r="C616" s="249"/>
      <c r="D616" s="249"/>
      <c r="E616" s="249"/>
      <c r="F616" s="249"/>
      <c r="G616" s="249"/>
      <c r="H616" s="249"/>
      <c r="I616" s="249"/>
      <c r="J616" s="249"/>
      <c r="K616" s="249"/>
      <c r="L616" s="249"/>
      <c r="M616" s="249"/>
      <c r="N616" s="249"/>
      <c r="O616" s="249"/>
      <c r="P616" s="249"/>
      <c r="Q616" s="249"/>
      <c r="R616" s="249"/>
      <c r="S616" s="249"/>
      <c r="T616" s="249"/>
      <c r="U616" s="249"/>
      <c r="V616" s="249"/>
      <c r="W616" s="249"/>
      <c r="X616" s="249"/>
      <c r="Y616" s="249"/>
      <c r="Z616" s="249"/>
      <c r="AA616" s="249"/>
    </row>
    <row r="617">
      <c r="A617" s="249"/>
      <c r="B617" s="249"/>
      <c r="C617" s="249"/>
      <c r="D617" s="249"/>
      <c r="E617" s="249"/>
      <c r="F617" s="249"/>
      <c r="G617" s="249"/>
      <c r="H617" s="249"/>
      <c r="I617" s="249"/>
      <c r="J617" s="249"/>
      <c r="K617" s="249"/>
      <c r="L617" s="249"/>
      <c r="M617" s="249"/>
      <c r="N617" s="249"/>
      <c r="O617" s="249"/>
      <c r="P617" s="249"/>
      <c r="Q617" s="249"/>
      <c r="R617" s="249"/>
      <c r="S617" s="249"/>
      <c r="T617" s="249"/>
      <c r="U617" s="249"/>
      <c r="V617" s="249"/>
      <c r="W617" s="249"/>
      <c r="X617" s="249"/>
      <c r="Y617" s="249"/>
      <c r="Z617" s="249"/>
      <c r="AA617" s="249"/>
    </row>
    <row r="618">
      <c r="A618" s="249"/>
      <c r="B618" s="249"/>
      <c r="C618" s="249"/>
      <c r="D618" s="249"/>
      <c r="E618" s="249"/>
      <c r="F618" s="249"/>
      <c r="G618" s="249"/>
      <c r="H618" s="249"/>
      <c r="I618" s="249"/>
      <c r="J618" s="249"/>
      <c r="K618" s="249"/>
      <c r="L618" s="249"/>
      <c r="M618" s="249"/>
      <c r="N618" s="249"/>
      <c r="O618" s="249"/>
      <c r="P618" s="249"/>
      <c r="Q618" s="249"/>
      <c r="R618" s="249"/>
      <c r="S618" s="249"/>
      <c r="T618" s="249"/>
      <c r="U618" s="249"/>
      <c r="V618" s="249"/>
      <c r="W618" s="249"/>
      <c r="X618" s="249"/>
      <c r="Y618" s="249"/>
      <c r="Z618" s="249"/>
      <c r="AA618" s="249"/>
    </row>
    <row r="619">
      <c r="A619" s="249"/>
      <c r="B619" s="249"/>
      <c r="C619" s="249"/>
      <c r="D619" s="249"/>
      <c r="E619" s="249"/>
      <c r="F619" s="249"/>
      <c r="G619" s="249"/>
      <c r="H619" s="249"/>
      <c r="I619" s="249"/>
      <c r="J619" s="249"/>
      <c r="K619" s="249"/>
      <c r="L619" s="249"/>
      <c r="M619" s="249"/>
      <c r="N619" s="249"/>
      <c r="O619" s="249"/>
      <c r="P619" s="249"/>
      <c r="Q619" s="249"/>
      <c r="R619" s="249"/>
      <c r="S619" s="249"/>
      <c r="T619" s="249"/>
      <c r="U619" s="249"/>
      <c r="V619" s="249"/>
      <c r="W619" s="249"/>
      <c r="X619" s="249"/>
      <c r="Y619" s="249"/>
      <c r="Z619" s="249"/>
      <c r="AA619" s="249"/>
    </row>
    <row r="620">
      <c r="A620" s="249"/>
      <c r="B620" s="249"/>
      <c r="C620" s="249"/>
      <c r="D620" s="249"/>
      <c r="E620" s="249"/>
      <c r="F620" s="249"/>
      <c r="G620" s="249"/>
      <c r="H620" s="249"/>
      <c r="I620" s="249"/>
      <c r="J620" s="249"/>
      <c r="K620" s="249"/>
      <c r="L620" s="249"/>
      <c r="M620" s="249"/>
      <c r="N620" s="249"/>
      <c r="O620" s="249"/>
      <c r="P620" s="249"/>
      <c r="Q620" s="249"/>
      <c r="R620" s="249"/>
      <c r="S620" s="249"/>
      <c r="T620" s="249"/>
      <c r="U620" s="249"/>
      <c r="V620" s="249"/>
      <c r="W620" s="249"/>
      <c r="X620" s="249"/>
      <c r="Y620" s="249"/>
      <c r="Z620" s="249"/>
      <c r="AA620" s="249"/>
    </row>
    <row r="621">
      <c r="A621" s="249"/>
      <c r="B621" s="249"/>
      <c r="C621" s="249"/>
      <c r="D621" s="249"/>
      <c r="E621" s="249"/>
      <c r="F621" s="249"/>
      <c r="G621" s="249"/>
      <c r="H621" s="249"/>
      <c r="I621" s="249"/>
      <c r="J621" s="249"/>
      <c r="K621" s="249"/>
      <c r="L621" s="249"/>
      <c r="M621" s="249"/>
      <c r="N621" s="249"/>
      <c r="O621" s="249"/>
      <c r="P621" s="249"/>
      <c r="Q621" s="249"/>
      <c r="R621" s="249"/>
      <c r="S621" s="249"/>
      <c r="T621" s="249"/>
      <c r="U621" s="249"/>
      <c r="V621" s="249"/>
      <c r="W621" s="249"/>
      <c r="X621" s="249"/>
      <c r="Y621" s="249"/>
      <c r="Z621" s="249"/>
      <c r="AA621" s="249"/>
    </row>
    <row r="622">
      <c r="A622" s="249"/>
      <c r="B622" s="249"/>
      <c r="C622" s="249"/>
      <c r="D622" s="249"/>
      <c r="E622" s="249"/>
      <c r="F622" s="249"/>
      <c r="G622" s="249"/>
      <c r="H622" s="249"/>
      <c r="I622" s="249"/>
      <c r="J622" s="249"/>
      <c r="K622" s="249"/>
      <c r="L622" s="249"/>
      <c r="M622" s="249"/>
      <c r="N622" s="249"/>
      <c r="O622" s="249"/>
      <c r="P622" s="249"/>
      <c r="Q622" s="249"/>
      <c r="R622" s="249"/>
      <c r="S622" s="249"/>
      <c r="T622" s="249"/>
      <c r="U622" s="249"/>
      <c r="V622" s="249"/>
      <c r="W622" s="249"/>
      <c r="X622" s="249"/>
      <c r="Y622" s="249"/>
      <c r="Z622" s="249"/>
      <c r="AA622" s="249"/>
    </row>
    <row r="623">
      <c r="A623" s="249"/>
      <c r="B623" s="249"/>
      <c r="C623" s="249"/>
      <c r="D623" s="249"/>
      <c r="E623" s="249"/>
      <c r="F623" s="249"/>
      <c r="G623" s="249"/>
      <c r="H623" s="249"/>
      <c r="I623" s="249"/>
      <c r="J623" s="249"/>
      <c r="K623" s="249"/>
      <c r="L623" s="249"/>
      <c r="M623" s="249"/>
      <c r="N623" s="249"/>
      <c r="O623" s="249"/>
      <c r="P623" s="249"/>
      <c r="Q623" s="249"/>
      <c r="R623" s="249"/>
      <c r="S623" s="249"/>
      <c r="T623" s="249"/>
      <c r="U623" s="249"/>
      <c r="V623" s="249"/>
      <c r="W623" s="249"/>
      <c r="X623" s="249"/>
      <c r="Y623" s="249"/>
      <c r="Z623" s="249"/>
      <c r="AA623" s="249"/>
    </row>
    <row r="624">
      <c r="A624" s="249"/>
      <c r="B624" s="249"/>
      <c r="C624" s="249"/>
      <c r="D624" s="249"/>
      <c r="E624" s="249"/>
      <c r="F624" s="249"/>
      <c r="G624" s="249"/>
      <c r="H624" s="249"/>
      <c r="I624" s="249"/>
      <c r="J624" s="249"/>
      <c r="K624" s="249"/>
      <c r="L624" s="249"/>
      <c r="M624" s="249"/>
      <c r="N624" s="249"/>
      <c r="O624" s="249"/>
      <c r="P624" s="249"/>
      <c r="Q624" s="249"/>
      <c r="R624" s="249"/>
      <c r="S624" s="249"/>
      <c r="T624" s="249"/>
      <c r="U624" s="249"/>
      <c r="V624" s="249"/>
      <c r="W624" s="249"/>
      <c r="X624" s="249"/>
      <c r="Y624" s="249"/>
      <c r="Z624" s="249"/>
      <c r="AA624" s="249"/>
    </row>
    <row r="625">
      <c r="A625" s="249"/>
      <c r="B625" s="249"/>
      <c r="C625" s="249"/>
      <c r="D625" s="249"/>
      <c r="E625" s="249"/>
      <c r="F625" s="249"/>
      <c r="G625" s="249"/>
      <c r="H625" s="249"/>
      <c r="I625" s="249"/>
      <c r="J625" s="249"/>
      <c r="K625" s="249"/>
      <c r="L625" s="249"/>
      <c r="M625" s="249"/>
      <c r="N625" s="249"/>
      <c r="O625" s="249"/>
      <c r="P625" s="249"/>
      <c r="Q625" s="249"/>
      <c r="R625" s="249"/>
      <c r="S625" s="249"/>
      <c r="T625" s="249"/>
      <c r="U625" s="249"/>
      <c r="V625" s="249"/>
      <c r="W625" s="249"/>
      <c r="X625" s="249"/>
      <c r="Y625" s="249"/>
      <c r="Z625" s="249"/>
      <c r="AA625" s="249"/>
    </row>
    <row r="626">
      <c r="A626" s="249"/>
      <c r="B626" s="249"/>
      <c r="C626" s="249"/>
      <c r="D626" s="249"/>
      <c r="E626" s="249"/>
      <c r="F626" s="249"/>
      <c r="G626" s="249"/>
      <c r="H626" s="249"/>
      <c r="I626" s="249"/>
      <c r="J626" s="249"/>
      <c r="K626" s="249"/>
      <c r="L626" s="249"/>
      <c r="M626" s="249"/>
      <c r="N626" s="249"/>
      <c r="O626" s="249"/>
      <c r="P626" s="249"/>
      <c r="Q626" s="249"/>
      <c r="R626" s="249"/>
      <c r="S626" s="249"/>
      <c r="T626" s="249"/>
      <c r="U626" s="249"/>
      <c r="V626" s="249"/>
      <c r="W626" s="249"/>
      <c r="X626" s="249"/>
      <c r="Y626" s="249"/>
      <c r="Z626" s="249"/>
      <c r="AA626" s="249"/>
    </row>
    <row r="627">
      <c r="A627" s="249"/>
      <c r="B627" s="249"/>
      <c r="C627" s="249"/>
      <c r="D627" s="249"/>
      <c r="E627" s="249"/>
      <c r="F627" s="249"/>
      <c r="G627" s="249"/>
      <c r="H627" s="249"/>
      <c r="I627" s="249"/>
      <c r="J627" s="249"/>
      <c r="K627" s="249"/>
      <c r="L627" s="249"/>
      <c r="M627" s="249"/>
      <c r="N627" s="249"/>
      <c r="O627" s="249"/>
      <c r="P627" s="249"/>
      <c r="Q627" s="249"/>
      <c r="R627" s="249"/>
      <c r="S627" s="249"/>
      <c r="T627" s="249"/>
      <c r="U627" s="249"/>
      <c r="V627" s="249"/>
      <c r="W627" s="249"/>
      <c r="X627" s="249"/>
      <c r="Y627" s="249"/>
      <c r="Z627" s="249"/>
      <c r="AA627" s="249"/>
    </row>
    <row r="628">
      <c r="A628" s="249"/>
      <c r="B628" s="249"/>
      <c r="C628" s="249"/>
      <c r="D628" s="249"/>
      <c r="E628" s="249"/>
      <c r="F628" s="249"/>
      <c r="G628" s="249"/>
      <c r="H628" s="249"/>
      <c r="I628" s="249"/>
      <c r="J628" s="249"/>
      <c r="K628" s="249"/>
      <c r="L628" s="249"/>
      <c r="M628" s="249"/>
      <c r="N628" s="249"/>
      <c r="O628" s="249"/>
      <c r="P628" s="249"/>
      <c r="Q628" s="249"/>
      <c r="R628" s="249"/>
      <c r="S628" s="249"/>
      <c r="T628" s="249"/>
      <c r="U628" s="249"/>
      <c r="V628" s="249"/>
      <c r="W628" s="249"/>
      <c r="X628" s="249"/>
      <c r="Y628" s="249"/>
      <c r="Z628" s="249"/>
      <c r="AA628" s="249"/>
    </row>
    <row r="629">
      <c r="A629" s="249"/>
      <c r="B629" s="249"/>
      <c r="C629" s="249"/>
      <c r="D629" s="249"/>
      <c r="E629" s="249"/>
      <c r="F629" s="249"/>
      <c r="G629" s="249"/>
      <c r="H629" s="249"/>
      <c r="I629" s="249"/>
      <c r="J629" s="249"/>
      <c r="K629" s="249"/>
      <c r="L629" s="249"/>
      <c r="M629" s="249"/>
      <c r="N629" s="249"/>
      <c r="O629" s="249"/>
      <c r="P629" s="249"/>
      <c r="Q629" s="249"/>
      <c r="R629" s="249"/>
      <c r="S629" s="249"/>
      <c r="T629" s="249"/>
      <c r="U629" s="249"/>
      <c r="V629" s="249"/>
      <c r="W629" s="249"/>
      <c r="X629" s="249"/>
      <c r="Y629" s="249"/>
      <c r="Z629" s="249"/>
      <c r="AA629" s="249"/>
    </row>
    <row r="630">
      <c r="A630" s="249"/>
      <c r="B630" s="249"/>
      <c r="C630" s="249"/>
      <c r="D630" s="249"/>
      <c r="E630" s="249"/>
      <c r="F630" s="249"/>
      <c r="G630" s="249"/>
      <c r="H630" s="249"/>
      <c r="I630" s="249"/>
      <c r="J630" s="249"/>
      <c r="K630" s="249"/>
      <c r="L630" s="249"/>
      <c r="M630" s="249"/>
      <c r="N630" s="249"/>
      <c r="O630" s="249"/>
      <c r="P630" s="249"/>
      <c r="Q630" s="249"/>
      <c r="R630" s="249"/>
      <c r="S630" s="249"/>
      <c r="T630" s="249"/>
      <c r="U630" s="249"/>
      <c r="V630" s="249"/>
      <c r="W630" s="249"/>
      <c r="X630" s="249"/>
      <c r="Y630" s="249"/>
      <c r="Z630" s="249"/>
      <c r="AA630" s="249"/>
    </row>
    <row r="631">
      <c r="A631" s="249"/>
      <c r="B631" s="249"/>
      <c r="C631" s="249"/>
      <c r="D631" s="249"/>
      <c r="E631" s="249"/>
      <c r="F631" s="249"/>
      <c r="G631" s="249"/>
      <c r="H631" s="249"/>
      <c r="I631" s="249"/>
      <c r="J631" s="249"/>
      <c r="K631" s="249"/>
      <c r="L631" s="249"/>
      <c r="M631" s="249"/>
      <c r="N631" s="249"/>
      <c r="O631" s="249"/>
      <c r="P631" s="249"/>
      <c r="Q631" s="249"/>
      <c r="R631" s="249"/>
      <c r="S631" s="249"/>
      <c r="T631" s="249"/>
      <c r="U631" s="249"/>
      <c r="V631" s="249"/>
      <c r="W631" s="249"/>
      <c r="X631" s="249"/>
      <c r="Y631" s="249"/>
      <c r="Z631" s="249"/>
      <c r="AA631" s="249"/>
    </row>
    <row r="632">
      <c r="A632" s="249"/>
      <c r="B632" s="249"/>
      <c r="C632" s="249"/>
      <c r="D632" s="249"/>
      <c r="E632" s="249"/>
      <c r="F632" s="249"/>
      <c r="G632" s="249"/>
      <c r="H632" s="249"/>
      <c r="I632" s="249"/>
      <c r="J632" s="249"/>
      <c r="K632" s="249"/>
      <c r="L632" s="249"/>
      <c r="M632" s="249"/>
      <c r="N632" s="249"/>
      <c r="O632" s="249"/>
      <c r="P632" s="249"/>
      <c r="Q632" s="249"/>
      <c r="R632" s="249"/>
      <c r="S632" s="249"/>
      <c r="T632" s="249"/>
      <c r="U632" s="249"/>
      <c r="V632" s="249"/>
      <c r="W632" s="249"/>
      <c r="X632" s="249"/>
      <c r="Y632" s="249"/>
      <c r="Z632" s="249"/>
      <c r="AA632" s="249"/>
    </row>
    <row r="633">
      <c r="A633" s="249"/>
      <c r="B633" s="249"/>
      <c r="C633" s="249"/>
      <c r="D633" s="249"/>
      <c r="E633" s="249"/>
      <c r="F633" s="249"/>
      <c r="G633" s="249"/>
      <c r="H633" s="249"/>
      <c r="I633" s="249"/>
      <c r="J633" s="249"/>
      <c r="K633" s="249"/>
      <c r="L633" s="249"/>
      <c r="M633" s="249"/>
      <c r="N633" s="249"/>
      <c r="O633" s="249"/>
      <c r="P633" s="249"/>
      <c r="Q633" s="249"/>
      <c r="R633" s="249"/>
      <c r="S633" s="249"/>
      <c r="T633" s="249"/>
      <c r="U633" s="249"/>
      <c r="V633" s="249"/>
      <c r="W633" s="249"/>
      <c r="X633" s="249"/>
      <c r="Y633" s="249"/>
      <c r="Z633" s="249"/>
      <c r="AA633" s="249"/>
    </row>
    <row r="634">
      <c r="A634" s="249"/>
      <c r="B634" s="249"/>
      <c r="C634" s="249"/>
      <c r="D634" s="249"/>
      <c r="E634" s="249"/>
      <c r="F634" s="249"/>
      <c r="G634" s="249"/>
      <c r="H634" s="249"/>
      <c r="I634" s="249"/>
      <c r="J634" s="249"/>
      <c r="K634" s="249"/>
      <c r="L634" s="249"/>
      <c r="M634" s="249"/>
      <c r="N634" s="249"/>
      <c r="O634" s="249"/>
      <c r="P634" s="249"/>
      <c r="Q634" s="249"/>
      <c r="R634" s="249"/>
      <c r="S634" s="249"/>
      <c r="T634" s="249"/>
      <c r="U634" s="249"/>
      <c r="V634" s="249"/>
      <c r="W634" s="249"/>
      <c r="X634" s="249"/>
      <c r="Y634" s="249"/>
      <c r="Z634" s="249"/>
      <c r="AA634" s="249"/>
    </row>
    <row r="635">
      <c r="A635" s="249"/>
      <c r="B635" s="249"/>
      <c r="C635" s="249"/>
      <c r="D635" s="249"/>
      <c r="E635" s="249"/>
      <c r="F635" s="249"/>
      <c r="G635" s="249"/>
      <c r="H635" s="249"/>
      <c r="I635" s="249"/>
      <c r="J635" s="249"/>
      <c r="K635" s="249"/>
      <c r="L635" s="249"/>
      <c r="M635" s="249"/>
      <c r="N635" s="249"/>
      <c r="O635" s="249"/>
      <c r="P635" s="249"/>
      <c r="Q635" s="249"/>
      <c r="R635" s="249"/>
      <c r="S635" s="249"/>
      <c r="T635" s="249"/>
      <c r="U635" s="249"/>
      <c r="V635" s="249"/>
      <c r="W635" s="249"/>
      <c r="X635" s="249"/>
      <c r="Y635" s="249"/>
      <c r="Z635" s="249"/>
      <c r="AA635" s="249"/>
    </row>
    <row r="636">
      <c r="A636" s="249"/>
      <c r="B636" s="249"/>
      <c r="C636" s="249"/>
      <c r="D636" s="249"/>
      <c r="E636" s="249"/>
      <c r="F636" s="249"/>
      <c r="G636" s="249"/>
      <c r="H636" s="249"/>
      <c r="I636" s="249"/>
      <c r="J636" s="249"/>
      <c r="K636" s="249"/>
      <c r="L636" s="249"/>
      <c r="M636" s="249"/>
      <c r="N636" s="249"/>
      <c r="O636" s="249"/>
      <c r="P636" s="249"/>
      <c r="Q636" s="249"/>
      <c r="R636" s="249"/>
      <c r="S636" s="249"/>
      <c r="T636" s="249"/>
      <c r="U636" s="249"/>
      <c r="V636" s="249"/>
      <c r="W636" s="249"/>
      <c r="X636" s="249"/>
      <c r="Y636" s="249"/>
      <c r="Z636" s="249"/>
      <c r="AA636" s="249"/>
    </row>
    <row r="637">
      <c r="A637" s="249"/>
      <c r="B637" s="249"/>
      <c r="C637" s="249"/>
      <c r="D637" s="249"/>
      <c r="E637" s="249"/>
      <c r="F637" s="249"/>
      <c r="G637" s="249"/>
      <c r="H637" s="249"/>
      <c r="I637" s="249"/>
      <c r="J637" s="249"/>
      <c r="K637" s="249"/>
      <c r="L637" s="249"/>
      <c r="M637" s="249"/>
      <c r="N637" s="249"/>
      <c r="O637" s="249"/>
      <c r="P637" s="249"/>
      <c r="Q637" s="249"/>
      <c r="R637" s="249"/>
      <c r="S637" s="249"/>
      <c r="T637" s="249"/>
      <c r="U637" s="249"/>
      <c r="V637" s="249"/>
      <c r="W637" s="249"/>
      <c r="X637" s="249"/>
      <c r="Y637" s="249"/>
      <c r="Z637" s="249"/>
      <c r="AA637" s="249"/>
    </row>
    <row r="638">
      <c r="A638" s="249"/>
      <c r="B638" s="249"/>
      <c r="C638" s="249"/>
      <c r="D638" s="249"/>
      <c r="E638" s="249"/>
      <c r="F638" s="249"/>
      <c r="G638" s="249"/>
      <c r="H638" s="249"/>
      <c r="I638" s="249"/>
      <c r="J638" s="249"/>
      <c r="K638" s="249"/>
      <c r="L638" s="249"/>
      <c r="M638" s="249"/>
      <c r="N638" s="249"/>
      <c r="O638" s="249"/>
      <c r="P638" s="249"/>
      <c r="Q638" s="249"/>
      <c r="R638" s="249"/>
      <c r="S638" s="249"/>
      <c r="T638" s="249"/>
      <c r="U638" s="249"/>
      <c r="V638" s="249"/>
      <c r="W638" s="249"/>
      <c r="X638" s="249"/>
      <c r="Y638" s="249"/>
      <c r="Z638" s="249"/>
      <c r="AA638" s="249"/>
    </row>
    <row r="639">
      <c r="A639" s="249"/>
      <c r="B639" s="249"/>
      <c r="C639" s="249"/>
      <c r="D639" s="249"/>
      <c r="E639" s="249"/>
      <c r="F639" s="249"/>
      <c r="G639" s="249"/>
      <c r="H639" s="249"/>
      <c r="I639" s="249"/>
      <c r="J639" s="249"/>
      <c r="K639" s="249"/>
      <c r="L639" s="249"/>
      <c r="M639" s="249"/>
      <c r="N639" s="249"/>
      <c r="O639" s="249"/>
      <c r="P639" s="249"/>
      <c r="Q639" s="249"/>
      <c r="R639" s="249"/>
      <c r="S639" s="249"/>
      <c r="T639" s="249"/>
      <c r="U639" s="249"/>
      <c r="V639" s="249"/>
      <c r="W639" s="249"/>
      <c r="X639" s="249"/>
      <c r="Y639" s="249"/>
      <c r="Z639" s="249"/>
      <c r="AA639" s="249"/>
    </row>
    <row r="640">
      <c r="A640" s="249"/>
      <c r="B640" s="249"/>
      <c r="C640" s="249"/>
      <c r="D640" s="249"/>
      <c r="E640" s="249"/>
      <c r="F640" s="249"/>
      <c r="G640" s="249"/>
      <c r="H640" s="249"/>
      <c r="I640" s="249"/>
      <c r="J640" s="249"/>
      <c r="K640" s="249"/>
      <c r="L640" s="249"/>
      <c r="M640" s="249"/>
      <c r="N640" s="249"/>
      <c r="O640" s="249"/>
      <c r="P640" s="249"/>
      <c r="Q640" s="249"/>
      <c r="R640" s="249"/>
      <c r="S640" s="249"/>
      <c r="T640" s="249"/>
      <c r="U640" s="249"/>
      <c r="V640" s="249"/>
      <c r="W640" s="249"/>
      <c r="X640" s="249"/>
      <c r="Y640" s="249"/>
      <c r="Z640" s="249"/>
      <c r="AA640" s="249"/>
    </row>
    <row r="641">
      <c r="A641" s="249"/>
      <c r="B641" s="249"/>
      <c r="C641" s="249"/>
      <c r="D641" s="249"/>
      <c r="E641" s="249"/>
      <c r="F641" s="249"/>
      <c r="G641" s="249"/>
      <c r="H641" s="249"/>
      <c r="I641" s="249"/>
      <c r="J641" s="249"/>
      <c r="K641" s="249"/>
      <c r="L641" s="249"/>
      <c r="M641" s="249"/>
      <c r="N641" s="249"/>
      <c r="O641" s="249"/>
      <c r="P641" s="249"/>
      <c r="Q641" s="249"/>
      <c r="R641" s="249"/>
      <c r="S641" s="249"/>
      <c r="T641" s="249"/>
      <c r="U641" s="249"/>
      <c r="V641" s="249"/>
      <c r="W641" s="249"/>
      <c r="X641" s="249"/>
      <c r="Y641" s="249"/>
      <c r="Z641" s="249"/>
      <c r="AA641" s="249"/>
    </row>
    <row r="642">
      <c r="A642" s="249"/>
      <c r="B642" s="249"/>
      <c r="C642" s="249"/>
      <c r="D642" s="249"/>
      <c r="E642" s="249"/>
      <c r="F642" s="249"/>
      <c r="G642" s="249"/>
      <c r="H642" s="249"/>
      <c r="I642" s="249"/>
      <c r="J642" s="249"/>
      <c r="K642" s="249"/>
      <c r="L642" s="249"/>
      <c r="M642" s="249"/>
      <c r="N642" s="249"/>
      <c r="O642" s="249"/>
      <c r="P642" s="249"/>
      <c r="Q642" s="249"/>
      <c r="R642" s="249"/>
      <c r="S642" s="249"/>
      <c r="T642" s="249"/>
      <c r="U642" s="249"/>
      <c r="V642" s="249"/>
      <c r="W642" s="249"/>
      <c r="X642" s="249"/>
      <c r="Y642" s="249"/>
      <c r="Z642" s="249"/>
      <c r="AA642" s="249"/>
    </row>
    <row r="643">
      <c r="A643" s="249"/>
      <c r="B643" s="249"/>
      <c r="C643" s="249"/>
      <c r="D643" s="249"/>
      <c r="E643" s="249"/>
      <c r="F643" s="249"/>
      <c r="G643" s="249"/>
      <c r="H643" s="249"/>
      <c r="I643" s="249"/>
      <c r="J643" s="249"/>
      <c r="K643" s="249"/>
      <c r="L643" s="249"/>
      <c r="M643" s="249"/>
      <c r="N643" s="249"/>
      <c r="O643" s="249"/>
      <c r="P643" s="249"/>
      <c r="Q643" s="249"/>
      <c r="R643" s="249"/>
      <c r="S643" s="249"/>
      <c r="T643" s="249"/>
      <c r="U643" s="249"/>
      <c r="V643" s="249"/>
      <c r="W643" s="249"/>
      <c r="X643" s="249"/>
      <c r="Y643" s="249"/>
      <c r="Z643" s="249"/>
      <c r="AA643" s="249"/>
    </row>
    <row r="644">
      <c r="A644" s="249"/>
      <c r="B644" s="249"/>
      <c r="C644" s="249"/>
      <c r="D644" s="249"/>
      <c r="E644" s="249"/>
      <c r="F644" s="249"/>
      <c r="G644" s="249"/>
      <c r="H644" s="249"/>
      <c r="I644" s="249"/>
      <c r="J644" s="249"/>
      <c r="K644" s="249"/>
      <c r="L644" s="249"/>
      <c r="M644" s="249"/>
      <c r="N644" s="249"/>
      <c r="O644" s="249"/>
      <c r="P644" s="249"/>
      <c r="Q644" s="249"/>
      <c r="R644" s="249"/>
      <c r="S644" s="249"/>
      <c r="T644" s="249"/>
      <c r="U644" s="249"/>
      <c r="V644" s="249"/>
      <c r="W644" s="249"/>
      <c r="X644" s="249"/>
      <c r="Y644" s="249"/>
      <c r="Z644" s="249"/>
      <c r="AA644" s="249"/>
    </row>
    <row r="645">
      <c r="A645" s="249"/>
      <c r="B645" s="249"/>
      <c r="C645" s="249"/>
      <c r="D645" s="249"/>
      <c r="E645" s="249"/>
      <c r="F645" s="249"/>
      <c r="G645" s="249"/>
      <c r="H645" s="249"/>
      <c r="I645" s="249"/>
      <c r="J645" s="249"/>
      <c r="K645" s="249"/>
      <c r="L645" s="249"/>
      <c r="M645" s="249"/>
      <c r="N645" s="249"/>
      <c r="O645" s="249"/>
      <c r="P645" s="249"/>
      <c r="Q645" s="249"/>
      <c r="R645" s="249"/>
      <c r="S645" s="249"/>
      <c r="T645" s="249"/>
      <c r="U645" s="249"/>
      <c r="V645" s="249"/>
      <c r="W645" s="249"/>
      <c r="X645" s="249"/>
      <c r="Y645" s="249"/>
      <c r="Z645" s="249"/>
      <c r="AA645" s="249"/>
    </row>
    <row r="646">
      <c r="A646" s="249"/>
      <c r="B646" s="249"/>
      <c r="C646" s="249"/>
      <c r="D646" s="249"/>
      <c r="E646" s="249"/>
      <c r="F646" s="249"/>
      <c r="G646" s="249"/>
      <c r="H646" s="249"/>
      <c r="I646" s="249"/>
      <c r="J646" s="249"/>
      <c r="K646" s="249"/>
      <c r="L646" s="249"/>
      <c r="M646" s="249"/>
      <c r="N646" s="249"/>
      <c r="O646" s="249"/>
      <c r="P646" s="249"/>
      <c r="Q646" s="249"/>
      <c r="R646" s="249"/>
      <c r="S646" s="249"/>
      <c r="T646" s="249"/>
      <c r="U646" s="249"/>
      <c r="V646" s="249"/>
      <c r="W646" s="249"/>
      <c r="X646" s="249"/>
      <c r="Y646" s="249"/>
      <c r="Z646" s="249"/>
      <c r="AA646" s="249"/>
    </row>
    <row r="647">
      <c r="A647" s="249"/>
      <c r="B647" s="249"/>
      <c r="C647" s="249"/>
      <c r="D647" s="249"/>
      <c r="E647" s="249"/>
      <c r="F647" s="249"/>
      <c r="G647" s="249"/>
      <c r="H647" s="249"/>
      <c r="I647" s="249"/>
      <c r="J647" s="249"/>
      <c r="K647" s="249"/>
      <c r="L647" s="249"/>
      <c r="M647" s="249"/>
      <c r="N647" s="249"/>
      <c r="O647" s="249"/>
      <c r="P647" s="249"/>
      <c r="Q647" s="249"/>
      <c r="R647" s="249"/>
      <c r="S647" s="249"/>
      <c r="T647" s="249"/>
      <c r="U647" s="249"/>
      <c r="V647" s="249"/>
      <c r="W647" s="249"/>
      <c r="X647" s="249"/>
      <c r="Y647" s="249"/>
      <c r="Z647" s="249"/>
      <c r="AA647" s="249"/>
    </row>
    <row r="648">
      <c r="A648" s="249"/>
      <c r="B648" s="249"/>
      <c r="C648" s="249"/>
      <c r="D648" s="249"/>
      <c r="E648" s="249"/>
      <c r="F648" s="249"/>
      <c r="G648" s="249"/>
      <c r="H648" s="249"/>
      <c r="I648" s="249"/>
      <c r="J648" s="249"/>
      <c r="K648" s="249"/>
      <c r="L648" s="249"/>
      <c r="M648" s="249"/>
      <c r="N648" s="249"/>
      <c r="O648" s="249"/>
      <c r="P648" s="249"/>
      <c r="Q648" s="249"/>
      <c r="R648" s="249"/>
      <c r="S648" s="249"/>
      <c r="T648" s="249"/>
      <c r="U648" s="249"/>
      <c r="V648" s="249"/>
      <c r="W648" s="249"/>
      <c r="X648" s="249"/>
      <c r="Y648" s="249"/>
      <c r="Z648" s="249"/>
      <c r="AA648" s="249"/>
    </row>
    <row r="649">
      <c r="A649" s="249"/>
      <c r="B649" s="249"/>
      <c r="C649" s="249"/>
      <c r="D649" s="249"/>
      <c r="E649" s="249"/>
      <c r="F649" s="249"/>
      <c r="G649" s="249"/>
      <c r="H649" s="249"/>
      <c r="I649" s="249"/>
      <c r="J649" s="249"/>
      <c r="K649" s="249"/>
      <c r="L649" s="249"/>
      <c r="M649" s="249"/>
      <c r="N649" s="249"/>
      <c r="O649" s="249"/>
      <c r="P649" s="249"/>
      <c r="Q649" s="249"/>
      <c r="R649" s="249"/>
      <c r="S649" s="249"/>
      <c r="T649" s="249"/>
      <c r="U649" s="249"/>
      <c r="V649" s="249"/>
      <c r="W649" s="249"/>
      <c r="X649" s="249"/>
      <c r="Y649" s="249"/>
      <c r="Z649" s="249"/>
      <c r="AA649" s="249"/>
    </row>
    <row r="650">
      <c r="A650" s="249"/>
      <c r="B650" s="249"/>
      <c r="C650" s="249"/>
      <c r="D650" s="249"/>
      <c r="E650" s="249"/>
      <c r="F650" s="249"/>
      <c r="G650" s="249"/>
      <c r="H650" s="249"/>
      <c r="I650" s="249"/>
      <c r="J650" s="249"/>
      <c r="K650" s="249"/>
      <c r="L650" s="249"/>
      <c r="M650" s="249"/>
      <c r="N650" s="249"/>
      <c r="O650" s="249"/>
      <c r="P650" s="249"/>
      <c r="Q650" s="249"/>
      <c r="R650" s="249"/>
      <c r="S650" s="249"/>
      <c r="T650" s="249"/>
      <c r="U650" s="249"/>
      <c r="V650" s="249"/>
      <c r="W650" s="249"/>
      <c r="X650" s="249"/>
      <c r="Y650" s="249"/>
      <c r="Z650" s="249"/>
      <c r="AA650" s="249"/>
    </row>
    <row r="651">
      <c r="A651" s="249"/>
      <c r="B651" s="249"/>
      <c r="C651" s="249"/>
      <c r="D651" s="249"/>
      <c r="E651" s="249"/>
      <c r="F651" s="249"/>
      <c r="G651" s="249"/>
      <c r="H651" s="249"/>
      <c r="I651" s="249"/>
      <c r="J651" s="249"/>
      <c r="K651" s="249"/>
      <c r="L651" s="249"/>
      <c r="M651" s="249"/>
      <c r="N651" s="249"/>
      <c r="O651" s="249"/>
      <c r="P651" s="249"/>
      <c r="Q651" s="249"/>
      <c r="R651" s="249"/>
      <c r="S651" s="249"/>
      <c r="T651" s="249"/>
      <c r="U651" s="249"/>
      <c r="V651" s="249"/>
      <c r="W651" s="249"/>
      <c r="X651" s="249"/>
      <c r="Y651" s="249"/>
      <c r="Z651" s="249"/>
      <c r="AA651" s="249"/>
    </row>
    <row r="652">
      <c r="A652" s="249"/>
      <c r="B652" s="249"/>
      <c r="C652" s="249"/>
      <c r="D652" s="249"/>
      <c r="E652" s="249"/>
      <c r="F652" s="249"/>
      <c r="G652" s="249"/>
      <c r="H652" s="249"/>
      <c r="I652" s="249"/>
      <c r="J652" s="249"/>
      <c r="K652" s="249"/>
      <c r="L652" s="249"/>
      <c r="M652" s="249"/>
      <c r="N652" s="249"/>
      <c r="O652" s="249"/>
      <c r="P652" s="249"/>
      <c r="Q652" s="249"/>
      <c r="R652" s="249"/>
      <c r="S652" s="249"/>
      <c r="T652" s="249"/>
      <c r="U652" s="249"/>
      <c r="V652" s="249"/>
      <c r="W652" s="249"/>
      <c r="X652" s="249"/>
      <c r="Y652" s="249"/>
      <c r="Z652" s="249"/>
      <c r="AA652" s="249"/>
    </row>
    <row r="653">
      <c r="A653" s="249"/>
      <c r="B653" s="249"/>
      <c r="C653" s="249"/>
      <c r="D653" s="249"/>
      <c r="E653" s="249"/>
      <c r="F653" s="249"/>
      <c r="G653" s="249"/>
      <c r="H653" s="249"/>
      <c r="I653" s="249"/>
      <c r="J653" s="249"/>
      <c r="K653" s="249"/>
      <c r="L653" s="249"/>
      <c r="M653" s="249"/>
      <c r="N653" s="249"/>
      <c r="O653" s="249"/>
      <c r="P653" s="249"/>
      <c r="Q653" s="249"/>
      <c r="R653" s="249"/>
      <c r="S653" s="249"/>
      <c r="T653" s="249"/>
      <c r="U653" s="249"/>
      <c r="V653" s="249"/>
      <c r="W653" s="249"/>
      <c r="X653" s="249"/>
      <c r="Y653" s="249"/>
      <c r="Z653" s="249"/>
      <c r="AA653" s="249"/>
    </row>
    <row r="654">
      <c r="A654" s="249"/>
      <c r="B654" s="249"/>
      <c r="C654" s="249"/>
      <c r="D654" s="249"/>
      <c r="E654" s="249"/>
      <c r="F654" s="249"/>
      <c r="G654" s="249"/>
      <c r="H654" s="249"/>
      <c r="I654" s="249"/>
      <c r="J654" s="249"/>
      <c r="K654" s="249"/>
      <c r="L654" s="249"/>
      <c r="M654" s="249"/>
      <c r="N654" s="249"/>
      <c r="O654" s="249"/>
      <c r="P654" s="249"/>
      <c r="Q654" s="249"/>
      <c r="R654" s="249"/>
      <c r="S654" s="249"/>
      <c r="T654" s="249"/>
      <c r="U654" s="249"/>
      <c r="V654" s="249"/>
      <c r="W654" s="249"/>
      <c r="X654" s="249"/>
      <c r="Y654" s="249"/>
      <c r="Z654" s="249"/>
      <c r="AA654" s="249"/>
    </row>
    <row r="655">
      <c r="A655" s="249"/>
      <c r="B655" s="249"/>
      <c r="C655" s="249"/>
      <c r="D655" s="249"/>
      <c r="E655" s="249"/>
      <c r="F655" s="249"/>
      <c r="G655" s="249"/>
      <c r="H655" s="249"/>
      <c r="I655" s="249"/>
      <c r="J655" s="249"/>
      <c r="K655" s="249"/>
      <c r="L655" s="249"/>
      <c r="M655" s="249"/>
      <c r="N655" s="249"/>
      <c r="O655" s="249"/>
      <c r="P655" s="249"/>
      <c r="Q655" s="249"/>
      <c r="R655" s="249"/>
      <c r="S655" s="249"/>
      <c r="T655" s="249"/>
      <c r="U655" s="249"/>
      <c r="V655" s="249"/>
      <c r="W655" s="249"/>
      <c r="X655" s="249"/>
      <c r="Y655" s="249"/>
      <c r="Z655" s="249"/>
      <c r="AA655" s="249"/>
    </row>
    <row r="656">
      <c r="A656" s="249"/>
      <c r="B656" s="249"/>
      <c r="C656" s="249"/>
      <c r="D656" s="249"/>
      <c r="E656" s="249"/>
      <c r="F656" s="249"/>
      <c r="G656" s="249"/>
      <c r="H656" s="249"/>
      <c r="I656" s="249"/>
      <c r="J656" s="249"/>
      <c r="K656" s="249"/>
      <c r="L656" s="249"/>
      <c r="M656" s="249"/>
      <c r="N656" s="249"/>
      <c r="O656" s="249"/>
      <c r="P656" s="249"/>
      <c r="Q656" s="249"/>
      <c r="R656" s="249"/>
      <c r="S656" s="249"/>
      <c r="T656" s="249"/>
      <c r="U656" s="249"/>
      <c r="V656" s="249"/>
      <c r="W656" s="249"/>
      <c r="X656" s="249"/>
      <c r="Y656" s="249"/>
      <c r="Z656" s="249"/>
      <c r="AA656" s="249"/>
    </row>
    <row r="657">
      <c r="A657" s="249"/>
      <c r="B657" s="249"/>
      <c r="C657" s="249"/>
      <c r="D657" s="249"/>
      <c r="E657" s="249"/>
      <c r="F657" s="249"/>
      <c r="G657" s="249"/>
      <c r="H657" s="249"/>
      <c r="I657" s="249"/>
      <c r="J657" s="249"/>
      <c r="K657" s="249"/>
      <c r="L657" s="249"/>
      <c r="M657" s="249"/>
      <c r="N657" s="249"/>
      <c r="O657" s="249"/>
      <c r="P657" s="249"/>
      <c r="Q657" s="249"/>
      <c r="R657" s="249"/>
      <c r="S657" s="249"/>
      <c r="T657" s="249"/>
      <c r="U657" s="249"/>
      <c r="V657" s="249"/>
      <c r="W657" s="249"/>
      <c r="X657" s="249"/>
      <c r="Y657" s="249"/>
      <c r="Z657" s="249"/>
      <c r="AA657" s="249"/>
    </row>
    <row r="658">
      <c r="A658" s="249"/>
      <c r="B658" s="249"/>
      <c r="C658" s="249"/>
      <c r="D658" s="249"/>
      <c r="E658" s="249"/>
      <c r="F658" s="249"/>
      <c r="G658" s="249"/>
      <c r="H658" s="249"/>
      <c r="I658" s="249"/>
      <c r="J658" s="249"/>
      <c r="K658" s="249"/>
      <c r="L658" s="249"/>
      <c r="M658" s="249"/>
      <c r="N658" s="249"/>
      <c r="O658" s="249"/>
      <c r="P658" s="249"/>
      <c r="Q658" s="249"/>
      <c r="R658" s="249"/>
      <c r="S658" s="249"/>
      <c r="T658" s="249"/>
      <c r="U658" s="249"/>
      <c r="V658" s="249"/>
      <c r="W658" s="249"/>
      <c r="X658" s="249"/>
      <c r="Y658" s="249"/>
      <c r="Z658" s="249"/>
      <c r="AA658" s="249"/>
    </row>
    <row r="659">
      <c r="A659" s="249"/>
      <c r="B659" s="249"/>
      <c r="C659" s="249"/>
      <c r="D659" s="249"/>
      <c r="E659" s="249"/>
      <c r="F659" s="249"/>
      <c r="G659" s="249"/>
      <c r="H659" s="249"/>
      <c r="I659" s="249"/>
      <c r="J659" s="249"/>
      <c r="K659" s="249"/>
      <c r="L659" s="249"/>
      <c r="M659" s="249"/>
      <c r="N659" s="249"/>
      <c r="O659" s="249"/>
      <c r="P659" s="249"/>
      <c r="Q659" s="249"/>
      <c r="R659" s="249"/>
      <c r="S659" s="249"/>
      <c r="T659" s="249"/>
      <c r="U659" s="249"/>
      <c r="V659" s="249"/>
      <c r="W659" s="249"/>
      <c r="X659" s="249"/>
      <c r="Y659" s="249"/>
      <c r="Z659" s="249"/>
      <c r="AA659" s="249"/>
    </row>
    <row r="660">
      <c r="A660" s="249"/>
      <c r="B660" s="249"/>
      <c r="C660" s="249"/>
      <c r="D660" s="249"/>
      <c r="E660" s="249"/>
      <c r="F660" s="249"/>
      <c r="G660" s="249"/>
      <c r="H660" s="249"/>
      <c r="I660" s="249"/>
      <c r="J660" s="249"/>
      <c r="K660" s="249"/>
      <c r="L660" s="249"/>
      <c r="M660" s="249"/>
      <c r="N660" s="249"/>
      <c r="O660" s="249"/>
      <c r="P660" s="249"/>
      <c r="Q660" s="249"/>
      <c r="R660" s="249"/>
      <c r="S660" s="249"/>
      <c r="T660" s="249"/>
      <c r="U660" s="249"/>
      <c r="V660" s="249"/>
      <c r="W660" s="249"/>
      <c r="X660" s="249"/>
      <c r="Y660" s="249"/>
      <c r="Z660" s="249"/>
      <c r="AA660" s="249"/>
    </row>
    <row r="661">
      <c r="A661" s="249"/>
      <c r="B661" s="249"/>
      <c r="C661" s="249"/>
      <c r="D661" s="249"/>
      <c r="E661" s="249"/>
      <c r="F661" s="249"/>
      <c r="G661" s="249"/>
      <c r="H661" s="249"/>
      <c r="I661" s="249"/>
      <c r="J661" s="249"/>
      <c r="K661" s="249"/>
      <c r="L661" s="249"/>
      <c r="M661" s="249"/>
      <c r="N661" s="249"/>
      <c r="O661" s="249"/>
      <c r="P661" s="249"/>
      <c r="Q661" s="249"/>
      <c r="R661" s="249"/>
      <c r="S661" s="249"/>
      <c r="T661" s="249"/>
      <c r="U661" s="249"/>
      <c r="V661" s="249"/>
      <c r="W661" s="249"/>
      <c r="X661" s="249"/>
      <c r="Y661" s="249"/>
      <c r="Z661" s="249"/>
      <c r="AA661" s="249"/>
    </row>
    <row r="662">
      <c r="A662" s="249"/>
      <c r="B662" s="249"/>
      <c r="C662" s="249"/>
      <c r="D662" s="249"/>
      <c r="E662" s="249"/>
      <c r="F662" s="249"/>
      <c r="G662" s="249"/>
      <c r="H662" s="249"/>
      <c r="I662" s="249"/>
      <c r="J662" s="249"/>
      <c r="K662" s="249"/>
      <c r="L662" s="249"/>
      <c r="M662" s="249"/>
      <c r="N662" s="249"/>
      <c r="O662" s="249"/>
      <c r="P662" s="249"/>
      <c r="Q662" s="249"/>
      <c r="R662" s="249"/>
      <c r="S662" s="249"/>
      <c r="T662" s="249"/>
      <c r="U662" s="249"/>
      <c r="V662" s="249"/>
      <c r="W662" s="249"/>
      <c r="X662" s="249"/>
      <c r="Y662" s="249"/>
      <c r="Z662" s="249"/>
      <c r="AA662" s="249"/>
    </row>
    <row r="663">
      <c r="A663" s="249"/>
      <c r="B663" s="249"/>
      <c r="C663" s="249"/>
      <c r="D663" s="249"/>
      <c r="E663" s="249"/>
      <c r="F663" s="249"/>
      <c r="G663" s="249"/>
      <c r="H663" s="249"/>
      <c r="I663" s="249"/>
      <c r="J663" s="249"/>
      <c r="K663" s="249"/>
      <c r="L663" s="249"/>
      <c r="M663" s="249"/>
      <c r="N663" s="249"/>
      <c r="O663" s="249"/>
      <c r="P663" s="249"/>
      <c r="Q663" s="249"/>
      <c r="R663" s="249"/>
      <c r="S663" s="249"/>
      <c r="T663" s="249"/>
      <c r="U663" s="249"/>
      <c r="V663" s="249"/>
      <c r="W663" s="249"/>
      <c r="X663" s="249"/>
      <c r="Y663" s="249"/>
      <c r="Z663" s="249"/>
      <c r="AA663" s="249"/>
    </row>
    <row r="664">
      <c r="A664" s="249"/>
      <c r="B664" s="249"/>
      <c r="C664" s="249"/>
      <c r="D664" s="249"/>
      <c r="E664" s="249"/>
      <c r="F664" s="249"/>
      <c r="G664" s="249"/>
      <c r="H664" s="249"/>
      <c r="I664" s="249"/>
      <c r="J664" s="249"/>
      <c r="K664" s="249"/>
      <c r="L664" s="249"/>
      <c r="M664" s="249"/>
      <c r="N664" s="249"/>
      <c r="O664" s="249"/>
      <c r="P664" s="249"/>
      <c r="Q664" s="249"/>
      <c r="R664" s="249"/>
      <c r="S664" s="249"/>
      <c r="T664" s="249"/>
      <c r="U664" s="249"/>
      <c r="V664" s="249"/>
      <c r="W664" s="249"/>
      <c r="X664" s="249"/>
      <c r="Y664" s="249"/>
      <c r="Z664" s="249"/>
      <c r="AA664" s="249"/>
    </row>
    <row r="665">
      <c r="A665" s="249"/>
      <c r="B665" s="249"/>
      <c r="C665" s="249"/>
      <c r="D665" s="249"/>
      <c r="E665" s="249"/>
      <c r="F665" s="249"/>
      <c r="G665" s="249"/>
      <c r="H665" s="249"/>
      <c r="I665" s="249"/>
      <c r="J665" s="249"/>
      <c r="K665" s="249"/>
      <c r="L665" s="249"/>
      <c r="M665" s="249"/>
      <c r="N665" s="249"/>
      <c r="O665" s="249"/>
      <c r="P665" s="249"/>
      <c r="Q665" s="249"/>
      <c r="R665" s="249"/>
      <c r="S665" s="249"/>
      <c r="T665" s="249"/>
      <c r="U665" s="249"/>
      <c r="V665" s="249"/>
      <c r="W665" s="249"/>
      <c r="X665" s="249"/>
      <c r="Y665" s="249"/>
      <c r="Z665" s="249"/>
      <c r="AA665" s="249"/>
    </row>
    <row r="666">
      <c r="A666" s="249"/>
      <c r="B666" s="249"/>
      <c r="C666" s="249"/>
      <c r="D666" s="249"/>
      <c r="E666" s="249"/>
      <c r="F666" s="249"/>
      <c r="G666" s="249"/>
      <c r="H666" s="249"/>
      <c r="I666" s="249"/>
      <c r="J666" s="249"/>
      <c r="K666" s="249"/>
      <c r="L666" s="249"/>
      <c r="M666" s="249"/>
      <c r="N666" s="249"/>
      <c r="O666" s="249"/>
      <c r="P666" s="249"/>
      <c r="Q666" s="249"/>
      <c r="R666" s="249"/>
      <c r="S666" s="249"/>
      <c r="T666" s="249"/>
      <c r="U666" s="249"/>
      <c r="V666" s="249"/>
      <c r="W666" s="249"/>
      <c r="X666" s="249"/>
      <c r="Y666" s="249"/>
      <c r="Z666" s="249"/>
      <c r="AA666" s="249"/>
    </row>
    <row r="667">
      <c r="A667" s="249"/>
      <c r="B667" s="249"/>
      <c r="C667" s="249"/>
      <c r="D667" s="249"/>
      <c r="E667" s="249"/>
      <c r="F667" s="249"/>
      <c r="G667" s="249"/>
      <c r="H667" s="249"/>
      <c r="I667" s="249"/>
      <c r="J667" s="249"/>
      <c r="K667" s="249"/>
      <c r="L667" s="249"/>
      <c r="M667" s="249"/>
      <c r="N667" s="249"/>
      <c r="O667" s="249"/>
      <c r="P667" s="249"/>
      <c r="Q667" s="249"/>
      <c r="R667" s="249"/>
      <c r="S667" s="249"/>
      <c r="T667" s="249"/>
      <c r="U667" s="249"/>
      <c r="V667" s="249"/>
      <c r="W667" s="249"/>
      <c r="X667" s="249"/>
      <c r="Y667" s="249"/>
      <c r="Z667" s="249"/>
      <c r="AA667" s="249"/>
    </row>
    <row r="668">
      <c r="A668" s="249"/>
      <c r="B668" s="249"/>
      <c r="C668" s="249"/>
      <c r="D668" s="249"/>
      <c r="E668" s="249"/>
      <c r="F668" s="249"/>
      <c r="G668" s="249"/>
      <c r="H668" s="249"/>
      <c r="I668" s="249"/>
      <c r="J668" s="249"/>
      <c r="K668" s="249"/>
      <c r="L668" s="249"/>
      <c r="M668" s="249"/>
      <c r="N668" s="249"/>
      <c r="O668" s="249"/>
      <c r="P668" s="249"/>
      <c r="Q668" s="249"/>
      <c r="R668" s="249"/>
      <c r="S668" s="249"/>
      <c r="T668" s="249"/>
      <c r="U668" s="249"/>
      <c r="V668" s="249"/>
      <c r="W668" s="249"/>
      <c r="X668" s="249"/>
      <c r="Y668" s="249"/>
      <c r="Z668" s="249"/>
      <c r="AA668" s="249"/>
    </row>
    <row r="669">
      <c r="A669" s="249"/>
      <c r="B669" s="249"/>
      <c r="C669" s="249"/>
      <c r="D669" s="249"/>
      <c r="E669" s="249"/>
      <c r="F669" s="249"/>
      <c r="G669" s="249"/>
      <c r="H669" s="249"/>
      <c r="I669" s="249"/>
      <c r="J669" s="249"/>
      <c r="K669" s="249"/>
      <c r="L669" s="249"/>
      <c r="M669" s="249"/>
      <c r="N669" s="249"/>
      <c r="O669" s="249"/>
      <c r="P669" s="249"/>
      <c r="Q669" s="249"/>
      <c r="R669" s="249"/>
      <c r="S669" s="249"/>
      <c r="T669" s="249"/>
      <c r="U669" s="249"/>
      <c r="V669" s="249"/>
      <c r="W669" s="249"/>
      <c r="X669" s="249"/>
      <c r="Y669" s="249"/>
      <c r="Z669" s="249"/>
      <c r="AA669" s="249"/>
    </row>
    <row r="670">
      <c r="A670" s="249"/>
      <c r="B670" s="249"/>
      <c r="C670" s="249"/>
      <c r="D670" s="249"/>
      <c r="E670" s="249"/>
      <c r="F670" s="249"/>
      <c r="G670" s="249"/>
      <c r="H670" s="249"/>
      <c r="I670" s="249"/>
      <c r="J670" s="249"/>
      <c r="K670" s="249"/>
      <c r="L670" s="249"/>
      <c r="M670" s="249"/>
      <c r="N670" s="249"/>
      <c r="O670" s="249"/>
      <c r="P670" s="249"/>
      <c r="Q670" s="249"/>
      <c r="R670" s="249"/>
      <c r="S670" s="249"/>
      <c r="T670" s="249"/>
      <c r="U670" s="249"/>
      <c r="V670" s="249"/>
      <c r="W670" s="249"/>
      <c r="X670" s="249"/>
      <c r="Y670" s="249"/>
      <c r="Z670" s="249"/>
      <c r="AA670" s="249"/>
    </row>
    <row r="671">
      <c r="A671" s="249"/>
      <c r="B671" s="249"/>
      <c r="C671" s="249"/>
      <c r="D671" s="249"/>
      <c r="E671" s="249"/>
      <c r="F671" s="249"/>
      <c r="G671" s="249"/>
      <c r="H671" s="249"/>
      <c r="I671" s="249"/>
      <c r="J671" s="249"/>
      <c r="K671" s="249"/>
      <c r="L671" s="249"/>
      <c r="M671" s="249"/>
      <c r="N671" s="249"/>
      <c r="O671" s="249"/>
      <c r="P671" s="249"/>
      <c r="Q671" s="249"/>
      <c r="R671" s="249"/>
      <c r="S671" s="249"/>
      <c r="T671" s="249"/>
      <c r="U671" s="249"/>
      <c r="V671" s="249"/>
      <c r="W671" s="249"/>
      <c r="X671" s="249"/>
      <c r="Y671" s="249"/>
      <c r="Z671" s="249"/>
      <c r="AA671" s="249"/>
    </row>
    <row r="672">
      <c r="A672" s="249"/>
      <c r="B672" s="249"/>
      <c r="C672" s="249"/>
      <c r="D672" s="249"/>
      <c r="E672" s="249"/>
      <c r="F672" s="249"/>
      <c r="G672" s="249"/>
      <c r="H672" s="249"/>
      <c r="I672" s="249"/>
      <c r="J672" s="249"/>
      <c r="K672" s="249"/>
      <c r="L672" s="249"/>
      <c r="M672" s="249"/>
      <c r="N672" s="249"/>
      <c r="O672" s="249"/>
      <c r="P672" s="249"/>
      <c r="Q672" s="249"/>
      <c r="R672" s="249"/>
      <c r="S672" s="249"/>
      <c r="T672" s="249"/>
      <c r="U672" s="249"/>
      <c r="V672" s="249"/>
      <c r="W672" s="249"/>
      <c r="X672" s="249"/>
      <c r="Y672" s="249"/>
      <c r="Z672" s="249"/>
      <c r="AA672" s="249"/>
    </row>
    <row r="673">
      <c r="A673" s="249"/>
      <c r="B673" s="249"/>
      <c r="C673" s="249"/>
      <c r="D673" s="249"/>
      <c r="E673" s="249"/>
      <c r="F673" s="249"/>
      <c r="G673" s="249"/>
      <c r="H673" s="249"/>
      <c r="I673" s="249"/>
      <c r="J673" s="249"/>
      <c r="K673" s="249"/>
      <c r="L673" s="249"/>
      <c r="M673" s="249"/>
      <c r="N673" s="249"/>
      <c r="O673" s="249"/>
      <c r="P673" s="249"/>
      <c r="Q673" s="249"/>
      <c r="R673" s="249"/>
      <c r="S673" s="249"/>
      <c r="T673" s="249"/>
      <c r="U673" s="249"/>
      <c r="V673" s="249"/>
      <c r="W673" s="249"/>
      <c r="X673" s="249"/>
      <c r="Y673" s="249"/>
      <c r="Z673" s="249"/>
      <c r="AA673" s="249"/>
    </row>
    <row r="674">
      <c r="A674" s="249"/>
      <c r="B674" s="249"/>
      <c r="C674" s="249"/>
      <c r="D674" s="249"/>
      <c r="E674" s="249"/>
      <c r="F674" s="249"/>
      <c r="G674" s="249"/>
      <c r="H674" s="249"/>
      <c r="I674" s="249"/>
      <c r="J674" s="249"/>
      <c r="K674" s="249"/>
      <c r="L674" s="249"/>
      <c r="M674" s="249"/>
      <c r="N674" s="249"/>
      <c r="O674" s="249"/>
      <c r="P674" s="249"/>
      <c r="Q674" s="249"/>
      <c r="R674" s="249"/>
      <c r="S674" s="249"/>
      <c r="T674" s="249"/>
      <c r="U674" s="249"/>
      <c r="V674" s="249"/>
      <c r="W674" s="249"/>
      <c r="X674" s="249"/>
      <c r="Y674" s="249"/>
      <c r="Z674" s="249"/>
      <c r="AA674" s="249"/>
    </row>
    <row r="675">
      <c r="A675" s="249"/>
      <c r="B675" s="249"/>
      <c r="C675" s="249"/>
      <c r="D675" s="249"/>
      <c r="E675" s="249"/>
      <c r="F675" s="249"/>
      <c r="G675" s="249"/>
      <c r="H675" s="249"/>
      <c r="I675" s="249"/>
      <c r="J675" s="249"/>
      <c r="K675" s="249"/>
      <c r="L675" s="249"/>
      <c r="M675" s="249"/>
      <c r="N675" s="249"/>
      <c r="O675" s="249"/>
      <c r="P675" s="249"/>
      <c r="Q675" s="249"/>
      <c r="R675" s="249"/>
      <c r="S675" s="249"/>
      <c r="T675" s="249"/>
      <c r="U675" s="249"/>
      <c r="V675" s="249"/>
      <c r="W675" s="249"/>
      <c r="X675" s="249"/>
      <c r="Y675" s="249"/>
      <c r="Z675" s="249"/>
      <c r="AA675" s="249"/>
    </row>
    <row r="676">
      <c r="A676" s="249"/>
      <c r="B676" s="249"/>
      <c r="C676" s="249"/>
      <c r="D676" s="249"/>
      <c r="E676" s="249"/>
      <c r="F676" s="249"/>
      <c r="G676" s="249"/>
      <c r="H676" s="249"/>
      <c r="I676" s="249"/>
      <c r="J676" s="249"/>
      <c r="K676" s="249"/>
      <c r="L676" s="249"/>
      <c r="M676" s="249"/>
      <c r="N676" s="249"/>
      <c r="O676" s="249"/>
      <c r="P676" s="249"/>
      <c r="Q676" s="249"/>
      <c r="R676" s="249"/>
      <c r="S676" s="249"/>
      <c r="T676" s="249"/>
      <c r="U676" s="249"/>
      <c r="V676" s="249"/>
      <c r="W676" s="249"/>
      <c r="X676" s="249"/>
      <c r="Y676" s="249"/>
      <c r="Z676" s="249"/>
      <c r="AA676" s="249"/>
    </row>
    <row r="677">
      <c r="A677" s="249"/>
      <c r="B677" s="249"/>
      <c r="C677" s="249"/>
      <c r="D677" s="249"/>
      <c r="E677" s="249"/>
      <c r="F677" s="249"/>
      <c r="G677" s="249"/>
      <c r="H677" s="249"/>
      <c r="I677" s="249"/>
      <c r="J677" s="249"/>
      <c r="K677" s="249"/>
      <c r="L677" s="249"/>
      <c r="M677" s="249"/>
      <c r="N677" s="249"/>
      <c r="O677" s="249"/>
      <c r="P677" s="249"/>
      <c r="Q677" s="249"/>
      <c r="R677" s="249"/>
      <c r="S677" s="249"/>
      <c r="T677" s="249"/>
      <c r="U677" s="249"/>
      <c r="V677" s="249"/>
      <c r="W677" s="249"/>
      <c r="X677" s="249"/>
      <c r="Y677" s="249"/>
      <c r="Z677" s="249"/>
      <c r="AA677" s="249"/>
    </row>
    <row r="678">
      <c r="A678" s="249"/>
      <c r="B678" s="249"/>
      <c r="C678" s="249"/>
      <c r="D678" s="249"/>
      <c r="E678" s="249"/>
      <c r="F678" s="249"/>
      <c r="G678" s="249"/>
      <c r="H678" s="249"/>
      <c r="I678" s="249"/>
      <c r="J678" s="249"/>
      <c r="K678" s="249"/>
      <c r="L678" s="249"/>
      <c r="M678" s="249"/>
      <c r="N678" s="249"/>
      <c r="O678" s="249"/>
      <c r="P678" s="249"/>
      <c r="Q678" s="249"/>
      <c r="R678" s="249"/>
      <c r="S678" s="249"/>
      <c r="T678" s="249"/>
      <c r="U678" s="249"/>
      <c r="V678" s="249"/>
      <c r="W678" s="249"/>
      <c r="X678" s="249"/>
      <c r="Y678" s="249"/>
      <c r="Z678" s="249"/>
      <c r="AA678" s="249"/>
    </row>
    <row r="679">
      <c r="A679" s="249"/>
      <c r="B679" s="249"/>
      <c r="C679" s="249"/>
      <c r="D679" s="249"/>
      <c r="E679" s="249"/>
      <c r="F679" s="249"/>
      <c r="G679" s="249"/>
      <c r="H679" s="249"/>
      <c r="I679" s="249"/>
      <c r="J679" s="249"/>
      <c r="K679" s="249"/>
      <c r="L679" s="249"/>
      <c r="M679" s="249"/>
      <c r="N679" s="249"/>
      <c r="O679" s="249"/>
      <c r="P679" s="249"/>
      <c r="Q679" s="249"/>
      <c r="R679" s="249"/>
      <c r="S679" s="249"/>
      <c r="T679" s="249"/>
      <c r="U679" s="249"/>
      <c r="V679" s="249"/>
      <c r="W679" s="249"/>
      <c r="X679" s="249"/>
      <c r="Y679" s="249"/>
      <c r="Z679" s="249"/>
      <c r="AA679" s="249"/>
    </row>
    <row r="680">
      <c r="A680" s="249"/>
      <c r="B680" s="249"/>
      <c r="C680" s="249"/>
      <c r="D680" s="249"/>
      <c r="E680" s="249"/>
      <c r="F680" s="249"/>
      <c r="G680" s="249"/>
      <c r="H680" s="249"/>
      <c r="I680" s="249"/>
      <c r="J680" s="249"/>
      <c r="K680" s="249"/>
      <c r="L680" s="249"/>
      <c r="M680" s="249"/>
      <c r="N680" s="249"/>
      <c r="O680" s="249"/>
      <c r="P680" s="249"/>
      <c r="Q680" s="249"/>
      <c r="R680" s="249"/>
      <c r="S680" s="249"/>
      <c r="T680" s="249"/>
      <c r="U680" s="249"/>
      <c r="V680" s="249"/>
      <c r="W680" s="249"/>
      <c r="X680" s="249"/>
      <c r="Y680" s="249"/>
      <c r="Z680" s="249"/>
      <c r="AA680" s="249"/>
    </row>
    <row r="681">
      <c r="A681" s="249"/>
      <c r="B681" s="249"/>
      <c r="C681" s="249"/>
      <c r="D681" s="249"/>
      <c r="E681" s="249"/>
      <c r="F681" s="249"/>
      <c r="G681" s="249"/>
      <c r="H681" s="249"/>
      <c r="I681" s="249"/>
      <c r="J681" s="249"/>
      <c r="K681" s="249"/>
      <c r="L681" s="249"/>
      <c r="M681" s="249"/>
      <c r="N681" s="249"/>
      <c r="O681" s="249"/>
      <c r="P681" s="249"/>
      <c r="Q681" s="249"/>
      <c r="R681" s="249"/>
      <c r="S681" s="249"/>
      <c r="T681" s="249"/>
      <c r="U681" s="249"/>
      <c r="V681" s="249"/>
      <c r="W681" s="249"/>
      <c r="X681" s="249"/>
      <c r="Y681" s="249"/>
      <c r="Z681" s="249"/>
      <c r="AA681" s="249"/>
    </row>
    <row r="682">
      <c r="A682" s="249"/>
      <c r="B682" s="249"/>
      <c r="C682" s="249"/>
      <c r="D682" s="249"/>
      <c r="E682" s="249"/>
      <c r="F682" s="249"/>
      <c r="G682" s="249"/>
      <c r="H682" s="249"/>
      <c r="I682" s="249"/>
      <c r="J682" s="249"/>
      <c r="K682" s="249"/>
      <c r="L682" s="249"/>
      <c r="M682" s="249"/>
      <c r="N682" s="249"/>
      <c r="O682" s="249"/>
      <c r="P682" s="249"/>
      <c r="Q682" s="249"/>
      <c r="R682" s="249"/>
      <c r="S682" s="249"/>
      <c r="T682" s="249"/>
      <c r="U682" s="249"/>
      <c r="V682" s="249"/>
      <c r="W682" s="249"/>
      <c r="X682" s="249"/>
      <c r="Y682" s="249"/>
      <c r="Z682" s="249"/>
      <c r="AA682" s="249"/>
    </row>
    <row r="683">
      <c r="A683" s="249"/>
      <c r="B683" s="249"/>
      <c r="C683" s="249"/>
      <c r="D683" s="249"/>
      <c r="E683" s="249"/>
      <c r="F683" s="249"/>
      <c r="G683" s="249"/>
      <c r="H683" s="249"/>
      <c r="I683" s="249"/>
      <c r="J683" s="249"/>
      <c r="K683" s="249"/>
      <c r="L683" s="249"/>
      <c r="M683" s="249"/>
      <c r="N683" s="249"/>
      <c r="O683" s="249"/>
      <c r="P683" s="249"/>
      <c r="Q683" s="249"/>
      <c r="R683" s="249"/>
      <c r="S683" s="249"/>
      <c r="T683" s="249"/>
      <c r="U683" s="249"/>
      <c r="V683" s="249"/>
      <c r="W683" s="249"/>
      <c r="X683" s="249"/>
      <c r="Y683" s="249"/>
      <c r="Z683" s="249"/>
      <c r="AA683" s="249"/>
    </row>
    <row r="684">
      <c r="A684" s="249"/>
      <c r="B684" s="249"/>
      <c r="C684" s="249"/>
      <c r="D684" s="249"/>
      <c r="E684" s="249"/>
      <c r="F684" s="249"/>
      <c r="G684" s="249"/>
      <c r="H684" s="249"/>
      <c r="I684" s="249"/>
      <c r="J684" s="249"/>
      <c r="K684" s="249"/>
      <c r="L684" s="249"/>
      <c r="M684" s="249"/>
      <c r="N684" s="249"/>
      <c r="O684" s="249"/>
      <c r="P684" s="249"/>
      <c r="Q684" s="249"/>
      <c r="R684" s="249"/>
      <c r="S684" s="249"/>
      <c r="T684" s="249"/>
      <c r="U684" s="249"/>
      <c r="V684" s="249"/>
      <c r="W684" s="249"/>
      <c r="X684" s="249"/>
      <c r="Y684" s="249"/>
      <c r="Z684" s="249"/>
      <c r="AA684" s="249"/>
    </row>
    <row r="685">
      <c r="A685" s="249"/>
      <c r="B685" s="249"/>
      <c r="C685" s="249"/>
      <c r="D685" s="249"/>
      <c r="E685" s="249"/>
      <c r="F685" s="249"/>
      <c r="G685" s="249"/>
      <c r="H685" s="249"/>
      <c r="I685" s="249"/>
      <c r="J685" s="249"/>
      <c r="K685" s="249"/>
      <c r="L685" s="249"/>
      <c r="M685" s="249"/>
      <c r="N685" s="249"/>
      <c r="O685" s="249"/>
      <c r="P685" s="249"/>
      <c r="Q685" s="249"/>
      <c r="R685" s="249"/>
      <c r="S685" s="249"/>
      <c r="T685" s="249"/>
      <c r="U685" s="249"/>
      <c r="V685" s="249"/>
      <c r="W685" s="249"/>
      <c r="X685" s="249"/>
      <c r="Y685" s="249"/>
      <c r="Z685" s="249"/>
      <c r="AA685" s="249"/>
    </row>
    <row r="686">
      <c r="A686" s="249"/>
      <c r="B686" s="249"/>
      <c r="C686" s="249"/>
      <c r="D686" s="249"/>
      <c r="E686" s="249"/>
      <c r="F686" s="249"/>
      <c r="G686" s="249"/>
      <c r="H686" s="249"/>
      <c r="I686" s="249"/>
      <c r="J686" s="249"/>
      <c r="K686" s="249"/>
      <c r="L686" s="249"/>
      <c r="M686" s="249"/>
      <c r="N686" s="249"/>
      <c r="O686" s="249"/>
      <c r="P686" s="249"/>
      <c r="Q686" s="249"/>
      <c r="R686" s="249"/>
      <c r="S686" s="249"/>
      <c r="T686" s="249"/>
      <c r="U686" s="249"/>
      <c r="V686" s="249"/>
      <c r="W686" s="249"/>
      <c r="X686" s="249"/>
      <c r="Y686" s="249"/>
      <c r="Z686" s="249"/>
      <c r="AA686" s="249"/>
    </row>
    <row r="687">
      <c r="A687" s="249"/>
      <c r="B687" s="249"/>
      <c r="C687" s="249"/>
      <c r="D687" s="249"/>
      <c r="E687" s="249"/>
      <c r="F687" s="249"/>
      <c r="G687" s="249"/>
      <c r="H687" s="249"/>
      <c r="I687" s="249"/>
      <c r="J687" s="249"/>
      <c r="K687" s="249"/>
      <c r="L687" s="249"/>
      <c r="M687" s="249"/>
      <c r="N687" s="249"/>
      <c r="O687" s="249"/>
      <c r="P687" s="249"/>
      <c r="Q687" s="249"/>
      <c r="R687" s="249"/>
      <c r="S687" s="249"/>
      <c r="T687" s="249"/>
      <c r="U687" s="249"/>
      <c r="V687" s="249"/>
      <c r="W687" s="249"/>
      <c r="X687" s="249"/>
      <c r="Y687" s="249"/>
      <c r="Z687" s="249"/>
      <c r="AA687" s="249"/>
    </row>
    <row r="688">
      <c r="A688" s="249"/>
      <c r="B688" s="249"/>
      <c r="C688" s="249"/>
      <c r="D688" s="249"/>
      <c r="E688" s="249"/>
      <c r="F688" s="249"/>
      <c r="G688" s="249"/>
      <c r="H688" s="249"/>
      <c r="I688" s="249"/>
      <c r="J688" s="249"/>
      <c r="K688" s="249"/>
      <c r="L688" s="249"/>
      <c r="M688" s="249"/>
      <c r="N688" s="249"/>
      <c r="O688" s="249"/>
      <c r="P688" s="249"/>
      <c r="Q688" s="249"/>
      <c r="R688" s="249"/>
      <c r="S688" s="249"/>
      <c r="T688" s="249"/>
      <c r="U688" s="249"/>
      <c r="V688" s="249"/>
      <c r="W688" s="249"/>
      <c r="X688" s="249"/>
      <c r="Y688" s="249"/>
      <c r="Z688" s="249"/>
      <c r="AA688" s="249"/>
    </row>
    <row r="689">
      <c r="A689" s="249"/>
      <c r="B689" s="249"/>
      <c r="C689" s="249"/>
      <c r="D689" s="249"/>
      <c r="E689" s="249"/>
      <c r="F689" s="249"/>
      <c r="G689" s="249"/>
      <c r="H689" s="249"/>
      <c r="I689" s="249"/>
      <c r="J689" s="249"/>
      <c r="K689" s="249"/>
      <c r="L689" s="249"/>
      <c r="M689" s="249"/>
      <c r="N689" s="249"/>
      <c r="O689" s="249"/>
      <c r="P689" s="249"/>
      <c r="Q689" s="249"/>
      <c r="R689" s="249"/>
      <c r="S689" s="249"/>
      <c r="T689" s="249"/>
      <c r="U689" s="249"/>
      <c r="V689" s="249"/>
      <c r="W689" s="249"/>
      <c r="X689" s="249"/>
      <c r="Y689" s="249"/>
      <c r="Z689" s="249"/>
      <c r="AA689" s="249"/>
    </row>
    <row r="690">
      <c r="A690" s="249"/>
      <c r="B690" s="249"/>
      <c r="C690" s="249"/>
      <c r="D690" s="249"/>
      <c r="E690" s="249"/>
      <c r="F690" s="249"/>
      <c r="G690" s="249"/>
      <c r="H690" s="249"/>
      <c r="I690" s="249"/>
      <c r="J690" s="249"/>
      <c r="K690" s="249"/>
      <c r="L690" s="249"/>
      <c r="M690" s="249"/>
      <c r="N690" s="249"/>
      <c r="O690" s="249"/>
      <c r="P690" s="249"/>
      <c r="Q690" s="249"/>
      <c r="R690" s="249"/>
      <c r="S690" s="249"/>
      <c r="T690" s="249"/>
      <c r="U690" s="249"/>
      <c r="V690" s="249"/>
      <c r="W690" s="249"/>
      <c r="X690" s="249"/>
      <c r="Y690" s="249"/>
      <c r="Z690" s="249"/>
      <c r="AA690" s="249"/>
    </row>
    <row r="691">
      <c r="A691" s="249"/>
      <c r="B691" s="249"/>
      <c r="C691" s="249"/>
      <c r="D691" s="249"/>
      <c r="E691" s="249"/>
      <c r="F691" s="249"/>
      <c r="G691" s="249"/>
      <c r="H691" s="249"/>
      <c r="I691" s="249"/>
      <c r="J691" s="249"/>
      <c r="K691" s="249"/>
      <c r="L691" s="249"/>
      <c r="M691" s="249"/>
      <c r="N691" s="249"/>
      <c r="O691" s="249"/>
      <c r="P691" s="249"/>
      <c r="Q691" s="249"/>
      <c r="R691" s="249"/>
      <c r="S691" s="249"/>
      <c r="T691" s="249"/>
      <c r="U691" s="249"/>
      <c r="V691" s="249"/>
      <c r="W691" s="249"/>
      <c r="X691" s="249"/>
      <c r="Y691" s="249"/>
      <c r="Z691" s="249"/>
      <c r="AA691" s="249"/>
    </row>
    <row r="692">
      <c r="A692" s="249"/>
      <c r="B692" s="249"/>
      <c r="C692" s="249"/>
      <c r="D692" s="249"/>
      <c r="E692" s="249"/>
      <c r="F692" s="249"/>
      <c r="G692" s="249"/>
      <c r="H692" s="249"/>
      <c r="I692" s="249"/>
      <c r="J692" s="249"/>
      <c r="K692" s="249"/>
      <c r="L692" s="249"/>
      <c r="M692" s="249"/>
      <c r="N692" s="249"/>
      <c r="O692" s="249"/>
      <c r="P692" s="249"/>
      <c r="Q692" s="249"/>
      <c r="R692" s="249"/>
      <c r="S692" s="249"/>
      <c r="T692" s="249"/>
      <c r="U692" s="249"/>
      <c r="V692" s="249"/>
      <c r="W692" s="249"/>
      <c r="X692" s="249"/>
      <c r="Y692" s="249"/>
      <c r="Z692" s="249"/>
      <c r="AA692" s="249"/>
    </row>
    <row r="693">
      <c r="A693" s="249"/>
      <c r="B693" s="249"/>
      <c r="C693" s="249"/>
      <c r="D693" s="249"/>
      <c r="E693" s="249"/>
      <c r="F693" s="249"/>
      <c r="G693" s="249"/>
      <c r="H693" s="249"/>
      <c r="I693" s="249"/>
      <c r="J693" s="249"/>
      <c r="K693" s="249"/>
      <c r="L693" s="249"/>
      <c r="M693" s="249"/>
      <c r="N693" s="249"/>
      <c r="O693" s="249"/>
      <c r="P693" s="249"/>
      <c r="Q693" s="249"/>
      <c r="R693" s="249"/>
      <c r="S693" s="249"/>
      <c r="T693" s="249"/>
      <c r="U693" s="249"/>
      <c r="V693" s="249"/>
      <c r="W693" s="249"/>
      <c r="X693" s="249"/>
      <c r="Y693" s="249"/>
      <c r="Z693" s="249"/>
      <c r="AA693" s="249"/>
    </row>
    <row r="694">
      <c r="A694" s="249"/>
      <c r="B694" s="249"/>
      <c r="C694" s="249"/>
      <c r="D694" s="249"/>
      <c r="E694" s="249"/>
      <c r="F694" s="249"/>
      <c r="G694" s="249"/>
      <c r="H694" s="249"/>
      <c r="I694" s="249"/>
      <c r="J694" s="249"/>
      <c r="K694" s="249"/>
      <c r="L694" s="249"/>
      <c r="M694" s="249"/>
      <c r="N694" s="249"/>
      <c r="O694" s="249"/>
      <c r="P694" s="249"/>
      <c r="Q694" s="249"/>
      <c r="R694" s="249"/>
      <c r="S694" s="249"/>
      <c r="T694" s="249"/>
      <c r="U694" s="249"/>
      <c r="V694" s="249"/>
      <c r="W694" s="249"/>
      <c r="X694" s="249"/>
      <c r="Y694" s="249"/>
      <c r="Z694" s="249"/>
      <c r="AA694" s="249"/>
    </row>
    <row r="695">
      <c r="A695" s="249"/>
      <c r="B695" s="249"/>
      <c r="C695" s="249"/>
      <c r="D695" s="249"/>
      <c r="E695" s="249"/>
      <c r="F695" s="249"/>
      <c r="G695" s="249"/>
      <c r="H695" s="249"/>
      <c r="I695" s="249"/>
      <c r="J695" s="249"/>
      <c r="K695" s="249"/>
      <c r="L695" s="249"/>
      <c r="M695" s="249"/>
      <c r="N695" s="249"/>
      <c r="O695" s="249"/>
      <c r="P695" s="249"/>
      <c r="Q695" s="249"/>
      <c r="R695" s="249"/>
      <c r="S695" s="249"/>
      <c r="T695" s="249"/>
      <c r="U695" s="249"/>
      <c r="V695" s="249"/>
      <c r="W695" s="249"/>
      <c r="X695" s="249"/>
      <c r="Y695" s="249"/>
      <c r="Z695" s="249"/>
      <c r="AA695" s="249"/>
    </row>
    <row r="696">
      <c r="A696" s="249"/>
      <c r="B696" s="249"/>
      <c r="C696" s="249"/>
      <c r="D696" s="249"/>
      <c r="E696" s="249"/>
      <c r="F696" s="249"/>
      <c r="G696" s="249"/>
      <c r="H696" s="249"/>
      <c r="I696" s="249"/>
      <c r="J696" s="249"/>
      <c r="K696" s="249"/>
      <c r="L696" s="249"/>
      <c r="M696" s="249"/>
      <c r="N696" s="249"/>
      <c r="O696" s="249"/>
      <c r="P696" s="249"/>
      <c r="Q696" s="249"/>
      <c r="R696" s="249"/>
      <c r="S696" s="249"/>
      <c r="T696" s="249"/>
      <c r="U696" s="249"/>
      <c r="V696" s="249"/>
      <c r="W696" s="249"/>
      <c r="X696" s="249"/>
      <c r="Y696" s="249"/>
      <c r="Z696" s="249"/>
      <c r="AA696" s="249"/>
    </row>
    <row r="697">
      <c r="A697" s="249"/>
      <c r="B697" s="249"/>
      <c r="C697" s="249"/>
      <c r="D697" s="249"/>
      <c r="E697" s="249"/>
      <c r="F697" s="249"/>
      <c r="G697" s="249"/>
      <c r="H697" s="249"/>
      <c r="I697" s="249"/>
      <c r="J697" s="249"/>
      <c r="K697" s="249"/>
      <c r="L697" s="249"/>
      <c r="M697" s="249"/>
      <c r="N697" s="249"/>
      <c r="O697" s="249"/>
      <c r="P697" s="249"/>
      <c r="Q697" s="249"/>
      <c r="R697" s="249"/>
      <c r="S697" s="249"/>
      <c r="T697" s="249"/>
      <c r="U697" s="249"/>
      <c r="V697" s="249"/>
      <c r="W697" s="249"/>
      <c r="X697" s="249"/>
      <c r="Y697" s="249"/>
      <c r="Z697" s="249"/>
      <c r="AA697" s="249"/>
    </row>
    <row r="698">
      <c r="A698" s="249"/>
      <c r="B698" s="249"/>
      <c r="C698" s="249"/>
      <c r="D698" s="249"/>
      <c r="E698" s="249"/>
      <c r="F698" s="249"/>
      <c r="G698" s="249"/>
      <c r="H698" s="249"/>
      <c r="I698" s="249"/>
      <c r="J698" s="249"/>
      <c r="K698" s="249"/>
      <c r="L698" s="249"/>
      <c r="M698" s="249"/>
      <c r="N698" s="249"/>
      <c r="O698" s="249"/>
      <c r="P698" s="249"/>
      <c r="Q698" s="249"/>
      <c r="R698" s="249"/>
      <c r="S698" s="249"/>
      <c r="T698" s="249"/>
      <c r="U698" s="249"/>
      <c r="V698" s="249"/>
      <c r="W698" s="249"/>
      <c r="X698" s="249"/>
      <c r="Y698" s="249"/>
      <c r="Z698" s="249"/>
      <c r="AA698" s="249"/>
    </row>
    <row r="699">
      <c r="A699" s="249"/>
      <c r="B699" s="249"/>
      <c r="C699" s="249"/>
      <c r="D699" s="249"/>
      <c r="E699" s="249"/>
      <c r="F699" s="249"/>
      <c r="G699" s="249"/>
      <c r="H699" s="249"/>
      <c r="I699" s="249"/>
      <c r="J699" s="249"/>
      <c r="K699" s="249"/>
      <c r="L699" s="249"/>
      <c r="M699" s="249"/>
      <c r="N699" s="249"/>
      <c r="O699" s="249"/>
      <c r="P699" s="249"/>
      <c r="Q699" s="249"/>
      <c r="R699" s="249"/>
      <c r="S699" s="249"/>
      <c r="T699" s="249"/>
      <c r="U699" s="249"/>
      <c r="V699" s="249"/>
      <c r="W699" s="249"/>
      <c r="X699" s="249"/>
      <c r="Y699" s="249"/>
      <c r="Z699" s="249"/>
      <c r="AA699" s="249"/>
    </row>
    <row r="700">
      <c r="A700" s="249"/>
      <c r="B700" s="249"/>
      <c r="C700" s="249"/>
      <c r="D700" s="249"/>
      <c r="E700" s="249"/>
      <c r="F700" s="249"/>
      <c r="G700" s="249"/>
      <c r="H700" s="249"/>
      <c r="I700" s="249"/>
      <c r="J700" s="249"/>
      <c r="K700" s="249"/>
      <c r="L700" s="249"/>
      <c r="M700" s="249"/>
      <c r="N700" s="249"/>
      <c r="O700" s="249"/>
      <c r="P700" s="249"/>
      <c r="Q700" s="249"/>
      <c r="R700" s="249"/>
      <c r="S700" s="249"/>
      <c r="T700" s="249"/>
      <c r="U700" s="249"/>
      <c r="V700" s="249"/>
      <c r="W700" s="249"/>
      <c r="X700" s="249"/>
      <c r="Y700" s="249"/>
      <c r="Z700" s="249"/>
      <c r="AA700" s="249"/>
    </row>
    <row r="701">
      <c r="A701" s="249"/>
      <c r="B701" s="249"/>
      <c r="C701" s="249"/>
      <c r="D701" s="249"/>
      <c r="E701" s="249"/>
      <c r="F701" s="249"/>
      <c r="G701" s="249"/>
      <c r="H701" s="249"/>
      <c r="I701" s="249"/>
      <c r="J701" s="249"/>
      <c r="K701" s="249"/>
      <c r="L701" s="249"/>
      <c r="M701" s="249"/>
      <c r="N701" s="249"/>
      <c r="O701" s="249"/>
      <c r="P701" s="249"/>
      <c r="Q701" s="249"/>
      <c r="R701" s="249"/>
      <c r="S701" s="249"/>
      <c r="T701" s="249"/>
      <c r="U701" s="249"/>
      <c r="V701" s="249"/>
      <c r="W701" s="249"/>
      <c r="X701" s="249"/>
      <c r="Y701" s="249"/>
      <c r="Z701" s="249"/>
      <c r="AA701" s="249"/>
    </row>
    <row r="702">
      <c r="A702" s="249"/>
      <c r="B702" s="249"/>
      <c r="C702" s="249"/>
      <c r="D702" s="249"/>
      <c r="E702" s="249"/>
      <c r="F702" s="249"/>
      <c r="G702" s="249"/>
      <c r="H702" s="249"/>
      <c r="I702" s="249"/>
      <c r="J702" s="249"/>
      <c r="K702" s="249"/>
      <c r="L702" s="249"/>
      <c r="M702" s="249"/>
      <c r="N702" s="249"/>
      <c r="O702" s="249"/>
      <c r="P702" s="249"/>
      <c r="Q702" s="249"/>
      <c r="R702" s="249"/>
      <c r="S702" s="249"/>
      <c r="T702" s="249"/>
      <c r="U702" s="249"/>
      <c r="V702" s="249"/>
      <c r="W702" s="249"/>
      <c r="X702" s="249"/>
      <c r="Y702" s="249"/>
      <c r="Z702" s="249"/>
      <c r="AA702" s="249"/>
    </row>
    <row r="703">
      <c r="A703" s="249"/>
      <c r="B703" s="249"/>
      <c r="C703" s="249"/>
      <c r="D703" s="249"/>
      <c r="E703" s="249"/>
      <c r="F703" s="249"/>
      <c r="G703" s="249"/>
      <c r="H703" s="249"/>
      <c r="I703" s="249"/>
      <c r="J703" s="249"/>
      <c r="K703" s="249"/>
      <c r="L703" s="249"/>
      <c r="M703" s="249"/>
      <c r="N703" s="249"/>
      <c r="O703" s="249"/>
      <c r="P703" s="249"/>
      <c r="Q703" s="249"/>
      <c r="R703" s="249"/>
      <c r="S703" s="249"/>
      <c r="T703" s="249"/>
      <c r="U703" s="249"/>
      <c r="V703" s="249"/>
      <c r="W703" s="249"/>
      <c r="X703" s="249"/>
      <c r="Y703" s="249"/>
      <c r="Z703" s="249"/>
      <c r="AA703" s="249"/>
    </row>
    <row r="704">
      <c r="A704" s="249"/>
      <c r="B704" s="249"/>
      <c r="C704" s="249"/>
      <c r="D704" s="249"/>
      <c r="E704" s="249"/>
      <c r="F704" s="249"/>
      <c r="G704" s="249"/>
      <c r="H704" s="249"/>
      <c r="I704" s="249"/>
      <c r="J704" s="249"/>
      <c r="K704" s="249"/>
      <c r="L704" s="249"/>
      <c r="M704" s="249"/>
      <c r="N704" s="249"/>
      <c r="O704" s="249"/>
      <c r="P704" s="249"/>
      <c r="Q704" s="249"/>
      <c r="R704" s="249"/>
      <c r="S704" s="249"/>
      <c r="T704" s="249"/>
      <c r="U704" s="249"/>
      <c r="V704" s="249"/>
      <c r="W704" s="249"/>
      <c r="X704" s="249"/>
      <c r="Y704" s="249"/>
      <c r="Z704" s="249"/>
      <c r="AA704" s="249"/>
    </row>
    <row r="705">
      <c r="A705" s="249"/>
      <c r="B705" s="249"/>
      <c r="C705" s="249"/>
      <c r="D705" s="249"/>
      <c r="E705" s="249"/>
      <c r="F705" s="249"/>
      <c r="G705" s="249"/>
      <c r="H705" s="249"/>
      <c r="I705" s="249"/>
      <c r="J705" s="249"/>
      <c r="K705" s="249"/>
      <c r="L705" s="249"/>
      <c r="M705" s="249"/>
      <c r="N705" s="249"/>
      <c r="O705" s="249"/>
      <c r="P705" s="249"/>
      <c r="Q705" s="249"/>
      <c r="R705" s="249"/>
      <c r="S705" s="249"/>
      <c r="T705" s="249"/>
      <c r="U705" s="249"/>
      <c r="V705" s="249"/>
      <c r="W705" s="249"/>
      <c r="X705" s="249"/>
      <c r="Y705" s="249"/>
      <c r="Z705" s="249"/>
      <c r="AA705" s="249"/>
    </row>
    <row r="706">
      <c r="A706" s="249"/>
      <c r="B706" s="249"/>
      <c r="C706" s="249"/>
      <c r="D706" s="249"/>
      <c r="E706" s="249"/>
      <c r="F706" s="249"/>
      <c r="G706" s="249"/>
      <c r="H706" s="249"/>
      <c r="I706" s="249"/>
      <c r="J706" s="249"/>
      <c r="K706" s="249"/>
      <c r="L706" s="249"/>
      <c r="M706" s="249"/>
      <c r="N706" s="249"/>
      <c r="O706" s="249"/>
      <c r="P706" s="249"/>
      <c r="Q706" s="249"/>
      <c r="R706" s="249"/>
      <c r="S706" s="249"/>
      <c r="T706" s="249"/>
      <c r="U706" s="249"/>
      <c r="V706" s="249"/>
      <c r="W706" s="249"/>
      <c r="X706" s="249"/>
      <c r="Y706" s="249"/>
      <c r="Z706" s="249"/>
      <c r="AA706" s="249"/>
    </row>
    <row r="707">
      <c r="A707" s="249"/>
      <c r="B707" s="249"/>
      <c r="C707" s="249"/>
      <c r="D707" s="249"/>
      <c r="E707" s="249"/>
      <c r="F707" s="249"/>
      <c r="G707" s="249"/>
      <c r="H707" s="249"/>
      <c r="I707" s="249"/>
      <c r="J707" s="249"/>
      <c r="K707" s="249"/>
      <c r="L707" s="249"/>
      <c r="M707" s="249"/>
      <c r="N707" s="249"/>
      <c r="O707" s="249"/>
      <c r="P707" s="249"/>
      <c r="Q707" s="249"/>
      <c r="R707" s="249"/>
      <c r="S707" s="249"/>
      <c r="T707" s="249"/>
      <c r="U707" s="249"/>
      <c r="V707" s="249"/>
      <c r="W707" s="249"/>
      <c r="X707" s="249"/>
      <c r="Y707" s="249"/>
      <c r="Z707" s="249"/>
      <c r="AA707" s="249"/>
    </row>
    <row r="708">
      <c r="A708" s="249"/>
      <c r="B708" s="249"/>
      <c r="C708" s="249"/>
      <c r="D708" s="249"/>
      <c r="E708" s="249"/>
      <c r="F708" s="249"/>
      <c r="G708" s="249"/>
      <c r="H708" s="249"/>
      <c r="I708" s="249"/>
      <c r="J708" s="249"/>
      <c r="K708" s="249"/>
      <c r="L708" s="249"/>
      <c r="M708" s="249"/>
      <c r="N708" s="249"/>
      <c r="O708" s="249"/>
      <c r="P708" s="249"/>
      <c r="Q708" s="249"/>
      <c r="R708" s="249"/>
      <c r="S708" s="249"/>
      <c r="T708" s="249"/>
      <c r="U708" s="249"/>
      <c r="V708" s="249"/>
      <c r="W708" s="249"/>
      <c r="X708" s="249"/>
      <c r="Y708" s="249"/>
      <c r="Z708" s="249"/>
      <c r="AA708" s="249"/>
    </row>
    <row r="709">
      <c r="A709" s="249"/>
      <c r="B709" s="249"/>
      <c r="C709" s="249"/>
      <c r="D709" s="249"/>
      <c r="E709" s="249"/>
      <c r="F709" s="249"/>
      <c r="G709" s="249"/>
      <c r="H709" s="249"/>
      <c r="I709" s="249"/>
      <c r="J709" s="249"/>
      <c r="K709" s="249"/>
      <c r="L709" s="249"/>
      <c r="M709" s="249"/>
      <c r="N709" s="249"/>
      <c r="O709" s="249"/>
      <c r="P709" s="249"/>
      <c r="Q709" s="249"/>
      <c r="R709" s="249"/>
      <c r="S709" s="249"/>
      <c r="T709" s="249"/>
      <c r="U709" s="249"/>
      <c r="V709" s="249"/>
      <c r="W709" s="249"/>
      <c r="X709" s="249"/>
      <c r="Y709" s="249"/>
      <c r="Z709" s="249"/>
      <c r="AA709" s="249"/>
    </row>
    <row r="710">
      <c r="A710" s="249"/>
      <c r="B710" s="249"/>
      <c r="C710" s="249"/>
      <c r="D710" s="249"/>
      <c r="E710" s="249"/>
      <c r="F710" s="249"/>
      <c r="G710" s="249"/>
      <c r="H710" s="249"/>
      <c r="I710" s="249"/>
      <c r="J710" s="249"/>
      <c r="K710" s="249"/>
      <c r="L710" s="249"/>
      <c r="M710" s="249"/>
      <c r="N710" s="249"/>
      <c r="O710" s="249"/>
      <c r="P710" s="249"/>
      <c r="Q710" s="249"/>
      <c r="R710" s="249"/>
      <c r="S710" s="249"/>
      <c r="T710" s="249"/>
      <c r="U710" s="249"/>
      <c r="V710" s="249"/>
      <c r="W710" s="249"/>
      <c r="X710" s="249"/>
      <c r="Y710" s="249"/>
      <c r="Z710" s="249"/>
      <c r="AA710" s="249"/>
    </row>
    <row r="711">
      <c r="A711" s="249"/>
      <c r="B711" s="249"/>
      <c r="C711" s="249"/>
      <c r="D711" s="249"/>
      <c r="E711" s="249"/>
      <c r="F711" s="249"/>
      <c r="G711" s="249"/>
      <c r="H711" s="249"/>
      <c r="I711" s="249"/>
      <c r="J711" s="249"/>
      <c r="K711" s="249"/>
      <c r="L711" s="249"/>
      <c r="M711" s="249"/>
      <c r="N711" s="249"/>
      <c r="O711" s="249"/>
      <c r="P711" s="249"/>
      <c r="Q711" s="249"/>
      <c r="R711" s="249"/>
      <c r="S711" s="249"/>
      <c r="T711" s="249"/>
      <c r="U711" s="249"/>
      <c r="V711" s="249"/>
      <c r="W711" s="249"/>
      <c r="X711" s="249"/>
      <c r="Y711" s="249"/>
      <c r="Z711" s="249"/>
      <c r="AA711" s="249"/>
    </row>
    <row r="712">
      <c r="A712" s="249"/>
      <c r="B712" s="249"/>
      <c r="C712" s="249"/>
      <c r="D712" s="249"/>
      <c r="E712" s="249"/>
      <c r="F712" s="249"/>
      <c r="G712" s="249"/>
      <c r="H712" s="249"/>
      <c r="I712" s="249"/>
      <c r="J712" s="249"/>
      <c r="K712" s="249"/>
      <c r="L712" s="249"/>
      <c r="M712" s="249"/>
      <c r="N712" s="249"/>
      <c r="O712" s="249"/>
      <c r="P712" s="249"/>
      <c r="Q712" s="249"/>
      <c r="R712" s="249"/>
      <c r="S712" s="249"/>
      <c r="T712" s="249"/>
      <c r="U712" s="249"/>
      <c r="V712" s="249"/>
      <c r="W712" s="249"/>
      <c r="X712" s="249"/>
      <c r="Y712" s="249"/>
      <c r="Z712" s="249"/>
      <c r="AA712" s="249"/>
    </row>
    <row r="713">
      <c r="A713" s="249"/>
      <c r="B713" s="249"/>
      <c r="C713" s="249"/>
      <c r="D713" s="249"/>
      <c r="E713" s="249"/>
      <c r="F713" s="249"/>
      <c r="G713" s="249"/>
      <c r="H713" s="249"/>
      <c r="I713" s="249"/>
      <c r="J713" s="249"/>
      <c r="K713" s="249"/>
      <c r="L713" s="249"/>
      <c r="M713" s="249"/>
      <c r="N713" s="249"/>
      <c r="O713" s="249"/>
      <c r="P713" s="249"/>
      <c r="Q713" s="249"/>
      <c r="R713" s="249"/>
      <c r="S713" s="249"/>
      <c r="T713" s="249"/>
      <c r="U713" s="249"/>
      <c r="V713" s="249"/>
      <c r="W713" s="249"/>
      <c r="X713" s="249"/>
      <c r="Y713" s="249"/>
      <c r="Z713" s="249"/>
      <c r="AA713" s="249"/>
    </row>
    <row r="714">
      <c r="A714" s="249"/>
      <c r="B714" s="249"/>
      <c r="C714" s="249"/>
      <c r="D714" s="249"/>
      <c r="E714" s="249"/>
      <c r="F714" s="249"/>
      <c r="G714" s="249"/>
      <c r="H714" s="249"/>
      <c r="I714" s="249"/>
      <c r="J714" s="249"/>
      <c r="K714" s="249"/>
      <c r="L714" s="249"/>
      <c r="M714" s="249"/>
      <c r="N714" s="249"/>
      <c r="O714" s="249"/>
      <c r="P714" s="249"/>
      <c r="Q714" s="249"/>
      <c r="R714" s="249"/>
      <c r="S714" s="249"/>
      <c r="T714" s="249"/>
      <c r="U714" s="249"/>
      <c r="V714" s="249"/>
      <c r="W714" s="249"/>
      <c r="X714" s="249"/>
      <c r="Y714" s="249"/>
      <c r="Z714" s="249"/>
      <c r="AA714" s="249"/>
    </row>
    <row r="715">
      <c r="A715" s="249"/>
      <c r="B715" s="249"/>
      <c r="C715" s="249"/>
      <c r="D715" s="249"/>
      <c r="E715" s="249"/>
      <c r="F715" s="249"/>
      <c r="G715" s="249"/>
      <c r="H715" s="249"/>
      <c r="I715" s="249"/>
      <c r="J715" s="249"/>
      <c r="K715" s="249"/>
      <c r="L715" s="249"/>
      <c r="M715" s="249"/>
      <c r="N715" s="249"/>
      <c r="O715" s="249"/>
      <c r="P715" s="249"/>
      <c r="Q715" s="249"/>
      <c r="R715" s="249"/>
      <c r="S715" s="249"/>
      <c r="T715" s="249"/>
      <c r="U715" s="249"/>
      <c r="V715" s="249"/>
      <c r="W715" s="249"/>
      <c r="X715" s="249"/>
      <c r="Y715" s="249"/>
      <c r="Z715" s="249"/>
      <c r="AA715" s="249"/>
    </row>
    <row r="716">
      <c r="A716" s="249"/>
      <c r="B716" s="249"/>
      <c r="C716" s="249"/>
      <c r="D716" s="249"/>
      <c r="E716" s="249"/>
      <c r="F716" s="249"/>
      <c r="G716" s="249"/>
      <c r="H716" s="249"/>
      <c r="I716" s="249"/>
      <c r="J716" s="249"/>
      <c r="K716" s="249"/>
      <c r="L716" s="249"/>
      <c r="M716" s="249"/>
      <c r="N716" s="249"/>
      <c r="O716" s="249"/>
      <c r="P716" s="249"/>
      <c r="Q716" s="249"/>
      <c r="R716" s="249"/>
      <c r="S716" s="249"/>
      <c r="T716" s="249"/>
      <c r="U716" s="249"/>
      <c r="V716" s="249"/>
      <c r="W716" s="249"/>
      <c r="X716" s="249"/>
      <c r="Y716" s="249"/>
      <c r="Z716" s="249"/>
      <c r="AA716" s="249"/>
    </row>
    <row r="717">
      <c r="A717" s="249"/>
      <c r="B717" s="249"/>
      <c r="C717" s="249"/>
      <c r="D717" s="249"/>
      <c r="E717" s="249"/>
      <c r="F717" s="249"/>
      <c r="G717" s="249"/>
      <c r="H717" s="249"/>
      <c r="I717" s="249"/>
      <c r="J717" s="249"/>
      <c r="K717" s="249"/>
      <c r="L717" s="249"/>
      <c r="M717" s="249"/>
      <c r="N717" s="249"/>
      <c r="O717" s="249"/>
      <c r="P717" s="249"/>
      <c r="Q717" s="249"/>
      <c r="R717" s="249"/>
      <c r="S717" s="249"/>
      <c r="T717" s="249"/>
      <c r="U717" s="249"/>
      <c r="V717" s="249"/>
      <c r="W717" s="249"/>
      <c r="X717" s="249"/>
      <c r="Y717" s="249"/>
      <c r="Z717" s="249"/>
      <c r="AA717" s="249"/>
    </row>
    <row r="718">
      <c r="A718" s="249"/>
      <c r="B718" s="249"/>
      <c r="C718" s="249"/>
      <c r="D718" s="249"/>
      <c r="E718" s="249"/>
      <c r="F718" s="249"/>
      <c r="G718" s="249"/>
      <c r="H718" s="249"/>
      <c r="I718" s="249"/>
      <c r="J718" s="249"/>
      <c r="K718" s="249"/>
      <c r="L718" s="249"/>
      <c r="M718" s="249"/>
      <c r="N718" s="249"/>
      <c r="O718" s="249"/>
      <c r="P718" s="249"/>
      <c r="Q718" s="249"/>
      <c r="R718" s="249"/>
      <c r="S718" s="249"/>
      <c r="T718" s="249"/>
      <c r="U718" s="249"/>
      <c r="V718" s="249"/>
      <c r="W718" s="249"/>
      <c r="X718" s="249"/>
      <c r="Y718" s="249"/>
      <c r="Z718" s="249"/>
      <c r="AA718" s="249"/>
    </row>
    <row r="719">
      <c r="A719" s="249"/>
      <c r="B719" s="249"/>
      <c r="C719" s="249"/>
      <c r="D719" s="249"/>
      <c r="E719" s="249"/>
      <c r="F719" s="249"/>
      <c r="G719" s="249"/>
      <c r="H719" s="249"/>
      <c r="I719" s="249"/>
      <c r="J719" s="249"/>
      <c r="K719" s="249"/>
      <c r="L719" s="249"/>
      <c r="M719" s="249"/>
      <c r="N719" s="249"/>
      <c r="O719" s="249"/>
      <c r="P719" s="249"/>
      <c r="Q719" s="249"/>
      <c r="R719" s="249"/>
      <c r="S719" s="249"/>
      <c r="T719" s="249"/>
      <c r="U719" s="249"/>
      <c r="V719" s="249"/>
      <c r="W719" s="249"/>
      <c r="X719" s="249"/>
      <c r="Y719" s="249"/>
      <c r="Z719" s="249"/>
      <c r="AA719" s="249"/>
    </row>
    <row r="720">
      <c r="A720" s="249"/>
      <c r="B720" s="249"/>
      <c r="C720" s="249"/>
      <c r="D720" s="249"/>
      <c r="E720" s="249"/>
      <c r="F720" s="249"/>
      <c r="G720" s="249"/>
      <c r="H720" s="249"/>
      <c r="I720" s="249"/>
      <c r="J720" s="249"/>
      <c r="K720" s="249"/>
      <c r="L720" s="249"/>
      <c r="M720" s="249"/>
      <c r="N720" s="249"/>
      <c r="O720" s="249"/>
      <c r="P720" s="249"/>
      <c r="Q720" s="249"/>
      <c r="R720" s="249"/>
      <c r="S720" s="249"/>
      <c r="T720" s="249"/>
      <c r="U720" s="249"/>
      <c r="V720" s="249"/>
      <c r="W720" s="249"/>
      <c r="X720" s="249"/>
      <c r="Y720" s="249"/>
      <c r="Z720" s="249"/>
      <c r="AA720" s="249"/>
    </row>
    <row r="721">
      <c r="A721" s="249"/>
      <c r="B721" s="249"/>
      <c r="C721" s="249"/>
      <c r="D721" s="249"/>
      <c r="E721" s="249"/>
      <c r="F721" s="249"/>
      <c r="G721" s="249"/>
      <c r="H721" s="249"/>
      <c r="I721" s="249"/>
      <c r="J721" s="249"/>
      <c r="K721" s="249"/>
      <c r="L721" s="249"/>
      <c r="M721" s="249"/>
      <c r="N721" s="249"/>
      <c r="O721" s="249"/>
      <c r="P721" s="249"/>
      <c r="Q721" s="249"/>
      <c r="R721" s="249"/>
      <c r="S721" s="249"/>
      <c r="T721" s="249"/>
      <c r="U721" s="249"/>
      <c r="V721" s="249"/>
      <c r="W721" s="249"/>
      <c r="X721" s="249"/>
      <c r="Y721" s="249"/>
      <c r="Z721" s="249"/>
      <c r="AA721" s="249"/>
    </row>
    <row r="722">
      <c r="A722" s="249"/>
      <c r="B722" s="249"/>
      <c r="C722" s="249"/>
      <c r="D722" s="249"/>
      <c r="E722" s="249"/>
      <c r="F722" s="249"/>
      <c r="G722" s="249"/>
      <c r="H722" s="249"/>
      <c r="I722" s="249"/>
      <c r="J722" s="249"/>
      <c r="K722" s="249"/>
      <c r="L722" s="249"/>
      <c r="M722" s="249"/>
      <c r="N722" s="249"/>
      <c r="O722" s="249"/>
      <c r="P722" s="249"/>
      <c r="Q722" s="249"/>
      <c r="R722" s="249"/>
      <c r="S722" s="249"/>
      <c r="T722" s="249"/>
      <c r="U722" s="249"/>
      <c r="V722" s="249"/>
      <c r="W722" s="249"/>
      <c r="X722" s="249"/>
      <c r="Y722" s="249"/>
      <c r="Z722" s="249"/>
      <c r="AA722" s="249"/>
    </row>
    <row r="723">
      <c r="A723" s="249"/>
      <c r="B723" s="249"/>
      <c r="C723" s="249"/>
      <c r="D723" s="249"/>
      <c r="E723" s="249"/>
      <c r="F723" s="249"/>
      <c r="G723" s="249"/>
      <c r="H723" s="249"/>
      <c r="I723" s="249"/>
      <c r="J723" s="249"/>
      <c r="K723" s="249"/>
      <c r="L723" s="249"/>
      <c r="M723" s="249"/>
      <c r="N723" s="249"/>
      <c r="O723" s="249"/>
      <c r="P723" s="249"/>
      <c r="Q723" s="249"/>
      <c r="R723" s="249"/>
      <c r="S723" s="249"/>
      <c r="T723" s="249"/>
      <c r="U723" s="249"/>
      <c r="V723" s="249"/>
      <c r="W723" s="249"/>
      <c r="X723" s="249"/>
      <c r="Y723" s="249"/>
      <c r="Z723" s="249"/>
      <c r="AA723" s="249"/>
    </row>
    <row r="724">
      <c r="A724" s="249"/>
      <c r="B724" s="249"/>
      <c r="C724" s="249"/>
      <c r="D724" s="249"/>
      <c r="E724" s="249"/>
      <c r="F724" s="249"/>
      <c r="G724" s="249"/>
      <c r="H724" s="249"/>
      <c r="I724" s="249"/>
      <c r="J724" s="249"/>
      <c r="K724" s="249"/>
      <c r="L724" s="249"/>
      <c r="M724" s="249"/>
      <c r="N724" s="249"/>
      <c r="O724" s="249"/>
      <c r="P724" s="249"/>
      <c r="Q724" s="249"/>
      <c r="R724" s="249"/>
      <c r="S724" s="249"/>
      <c r="T724" s="249"/>
      <c r="U724" s="249"/>
      <c r="V724" s="249"/>
      <c r="W724" s="249"/>
      <c r="X724" s="249"/>
      <c r="Y724" s="249"/>
      <c r="Z724" s="249"/>
      <c r="AA724" s="249"/>
    </row>
    <row r="725">
      <c r="A725" s="249"/>
      <c r="B725" s="249"/>
      <c r="C725" s="249"/>
      <c r="D725" s="249"/>
      <c r="E725" s="249"/>
      <c r="F725" s="249"/>
      <c r="G725" s="249"/>
      <c r="H725" s="249"/>
      <c r="I725" s="249"/>
      <c r="J725" s="249"/>
      <c r="K725" s="249"/>
      <c r="L725" s="249"/>
      <c r="M725" s="249"/>
      <c r="N725" s="249"/>
      <c r="O725" s="249"/>
      <c r="P725" s="249"/>
      <c r="Q725" s="249"/>
      <c r="R725" s="249"/>
      <c r="S725" s="249"/>
      <c r="T725" s="249"/>
      <c r="U725" s="249"/>
      <c r="V725" s="249"/>
      <c r="W725" s="249"/>
      <c r="X725" s="249"/>
      <c r="Y725" s="249"/>
      <c r="Z725" s="249"/>
      <c r="AA725" s="249"/>
    </row>
    <row r="726">
      <c r="A726" s="249"/>
      <c r="B726" s="249"/>
      <c r="C726" s="249"/>
      <c r="D726" s="249"/>
      <c r="E726" s="249"/>
      <c r="F726" s="249"/>
      <c r="G726" s="249"/>
      <c r="H726" s="249"/>
      <c r="I726" s="249"/>
      <c r="J726" s="249"/>
      <c r="K726" s="249"/>
      <c r="L726" s="249"/>
      <c r="M726" s="249"/>
      <c r="N726" s="249"/>
      <c r="O726" s="249"/>
      <c r="P726" s="249"/>
      <c r="Q726" s="249"/>
      <c r="R726" s="249"/>
      <c r="S726" s="249"/>
      <c r="T726" s="249"/>
      <c r="U726" s="249"/>
      <c r="V726" s="249"/>
      <c r="W726" s="249"/>
      <c r="X726" s="249"/>
      <c r="Y726" s="249"/>
      <c r="Z726" s="249"/>
      <c r="AA726" s="249"/>
    </row>
    <row r="727">
      <c r="A727" s="249"/>
      <c r="B727" s="249"/>
      <c r="C727" s="249"/>
      <c r="D727" s="249"/>
      <c r="E727" s="249"/>
      <c r="F727" s="249"/>
      <c r="G727" s="249"/>
      <c r="H727" s="249"/>
      <c r="I727" s="249"/>
      <c r="J727" s="249"/>
      <c r="K727" s="249"/>
      <c r="L727" s="249"/>
      <c r="M727" s="249"/>
      <c r="N727" s="249"/>
      <c r="O727" s="249"/>
      <c r="P727" s="249"/>
      <c r="Q727" s="249"/>
      <c r="R727" s="249"/>
      <c r="S727" s="249"/>
      <c r="T727" s="249"/>
      <c r="U727" s="249"/>
      <c r="V727" s="249"/>
      <c r="W727" s="249"/>
      <c r="X727" s="249"/>
      <c r="Y727" s="249"/>
      <c r="Z727" s="249"/>
      <c r="AA727" s="249"/>
    </row>
    <row r="728">
      <c r="A728" s="249"/>
      <c r="B728" s="249"/>
      <c r="C728" s="249"/>
      <c r="D728" s="249"/>
      <c r="E728" s="249"/>
      <c r="F728" s="249"/>
      <c r="G728" s="249"/>
      <c r="H728" s="249"/>
      <c r="I728" s="249"/>
      <c r="J728" s="249"/>
      <c r="K728" s="249"/>
      <c r="L728" s="249"/>
      <c r="M728" s="249"/>
      <c r="N728" s="249"/>
      <c r="O728" s="249"/>
      <c r="P728" s="249"/>
      <c r="Q728" s="249"/>
      <c r="R728" s="249"/>
      <c r="S728" s="249"/>
      <c r="T728" s="249"/>
      <c r="U728" s="249"/>
      <c r="V728" s="249"/>
      <c r="W728" s="249"/>
      <c r="X728" s="249"/>
      <c r="Y728" s="249"/>
      <c r="Z728" s="249"/>
      <c r="AA728" s="249"/>
    </row>
    <row r="729">
      <c r="A729" s="249"/>
      <c r="B729" s="249"/>
      <c r="C729" s="249"/>
      <c r="D729" s="249"/>
      <c r="E729" s="249"/>
      <c r="F729" s="249"/>
      <c r="G729" s="249"/>
      <c r="H729" s="249"/>
      <c r="I729" s="249"/>
      <c r="J729" s="249"/>
      <c r="K729" s="249"/>
      <c r="L729" s="249"/>
      <c r="M729" s="249"/>
      <c r="N729" s="249"/>
      <c r="O729" s="249"/>
      <c r="P729" s="249"/>
      <c r="Q729" s="249"/>
      <c r="R729" s="249"/>
      <c r="S729" s="249"/>
      <c r="T729" s="249"/>
      <c r="U729" s="249"/>
      <c r="V729" s="249"/>
      <c r="W729" s="249"/>
      <c r="X729" s="249"/>
      <c r="Y729" s="249"/>
      <c r="Z729" s="249"/>
      <c r="AA729" s="249"/>
    </row>
    <row r="730">
      <c r="A730" s="249"/>
      <c r="B730" s="249"/>
      <c r="C730" s="249"/>
      <c r="D730" s="249"/>
      <c r="E730" s="249"/>
      <c r="F730" s="249"/>
      <c r="G730" s="249"/>
      <c r="H730" s="249"/>
      <c r="I730" s="249"/>
      <c r="J730" s="249"/>
      <c r="K730" s="249"/>
      <c r="L730" s="249"/>
      <c r="M730" s="249"/>
      <c r="N730" s="249"/>
      <c r="O730" s="249"/>
      <c r="P730" s="249"/>
      <c r="Q730" s="249"/>
      <c r="R730" s="249"/>
      <c r="S730" s="249"/>
      <c r="T730" s="249"/>
      <c r="U730" s="249"/>
      <c r="V730" s="249"/>
      <c r="W730" s="249"/>
      <c r="X730" s="249"/>
      <c r="Y730" s="249"/>
      <c r="Z730" s="249"/>
      <c r="AA730" s="249"/>
    </row>
    <row r="731">
      <c r="A731" s="249"/>
      <c r="B731" s="249"/>
      <c r="C731" s="249"/>
      <c r="D731" s="249"/>
      <c r="E731" s="249"/>
      <c r="F731" s="249"/>
      <c r="G731" s="249"/>
      <c r="H731" s="249"/>
      <c r="I731" s="249"/>
      <c r="J731" s="249"/>
      <c r="K731" s="249"/>
      <c r="L731" s="249"/>
      <c r="M731" s="249"/>
      <c r="N731" s="249"/>
      <c r="O731" s="249"/>
      <c r="P731" s="249"/>
      <c r="Q731" s="249"/>
      <c r="R731" s="249"/>
      <c r="S731" s="249"/>
      <c r="T731" s="249"/>
      <c r="U731" s="249"/>
      <c r="V731" s="249"/>
      <c r="W731" s="249"/>
      <c r="X731" s="249"/>
      <c r="Y731" s="249"/>
      <c r="Z731" s="249"/>
      <c r="AA731" s="249"/>
    </row>
    <row r="732">
      <c r="A732" s="249"/>
      <c r="B732" s="249"/>
      <c r="C732" s="249"/>
      <c r="D732" s="249"/>
      <c r="E732" s="249"/>
      <c r="F732" s="249"/>
      <c r="G732" s="249"/>
      <c r="H732" s="249"/>
      <c r="I732" s="249"/>
      <c r="J732" s="249"/>
      <c r="K732" s="249"/>
      <c r="L732" s="249"/>
      <c r="M732" s="249"/>
      <c r="N732" s="249"/>
      <c r="O732" s="249"/>
      <c r="P732" s="249"/>
      <c r="Q732" s="249"/>
      <c r="R732" s="249"/>
      <c r="S732" s="249"/>
      <c r="T732" s="249"/>
      <c r="U732" s="249"/>
      <c r="V732" s="249"/>
      <c r="W732" s="249"/>
      <c r="X732" s="249"/>
      <c r="Y732" s="249"/>
      <c r="Z732" s="249"/>
      <c r="AA732" s="249"/>
    </row>
    <row r="733">
      <c r="A733" s="249"/>
      <c r="B733" s="249"/>
      <c r="C733" s="249"/>
      <c r="D733" s="249"/>
      <c r="E733" s="249"/>
      <c r="F733" s="249"/>
      <c r="G733" s="249"/>
      <c r="H733" s="249"/>
      <c r="I733" s="249"/>
      <c r="J733" s="249"/>
      <c r="K733" s="249"/>
      <c r="L733" s="249"/>
      <c r="M733" s="249"/>
      <c r="N733" s="249"/>
      <c r="O733" s="249"/>
      <c r="P733" s="249"/>
      <c r="Q733" s="249"/>
      <c r="R733" s="249"/>
      <c r="S733" s="249"/>
      <c r="T733" s="249"/>
      <c r="U733" s="249"/>
      <c r="V733" s="249"/>
      <c r="W733" s="249"/>
      <c r="X733" s="249"/>
      <c r="Y733" s="249"/>
      <c r="Z733" s="249"/>
      <c r="AA733" s="249"/>
    </row>
    <row r="734">
      <c r="A734" s="249"/>
      <c r="B734" s="249"/>
      <c r="C734" s="249"/>
      <c r="D734" s="249"/>
      <c r="E734" s="249"/>
      <c r="F734" s="249"/>
      <c r="G734" s="249"/>
      <c r="H734" s="249"/>
      <c r="I734" s="249"/>
      <c r="J734" s="249"/>
      <c r="K734" s="249"/>
      <c r="L734" s="249"/>
      <c r="M734" s="249"/>
      <c r="N734" s="249"/>
      <c r="O734" s="249"/>
      <c r="P734" s="249"/>
      <c r="Q734" s="249"/>
      <c r="R734" s="249"/>
      <c r="S734" s="249"/>
      <c r="T734" s="249"/>
      <c r="U734" s="249"/>
      <c r="V734" s="249"/>
      <c r="W734" s="249"/>
      <c r="X734" s="249"/>
      <c r="Y734" s="249"/>
      <c r="Z734" s="249"/>
      <c r="AA734" s="249"/>
    </row>
    <row r="735">
      <c r="A735" s="249"/>
      <c r="B735" s="249"/>
      <c r="C735" s="249"/>
      <c r="D735" s="249"/>
      <c r="E735" s="249"/>
      <c r="F735" s="249"/>
      <c r="G735" s="249"/>
      <c r="H735" s="249"/>
      <c r="I735" s="249"/>
      <c r="J735" s="249"/>
      <c r="K735" s="249"/>
      <c r="L735" s="249"/>
      <c r="M735" s="249"/>
      <c r="N735" s="249"/>
      <c r="O735" s="249"/>
      <c r="P735" s="249"/>
      <c r="Q735" s="249"/>
      <c r="R735" s="249"/>
      <c r="S735" s="249"/>
      <c r="T735" s="249"/>
      <c r="U735" s="249"/>
      <c r="V735" s="249"/>
      <c r="W735" s="249"/>
      <c r="X735" s="249"/>
      <c r="Y735" s="249"/>
      <c r="Z735" s="249"/>
      <c r="AA735" s="249"/>
    </row>
    <row r="736">
      <c r="A736" s="249"/>
      <c r="B736" s="249"/>
      <c r="C736" s="249"/>
      <c r="D736" s="249"/>
      <c r="E736" s="249"/>
      <c r="F736" s="249"/>
      <c r="G736" s="249"/>
      <c r="H736" s="249"/>
      <c r="I736" s="249"/>
      <c r="J736" s="249"/>
      <c r="K736" s="249"/>
      <c r="L736" s="249"/>
      <c r="M736" s="249"/>
      <c r="N736" s="249"/>
      <c r="O736" s="249"/>
      <c r="P736" s="249"/>
      <c r="Q736" s="249"/>
      <c r="R736" s="249"/>
      <c r="S736" s="249"/>
      <c r="T736" s="249"/>
      <c r="U736" s="249"/>
      <c r="V736" s="249"/>
      <c r="W736" s="249"/>
      <c r="X736" s="249"/>
      <c r="Y736" s="249"/>
      <c r="Z736" s="249"/>
      <c r="AA736" s="249"/>
    </row>
    <row r="737">
      <c r="A737" s="249"/>
      <c r="B737" s="249"/>
      <c r="C737" s="249"/>
      <c r="D737" s="249"/>
      <c r="E737" s="249"/>
      <c r="F737" s="249"/>
      <c r="G737" s="249"/>
      <c r="H737" s="249"/>
      <c r="I737" s="249"/>
      <c r="J737" s="249"/>
      <c r="K737" s="249"/>
      <c r="L737" s="249"/>
      <c r="M737" s="249"/>
      <c r="N737" s="249"/>
      <c r="O737" s="249"/>
      <c r="P737" s="249"/>
      <c r="Q737" s="249"/>
      <c r="R737" s="249"/>
      <c r="S737" s="249"/>
      <c r="T737" s="249"/>
      <c r="U737" s="249"/>
      <c r="V737" s="249"/>
      <c r="W737" s="249"/>
      <c r="X737" s="249"/>
      <c r="Y737" s="249"/>
      <c r="Z737" s="249"/>
      <c r="AA737" s="249"/>
    </row>
    <row r="738">
      <c r="A738" s="249"/>
      <c r="B738" s="249"/>
      <c r="C738" s="249"/>
      <c r="D738" s="249"/>
      <c r="E738" s="249"/>
      <c r="F738" s="249"/>
      <c r="G738" s="249"/>
      <c r="H738" s="249"/>
      <c r="I738" s="249"/>
      <c r="J738" s="249"/>
      <c r="K738" s="249"/>
      <c r="L738" s="249"/>
      <c r="M738" s="249"/>
      <c r="N738" s="249"/>
      <c r="O738" s="249"/>
      <c r="P738" s="249"/>
      <c r="Q738" s="249"/>
      <c r="R738" s="249"/>
      <c r="S738" s="249"/>
      <c r="T738" s="249"/>
      <c r="U738" s="249"/>
      <c r="V738" s="249"/>
      <c r="W738" s="249"/>
      <c r="X738" s="249"/>
      <c r="Y738" s="249"/>
      <c r="Z738" s="249"/>
      <c r="AA738" s="249"/>
    </row>
    <row r="739">
      <c r="A739" s="249"/>
      <c r="B739" s="249"/>
      <c r="C739" s="249"/>
      <c r="D739" s="249"/>
      <c r="E739" s="249"/>
      <c r="F739" s="249"/>
      <c r="G739" s="249"/>
      <c r="H739" s="249"/>
      <c r="I739" s="249"/>
      <c r="J739" s="249"/>
      <c r="K739" s="249"/>
      <c r="L739" s="249"/>
      <c r="M739" s="249"/>
      <c r="N739" s="249"/>
      <c r="O739" s="249"/>
      <c r="P739" s="249"/>
      <c r="Q739" s="249"/>
      <c r="R739" s="249"/>
      <c r="S739" s="249"/>
      <c r="T739" s="249"/>
      <c r="U739" s="249"/>
      <c r="V739" s="249"/>
      <c r="W739" s="249"/>
      <c r="X739" s="249"/>
      <c r="Y739" s="249"/>
      <c r="Z739" s="249"/>
      <c r="AA739" s="249"/>
    </row>
    <row r="740">
      <c r="A740" s="249"/>
      <c r="B740" s="249"/>
      <c r="C740" s="249"/>
      <c r="D740" s="249"/>
      <c r="E740" s="249"/>
      <c r="F740" s="249"/>
      <c r="G740" s="249"/>
      <c r="H740" s="249"/>
      <c r="I740" s="249"/>
      <c r="J740" s="249"/>
      <c r="K740" s="249"/>
      <c r="L740" s="249"/>
      <c r="M740" s="249"/>
      <c r="N740" s="249"/>
      <c r="O740" s="249"/>
      <c r="P740" s="249"/>
      <c r="Q740" s="249"/>
      <c r="R740" s="249"/>
      <c r="S740" s="249"/>
      <c r="T740" s="249"/>
      <c r="U740" s="249"/>
      <c r="V740" s="249"/>
      <c r="W740" s="249"/>
      <c r="X740" s="249"/>
      <c r="Y740" s="249"/>
      <c r="Z740" s="249"/>
      <c r="AA740" s="249"/>
    </row>
    <row r="741">
      <c r="A741" s="249"/>
      <c r="B741" s="249"/>
      <c r="C741" s="249"/>
      <c r="D741" s="249"/>
      <c r="E741" s="249"/>
      <c r="F741" s="249"/>
      <c r="G741" s="249"/>
      <c r="H741" s="249"/>
      <c r="I741" s="249"/>
      <c r="J741" s="249"/>
      <c r="K741" s="249"/>
      <c r="L741" s="249"/>
      <c r="M741" s="249"/>
      <c r="N741" s="249"/>
      <c r="O741" s="249"/>
      <c r="P741" s="249"/>
      <c r="Q741" s="249"/>
      <c r="R741" s="249"/>
      <c r="S741" s="249"/>
      <c r="T741" s="249"/>
      <c r="U741" s="249"/>
      <c r="V741" s="249"/>
      <c r="W741" s="249"/>
      <c r="X741" s="249"/>
      <c r="Y741" s="249"/>
      <c r="Z741" s="249"/>
      <c r="AA741" s="249"/>
    </row>
    <row r="742">
      <c r="A742" s="249"/>
      <c r="B742" s="249"/>
      <c r="C742" s="249"/>
      <c r="D742" s="249"/>
      <c r="E742" s="249"/>
      <c r="F742" s="249"/>
      <c r="G742" s="249"/>
      <c r="H742" s="249"/>
      <c r="I742" s="249"/>
      <c r="J742" s="249"/>
      <c r="K742" s="249"/>
      <c r="L742" s="249"/>
      <c r="M742" s="249"/>
      <c r="N742" s="249"/>
      <c r="O742" s="249"/>
      <c r="P742" s="249"/>
      <c r="Q742" s="249"/>
      <c r="R742" s="249"/>
      <c r="S742" s="249"/>
      <c r="T742" s="249"/>
      <c r="U742" s="249"/>
      <c r="V742" s="249"/>
      <c r="W742" s="249"/>
      <c r="X742" s="249"/>
      <c r="Y742" s="249"/>
      <c r="Z742" s="249"/>
      <c r="AA742" s="249"/>
    </row>
    <row r="743">
      <c r="A743" s="249"/>
      <c r="B743" s="249"/>
      <c r="C743" s="249"/>
      <c r="D743" s="249"/>
      <c r="E743" s="249"/>
      <c r="F743" s="249"/>
      <c r="G743" s="249"/>
      <c r="H743" s="249"/>
      <c r="I743" s="249"/>
      <c r="J743" s="249"/>
      <c r="K743" s="249"/>
      <c r="L743" s="249"/>
      <c r="M743" s="249"/>
      <c r="N743" s="249"/>
      <c r="O743" s="249"/>
      <c r="P743" s="249"/>
      <c r="Q743" s="249"/>
      <c r="R743" s="249"/>
      <c r="S743" s="249"/>
      <c r="T743" s="249"/>
      <c r="U743" s="249"/>
      <c r="V743" s="249"/>
      <c r="W743" s="249"/>
      <c r="X743" s="249"/>
      <c r="Y743" s="249"/>
      <c r="Z743" s="249"/>
      <c r="AA743" s="249"/>
    </row>
    <row r="744">
      <c r="A744" s="249"/>
      <c r="B744" s="249"/>
      <c r="C744" s="249"/>
      <c r="D744" s="249"/>
      <c r="E744" s="249"/>
      <c r="F744" s="249"/>
      <c r="G744" s="249"/>
      <c r="H744" s="249"/>
      <c r="I744" s="249"/>
      <c r="J744" s="249"/>
      <c r="K744" s="249"/>
      <c r="L744" s="249"/>
      <c r="M744" s="249"/>
      <c r="N744" s="249"/>
      <c r="O744" s="249"/>
      <c r="P744" s="249"/>
      <c r="Q744" s="249"/>
      <c r="R744" s="249"/>
      <c r="S744" s="249"/>
      <c r="T744" s="249"/>
      <c r="U744" s="249"/>
      <c r="V744" s="249"/>
      <c r="W744" s="249"/>
      <c r="X744" s="249"/>
      <c r="Y744" s="249"/>
      <c r="Z744" s="249"/>
      <c r="AA744" s="249"/>
    </row>
    <row r="745">
      <c r="A745" s="249"/>
      <c r="B745" s="249"/>
      <c r="C745" s="249"/>
      <c r="D745" s="249"/>
      <c r="E745" s="249"/>
      <c r="F745" s="249"/>
      <c r="G745" s="249"/>
      <c r="H745" s="249"/>
      <c r="I745" s="249"/>
      <c r="J745" s="249"/>
      <c r="K745" s="249"/>
      <c r="L745" s="249"/>
      <c r="M745" s="249"/>
      <c r="N745" s="249"/>
      <c r="O745" s="249"/>
      <c r="P745" s="249"/>
      <c r="Q745" s="249"/>
      <c r="R745" s="249"/>
      <c r="S745" s="249"/>
      <c r="T745" s="249"/>
      <c r="U745" s="249"/>
      <c r="V745" s="249"/>
      <c r="W745" s="249"/>
      <c r="X745" s="249"/>
      <c r="Y745" s="249"/>
      <c r="Z745" s="249"/>
      <c r="AA745" s="249"/>
    </row>
    <row r="746">
      <c r="A746" s="249"/>
      <c r="B746" s="249"/>
      <c r="C746" s="249"/>
      <c r="D746" s="249"/>
      <c r="E746" s="249"/>
      <c r="F746" s="249"/>
      <c r="G746" s="249"/>
      <c r="H746" s="249"/>
      <c r="I746" s="249"/>
      <c r="J746" s="249"/>
      <c r="K746" s="249"/>
      <c r="L746" s="249"/>
      <c r="M746" s="249"/>
      <c r="N746" s="249"/>
      <c r="O746" s="249"/>
      <c r="P746" s="249"/>
      <c r="Q746" s="249"/>
      <c r="R746" s="249"/>
      <c r="S746" s="249"/>
      <c r="T746" s="249"/>
      <c r="U746" s="249"/>
      <c r="V746" s="249"/>
      <c r="W746" s="249"/>
      <c r="X746" s="249"/>
      <c r="Y746" s="249"/>
      <c r="Z746" s="249"/>
      <c r="AA746" s="249"/>
    </row>
    <row r="747">
      <c r="A747" s="249"/>
      <c r="B747" s="249"/>
      <c r="C747" s="249"/>
      <c r="D747" s="249"/>
      <c r="E747" s="249"/>
      <c r="F747" s="249"/>
      <c r="G747" s="249"/>
      <c r="H747" s="249"/>
      <c r="I747" s="249"/>
      <c r="J747" s="249"/>
      <c r="K747" s="249"/>
      <c r="L747" s="249"/>
      <c r="M747" s="249"/>
      <c r="N747" s="249"/>
      <c r="O747" s="249"/>
      <c r="P747" s="249"/>
      <c r="Q747" s="249"/>
      <c r="R747" s="249"/>
      <c r="S747" s="249"/>
      <c r="T747" s="249"/>
      <c r="U747" s="249"/>
      <c r="V747" s="249"/>
      <c r="W747" s="249"/>
      <c r="X747" s="249"/>
      <c r="Y747" s="249"/>
      <c r="Z747" s="249"/>
      <c r="AA747" s="249"/>
    </row>
    <row r="748">
      <c r="A748" s="249"/>
      <c r="B748" s="249"/>
      <c r="C748" s="249"/>
      <c r="D748" s="249"/>
      <c r="E748" s="249"/>
      <c r="F748" s="249"/>
      <c r="G748" s="249"/>
      <c r="H748" s="249"/>
      <c r="I748" s="249"/>
      <c r="J748" s="249"/>
      <c r="K748" s="249"/>
      <c r="L748" s="249"/>
      <c r="M748" s="249"/>
      <c r="N748" s="249"/>
      <c r="O748" s="249"/>
      <c r="P748" s="249"/>
      <c r="Q748" s="249"/>
      <c r="R748" s="249"/>
      <c r="S748" s="249"/>
      <c r="T748" s="249"/>
      <c r="U748" s="249"/>
      <c r="V748" s="249"/>
      <c r="W748" s="249"/>
      <c r="X748" s="249"/>
      <c r="Y748" s="249"/>
      <c r="Z748" s="249"/>
      <c r="AA748" s="249"/>
    </row>
    <row r="749">
      <c r="A749" s="249"/>
      <c r="B749" s="249"/>
      <c r="C749" s="249"/>
      <c r="D749" s="249"/>
      <c r="E749" s="249"/>
      <c r="F749" s="249"/>
      <c r="G749" s="249"/>
      <c r="H749" s="249"/>
      <c r="I749" s="249"/>
      <c r="J749" s="249"/>
      <c r="K749" s="249"/>
      <c r="L749" s="249"/>
      <c r="M749" s="249"/>
      <c r="N749" s="249"/>
      <c r="O749" s="249"/>
      <c r="P749" s="249"/>
      <c r="Q749" s="249"/>
      <c r="R749" s="249"/>
      <c r="S749" s="249"/>
      <c r="T749" s="249"/>
      <c r="U749" s="249"/>
      <c r="V749" s="249"/>
      <c r="W749" s="249"/>
      <c r="X749" s="249"/>
      <c r="Y749" s="249"/>
      <c r="Z749" s="249"/>
      <c r="AA749" s="249"/>
    </row>
    <row r="750">
      <c r="A750" s="249"/>
      <c r="B750" s="249"/>
      <c r="C750" s="249"/>
      <c r="D750" s="249"/>
      <c r="E750" s="249"/>
      <c r="F750" s="249"/>
      <c r="G750" s="249"/>
      <c r="H750" s="249"/>
      <c r="I750" s="249"/>
      <c r="J750" s="249"/>
      <c r="K750" s="249"/>
      <c r="L750" s="249"/>
      <c r="M750" s="249"/>
      <c r="N750" s="249"/>
      <c r="O750" s="249"/>
      <c r="P750" s="249"/>
      <c r="Q750" s="249"/>
      <c r="R750" s="249"/>
      <c r="S750" s="249"/>
      <c r="T750" s="249"/>
      <c r="U750" s="249"/>
      <c r="V750" s="249"/>
      <c r="W750" s="249"/>
      <c r="X750" s="249"/>
      <c r="Y750" s="249"/>
      <c r="Z750" s="249"/>
      <c r="AA750" s="249"/>
    </row>
    <row r="751">
      <c r="A751" s="249"/>
      <c r="B751" s="249"/>
      <c r="C751" s="249"/>
      <c r="D751" s="249"/>
      <c r="E751" s="249"/>
      <c r="F751" s="249"/>
      <c r="G751" s="249"/>
      <c r="H751" s="249"/>
      <c r="I751" s="249"/>
      <c r="J751" s="249"/>
      <c r="K751" s="249"/>
      <c r="L751" s="249"/>
      <c r="M751" s="249"/>
      <c r="N751" s="249"/>
      <c r="O751" s="249"/>
      <c r="P751" s="249"/>
      <c r="Q751" s="249"/>
      <c r="R751" s="249"/>
      <c r="S751" s="249"/>
      <c r="T751" s="249"/>
      <c r="U751" s="249"/>
      <c r="V751" s="249"/>
      <c r="W751" s="249"/>
      <c r="X751" s="249"/>
      <c r="Y751" s="249"/>
      <c r="Z751" s="249"/>
      <c r="AA751" s="249"/>
    </row>
    <row r="752">
      <c r="A752" s="249"/>
      <c r="B752" s="249"/>
      <c r="C752" s="249"/>
      <c r="D752" s="249"/>
      <c r="E752" s="249"/>
      <c r="F752" s="249"/>
      <c r="G752" s="249"/>
      <c r="H752" s="249"/>
      <c r="I752" s="249"/>
      <c r="J752" s="249"/>
      <c r="K752" s="249"/>
      <c r="L752" s="249"/>
      <c r="M752" s="249"/>
      <c r="N752" s="249"/>
      <c r="O752" s="249"/>
      <c r="P752" s="249"/>
      <c r="Q752" s="249"/>
      <c r="R752" s="249"/>
      <c r="S752" s="249"/>
      <c r="T752" s="249"/>
      <c r="U752" s="249"/>
      <c r="V752" s="249"/>
      <c r="W752" s="249"/>
      <c r="X752" s="249"/>
      <c r="Y752" s="249"/>
      <c r="Z752" s="249"/>
      <c r="AA752" s="249"/>
    </row>
    <row r="753">
      <c r="A753" s="249"/>
      <c r="B753" s="249"/>
      <c r="C753" s="249"/>
      <c r="D753" s="249"/>
      <c r="E753" s="249"/>
      <c r="F753" s="249"/>
      <c r="G753" s="249"/>
      <c r="H753" s="249"/>
      <c r="I753" s="249"/>
      <c r="J753" s="249"/>
      <c r="K753" s="249"/>
      <c r="L753" s="249"/>
      <c r="M753" s="249"/>
      <c r="N753" s="249"/>
      <c r="O753" s="249"/>
      <c r="P753" s="249"/>
      <c r="Q753" s="249"/>
      <c r="R753" s="249"/>
      <c r="S753" s="249"/>
      <c r="T753" s="249"/>
      <c r="U753" s="249"/>
      <c r="V753" s="249"/>
      <c r="W753" s="249"/>
      <c r="X753" s="249"/>
      <c r="Y753" s="249"/>
      <c r="Z753" s="249"/>
      <c r="AA753" s="249"/>
    </row>
    <row r="754">
      <c r="A754" s="249"/>
      <c r="B754" s="249"/>
      <c r="C754" s="249"/>
      <c r="D754" s="249"/>
      <c r="E754" s="249"/>
      <c r="F754" s="249"/>
      <c r="G754" s="249"/>
      <c r="H754" s="249"/>
      <c r="I754" s="249"/>
      <c r="J754" s="249"/>
      <c r="K754" s="249"/>
      <c r="L754" s="249"/>
      <c r="M754" s="249"/>
      <c r="N754" s="249"/>
      <c r="O754" s="249"/>
      <c r="P754" s="249"/>
      <c r="Q754" s="249"/>
      <c r="R754" s="249"/>
      <c r="S754" s="249"/>
      <c r="T754" s="249"/>
      <c r="U754" s="249"/>
      <c r="V754" s="249"/>
      <c r="W754" s="249"/>
      <c r="X754" s="249"/>
      <c r="Y754" s="249"/>
      <c r="Z754" s="249"/>
      <c r="AA754" s="249"/>
    </row>
    <row r="755">
      <c r="A755" s="249"/>
      <c r="B755" s="249"/>
      <c r="C755" s="249"/>
      <c r="D755" s="249"/>
      <c r="E755" s="249"/>
      <c r="F755" s="249"/>
      <c r="G755" s="249"/>
      <c r="H755" s="249"/>
      <c r="I755" s="249"/>
      <c r="J755" s="249"/>
      <c r="K755" s="249"/>
      <c r="L755" s="249"/>
      <c r="M755" s="249"/>
      <c r="N755" s="249"/>
      <c r="O755" s="249"/>
      <c r="P755" s="249"/>
      <c r="Q755" s="249"/>
      <c r="R755" s="249"/>
      <c r="S755" s="249"/>
      <c r="T755" s="249"/>
      <c r="U755" s="249"/>
      <c r="V755" s="249"/>
      <c r="W755" s="249"/>
      <c r="X755" s="249"/>
      <c r="Y755" s="249"/>
      <c r="Z755" s="249"/>
      <c r="AA755" s="249"/>
    </row>
    <row r="756">
      <c r="A756" s="249"/>
      <c r="B756" s="249"/>
      <c r="C756" s="249"/>
      <c r="D756" s="249"/>
      <c r="E756" s="249"/>
      <c r="F756" s="249"/>
      <c r="G756" s="249"/>
      <c r="H756" s="249"/>
      <c r="I756" s="249"/>
      <c r="J756" s="249"/>
      <c r="K756" s="249"/>
      <c r="L756" s="249"/>
      <c r="M756" s="249"/>
      <c r="N756" s="249"/>
      <c r="O756" s="249"/>
      <c r="P756" s="249"/>
      <c r="Q756" s="249"/>
      <c r="R756" s="249"/>
      <c r="S756" s="249"/>
      <c r="T756" s="249"/>
      <c r="U756" s="249"/>
      <c r="V756" s="249"/>
      <c r="W756" s="249"/>
      <c r="X756" s="249"/>
      <c r="Y756" s="249"/>
      <c r="Z756" s="249"/>
      <c r="AA756" s="249"/>
    </row>
    <row r="757">
      <c r="A757" s="249"/>
      <c r="B757" s="249"/>
      <c r="C757" s="249"/>
      <c r="D757" s="249"/>
      <c r="E757" s="249"/>
      <c r="F757" s="249"/>
      <c r="G757" s="249"/>
      <c r="H757" s="249"/>
      <c r="I757" s="249"/>
      <c r="J757" s="249"/>
      <c r="K757" s="249"/>
      <c r="L757" s="249"/>
      <c r="M757" s="249"/>
      <c r="N757" s="249"/>
      <c r="O757" s="249"/>
      <c r="P757" s="249"/>
      <c r="Q757" s="249"/>
      <c r="R757" s="249"/>
      <c r="S757" s="249"/>
      <c r="T757" s="249"/>
      <c r="U757" s="249"/>
      <c r="V757" s="249"/>
      <c r="W757" s="249"/>
      <c r="X757" s="249"/>
      <c r="Y757" s="249"/>
      <c r="Z757" s="249"/>
      <c r="AA757" s="249"/>
    </row>
    <row r="758">
      <c r="A758" s="249"/>
      <c r="B758" s="249"/>
      <c r="C758" s="249"/>
      <c r="D758" s="249"/>
      <c r="E758" s="249"/>
      <c r="F758" s="249"/>
      <c r="G758" s="249"/>
      <c r="H758" s="249"/>
      <c r="I758" s="249"/>
      <c r="J758" s="249"/>
      <c r="K758" s="249"/>
      <c r="L758" s="249"/>
      <c r="M758" s="249"/>
      <c r="N758" s="249"/>
      <c r="O758" s="249"/>
      <c r="P758" s="249"/>
      <c r="Q758" s="249"/>
      <c r="R758" s="249"/>
      <c r="S758" s="249"/>
      <c r="T758" s="249"/>
      <c r="U758" s="249"/>
      <c r="V758" s="249"/>
      <c r="W758" s="249"/>
      <c r="X758" s="249"/>
      <c r="Y758" s="249"/>
      <c r="Z758" s="249"/>
      <c r="AA758" s="249"/>
    </row>
    <row r="759">
      <c r="A759" s="249"/>
      <c r="B759" s="249"/>
      <c r="C759" s="249"/>
      <c r="D759" s="249"/>
      <c r="E759" s="249"/>
      <c r="F759" s="249"/>
      <c r="G759" s="249"/>
      <c r="H759" s="249"/>
      <c r="I759" s="249"/>
      <c r="J759" s="249"/>
      <c r="K759" s="249"/>
      <c r="L759" s="249"/>
      <c r="M759" s="249"/>
      <c r="N759" s="249"/>
      <c r="O759" s="249"/>
      <c r="P759" s="249"/>
      <c r="Q759" s="249"/>
      <c r="R759" s="249"/>
      <c r="S759" s="249"/>
      <c r="T759" s="249"/>
      <c r="U759" s="249"/>
      <c r="V759" s="249"/>
      <c r="W759" s="249"/>
      <c r="X759" s="249"/>
      <c r="Y759" s="249"/>
      <c r="Z759" s="249"/>
      <c r="AA759" s="249"/>
    </row>
    <row r="760">
      <c r="A760" s="249"/>
      <c r="B760" s="249"/>
      <c r="C760" s="249"/>
      <c r="D760" s="249"/>
      <c r="E760" s="249"/>
      <c r="F760" s="249"/>
      <c r="G760" s="249"/>
      <c r="H760" s="249"/>
      <c r="I760" s="249"/>
      <c r="J760" s="249"/>
      <c r="K760" s="249"/>
      <c r="L760" s="249"/>
      <c r="M760" s="249"/>
      <c r="N760" s="249"/>
      <c r="O760" s="249"/>
      <c r="P760" s="249"/>
      <c r="Q760" s="249"/>
      <c r="R760" s="249"/>
      <c r="S760" s="249"/>
      <c r="T760" s="249"/>
      <c r="U760" s="249"/>
      <c r="V760" s="249"/>
      <c r="W760" s="249"/>
      <c r="X760" s="249"/>
      <c r="Y760" s="249"/>
      <c r="Z760" s="249"/>
      <c r="AA760" s="249"/>
    </row>
    <row r="761">
      <c r="A761" s="249"/>
      <c r="B761" s="249"/>
      <c r="C761" s="249"/>
      <c r="D761" s="249"/>
      <c r="E761" s="249"/>
      <c r="F761" s="249"/>
      <c r="G761" s="249"/>
      <c r="H761" s="249"/>
      <c r="I761" s="249"/>
      <c r="J761" s="249"/>
      <c r="K761" s="249"/>
      <c r="L761" s="249"/>
      <c r="M761" s="249"/>
      <c r="N761" s="249"/>
      <c r="O761" s="249"/>
      <c r="P761" s="249"/>
      <c r="Q761" s="249"/>
      <c r="R761" s="249"/>
      <c r="S761" s="249"/>
      <c r="T761" s="249"/>
      <c r="U761" s="249"/>
      <c r="V761" s="249"/>
      <c r="W761" s="249"/>
      <c r="X761" s="249"/>
      <c r="Y761" s="249"/>
      <c r="Z761" s="249"/>
      <c r="AA761" s="249"/>
    </row>
    <row r="762">
      <c r="A762" s="249"/>
      <c r="B762" s="249"/>
      <c r="C762" s="249"/>
      <c r="D762" s="249"/>
      <c r="E762" s="249"/>
      <c r="F762" s="249"/>
      <c r="G762" s="249"/>
      <c r="H762" s="249"/>
      <c r="I762" s="249"/>
      <c r="J762" s="249"/>
      <c r="K762" s="249"/>
      <c r="L762" s="249"/>
      <c r="M762" s="249"/>
      <c r="N762" s="249"/>
      <c r="O762" s="249"/>
      <c r="P762" s="249"/>
      <c r="Q762" s="249"/>
      <c r="R762" s="249"/>
      <c r="S762" s="249"/>
      <c r="T762" s="249"/>
      <c r="U762" s="249"/>
      <c r="V762" s="249"/>
      <c r="W762" s="249"/>
      <c r="X762" s="249"/>
      <c r="Y762" s="249"/>
      <c r="Z762" s="249"/>
      <c r="AA762" s="249"/>
    </row>
    <row r="763">
      <c r="A763" s="249"/>
      <c r="B763" s="249"/>
      <c r="C763" s="249"/>
      <c r="D763" s="249"/>
      <c r="E763" s="249"/>
      <c r="F763" s="249"/>
      <c r="G763" s="249"/>
      <c r="H763" s="249"/>
      <c r="I763" s="249"/>
      <c r="J763" s="249"/>
      <c r="K763" s="249"/>
      <c r="L763" s="249"/>
      <c r="M763" s="249"/>
      <c r="N763" s="249"/>
      <c r="O763" s="249"/>
      <c r="P763" s="249"/>
      <c r="Q763" s="249"/>
      <c r="R763" s="249"/>
      <c r="S763" s="249"/>
      <c r="T763" s="249"/>
      <c r="U763" s="249"/>
      <c r="V763" s="249"/>
      <c r="W763" s="249"/>
      <c r="X763" s="249"/>
      <c r="Y763" s="249"/>
      <c r="Z763" s="249"/>
      <c r="AA763" s="249"/>
    </row>
    <row r="764">
      <c r="A764" s="249"/>
      <c r="B764" s="249"/>
      <c r="C764" s="249"/>
      <c r="D764" s="249"/>
      <c r="E764" s="249"/>
      <c r="F764" s="249"/>
      <c r="G764" s="249"/>
      <c r="H764" s="249"/>
      <c r="I764" s="249"/>
      <c r="J764" s="249"/>
      <c r="K764" s="249"/>
      <c r="L764" s="249"/>
      <c r="M764" s="249"/>
      <c r="N764" s="249"/>
      <c r="O764" s="249"/>
      <c r="P764" s="249"/>
      <c r="Q764" s="249"/>
      <c r="R764" s="249"/>
      <c r="S764" s="249"/>
      <c r="T764" s="249"/>
      <c r="U764" s="249"/>
      <c r="V764" s="249"/>
      <c r="W764" s="249"/>
      <c r="X764" s="249"/>
      <c r="Y764" s="249"/>
      <c r="Z764" s="249"/>
      <c r="AA764" s="249"/>
    </row>
    <row r="765">
      <c r="A765" s="249"/>
      <c r="B765" s="249"/>
      <c r="C765" s="249"/>
      <c r="D765" s="249"/>
      <c r="E765" s="249"/>
      <c r="F765" s="249"/>
      <c r="G765" s="249"/>
      <c r="H765" s="249"/>
      <c r="I765" s="249"/>
      <c r="J765" s="249"/>
      <c r="K765" s="249"/>
      <c r="L765" s="249"/>
      <c r="M765" s="249"/>
      <c r="N765" s="249"/>
      <c r="O765" s="249"/>
      <c r="P765" s="249"/>
      <c r="Q765" s="249"/>
      <c r="R765" s="249"/>
      <c r="S765" s="249"/>
      <c r="T765" s="249"/>
      <c r="U765" s="249"/>
      <c r="V765" s="249"/>
      <c r="W765" s="249"/>
      <c r="X765" s="249"/>
      <c r="Y765" s="249"/>
      <c r="Z765" s="249"/>
      <c r="AA765" s="249"/>
    </row>
    <row r="766">
      <c r="A766" s="249"/>
      <c r="B766" s="249"/>
      <c r="C766" s="249"/>
      <c r="D766" s="249"/>
      <c r="E766" s="249"/>
      <c r="F766" s="249"/>
      <c r="G766" s="249"/>
      <c r="H766" s="249"/>
      <c r="I766" s="249"/>
      <c r="J766" s="249"/>
      <c r="K766" s="249"/>
      <c r="L766" s="249"/>
      <c r="M766" s="249"/>
      <c r="N766" s="249"/>
      <c r="O766" s="249"/>
      <c r="P766" s="249"/>
      <c r="Q766" s="249"/>
      <c r="R766" s="249"/>
      <c r="S766" s="249"/>
      <c r="T766" s="249"/>
      <c r="U766" s="249"/>
      <c r="V766" s="249"/>
      <c r="W766" s="249"/>
      <c r="X766" s="249"/>
      <c r="Y766" s="249"/>
      <c r="Z766" s="249"/>
      <c r="AA766" s="249"/>
    </row>
    <row r="767">
      <c r="A767" s="249"/>
      <c r="B767" s="249"/>
      <c r="C767" s="249"/>
      <c r="D767" s="249"/>
      <c r="E767" s="249"/>
      <c r="F767" s="249"/>
      <c r="G767" s="249"/>
      <c r="H767" s="249"/>
      <c r="I767" s="249"/>
      <c r="J767" s="249"/>
      <c r="K767" s="249"/>
      <c r="L767" s="249"/>
      <c r="M767" s="249"/>
      <c r="N767" s="249"/>
      <c r="O767" s="249"/>
      <c r="P767" s="249"/>
      <c r="Q767" s="249"/>
      <c r="R767" s="249"/>
      <c r="S767" s="249"/>
      <c r="T767" s="249"/>
      <c r="U767" s="249"/>
      <c r="V767" s="249"/>
      <c r="W767" s="249"/>
      <c r="X767" s="249"/>
      <c r="Y767" s="249"/>
      <c r="Z767" s="249"/>
      <c r="AA767" s="249"/>
    </row>
    <row r="768">
      <c r="A768" s="249"/>
      <c r="B768" s="249"/>
      <c r="C768" s="249"/>
      <c r="D768" s="249"/>
      <c r="E768" s="249"/>
      <c r="F768" s="249"/>
      <c r="G768" s="249"/>
      <c r="H768" s="249"/>
      <c r="I768" s="249"/>
      <c r="J768" s="249"/>
      <c r="K768" s="249"/>
      <c r="L768" s="249"/>
      <c r="M768" s="249"/>
      <c r="N768" s="249"/>
      <c r="O768" s="249"/>
      <c r="P768" s="249"/>
      <c r="Q768" s="249"/>
      <c r="R768" s="249"/>
      <c r="S768" s="249"/>
      <c r="T768" s="249"/>
      <c r="U768" s="249"/>
      <c r="V768" s="249"/>
      <c r="W768" s="249"/>
      <c r="X768" s="249"/>
      <c r="Y768" s="249"/>
      <c r="Z768" s="249"/>
      <c r="AA768" s="249"/>
    </row>
    <row r="769">
      <c r="A769" s="249"/>
      <c r="B769" s="249"/>
      <c r="C769" s="249"/>
      <c r="D769" s="249"/>
      <c r="E769" s="249"/>
      <c r="F769" s="249"/>
      <c r="G769" s="249"/>
      <c r="H769" s="249"/>
      <c r="I769" s="249"/>
      <c r="J769" s="249"/>
      <c r="K769" s="249"/>
      <c r="L769" s="249"/>
      <c r="M769" s="249"/>
      <c r="N769" s="249"/>
      <c r="O769" s="249"/>
      <c r="P769" s="249"/>
      <c r="Q769" s="249"/>
      <c r="R769" s="249"/>
      <c r="S769" s="249"/>
      <c r="T769" s="249"/>
      <c r="U769" s="249"/>
      <c r="V769" s="249"/>
      <c r="W769" s="249"/>
      <c r="X769" s="249"/>
      <c r="Y769" s="249"/>
      <c r="Z769" s="249"/>
      <c r="AA769" s="249"/>
    </row>
    <row r="770">
      <c r="A770" s="249"/>
      <c r="B770" s="249"/>
      <c r="C770" s="249"/>
      <c r="D770" s="249"/>
      <c r="E770" s="249"/>
      <c r="F770" s="249"/>
      <c r="G770" s="249"/>
      <c r="H770" s="249"/>
      <c r="I770" s="249"/>
      <c r="J770" s="249"/>
      <c r="K770" s="249"/>
      <c r="L770" s="249"/>
      <c r="M770" s="249"/>
      <c r="N770" s="249"/>
      <c r="O770" s="249"/>
      <c r="P770" s="249"/>
      <c r="Q770" s="249"/>
      <c r="R770" s="249"/>
      <c r="S770" s="249"/>
      <c r="T770" s="249"/>
      <c r="U770" s="249"/>
      <c r="V770" s="249"/>
      <c r="W770" s="249"/>
      <c r="X770" s="249"/>
      <c r="Y770" s="249"/>
      <c r="Z770" s="249"/>
      <c r="AA770" s="249"/>
    </row>
    <row r="771">
      <c r="A771" s="249"/>
      <c r="B771" s="249"/>
      <c r="C771" s="249"/>
      <c r="D771" s="249"/>
      <c r="E771" s="249"/>
      <c r="F771" s="249"/>
      <c r="G771" s="249"/>
      <c r="H771" s="249"/>
      <c r="I771" s="249"/>
      <c r="J771" s="249"/>
      <c r="K771" s="249"/>
      <c r="L771" s="249"/>
      <c r="M771" s="249"/>
      <c r="N771" s="249"/>
      <c r="O771" s="249"/>
      <c r="P771" s="249"/>
      <c r="Q771" s="249"/>
      <c r="R771" s="249"/>
      <c r="S771" s="249"/>
      <c r="T771" s="249"/>
      <c r="U771" s="249"/>
      <c r="V771" s="249"/>
      <c r="W771" s="249"/>
      <c r="X771" s="249"/>
      <c r="Y771" s="249"/>
      <c r="Z771" s="249"/>
      <c r="AA771" s="249"/>
    </row>
    <row r="772">
      <c r="A772" s="249"/>
      <c r="B772" s="249"/>
      <c r="C772" s="249"/>
      <c r="D772" s="249"/>
      <c r="E772" s="249"/>
      <c r="F772" s="249"/>
      <c r="G772" s="249"/>
      <c r="H772" s="249"/>
      <c r="I772" s="249"/>
      <c r="J772" s="249"/>
      <c r="K772" s="249"/>
      <c r="L772" s="249"/>
      <c r="M772" s="249"/>
      <c r="N772" s="249"/>
      <c r="O772" s="249"/>
      <c r="P772" s="249"/>
      <c r="Q772" s="249"/>
      <c r="R772" s="249"/>
      <c r="S772" s="249"/>
      <c r="T772" s="249"/>
      <c r="U772" s="249"/>
      <c r="V772" s="249"/>
      <c r="W772" s="249"/>
      <c r="X772" s="249"/>
      <c r="Y772" s="249"/>
      <c r="Z772" s="249"/>
      <c r="AA772" s="249"/>
    </row>
    <row r="773">
      <c r="A773" s="249"/>
      <c r="B773" s="249"/>
      <c r="C773" s="249"/>
      <c r="D773" s="249"/>
      <c r="E773" s="249"/>
      <c r="F773" s="249"/>
      <c r="G773" s="249"/>
      <c r="H773" s="249"/>
      <c r="I773" s="249"/>
      <c r="J773" s="249"/>
      <c r="K773" s="249"/>
      <c r="L773" s="249"/>
      <c r="M773" s="249"/>
      <c r="N773" s="249"/>
      <c r="O773" s="249"/>
      <c r="P773" s="249"/>
      <c r="Q773" s="249"/>
      <c r="R773" s="249"/>
      <c r="S773" s="249"/>
      <c r="T773" s="249"/>
      <c r="U773" s="249"/>
      <c r="V773" s="249"/>
      <c r="W773" s="249"/>
      <c r="X773" s="249"/>
      <c r="Y773" s="249"/>
      <c r="Z773" s="249"/>
      <c r="AA773" s="249"/>
    </row>
    <row r="774">
      <c r="A774" s="249"/>
      <c r="B774" s="249"/>
      <c r="C774" s="249"/>
      <c r="D774" s="249"/>
      <c r="E774" s="249"/>
      <c r="F774" s="249"/>
      <c r="G774" s="249"/>
      <c r="H774" s="249"/>
      <c r="I774" s="249"/>
      <c r="J774" s="249"/>
      <c r="K774" s="249"/>
      <c r="L774" s="249"/>
      <c r="M774" s="249"/>
      <c r="N774" s="249"/>
      <c r="O774" s="249"/>
      <c r="P774" s="249"/>
      <c r="Q774" s="249"/>
      <c r="R774" s="249"/>
      <c r="S774" s="249"/>
      <c r="T774" s="249"/>
      <c r="U774" s="249"/>
      <c r="V774" s="249"/>
      <c r="W774" s="249"/>
      <c r="X774" s="249"/>
      <c r="Y774" s="249"/>
      <c r="Z774" s="249"/>
      <c r="AA774" s="249"/>
    </row>
    <row r="775">
      <c r="A775" s="249"/>
      <c r="B775" s="249"/>
      <c r="C775" s="249"/>
      <c r="D775" s="249"/>
      <c r="E775" s="249"/>
      <c r="F775" s="249"/>
      <c r="G775" s="249"/>
      <c r="H775" s="249"/>
      <c r="I775" s="249"/>
      <c r="J775" s="249"/>
      <c r="K775" s="249"/>
      <c r="L775" s="249"/>
      <c r="M775" s="249"/>
      <c r="N775" s="249"/>
      <c r="O775" s="249"/>
      <c r="P775" s="249"/>
      <c r="Q775" s="249"/>
      <c r="R775" s="249"/>
      <c r="S775" s="249"/>
      <c r="T775" s="249"/>
      <c r="U775" s="249"/>
      <c r="V775" s="249"/>
      <c r="W775" s="249"/>
      <c r="X775" s="249"/>
      <c r="Y775" s="249"/>
      <c r="Z775" s="249"/>
      <c r="AA775" s="249"/>
    </row>
    <row r="776">
      <c r="A776" s="249"/>
      <c r="B776" s="249"/>
      <c r="C776" s="249"/>
      <c r="D776" s="249"/>
      <c r="E776" s="249"/>
      <c r="F776" s="249"/>
      <c r="G776" s="249"/>
      <c r="H776" s="249"/>
      <c r="I776" s="249"/>
      <c r="J776" s="249"/>
      <c r="K776" s="249"/>
      <c r="L776" s="249"/>
      <c r="M776" s="249"/>
      <c r="N776" s="249"/>
      <c r="O776" s="249"/>
      <c r="P776" s="249"/>
      <c r="Q776" s="249"/>
      <c r="R776" s="249"/>
      <c r="S776" s="249"/>
      <c r="T776" s="249"/>
      <c r="U776" s="249"/>
      <c r="V776" s="249"/>
      <c r="W776" s="249"/>
      <c r="X776" s="249"/>
      <c r="Y776" s="249"/>
      <c r="Z776" s="249"/>
      <c r="AA776" s="249"/>
    </row>
    <row r="777">
      <c r="A777" s="249"/>
      <c r="B777" s="249"/>
      <c r="C777" s="249"/>
      <c r="D777" s="249"/>
      <c r="E777" s="249"/>
      <c r="F777" s="249"/>
      <c r="G777" s="249"/>
      <c r="H777" s="249"/>
      <c r="I777" s="249"/>
      <c r="J777" s="249"/>
      <c r="K777" s="249"/>
      <c r="L777" s="249"/>
      <c r="M777" s="249"/>
      <c r="N777" s="249"/>
      <c r="O777" s="249"/>
      <c r="P777" s="249"/>
      <c r="Q777" s="249"/>
      <c r="R777" s="249"/>
      <c r="S777" s="249"/>
      <c r="T777" s="249"/>
      <c r="U777" s="249"/>
      <c r="V777" s="249"/>
      <c r="W777" s="249"/>
      <c r="X777" s="249"/>
      <c r="Y777" s="249"/>
      <c r="Z777" s="249"/>
      <c r="AA777" s="249"/>
    </row>
    <row r="778">
      <c r="A778" s="249"/>
      <c r="B778" s="249"/>
      <c r="C778" s="249"/>
      <c r="D778" s="249"/>
      <c r="E778" s="249"/>
      <c r="F778" s="249"/>
      <c r="G778" s="249"/>
      <c r="H778" s="249"/>
      <c r="I778" s="249"/>
      <c r="J778" s="249"/>
      <c r="K778" s="249"/>
      <c r="L778" s="249"/>
      <c r="M778" s="249"/>
      <c r="N778" s="249"/>
      <c r="O778" s="249"/>
      <c r="P778" s="249"/>
      <c r="Q778" s="249"/>
      <c r="R778" s="249"/>
      <c r="S778" s="249"/>
      <c r="T778" s="249"/>
      <c r="U778" s="249"/>
      <c r="V778" s="249"/>
      <c r="W778" s="249"/>
      <c r="X778" s="249"/>
      <c r="Y778" s="249"/>
      <c r="Z778" s="249"/>
      <c r="AA778" s="249"/>
    </row>
    <row r="779">
      <c r="A779" s="249"/>
      <c r="B779" s="249"/>
      <c r="C779" s="249"/>
      <c r="D779" s="249"/>
      <c r="E779" s="249"/>
      <c r="F779" s="249"/>
      <c r="G779" s="249"/>
      <c r="H779" s="249"/>
      <c r="I779" s="249"/>
      <c r="J779" s="249"/>
      <c r="K779" s="249"/>
      <c r="L779" s="249"/>
      <c r="M779" s="249"/>
      <c r="N779" s="249"/>
      <c r="O779" s="249"/>
      <c r="P779" s="249"/>
      <c r="Q779" s="249"/>
      <c r="R779" s="249"/>
      <c r="S779" s="249"/>
      <c r="T779" s="249"/>
      <c r="U779" s="249"/>
      <c r="V779" s="249"/>
      <c r="W779" s="249"/>
      <c r="X779" s="249"/>
      <c r="Y779" s="249"/>
      <c r="Z779" s="249"/>
      <c r="AA779" s="249"/>
    </row>
    <row r="780">
      <c r="A780" s="249"/>
      <c r="B780" s="249"/>
      <c r="C780" s="249"/>
      <c r="D780" s="249"/>
      <c r="E780" s="249"/>
      <c r="F780" s="249"/>
      <c r="G780" s="249"/>
      <c r="H780" s="249"/>
      <c r="I780" s="249"/>
      <c r="J780" s="249"/>
      <c r="K780" s="249"/>
      <c r="L780" s="249"/>
      <c r="M780" s="249"/>
      <c r="N780" s="249"/>
      <c r="O780" s="249"/>
      <c r="P780" s="249"/>
      <c r="Q780" s="249"/>
      <c r="R780" s="249"/>
      <c r="S780" s="249"/>
      <c r="T780" s="249"/>
      <c r="U780" s="249"/>
      <c r="V780" s="249"/>
      <c r="W780" s="249"/>
      <c r="X780" s="249"/>
      <c r="Y780" s="249"/>
      <c r="Z780" s="249"/>
      <c r="AA780" s="249"/>
    </row>
    <row r="781">
      <c r="A781" s="249"/>
      <c r="B781" s="249"/>
      <c r="C781" s="249"/>
      <c r="D781" s="249"/>
      <c r="E781" s="249"/>
      <c r="F781" s="249"/>
      <c r="G781" s="249"/>
      <c r="H781" s="249"/>
      <c r="I781" s="249"/>
      <c r="J781" s="249"/>
      <c r="K781" s="249"/>
      <c r="L781" s="249"/>
      <c r="M781" s="249"/>
      <c r="N781" s="249"/>
      <c r="O781" s="249"/>
      <c r="P781" s="249"/>
      <c r="Q781" s="249"/>
      <c r="R781" s="249"/>
      <c r="S781" s="249"/>
      <c r="T781" s="249"/>
      <c r="U781" s="249"/>
      <c r="V781" s="249"/>
      <c r="W781" s="249"/>
      <c r="X781" s="249"/>
      <c r="Y781" s="249"/>
      <c r="Z781" s="249"/>
      <c r="AA781" s="249"/>
    </row>
    <row r="782">
      <c r="A782" s="249"/>
      <c r="B782" s="249"/>
      <c r="C782" s="249"/>
      <c r="D782" s="249"/>
      <c r="E782" s="249"/>
      <c r="F782" s="249"/>
      <c r="G782" s="249"/>
      <c r="H782" s="249"/>
      <c r="I782" s="249"/>
      <c r="J782" s="249"/>
      <c r="K782" s="249"/>
      <c r="L782" s="249"/>
      <c r="M782" s="249"/>
      <c r="N782" s="249"/>
      <c r="O782" s="249"/>
      <c r="P782" s="249"/>
      <c r="Q782" s="249"/>
      <c r="R782" s="249"/>
      <c r="S782" s="249"/>
      <c r="T782" s="249"/>
      <c r="U782" s="249"/>
      <c r="V782" s="249"/>
      <c r="W782" s="249"/>
      <c r="X782" s="249"/>
      <c r="Y782" s="249"/>
      <c r="Z782" s="249"/>
      <c r="AA782" s="249"/>
    </row>
    <row r="783">
      <c r="A783" s="249"/>
      <c r="B783" s="249"/>
      <c r="C783" s="249"/>
      <c r="D783" s="249"/>
      <c r="E783" s="249"/>
      <c r="F783" s="249"/>
      <c r="G783" s="249"/>
      <c r="H783" s="249"/>
      <c r="I783" s="249"/>
      <c r="J783" s="249"/>
      <c r="K783" s="249"/>
      <c r="L783" s="249"/>
      <c r="M783" s="249"/>
      <c r="N783" s="249"/>
      <c r="O783" s="249"/>
      <c r="P783" s="249"/>
      <c r="Q783" s="249"/>
      <c r="R783" s="249"/>
      <c r="S783" s="249"/>
      <c r="T783" s="249"/>
      <c r="U783" s="249"/>
      <c r="V783" s="249"/>
      <c r="W783" s="249"/>
      <c r="X783" s="249"/>
      <c r="Y783" s="249"/>
      <c r="Z783" s="249"/>
      <c r="AA783" s="249"/>
    </row>
    <row r="784">
      <c r="A784" s="249"/>
      <c r="B784" s="249"/>
      <c r="C784" s="249"/>
      <c r="D784" s="249"/>
      <c r="E784" s="249"/>
      <c r="F784" s="249"/>
      <c r="G784" s="249"/>
      <c r="H784" s="249"/>
      <c r="I784" s="249"/>
      <c r="J784" s="249"/>
      <c r="K784" s="249"/>
      <c r="L784" s="249"/>
      <c r="M784" s="249"/>
      <c r="N784" s="249"/>
      <c r="O784" s="249"/>
      <c r="P784" s="249"/>
      <c r="Q784" s="249"/>
      <c r="R784" s="249"/>
      <c r="S784" s="249"/>
      <c r="T784" s="249"/>
      <c r="U784" s="249"/>
      <c r="V784" s="249"/>
      <c r="W784" s="249"/>
      <c r="X784" s="249"/>
      <c r="Y784" s="249"/>
      <c r="Z784" s="249"/>
      <c r="AA784" s="249"/>
    </row>
    <row r="785">
      <c r="A785" s="249"/>
      <c r="B785" s="249"/>
      <c r="C785" s="249"/>
      <c r="D785" s="249"/>
      <c r="E785" s="249"/>
      <c r="F785" s="249"/>
      <c r="G785" s="249"/>
      <c r="H785" s="249"/>
      <c r="I785" s="249"/>
      <c r="J785" s="249"/>
      <c r="K785" s="249"/>
      <c r="L785" s="249"/>
      <c r="M785" s="249"/>
      <c r="N785" s="249"/>
      <c r="O785" s="249"/>
      <c r="P785" s="249"/>
      <c r="Q785" s="249"/>
      <c r="R785" s="249"/>
      <c r="S785" s="249"/>
      <c r="T785" s="249"/>
      <c r="U785" s="249"/>
      <c r="V785" s="249"/>
      <c r="W785" s="249"/>
      <c r="X785" s="249"/>
      <c r="Y785" s="249"/>
      <c r="Z785" s="249"/>
      <c r="AA785" s="249"/>
    </row>
    <row r="786">
      <c r="A786" s="249"/>
      <c r="B786" s="249"/>
      <c r="C786" s="249"/>
      <c r="D786" s="249"/>
      <c r="E786" s="249"/>
      <c r="F786" s="249"/>
      <c r="G786" s="249"/>
      <c r="H786" s="249"/>
      <c r="I786" s="249"/>
      <c r="J786" s="249"/>
      <c r="K786" s="249"/>
      <c r="L786" s="249"/>
      <c r="M786" s="249"/>
      <c r="N786" s="249"/>
      <c r="O786" s="249"/>
      <c r="P786" s="249"/>
      <c r="Q786" s="249"/>
      <c r="R786" s="249"/>
      <c r="S786" s="249"/>
      <c r="T786" s="249"/>
      <c r="U786" s="249"/>
      <c r="V786" s="249"/>
      <c r="W786" s="249"/>
      <c r="X786" s="249"/>
      <c r="Y786" s="249"/>
      <c r="Z786" s="249"/>
      <c r="AA786" s="249"/>
    </row>
    <row r="787">
      <c r="A787" s="249"/>
      <c r="B787" s="249"/>
      <c r="C787" s="249"/>
      <c r="D787" s="249"/>
      <c r="E787" s="249"/>
      <c r="F787" s="249"/>
      <c r="G787" s="249"/>
      <c r="H787" s="249"/>
      <c r="I787" s="249"/>
      <c r="J787" s="249"/>
      <c r="K787" s="249"/>
      <c r="L787" s="249"/>
      <c r="M787" s="249"/>
      <c r="N787" s="249"/>
      <c r="O787" s="249"/>
      <c r="P787" s="249"/>
      <c r="Q787" s="249"/>
      <c r="R787" s="249"/>
      <c r="S787" s="249"/>
      <c r="T787" s="249"/>
      <c r="U787" s="249"/>
      <c r="V787" s="249"/>
      <c r="W787" s="249"/>
      <c r="X787" s="249"/>
      <c r="Y787" s="249"/>
      <c r="Z787" s="249"/>
      <c r="AA787" s="249"/>
    </row>
    <row r="788">
      <c r="A788" s="249"/>
      <c r="B788" s="249"/>
      <c r="C788" s="249"/>
      <c r="D788" s="249"/>
      <c r="E788" s="249"/>
      <c r="F788" s="249"/>
      <c r="G788" s="249"/>
      <c r="H788" s="249"/>
      <c r="I788" s="249"/>
      <c r="J788" s="249"/>
      <c r="K788" s="249"/>
      <c r="L788" s="249"/>
      <c r="M788" s="249"/>
      <c r="N788" s="249"/>
      <c r="O788" s="249"/>
      <c r="P788" s="249"/>
      <c r="Q788" s="249"/>
      <c r="R788" s="249"/>
      <c r="S788" s="249"/>
      <c r="T788" s="249"/>
      <c r="U788" s="249"/>
      <c r="V788" s="249"/>
      <c r="W788" s="249"/>
      <c r="X788" s="249"/>
      <c r="Y788" s="249"/>
      <c r="Z788" s="249"/>
      <c r="AA788" s="249"/>
    </row>
    <row r="789">
      <c r="A789" s="249"/>
      <c r="B789" s="249"/>
      <c r="C789" s="249"/>
      <c r="D789" s="249"/>
      <c r="E789" s="249"/>
      <c r="F789" s="249"/>
      <c r="G789" s="249"/>
      <c r="H789" s="249"/>
      <c r="I789" s="249"/>
      <c r="J789" s="249"/>
      <c r="K789" s="249"/>
      <c r="L789" s="249"/>
      <c r="M789" s="249"/>
      <c r="N789" s="249"/>
      <c r="O789" s="249"/>
      <c r="P789" s="249"/>
      <c r="Q789" s="249"/>
      <c r="R789" s="249"/>
      <c r="S789" s="249"/>
      <c r="T789" s="249"/>
      <c r="U789" s="249"/>
      <c r="V789" s="249"/>
      <c r="W789" s="249"/>
      <c r="X789" s="249"/>
      <c r="Y789" s="249"/>
      <c r="Z789" s="249"/>
      <c r="AA789" s="249"/>
    </row>
    <row r="790">
      <c r="A790" s="249"/>
      <c r="B790" s="249"/>
      <c r="C790" s="249"/>
      <c r="D790" s="249"/>
      <c r="E790" s="249"/>
      <c r="F790" s="249"/>
      <c r="G790" s="249"/>
      <c r="H790" s="249"/>
      <c r="I790" s="249"/>
      <c r="J790" s="249"/>
      <c r="K790" s="249"/>
      <c r="L790" s="249"/>
      <c r="M790" s="249"/>
      <c r="N790" s="249"/>
      <c r="O790" s="249"/>
      <c r="P790" s="249"/>
      <c r="Q790" s="249"/>
      <c r="R790" s="249"/>
      <c r="S790" s="249"/>
      <c r="T790" s="249"/>
      <c r="U790" s="249"/>
      <c r="V790" s="249"/>
      <c r="W790" s="249"/>
      <c r="X790" s="249"/>
      <c r="Y790" s="249"/>
      <c r="Z790" s="249"/>
      <c r="AA790" s="249"/>
    </row>
    <row r="791">
      <c r="A791" s="249"/>
      <c r="B791" s="249"/>
      <c r="C791" s="249"/>
      <c r="D791" s="249"/>
      <c r="E791" s="249"/>
      <c r="F791" s="249"/>
      <c r="G791" s="249"/>
      <c r="H791" s="249"/>
      <c r="I791" s="249"/>
      <c r="J791" s="249"/>
      <c r="K791" s="249"/>
      <c r="L791" s="249"/>
      <c r="M791" s="249"/>
      <c r="N791" s="249"/>
      <c r="O791" s="249"/>
      <c r="P791" s="249"/>
      <c r="Q791" s="249"/>
      <c r="R791" s="249"/>
      <c r="S791" s="249"/>
      <c r="T791" s="249"/>
      <c r="U791" s="249"/>
      <c r="V791" s="249"/>
      <c r="W791" s="249"/>
      <c r="X791" s="249"/>
      <c r="Y791" s="249"/>
      <c r="Z791" s="249"/>
      <c r="AA791" s="249"/>
    </row>
    <row r="792">
      <c r="A792" s="249"/>
      <c r="B792" s="249"/>
      <c r="C792" s="249"/>
      <c r="D792" s="249"/>
      <c r="E792" s="249"/>
      <c r="F792" s="249"/>
      <c r="G792" s="249"/>
      <c r="H792" s="249"/>
      <c r="I792" s="249"/>
      <c r="J792" s="249"/>
      <c r="K792" s="249"/>
      <c r="L792" s="249"/>
      <c r="M792" s="249"/>
      <c r="N792" s="249"/>
      <c r="O792" s="249"/>
      <c r="P792" s="249"/>
      <c r="Q792" s="249"/>
      <c r="R792" s="249"/>
      <c r="S792" s="249"/>
      <c r="T792" s="249"/>
      <c r="U792" s="249"/>
      <c r="V792" s="249"/>
      <c r="W792" s="249"/>
      <c r="X792" s="249"/>
      <c r="Y792" s="249"/>
      <c r="Z792" s="249"/>
      <c r="AA792" s="249"/>
    </row>
    <row r="793">
      <c r="A793" s="249"/>
      <c r="B793" s="249"/>
      <c r="C793" s="249"/>
      <c r="D793" s="249"/>
      <c r="E793" s="249"/>
      <c r="F793" s="249"/>
      <c r="G793" s="249"/>
      <c r="H793" s="249"/>
      <c r="I793" s="249"/>
      <c r="J793" s="249"/>
      <c r="K793" s="249"/>
      <c r="L793" s="249"/>
      <c r="M793" s="249"/>
      <c r="N793" s="249"/>
      <c r="O793" s="249"/>
      <c r="P793" s="249"/>
      <c r="Q793" s="249"/>
      <c r="R793" s="249"/>
      <c r="S793" s="249"/>
      <c r="T793" s="249"/>
      <c r="U793" s="249"/>
      <c r="V793" s="249"/>
      <c r="W793" s="249"/>
      <c r="X793" s="249"/>
      <c r="Y793" s="249"/>
      <c r="Z793" s="249"/>
      <c r="AA793" s="249"/>
    </row>
    <row r="794">
      <c r="A794" s="249"/>
      <c r="B794" s="249"/>
      <c r="C794" s="249"/>
      <c r="D794" s="249"/>
      <c r="E794" s="249"/>
      <c r="F794" s="249"/>
      <c r="G794" s="249"/>
      <c r="H794" s="249"/>
      <c r="I794" s="249"/>
      <c r="J794" s="249"/>
      <c r="K794" s="249"/>
      <c r="L794" s="249"/>
      <c r="M794" s="249"/>
      <c r="N794" s="249"/>
      <c r="O794" s="249"/>
      <c r="P794" s="249"/>
      <c r="Q794" s="249"/>
      <c r="R794" s="249"/>
      <c r="S794" s="249"/>
      <c r="T794" s="249"/>
      <c r="U794" s="249"/>
      <c r="V794" s="249"/>
      <c r="W794" s="249"/>
      <c r="X794" s="249"/>
      <c r="Y794" s="249"/>
      <c r="Z794" s="249"/>
      <c r="AA794" s="249"/>
    </row>
    <row r="795">
      <c r="A795" s="249"/>
      <c r="B795" s="249"/>
      <c r="C795" s="249"/>
      <c r="D795" s="249"/>
      <c r="E795" s="249"/>
      <c r="F795" s="249"/>
      <c r="G795" s="249"/>
      <c r="H795" s="249"/>
      <c r="I795" s="249"/>
      <c r="J795" s="249"/>
      <c r="K795" s="249"/>
      <c r="L795" s="249"/>
      <c r="M795" s="249"/>
      <c r="N795" s="249"/>
      <c r="O795" s="249"/>
      <c r="P795" s="249"/>
      <c r="Q795" s="249"/>
      <c r="R795" s="249"/>
      <c r="S795" s="249"/>
      <c r="T795" s="249"/>
      <c r="U795" s="249"/>
      <c r="V795" s="249"/>
      <c r="W795" s="249"/>
      <c r="X795" s="249"/>
      <c r="Y795" s="249"/>
      <c r="Z795" s="249"/>
      <c r="AA795" s="249"/>
    </row>
    <row r="796">
      <c r="A796" s="249"/>
      <c r="B796" s="249"/>
      <c r="C796" s="249"/>
      <c r="D796" s="249"/>
      <c r="E796" s="249"/>
      <c r="F796" s="249"/>
      <c r="G796" s="249"/>
      <c r="H796" s="249"/>
      <c r="I796" s="249"/>
      <c r="J796" s="249"/>
      <c r="K796" s="249"/>
      <c r="L796" s="249"/>
      <c r="M796" s="249"/>
      <c r="N796" s="249"/>
      <c r="O796" s="249"/>
      <c r="P796" s="249"/>
      <c r="Q796" s="249"/>
      <c r="R796" s="249"/>
      <c r="S796" s="249"/>
      <c r="T796" s="249"/>
      <c r="U796" s="249"/>
      <c r="V796" s="249"/>
      <c r="W796" s="249"/>
      <c r="X796" s="249"/>
      <c r="Y796" s="249"/>
      <c r="Z796" s="249"/>
      <c r="AA796" s="249"/>
    </row>
    <row r="797">
      <c r="A797" s="249"/>
      <c r="B797" s="249"/>
      <c r="C797" s="249"/>
      <c r="D797" s="249"/>
      <c r="E797" s="249"/>
      <c r="F797" s="249"/>
      <c r="G797" s="249"/>
      <c r="H797" s="249"/>
      <c r="I797" s="249"/>
      <c r="J797" s="249"/>
      <c r="K797" s="249"/>
      <c r="L797" s="249"/>
      <c r="M797" s="249"/>
      <c r="N797" s="249"/>
      <c r="O797" s="249"/>
      <c r="P797" s="249"/>
      <c r="Q797" s="249"/>
      <c r="R797" s="249"/>
      <c r="S797" s="249"/>
      <c r="T797" s="249"/>
      <c r="U797" s="249"/>
      <c r="V797" s="249"/>
      <c r="W797" s="249"/>
      <c r="X797" s="249"/>
      <c r="Y797" s="249"/>
      <c r="Z797" s="249"/>
      <c r="AA797" s="249"/>
    </row>
    <row r="798">
      <c r="A798" s="249"/>
      <c r="B798" s="249"/>
      <c r="C798" s="249"/>
      <c r="D798" s="249"/>
      <c r="E798" s="249"/>
      <c r="F798" s="249"/>
      <c r="G798" s="249"/>
      <c r="H798" s="249"/>
      <c r="I798" s="249"/>
      <c r="J798" s="249"/>
      <c r="K798" s="249"/>
      <c r="L798" s="249"/>
      <c r="M798" s="249"/>
      <c r="N798" s="249"/>
      <c r="O798" s="249"/>
      <c r="P798" s="249"/>
      <c r="Q798" s="249"/>
      <c r="R798" s="249"/>
      <c r="S798" s="249"/>
      <c r="T798" s="249"/>
      <c r="U798" s="249"/>
      <c r="V798" s="249"/>
      <c r="W798" s="249"/>
      <c r="X798" s="249"/>
      <c r="Y798" s="249"/>
      <c r="Z798" s="249"/>
      <c r="AA798" s="249"/>
    </row>
    <row r="799">
      <c r="A799" s="249"/>
      <c r="B799" s="249"/>
      <c r="C799" s="249"/>
      <c r="D799" s="249"/>
      <c r="E799" s="249"/>
      <c r="F799" s="249"/>
      <c r="G799" s="249"/>
      <c r="H799" s="249"/>
      <c r="I799" s="249"/>
      <c r="J799" s="249"/>
      <c r="K799" s="249"/>
      <c r="L799" s="249"/>
      <c r="M799" s="249"/>
      <c r="N799" s="249"/>
      <c r="O799" s="249"/>
      <c r="P799" s="249"/>
      <c r="Q799" s="249"/>
      <c r="R799" s="249"/>
      <c r="S799" s="249"/>
      <c r="T799" s="249"/>
      <c r="U799" s="249"/>
      <c r="V799" s="249"/>
      <c r="W799" s="249"/>
      <c r="X799" s="249"/>
      <c r="Y799" s="249"/>
      <c r="Z799" s="249"/>
      <c r="AA799" s="249"/>
    </row>
    <row r="800">
      <c r="A800" s="249"/>
      <c r="B800" s="249"/>
      <c r="C800" s="249"/>
      <c r="D800" s="249"/>
      <c r="E800" s="249"/>
      <c r="F800" s="249"/>
      <c r="G800" s="249"/>
      <c r="H800" s="249"/>
      <c r="I800" s="249"/>
      <c r="J800" s="249"/>
      <c r="K800" s="249"/>
      <c r="L800" s="249"/>
      <c r="M800" s="249"/>
      <c r="N800" s="249"/>
      <c r="O800" s="249"/>
      <c r="P800" s="249"/>
      <c r="Q800" s="249"/>
      <c r="R800" s="249"/>
      <c r="S800" s="249"/>
      <c r="T800" s="249"/>
      <c r="U800" s="249"/>
      <c r="V800" s="249"/>
      <c r="W800" s="249"/>
      <c r="X800" s="249"/>
      <c r="Y800" s="249"/>
      <c r="Z800" s="249"/>
      <c r="AA800" s="249"/>
    </row>
    <row r="801">
      <c r="A801" s="249"/>
      <c r="B801" s="249"/>
      <c r="C801" s="249"/>
      <c r="D801" s="249"/>
      <c r="E801" s="249"/>
      <c r="F801" s="249"/>
      <c r="G801" s="249"/>
      <c r="H801" s="249"/>
      <c r="I801" s="249"/>
      <c r="J801" s="249"/>
      <c r="K801" s="249"/>
      <c r="L801" s="249"/>
      <c r="M801" s="249"/>
      <c r="N801" s="249"/>
      <c r="O801" s="249"/>
      <c r="P801" s="249"/>
      <c r="Q801" s="249"/>
      <c r="R801" s="249"/>
      <c r="S801" s="249"/>
      <c r="T801" s="249"/>
      <c r="U801" s="249"/>
      <c r="V801" s="249"/>
      <c r="W801" s="249"/>
      <c r="X801" s="249"/>
      <c r="Y801" s="249"/>
      <c r="Z801" s="249"/>
      <c r="AA801" s="249"/>
    </row>
    <row r="802">
      <c r="A802" s="249"/>
      <c r="B802" s="249"/>
      <c r="C802" s="249"/>
      <c r="D802" s="249"/>
      <c r="E802" s="249"/>
      <c r="F802" s="249"/>
      <c r="G802" s="249"/>
      <c r="H802" s="249"/>
      <c r="I802" s="249"/>
      <c r="J802" s="249"/>
      <c r="K802" s="249"/>
      <c r="L802" s="249"/>
      <c r="M802" s="249"/>
      <c r="N802" s="249"/>
      <c r="O802" s="249"/>
      <c r="P802" s="249"/>
      <c r="Q802" s="249"/>
      <c r="R802" s="249"/>
      <c r="S802" s="249"/>
      <c r="T802" s="249"/>
      <c r="U802" s="249"/>
      <c r="V802" s="249"/>
      <c r="W802" s="249"/>
      <c r="X802" s="249"/>
      <c r="Y802" s="249"/>
      <c r="Z802" s="249"/>
      <c r="AA802" s="249"/>
    </row>
    <row r="803">
      <c r="A803" s="249"/>
      <c r="B803" s="249"/>
      <c r="C803" s="249"/>
      <c r="D803" s="249"/>
      <c r="E803" s="249"/>
      <c r="F803" s="249"/>
      <c r="G803" s="249"/>
      <c r="H803" s="249"/>
      <c r="I803" s="249"/>
      <c r="J803" s="249"/>
      <c r="K803" s="249"/>
      <c r="L803" s="249"/>
      <c r="M803" s="249"/>
      <c r="N803" s="249"/>
      <c r="O803" s="249"/>
      <c r="P803" s="249"/>
      <c r="Q803" s="249"/>
      <c r="R803" s="249"/>
      <c r="S803" s="249"/>
      <c r="T803" s="249"/>
      <c r="U803" s="249"/>
      <c r="V803" s="249"/>
      <c r="W803" s="249"/>
      <c r="X803" s="249"/>
      <c r="Y803" s="249"/>
      <c r="Z803" s="249"/>
      <c r="AA803" s="249"/>
    </row>
    <row r="804">
      <c r="A804" s="249"/>
      <c r="B804" s="249"/>
      <c r="C804" s="249"/>
      <c r="D804" s="249"/>
      <c r="E804" s="249"/>
      <c r="F804" s="249"/>
      <c r="G804" s="249"/>
      <c r="H804" s="249"/>
      <c r="I804" s="249"/>
      <c r="J804" s="249"/>
      <c r="K804" s="249"/>
      <c r="L804" s="249"/>
      <c r="M804" s="249"/>
      <c r="N804" s="249"/>
      <c r="O804" s="249"/>
      <c r="P804" s="249"/>
      <c r="Q804" s="249"/>
      <c r="R804" s="249"/>
      <c r="S804" s="249"/>
      <c r="T804" s="249"/>
      <c r="U804" s="249"/>
      <c r="V804" s="249"/>
      <c r="W804" s="249"/>
      <c r="X804" s="249"/>
      <c r="Y804" s="249"/>
      <c r="Z804" s="249"/>
      <c r="AA804" s="249"/>
    </row>
    <row r="805">
      <c r="A805" s="249"/>
      <c r="B805" s="249"/>
      <c r="C805" s="249"/>
      <c r="D805" s="249"/>
      <c r="E805" s="249"/>
      <c r="F805" s="249"/>
      <c r="G805" s="249"/>
      <c r="H805" s="249"/>
      <c r="I805" s="249"/>
      <c r="J805" s="249"/>
      <c r="K805" s="249"/>
      <c r="L805" s="249"/>
      <c r="M805" s="249"/>
      <c r="N805" s="249"/>
      <c r="O805" s="249"/>
      <c r="P805" s="249"/>
      <c r="Q805" s="249"/>
      <c r="R805" s="249"/>
      <c r="S805" s="249"/>
      <c r="T805" s="249"/>
      <c r="U805" s="249"/>
      <c r="V805" s="249"/>
      <c r="W805" s="249"/>
      <c r="X805" s="249"/>
      <c r="Y805" s="249"/>
      <c r="Z805" s="249"/>
      <c r="AA805" s="249"/>
    </row>
    <row r="806">
      <c r="A806" s="249"/>
      <c r="B806" s="249"/>
      <c r="C806" s="249"/>
      <c r="D806" s="249"/>
      <c r="E806" s="249"/>
      <c r="F806" s="249"/>
      <c r="G806" s="249"/>
      <c r="H806" s="249"/>
      <c r="I806" s="249"/>
      <c r="J806" s="249"/>
      <c r="K806" s="249"/>
      <c r="L806" s="249"/>
      <c r="M806" s="249"/>
      <c r="N806" s="249"/>
      <c r="O806" s="249"/>
      <c r="P806" s="249"/>
      <c r="Q806" s="249"/>
      <c r="R806" s="249"/>
      <c r="S806" s="249"/>
      <c r="T806" s="249"/>
      <c r="U806" s="249"/>
      <c r="V806" s="249"/>
      <c r="W806" s="249"/>
      <c r="X806" s="249"/>
      <c r="Y806" s="249"/>
      <c r="Z806" s="249"/>
      <c r="AA806" s="249"/>
    </row>
    <row r="807">
      <c r="A807" s="249"/>
      <c r="B807" s="249"/>
      <c r="C807" s="249"/>
      <c r="D807" s="249"/>
      <c r="E807" s="249"/>
      <c r="F807" s="249"/>
      <c r="G807" s="249"/>
      <c r="H807" s="249"/>
      <c r="I807" s="249"/>
      <c r="J807" s="249"/>
      <c r="K807" s="249"/>
      <c r="L807" s="249"/>
      <c r="M807" s="249"/>
      <c r="N807" s="249"/>
      <c r="O807" s="249"/>
      <c r="P807" s="249"/>
      <c r="Q807" s="249"/>
      <c r="R807" s="249"/>
      <c r="S807" s="249"/>
      <c r="T807" s="249"/>
      <c r="U807" s="249"/>
      <c r="V807" s="249"/>
      <c r="W807" s="249"/>
      <c r="X807" s="249"/>
      <c r="Y807" s="249"/>
      <c r="Z807" s="249"/>
      <c r="AA807" s="249"/>
    </row>
    <row r="808">
      <c r="A808" s="249"/>
      <c r="B808" s="249"/>
      <c r="C808" s="249"/>
      <c r="D808" s="249"/>
      <c r="E808" s="249"/>
      <c r="F808" s="249"/>
      <c r="G808" s="249"/>
      <c r="H808" s="249"/>
      <c r="I808" s="249"/>
      <c r="J808" s="249"/>
      <c r="K808" s="249"/>
      <c r="L808" s="249"/>
      <c r="M808" s="249"/>
      <c r="N808" s="249"/>
      <c r="O808" s="249"/>
      <c r="P808" s="249"/>
      <c r="Q808" s="249"/>
      <c r="R808" s="249"/>
      <c r="S808" s="249"/>
      <c r="T808" s="249"/>
      <c r="U808" s="249"/>
      <c r="V808" s="249"/>
      <c r="W808" s="249"/>
      <c r="X808" s="249"/>
      <c r="Y808" s="249"/>
      <c r="Z808" s="249"/>
      <c r="AA808" s="249"/>
    </row>
    <row r="809">
      <c r="A809" s="249"/>
      <c r="B809" s="249"/>
      <c r="C809" s="249"/>
      <c r="D809" s="249"/>
      <c r="E809" s="249"/>
      <c r="F809" s="249"/>
      <c r="G809" s="249"/>
      <c r="H809" s="249"/>
      <c r="I809" s="249"/>
      <c r="J809" s="249"/>
      <c r="K809" s="249"/>
      <c r="L809" s="249"/>
      <c r="M809" s="249"/>
      <c r="N809" s="249"/>
      <c r="O809" s="249"/>
      <c r="P809" s="249"/>
      <c r="Q809" s="249"/>
      <c r="R809" s="249"/>
      <c r="S809" s="249"/>
      <c r="T809" s="249"/>
      <c r="U809" s="249"/>
      <c r="V809" s="249"/>
      <c r="W809" s="249"/>
      <c r="X809" s="249"/>
      <c r="Y809" s="249"/>
      <c r="Z809" s="249"/>
      <c r="AA809" s="249"/>
    </row>
    <row r="810">
      <c r="A810" s="249"/>
      <c r="B810" s="249"/>
      <c r="C810" s="249"/>
      <c r="D810" s="249"/>
      <c r="E810" s="249"/>
      <c r="F810" s="249"/>
      <c r="G810" s="249"/>
      <c r="H810" s="249"/>
      <c r="I810" s="249"/>
      <c r="J810" s="249"/>
      <c r="K810" s="249"/>
      <c r="L810" s="249"/>
      <c r="M810" s="249"/>
      <c r="N810" s="249"/>
      <c r="O810" s="249"/>
      <c r="P810" s="249"/>
      <c r="Q810" s="249"/>
      <c r="R810" s="249"/>
      <c r="S810" s="249"/>
      <c r="T810" s="249"/>
      <c r="U810" s="249"/>
      <c r="V810" s="249"/>
      <c r="W810" s="249"/>
      <c r="X810" s="249"/>
      <c r="Y810" s="249"/>
      <c r="Z810" s="249"/>
      <c r="AA810" s="249"/>
    </row>
    <row r="811">
      <c r="A811" s="249"/>
      <c r="B811" s="249"/>
      <c r="C811" s="249"/>
      <c r="D811" s="249"/>
      <c r="E811" s="249"/>
      <c r="F811" s="249"/>
      <c r="G811" s="249"/>
      <c r="H811" s="249"/>
      <c r="I811" s="249"/>
      <c r="J811" s="249"/>
      <c r="K811" s="249"/>
      <c r="L811" s="249"/>
      <c r="M811" s="249"/>
      <c r="N811" s="249"/>
      <c r="O811" s="249"/>
      <c r="P811" s="249"/>
      <c r="Q811" s="249"/>
      <c r="R811" s="249"/>
      <c r="S811" s="249"/>
      <c r="T811" s="249"/>
      <c r="U811" s="249"/>
      <c r="V811" s="249"/>
      <c r="W811" s="249"/>
      <c r="X811" s="249"/>
      <c r="Y811" s="249"/>
      <c r="Z811" s="249"/>
      <c r="AA811" s="249"/>
    </row>
    <row r="812">
      <c r="A812" s="249"/>
      <c r="B812" s="249"/>
      <c r="C812" s="249"/>
      <c r="D812" s="249"/>
      <c r="E812" s="249"/>
      <c r="F812" s="249"/>
      <c r="G812" s="249"/>
      <c r="H812" s="249"/>
      <c r="I812" s="249"/>
      <c r="J812" s="249"/>
      <c r="K812" s="249"/>
      <c r="L812" s="249"/>
      <c r="M812" s="249"/>
      <c r="N812" s="249"/>
      <c r="O812" s="249"/>
      <c r="P812" s="249"/>
      <c r="Q812" s="249"/>
      <c r="R812" s="249"/>
      <c r="S812" s="249"/>
      <c r="T812" s="249"/>
      <c r="U812" s="249"/>
      <c r="V812" s="249"/>
      <c r="W812" s="249"/>
      <c r="X812" s="249"/>
      <c r="Y812" s="249"/>
      <c r="Z812" s="249"/>
      <c r="AA812" s="249"/>
    </row>
    <row r="813">
      <c r="A813" s="249"/>
      <c r="B813" s="249"/>
      <c r="C813" s="249"/>
      <c r="D813" s="249"/>
      <c r="E813" s="249"/>
      <c r="F813" s="249"/>
      <c r="G813" s="249"/>
      <c r="H813" s="249"/>
      <c r="I813" s="249"/>
      <c r="J813" s="249"/>
      <c r="K813" s="249"/>
      <c r="L813" s="249"/>
      <c r="M813" s="249"/>
      <c r="N813" s="249"/>
      <c r="O813" s="249"/>
      <c r="P813" s="249"/>
      <c r="Q813" s="249"/>
      <c r="R813" s="249"/>
      <c r="S813" s="249"/>
      <c r="T813" s="249"/>
      <c r="U813" s="249"/>
      <c r="V813" s="249"/>
      <c r="W813" s="249"/>
      <c r="X813" s="249"/>
      <c r="Y813" s="249"/>
      <c r="Z813" s="249"/>
      <c r="AA813" s="249"/>
    </row>
    <row r="814">
      <c r="A814" s="249"/>
      <c r="B814" s="249"/>
      <c r="C814" s="249"/>
      <c r="D814" s="249"/>
      <c r="E814" s="249"/>
      <c r="F814" s="249"/>
      <c r="G814" s="249"/>
      <c r="H814" s="249"/>
      <c r="I814" s="249"/>
      <c r="J814" s="249"/>
      <c r="K814" s="249"/>
      <c r="L814" s="249"/>
      <c r="M814" s="249"/>
      <c r="N814" s="249"/>
      <c r="O814" s="249"/>
      <c r="P814" s="249"/>
      <c r="Q814" s="249"/>
      <c r="R814" s="249"/>
      <c r="S814" s="249"/>
      <c r="T814" s="249"/>
      <c r="U814" s="249"/>
      <c r="V814" s="249"/>
      <c r="W814" s="249"/>
      <c r="X814" s="249"/>
      <c r="Y814" s="249"/>
      <c r="Z814" s="249"/>
      <c r="AA814" s="249"/>
    </row>
    <row r="815">
      <c r="A815" s="249"/>
      <c r="B815" s="249"/>
      <c r="C815" s="249"/>
      <c r="D815" s="249"/>
      <c r="E815" s="249"/>
      <c r="F815" s="249"/>
      <c r="G815" s="249"/>
      <c r="H815" s="249"/>
      <c r="I815" s="249"/>
      <c r="J815" s="249"/>
      <c r="K815" s="249"/>
      <c r="L815" s="249"/>
      <c r="M815" s="249"/>
      <c r="N815" s="249"/>
      <c r="O815" s="249"/>
      <c r="P815" s="249"/>
      <c r="Q815" s="249"/>
      <c r="R815" s="249"/>
      <c r="S815" s="249"/>
      <c r="T815" s="249"/>
      <c r="U815" s="249"/>
      <c r="V815" s="249"/>
      <c r="W815" s="249"/>
      <c r="X815" s="249"/>
      <c r="Y815" s="249"/>
      <c r="Z815" s="249"/>
      <c r="AA815" s="249"/>
    </row>
    <row r="816">
      <c r="A816" s="249"/>
      <c r="B816" s="249"/>
      <c r="C816" s="249"/>
      <c r="D816" s="249"/>
      <c r="E816" s="249"/>
      <c r="F816" s="249"/>
      <c r="G816" s="249"/>
      <c r="H816" s="249"/>
      <c r="I816" s="249"/>
      <c r="J816" s="249"/>
      <c r="K816" s="249"/>
      <c r="L816" s="249"/>
      <c r="M816" s="249"/>
      <c r="N816" s="249"/>
      <c r="O816" s="249"/>
      <c r="P816" s="249"/>
      <c r="Q816" s="249"/>
      <c r="R816" s="249"/>
      <c r="S816" s="249"/>
      <c r="T816" s="249"/>
      <c r="U816" s="249"/>
      <c r="V816" s="249"/>
      <c r="W816" s="249"/>
      <c r="X816" s="249"/>
      <c r="Y816" s="249"/>
      <c r="Z816" s="249"/>
      <c r="AA816" s="249"/>
    </row>
    <row r="817">
      <c r="A817" s="249"/>
      <c r="B817" s="249"/>
      <c r="C817" s="249"/>
      <c r="D817" s="249"/>
      <c r="E817" s="249"/>
      <c r="F817" s="249"/>
      <c r="G817" s="249"/>
      <c r="H817" s="249"/>
      <c r="I817" s="249"/>
      <c r="J817" s="249"/>
      <c r="K817" s="249"/>
      <c r="L817" s="249"/>
      <c r="M817" s="249"/>
      <c r="N817" s="249"/>
      <c r="O817" s="249"/>
      <c r="P817" s="249"/>
      <c r="Q817" s="249"/>
      <c r="R817" s="249"/>
      <c r="S817" s="249"/>
      <c r="T817" s="249"/>
      <c r="U817" s="249"/>
      <c r="V817" s="249"/>
      <c r="W817" s="249"/>
      <c r="X817" s="249"/>
      <c r="Y817" s="249"/>
      <c r="Z817" s="249"/>
      <c r="AA817" s="249"/>
    </row>
    <row r="818">
      <c r="A818" s="249"/>
      <c r="B818" s="249"/>
      <c r="C818" s="249"/>
      <c r="D818" s="249"/>
      <c r="E818" s="249"/>
      <c r="F818" s="249"/>
      <c r="G818" s="249"/>
      <c r="H818" s="249"/>
      <c r="I818" s="249"/>
      <c r="J818" s="249"/>
      <c r="K818" s="249"/>
      <c r="L818" s="249"/>
      <c r="M818" s="249"/>
      <c r="N818" s="249"/>
      <c r="O818" s="249"/>
      <c r="P818" s="249"/>
      <c r="Q818" s="249"/>
      <c r="R818" s="249"/>
      <c r="S818" s="249"/>
      <c r="T818" s="249"/>
      <c r="U818" s="249"/>
      <c r="V818" s="249"/>
      <c r="W818" s="249"/>
      <c r="X818" s="249"/>
      <c r="Y818" s="249"/>
      <c r="Z818" s="249"/>
      <c r="AA818" s="249"/>
    </row>
    <row r="819">
      <c r="A819" s="249"/>
      <c r="B819" s="249"/>
      <c r="C819" s="249"/>
      <c r="D819" s="249"/>
      <c r="E819" s="249"/>
      <c r="F819" s="249"/>
      <c r="G819" s="249"/>
      <c r="H819" s="249"/>
      <c r="I819" s="249"/>
      <c r="J819" s="249"/>
      <c r="K819" s="249"/>
      <c r="L819" s="249"/>
      <c r="M819" s="249"/>
      <c r="N819" s="249"/>
      <c r="O819" s="249"/>
      <c r="P819" s="249"/>
      <c r="Q819" s="249"/>
      <c r="R819" s="249"/>
      <c r="S819" s="249"/>
      <c r="T819" s="249"/>
      <c r="U819" s="249"/>
      <c r="V819" s="249"/>
      <c r="W819" s="249"/>
      <c r="X819" s="249"/>
      <c r="Y819" s="249"/>
      <c r="Z819" s="249"/>
      <c r="AA819" s="249"/>
    </row>
    <row r="820">
      <c r="A820" s="249"/>
      <c r="B820" s="249"/>
      <c r="C820" s="249"/>
      <c r="D820" s="249"/>
      <c r="E820" s="249"/>
      <c r="F820" s="249"/>
      <c r="G820" s="249"/>
      <c r="H820" s="249"/>
      <c r="I820" s="249"/>
      <c r="J820" s="249"/>
      <c r="K820" s="249"/>
      <c r="L820" s="249"/>
      <c r="M820" s="249"/>
      <c r="N820" s="249"/>
      <c r="O820" s="249"/>
      <c r="P820" s="249"/>
      <c r="Q820" s="249"/>
      <c r="R820" s="249"/>
      <c r="S820" s="249"/>
      <c r="T820" s="249"/>
      <c r="U820" s="249"/>
      <c r="V820" s="249"/>
      <c r="W820" s="249"/>
      <c r="X820" s="249"/>
      <c r="Y820" s="249"/>
      <c r="Z820" s="249"/>
      <c r="AA820" s="249"/>
    </row>
    <row r="821">
      <c r="A821" s="249"/>
      <c r="B821" s="249"/>
      <c r="C821" s="249"/>
      <c r="D821" s="249"/>
      <c r="E821" s="249"/>
      <c r="F821" s="249"/>
      <c r="G821" s="249"/>
      <c r="H821" s="249"/>
      <c r="I821" s="249"/>
      <c r="J821" s="249"/>
      <c r="K821" s="249"/>
      <c r="L821" s="249"/>
      <c r="M821" s="249"/>
      <c r="N821" s="249"/>
      <c r="O821" s="249"/>
      <c r="P821" s="249"/>
      <c r="Q821" s="249"/>
      <c r="R821" s="249"/>
      <c r="S821" s="249"/>
      <c r="T821" s="249"/>
      <c r="U821" s="249"/>
      <c r="V821" s="249"/>
      <c r="W821" s="249"/>
      <c r="X821" s="249"/>
      <c r="Y821" s="249"/>
      <c r="Z821" s="249"/>
      <c r="AA821" s="249"/>
    </row>
    <row r="822">
      <c r="A822" s="249"/>
      <c r="B822" s="249"/>
      <c r="C822" s="249"/>
      <c r="D822" s="249"/>
      <c r="E822" s="249"/>
      <c r="F822" s="249"/>
      <c r="G822" s="249"/>
      <c r="H822" s="249"/>
      <c r="I822" s="249"/>
      <c r="J822" s="249"/>
      <c r="K822" s="249"/>
      <c r="L822" s="249"/>
      <c r="M822" s="249"/>
      <c r="N822" s="249"/>
      <c r="O822" s="249"/>
      <c r="P822" s="249"/>
      <c r="Q822" s="249"/>
      <c r="R822" s="249"/>
      <c r="S822" s="249"/>
      <c r="T822" s="249"/>
      <c r="U822" s="249"/>
      <c r="V822" s="249"/>
      <c r="W822" s="249"/>
      <c r="X822" s="249"/>
      <c r="Y822" s="249"/>
      <c r="Z822" s="249"/>
      <c r="AA822" s="249"/>
    </row>
    <row r="823">
      <c r="A823" s="249"/>
      <c r="B823" s="249"/>
      <c r="C823" s="249"/>
      <c r="D823" s="249"/>
      <c r="E823" s="249"/>
      <c r="F823" s="249"/>
      <c r="G823" s="249"/>
      <c r="H823" s="249"/>
      <c r="I823" s="249"/>
      <c r="J823" s="249"/>
      <c r="K823" s="249"/>
      <c r="L823" s="249"/>
      <c r="M823" s="249"/>
      <c r="N823" s="249"/>
      <c r="O823" s="249"/>
      <c r="P823" s="249"/>
      <c r="Q823" s="249"/>
      <c r="R823" s="249"/>
      <c r="S823" s="249"/>
      <c r="T823" s="249"/>
      <c r="U823" s="249"/>
      <c r="V823" s="249"/>
      <c r="W823" s="249"/>
      <c r="X823" s="249"/>
      <c r="Y823" s="249"/>
      <c r="Z823" s="249"/>
      <c r="AA823" s="249"/>
    </row>
    <row r="824">
      <c r="A824" s="249"/>
      <c r="B824" s="249"/>
      <c r="C824" s="249"/>
      <c r="D824" s="249"/>
      <c r="E824" s="249"/>
      <c r="F824" s="249"/>
      <c r="G824" s="249"/>
      <c r="H824" s="249"/>
      <c r="I824" s="249"/>
      <c r="J824" s="249"/>
      <c r="K824" s="249"/>
      <c r="L824" s="249"/>
      <c r="M824" s="249"/>
      <c r="N824" s="249"/>
      <c r="O824" s="249"/>
      <c r="P824" s="249"/>
      <c r="Q824" s="249"/>
      <c r="R824" s="249"/>
      <c r="S824" s="249"/>
      <c r="T824" s="249"/>
      <c r="U824" s="249"/>
      <c r="V824" s="249"/>
      <c r="W824" s="249"/>
      <c r="X824" s="249"/>
      <c r="Y824" s="249"/>
      <c r="Z824" s="249"/>
      <c r="AA824" s="249"/>
    </row>
    <row r="825">
      <c r="A825" s="249"/>
      <c r="B825" s="249"/>
      <c r="C825" s="249"/>
      <c r="D825" s="249"/>
      <c r="E825" s="249"/>
      <c r="F825" s="249"/>
      <c r="G825" s="249"/>
      <c r="H825" s="249"/>
      <c r="I825" s="249"/>
      <c r="J825" s="249"/>
      <c r="K825" s="249"/>
      <c r="L825" s="249"/>
      <c r="M825" s="249"/>
      <c r="N825" s="249"/>
      <c r="O825" s="249"/>
      <c r="P825" s="249"/>
      <c r="Q825" s="249"/>
      <c r="R825" s="249"/>
      <c r="S825" s="249"/>
      <c r="T825" s="249"/>
      <c r="U825" s="249"/>
      <c r="V825" s="249"/>
      <c r="W825" s="249"/>
      <c r="X825" s="249"/>
      <c r="Y825" s="249"/>
      <c r="Z825" s="249"/>
      <c r="AA825" s="249"/>
    </row>
    <row r="826">
      <c r="A826" s="249"/>
      <c r="B826" s="249"/>
      <c r="C826" s="249"/>
      <c r="D826" s="249"/>
      <c r="E826" s="249"/>
      <c r="F826" s="249"/>
      <c r="G826" s="249"/>
      <c r="H826" s="249"/>
      <c r="I826" s="249"/>
      <c r="J826" s="249"/>
      <c r="K826" s="249"/>
      <c r="L826" s="249"/>
      <c r="M826" s="249"/>
      <c r="N826" s="249"/>
      <c r="O826" s="249"/>
      <c r="P826" s="249"/>
      <c r="Q826" s="249"/>
      <c r="R826" s="249"/>
      <c r="S826" s="249"/>
      <c r="T826" s="249"/>
      <c r="U826" s="249"/>
      <c r="V826" s="249"/>
      <c r="W826" s="249"/>
      <c r="X826" s="249"/>
      <c r="Y826" s="249"/>
      <c r="Z826" s="249"/>
      <c r="AA826" s="249"/>
    </row>
    <row r="827">
      <c r="A827" s="249"/>
      <c r="B827" s="249"/>
      <c r="C827" s="249"/>
      <c r="D827" s="249"/>
      <c r="E827" s="249"/>
      <c r="F827" s="249"/>
      <c r="G827" s="249"/>
      <c r="H827" s="249"/>
      <c r="I827" s="249"/>
      <c r="J827" s="249"/>
      <c r="K827" s="249"/>
      <c r="L827" s="249"/>
      <c r="M827" s="249"/>
      <c r="N827" s="249"/>
      <c r="O827" s="249"/>
      <c r="P827" s="249"/>
      <c r="Q827" s="249"/>
      <c r="R827" s="249"/>
      <c r="S827" s="249"/>
      <c r="T827" s="249"/>
      <c r="U827" s="249"/>
      <c r="V827" s="249"/>
      <c r="W827" s="249"/>
      <c r="X827" s="249"/>
      <c r="Y827" s="249"/>
      <c r="Z827" s="249"/>
      <c r="AA827" s="249"/>
    </row>
    <row r="828">
      <c r="A828" s="249"/>
      <c r="B828" s="249"/>
      <c r="C828" s="249"/>
      <c r="D828" s="249"/>
      <c r="E828" s="249"/>
      <c r="F828" s="249"/>
      <c r="G828" s="249"/>
      <c r="H828" s="249"/>
      <c r="I828" s="249"/>
      <c r="J828" s="249"/>
      <c r="K828" s="249"/>
      <c r="L828" s="249"/>
      <c r="M828" s="249"/>
      <c r="N828" s="249"/>
      <c r="O828" s="249"/>
      <c r="P828" s="249"/>
      <c r="Q828" s="249"/>
      <c r="R828" s="249"/>
      <c r="S828" s="249"/>
      <c r="T828" s="249"/>
      <c r="U828" s="249"/>
      <c r="V828" s="249"/>
      <c r="W828" s="249"/>
      <c r="X828" s="249"/>
      <c r="Y828" s="249"/>
      <c r="Z828" s="249"/>
      <c r="AA828" s="249"/>
    </row>
    <row r="829">
      <c r="A829" s="249"/>
      <c r="B829" s="249"/>
      <c r="C829" s="249"/>
      <c r="D829" s="249"/>
      <c r="E829" s="249"/>
      <c r="F829" s="249"/>
      <c r="G829" s="249"/>
      <c r="H829" s="249"/>
      <c r="I829" s="249"/>
      <c r="J829" s="249"/>
      <c r="K829" s="249"/>
      <c r="L829" s="249"/>
      <c r="M829" s="249"/>
      <c r="N829" s="249"/>
      <c r="O829" s="249"/>
      <c r="P829" s="249"/>
      <c r="Q829" s="249"/>
      <c r="R829" s="249"/>
      <c r="S829" s="249"/>
      <c r="T829" s="249"/>
      <c r="U829" s="249"/>
      <c r="V829" s="249"/>
      <c r="W829" s="249"/>
      <c r="X829" s="249"/>
      <c r="Y829" s="249"/>
      <c r="Z829" s="249"/>
      <c r="AA829" s="249"/>
    </row>
    <row r="830">
      <c r="A830" s="249"/>
      <c r="B830" s="249"/>
      <c r="C830" s="249"/>
      <c r="D830" s="249"/>
      <c r="E830" s="249"/>
      <c r="F830" s="249"/>
      <c r="G830" s="249"/>
      <c r="H830" s="249"/>
      <c r="I830" s="249"/>
      <c r="J830" s="249"/>
      <c r="K830" s="249"/>
      <c r="L830" s="249"/>
      <c r="M830" s="249"/>
      <c r="N830" s="249"/>
      <c r="O830" s="249"/>
      <c r="P830" s="249"/>
      <c r="Q830" s="249"/>
      <c r="R830" s="249"/>
      <c r="S830" s="249"/>
      <c r="T830" s="249"/>
      <c r="U830" s="249"/>
      <c r="V830" s="249"/>
      <c r="W830" s="249"/>
      <c r="X830" s="249"/>
      <c r="Y830" s="249"/>
      <c r="Z830" s="249"/>
      <c r="AA830" s="249"/>
    </row>
    <row r="831">
      <c r="A831" s="249"/>
      <c r="B831" s="249"/>
      <c r="C831" s="249"/>
      <c r="D831" s="249"/>
      <c r="E831" s="249"/>
      <c r="F831" s="249"/>
      <c r="G831" s="249"/>
      <c r="H831" s="249"/>
      <c r="I831" s="249"/>
      <c r="J831" s="249"/>
      <c r="K831" s="249"/>
      <c r="L831" s="249"/>
      <c r="M831" s="249"/>
      <c r="N831" s="249"/>
      <c r="O831" s="249"/>
      <c r="P831" s="249"/>
      <c r="Q831" s="249"/>
      <c r="R831" s="249"/>
      <c r="S831" s="249"/>
      <c r="T831" s="249"/>
      <c r="U831" s="249"/>
      <c r="V831" s="249"/>
      <c r="W831" s="249"/>
      <c r="X831" s="249"/>
      <c r="Y831" s="249"/>
      <c r="Z831" s="249"/>
      <c r="AA831" s="249"/>
    </row>
    <row r="832">
      <c r="A832" s="249"/>
      <c r="B832" s="249"/>
      <c r="C832" s="249"/>
      <c r="D832" s="249"/>
      <c r="E832" s="249"/>
      <c r="F832" s="249"/>
      <c r="G832" s="249"/>
      <c r="H832" s="249"/>
      <c r="I832" s="249"/>
      <c r="J832" s="249"/>
      <c r="K832" s="249"/>
      <c r="L832" s="249"/>
      <c r="M832" s="249"/>
      <c r="N832" s="249"/>
      <c r="O832" s="249"/>
      <c r="P832" s="249"/>
      <c r="Q832" s="249"/>
      <c r="R832" s="249"/>
      <c r="S832" s="249"/>
      <c r="T832" s="249"/>
      <c r="U832" s="249"/>
      <c r="V832" s="249"/>
      <c r="W832" s="249"/>
      <c r="X832" s="249"/>
      <c r="Y832" s="249"/>
      <c r="Z832" s="249"/>
      <c r="AA832" s="249"/>
    </row>
    <row r="833">
      <c r="A833" s="249"/>
      <c r="B833" s="249"/>
      <c r="C833" s="249"/>
      <c r="D833" s="249"/>
      <c r="E833" s="249"/>
      <c r="F833" s="249"/>
      <c r="G833" s="249"/>
      <c r="H833" s="249"/>
      <c r="I833" s="249"/>
      <c r="J833" s="249"/>
      <c r="K833" s="249"/>
      <c r="L833" s="249"/>
      <c r="M833" s="249"/>
      <c r="N833" s="249"/>
      <c r="O833" s="249"/>
      <c r="P833" s="249"/>
      <c r="Q833" s="249"/>
      <c r="R833" s="249"/>
      <c r="S833" s="249"/>
      <c r="T833" s="249"/>
      <c r="U833" s="249"/>
      <c r="V833" s="249"/>
      <c r="W833" s="249"/>
      <c r="X833" s="249"/>
      <c r="Y833" s="249"/>
      <c r="Z833" s="249"/>
      <c r="AA833" s="249"/>
    </row>
    <row r="834">
      <c r="A834" s="249"/>
      <c r="B834" s="249"/>
      <c r="C834" s="249"/>
      <c r="D834" s="249"/>
      <c r="E834" s="249"/>
      <c r="F834" s="249"/>
      <c r="G834" s="249"/>
      <c r="H834" s="249"/>
      <c r="I834" s="249"/>
      <c r="J834" s="249"/>
      <c r="K834" s="249"/>
      <c r="L834" s="249"/>
      <c r="M834" s="249"/>
      <c r="N834" s="249"/>
      <c r="O834" s="249"/>
      <c r="P834" s="249"/>
      <c r="Q834" s="249"/>
      <c r="R834" s="249"/>
      <c r="S834" s="249"/>
      <c r="T834" s="249"/>
      <c r="U834" s="249"/>
      <c r="V834" s="249"/>
      <c r="W834" s="249"/>
      <c r="X834" s="249"/>
      <c r="Y834" s="249"/>
      <c r="Z834" s="249"/>
      <c r="AA834" s="249"/>
    </row>
    <row r="835">
      <c r="A835" s="249"/>
      <c r="B835" s="249"/>
      <c r="C835" s="249"/>
      <c r="D835" s="249"/>
      <c r="E835" s="249"/>
      <c r="F835" s="249"/>
      <c r="G835" s="249"/>
      <c r="H835" s="249"/>
      <c r="I835" s="249"/>
      <c r="J835" s="249"/>
      <c r="K835" s="249"/>
      <c r="L835" s="249"/>
      <c r="M835" s="249"/>
      <c r="N835" s="249"/>
      <c r="O835" s="249"/>
      <c r="P835" s="249"/>
      <c r="Q835" s="249"/>
      <c r="R835" s="249"/>
      <c r="S835" s="249"/>
      <c r="T835" s="249"/>
      <c r="U835" s="249"/>
      <c r="V835" s="249"/>
      <c r="W835" s="249"/>
      <c r="X835" s="249"/>
      <c r="Y835" s="249"/>
      <c r="Z835" s="249"/>
      <c r="AA835" s="249"/>
    </row>
    <row r="836">
      <c r="A836" s="249"/>
      <c r="B836" s="249"/>
      <c r="C836" s="249"/>
      <c r="D836" s="249"/>
      <c r="E836" s="249"/>
      <c r="F836" s="249"/>
      <c r="G836" s="249"/>
      <c r="H836" s="249"/>
      <c r="I836" s="249"/>
      <c r="J836" s="249"/>
      <c r="K836" s="249"/>
      <c r="L836" s="249"/>
      <c r="M836" s="249"/>
      <c r="N836" s="249"/>
      <c r="O836" s="249"/>
      <c r="P836" s="249"/>
      <c r="Q836" s="249"/>
      <c r="R836" s="249"/>
      <c r="S836" s="249"/>
      <c r="T836" s="249"/>
      <c r="U836" s="249"/>
      <c r="V836" s="249"/>
      <c r="W836" s="249"/>
      <c r="X836" s="249"/>
      <c r="Y836" s="249"/>
      <c r="Z836" s="249"/>
      <c r="AA836" s="249"/>
    </row>
    <row r="837">
      <c r="A837" s="249"/>
      <c r="B837" s="249"/>
      <c r="C837" s="249"/>
      <c r="D837" s="249"/>
      <c r="E837" s="249"/>
      <c r="F837" s="249"/>
      <c r="G837" s="249"/>
      <c r="H837" s="249"/>
      <c r="I837" s="249"/>
      <c r="J837" s="249"/>
      <c r="K837" s="249"/>
      <c r="L837" s="249"/>
      <c r="M837" s="249"/>
      <c r="N837" s="249"/>
      <c r="O837" s="249"/>
      <c r="P837" s="249"/>
      <c r="Q837" s="249"/>
      <c r="R837" s="249"/>
      <c r="S837" s="249"/>
      <c r="T837" s="249"/>
      <c r="U837" s="249"/>
      <c r="V837" s="249"/>
      <c r="W837" s="249"/>
      <c r="X837" s="249"/>
      <c r="Y837" s="249"/>
      <c r="Z837" s="249"/>
      <c r="AA837" s="249"/>
    </row>
    <row r="838">
      <c r="A838" s="249"/>
      <c r="B838" s="249"/>
      <c r="C838" s="249"/>
      <c r="D838" s="249"/>
      <c r="E838" s="249"/>
      <c r="F838" s="249"/>
      <c r="G838" s="249"/>
      <c r="H838" s="249"/>
      <c r="I838" s="249"/>
      <c r="J838" s="249"/>
      <c r="K838" s="249"/>
      <c r="L838" s="249"/>
      <c r="M838" s="249"/>
      <c r="N838" s="249"/>
      <c r="O838" s="249"/>
      <c r="P838" s="249"/>
      <c r="Q838" s="249"/>
      <c r="R838" s="249"/>
      <c r="S838" s="249"/>
      <c r="T838" s="249"/>
      <c r="U838" s="249"/>
      <c r="V838" s="249"/>
      <c r="W838" s="249"/>
      <c r="X838" s="249"/>
      <c r="Y838" s="249"/>
      <c r="Z838" s="249"/>
      <c r="AA838" s="249"/>
    </row>
    <row r="839">
      <c r="A839" s="249"/>
      <c r="B839" s="249"/>
      <c r="C839" s="249"/>
      <c r="D839" s="249"/>
      <c r="E839" s="249"/>
      <c r="F839" s="249"/>
      <c r="G839" s="249"/>
      <c r="H839" s="249"/>
      <c r="I839" s="249"/>
      <c r="J839" s="249"/>
      <c r="K839" s="249"/>
      <c r="L839" s="249"/>
      <c r="M839" s="249"/>
      <c r="N839" s="249"/>
      <c r="O839" s="249"/>
      <c r="P839" s="249"/>
      <c r="Q839" s="249"/>
      <c r="R839" s="249"/>
      <c r="S839" s="249"/>
      <c r="T839" s="249"/>
      <c r="U839" s="249"/>
      <c r="V839" s="249"/>
      <c r="W839" s="249"/>
      <c r="X839" s="249"/>
      <c r="Y839" s="249"/>
      <c r="Z839" s="249"/>
      <c r="AA839" s="249"/>
    </row>
    <row r="840">
      <c r="A840" s="249"/>
      <c r="B840" s="249"/>
      <c r="C840" s="249"/>
      <c r="D840" s="249"/>
      <c r="E840" s="249"/>
      <c r="F840" s="249"/>
      <c r="G840" s="249"/>
      <c r="H840" s="249"/>
      <c r="I840" s="249"/>
      <c r="J840" s="249"/>
      <c r="K840" s="249"/>
      <c r="L840" s="249"/>
      <c r="M840" s="249"/>
      <c r="N840" s="249"/>
      <c r="O840" s="249"/>
      <c r="P840" s="249"/>
      <c r="Q840" s="249"/>
      <c r="R840" s="249"/>
      <c r="S840" s="249"/>
      <c r="T840" s="249"/>
      <c r="U840" s="249"/>
      <c r="V840" s="249"/>
      <c r="W840" s="249"/>
      <c r="X840" s="249"/>
      <c r="Y840" s="249"/>
      <c r="Z840" s="249"/>
      <c r="AA840" s="249"/>
    </row>
    <row r="841">
      <c r="A841" s="249"/>
      <c r="B841" s="249"/>
      <c r="C841" s="249"/>
      <c r="D841" s="249"/>
      <c r="E841" s="249"/>
      <c r="F841" s="249"/>
      <c r="G841" s="249"/>
      <c r="H841" s="249"/>
      <c r="I841" s="249"/>
      <c r="J841" s="249"/>
      <c r="K841" s="249"/>
      <c r="L841" s="249"/>
      <c r="M841" s="249"/>
      <c r="N841" s="249"/>
      <c r="O841" s="249"/>
      <c r="P841" s="249"/>
      <c r="Q841" s="249"/>
      <c r="R841" s="249"/>
      <c r="S841" s="249"/>
      <c r="T841" s="249"/>
      <c r="U841" s="249"/>
      <c r="V841" s="249"/>
      <c r="W841" s="249"/>
      <c r="X841" s="249"/>
      <c r="Y841" s="249"/>
      <c r="Z841" s="249"/>
      <c r="AA841" s="249"/>
    </row>
    <row r="842">
      <c r="A842" s="249"/>
      <c r="B842" s="249"/>
      <c r="C842" s="249"/>
      <c r="D842" s="249"/>
      <c r="E842" s="249"/>
      <c r="F842" s="249"/>
      <c r="G842" s="249"/>
      <c r="H842" s="249"/>
      <c r="I842" s="249"/>
      <c r="J842" s="249"/>
      <c r="K842" s="249"/>
      <c r="L842" s="249"/>
      <c r="M842" s="249"/>
      <c r="N842" s="249"/>
      <c r="O842" s="249"/>
      <c r="P842" s="249"/>
      <c r="Q842" s="249"/>
      <c r="R842" s="249"/>
      <c r="S842" s="249"/>
      <c r="T842" s="249"/>
      <c r="U842" s="249"/>
      <c r="V842" s="249"/>
      <c r="W842" s="249"/>
      <c r="X842" s="249"/>
      <c r="Y842" s="249"/>
      <c r="Z842" s="249"/>
      <c r="AA842" s="249"/>
    </row>
    <row r="843">
      <c r="A843" s="249"/>
      <c r="B843" s="249"/>
      <c r="C843" s="249"/>
      <c r="D843" s="249"/>
      <c r="E843" s="249"/>
      <c r="F843" s="249"/>
      <c r="G843" s="249"/>
      <c r="H843" s="249"/>
      <c r="I843" s="249"/>
      <c r="J843" s="249"/>
      <c r="K843" s="249"/>
      <c r="L843" s="249"/>
      <c r="M843" s="249"/>
      <c r="N843" s="249"/>
      <c r="O843" s="249"/>
      <c r="P843" s="249"/>
      <c r="Q843" s="249"/>
      <c r="R843" s="249"/>
      <c r="S843" s="249"/>
      <c r="T843" s="249"/>
      <c r="U843" s="249"/>
      <c r="V843" s="249"/>
      <c r="W843" s="249"/>
      <c r="X843" s="249"/>
      <c r="Y843" s="249"/>
      <c r="Z843" s="249"/>
      <c r="AA843" s="249"/>
    </row>
    <row r="844">
      <c r="A844" s="249"/>
      <c r="B844" s="249"/>
      <c r="C844" s="249"/>
      <c r="D844" s="249"/>
      <c r="E844" s="249"/>
      <c r="F844" s="249"/>
      <c r="G844" s="249"/>
      <c r="H844" s="249"/>
      <c r="I844" s="249"/>
      <c r="J844" s="249"/>
      <c r="K844" s="249"/>
      <c r="L844" s="249"/>
      <c r="M844" s="249"/>
      <c r="N844" s="249"/>
      <c r="O844" s="249"/>
      <c r="P844" s="249"/>
      <c r="Q844" s="249"/>
      <c r="R844" s="249"/>
      <c r="S844" s="249"/>
      <c r="T844" s="249"/>
      <c r="U844" s="249"/>
      <c r="V844" s="249"/>
      <c r="W844" s="249"/>
      <c r="X844" s="249"/>
      <c r="Y844" s="249"/>
      <c r="Z844" s="249"/>
      <c r="AA844" s="249"/>
    </row>
    <row r="845">
      <c r="A845" s="249"/>
      <c r="B845" s="249"/>
      <c r="C845" s="249"/>
      <c r="D845" s="249"/>
      <c r="E845" s="249"/>
      <c r="F845" s="249"/>
      <c r="G845" s="249"/>
      <c r="H845" s="249"/>
      <c r="I845" s="249"/>
      <c r="J845" s="249"/>
      <c r="K845" s="249"/>
      <c r="L845" s="249"/>
      <c r="M845" s="249"/>
      <c r="N845" s="249"/>
      <c r="O845" s="249"/>
      <c r="P845" s="249"/>
      <c r="Q845" s="249"/>
      <c r="R845" s="249"/>
      <c r="S845" s="249"/>
      <c r="T845" s="249"/>
      <c r="U845" s="249"/>
      <c r="V845" s="249"/>
      <c r="W845" s="249"/>
      <c r="X845" s="249"/>
      <c r="Y845" s="249"/>
      <c r="Z845" s="249"/>
      <c r="AA845" s="249"/>
    </row>
    <row r="846">
      <c r="A846" s="249"/>
      <c r="B846" s="249"/>
      <c r="C846" s="249"/>
      <c r="D846" s="249"/>
      <c r="E846" s="249"/>
      <c r="F846" s="249"/>
      <c r="G846" s="249"/>
      <c r="H846" s="249"/>
      <c r="I846" s="249"/>
      <c r="J846" s="249"/>
      <c r="K846" s="249"/>
      <c r="L846" s="249"/>
      <c r="M846" s="249"/>
      <c r="N846" s="249"/>
      <c r="O846" s="249"/>
      <c r="P846" s="249"/>
      <c r="Q846" s="249"/>
      <c r="R846" s="249"/>
      <c r="S846" s="249"/>
      <c r="T846" s="249"/>
      <c r="U846" s="249"/>
      <c r="V846" s="249"/>
      <c r="W846" s="249"/>
      <c r="X846" s="249"/>
      <c r="Y846" s="249"/>
      <c r="Z846" s="249"/>
      <c r="AA846" s="249"/>
    </row>
    <row r="847">
      <c r="A847" s="249"/>
      <c r="B847" s="249"/>
      <c r="C847" s="249"/>
      <c r="D847" s="249"/>
      <c r="E847" s="249"/>
      <c r="F847" s="249"/>
      <c r="G847" s="249"/>
      <c r="H847" s="249"/>
      <c r="I847" s="249"/>
      <c r="J847" s="249"/>
      <c r="K847" s="249"/>
      <c r="L847" s="249"/>
      <c r="M847" s="249"/>
      <c r="N847" s="249"/>
      <c r="O847" s="249"/>
      <c r="P847" s="249"/>
      <c r="Q847" s="249"/>
      <c r="R847" s="249"/>
      <c r="S847" s="249"/>
      <c r="T847" s="249"/>
      <c r="U847" s="249"/>
      <c r="V847" s="249"/>
      <c r="W847" s="249"/>
      <c r="X847" s="249"/>
      <c r="Y847" s="249"/>
      <c r="Z847" s="249"/>
      <c r="AA847" s="249"/>
    </row>
    <row r="848">
      <c r="A848" s="249"/>
      <c r="B848" s="249"/>
      <c r="C848" s="249"/>
      <c r="D848" s="249"/>
      <c r="E848" s="249"/>
      <c r="F848" s="249"/>
      <c r="G848" s="249"/>
      <c r="H848" s="249"/>
      <c r="I848" s="249"/>
      <c r="J848" s="249"/>
      <c r="K848" s="249"/>
      <c r="L848" s="249"/>
      <c r="M848" s="249"/>
      <c r="N848" s="249"/>
      <c r="O848" s="249"/>
      <c r="P848" s="249"/>
      <c r="Q848" s="249"/>
      <c r="R848" s="249"/>
      <c r="S848" s="249"/>
      <c r="T848" s="249"/>
      <c r="U848" s="249"/>
      <c r="V848" s="249"/>
      <c r="W848" s="249"/>
      <c r="X848" s="249"/>
      <c r="Y848" s="249"/>
      <c r="Z848" s="249"/>
      <c r="AA848" s="249"/>
    </row>
    <row r="849">
      <c r="A849" s="249"/>
      <c r="B849" s="249"/>
      <c r="C849" s="249"/>
      <c r="D849" s="249"/>
      <c r="E849" s="249"/>
      <c r="F849" s="249"/>
      <c r="G849" s="249"/>
      <c r="H849" s="249"/>
      <c r="I849" s="249"/>
      <c r="J849" s="249"/>
      <c r="K849" s="249"/>
      <c r="L849" s="249"/>
      <c r="M849" s="249"/>
      <c r="N849" s="249"/>
      <c r="O849" s="249"/>
      <c r="P849" s="249"/>
      <c r="Q849" s="249"/>
      <c r="R849" s="249"/>
      <c r="S849" s="249"/>
      <c r="T849" s="249"/>
      <c r="U849" s="249"/>
      <c r="V849" s="249"/>
      <c r="W849" s="249"/>
      <c r="X849" s="249"/>
      <c r="Y849" s="249"/>
      <c r="Z849" s="249"/>
      <c r="AA849" s="249"/>
    </row>
    <row r="850">
      <c r="A850" s="249"/>
      <c r="B850" s="249"/>
      <c r="C850" s="249"/>
      <c r="D850" s="249"/>
      <c r="E850" s="249"/>
      <c r="F850" s="249"/>
      <c r="G850" s="249"/>
      <c r="H850" s="249"/>
      <c r="I850" s="249"/>
      <c r="J850" s="249"/>
      <c r="K850" s="249"/>
      <c r="L850" s="249"/>
      <c r="M850" s="249"/>
      <c r="N850" s="249"/>
      <c r="O850" s="249"/>
      <c r="P850" s="249"/>
      <c r="Q850" s="249"/>
      <c r="R850" s="249"/>
      <c r="S850" s="249"/>
      <c r="T850" s="249"/>
      <c r="U850" s="249"/>
      <c r="V850" s="249"/>
      <c r="W850" s="249"/>
      <c r="X850" s="249"/>
      <c r="Y850" s="249"/>
      <c r="Z850" s="249"/>
      <c r="AA850" s="249"/>
    </row>
    <row r="851">
      <c r="A851" s="249"/>
      <c r="B851" s="249"/>
      <c r="C851" s="249"/>
      <c r="D851" s="249"/>
      <c r="E851" s="249"/>
      <c r="F851" s="249"/>
      <c r="G851" s="249"/>
      <c r="H851" s="249"/>
      <c r="I851" s="249"/>
      <c r="J851" s="249"/>
      <c r="K851" s="249"/>
      <c r="L851" s="249"/>
      <c r="M851" s="249"/>
      <c r="N851" s="249"/>
      <c r="O851" s="249"/>
      <c r="P851" s="249"/>
      <c r="Q851" s="249"/>
      <c r="R851" s="249"/>
      <c r="S851" s="249"/>
      <c r="T851" s="249"/>
      <c r="U851" s="249"/>
      <c r="V851" s="249"/>
      <c r="W851" s="249"/>
      <c r="X851" s="249"/>
      <c r="Y851" s="249"/>
      <c r="Z851" s="249"/>
      <c r="AA851" s="249"/>
    </row>
    <row r="852">
      <c r="A852" s="249"/>
      <c r="B852" s="249"/>
      <c r="C852" s="249"/>
      <c r="D852" s="249"/>
      <c r="E852" s="249"/>
      <c r="F852" s="249"/>
      <c r="G852" s="249"/>
      <c r="H852" s="249"/>
      <c r="I852" s="249"/>
      <c r="J852" s="249"/>
      <c r="K852" s="249"/>
      <c r="L852" s="249"/>
      <c r="M852" s="249"/>
      <c r="N852" s="249"/>
      <c r="O852" s="249"/>
      <c r="P852" s="249"/>
      <c r="Q852" s="249"/>
      <c r="R852" s="249"/>
      <c r="S852" s="249"/>
      <c r="T852" s="249"/>
      <c r="U852" s="249"/>
      <c r="V852" s="249"/>
      <c r="W852" s="249"/>
      <c r="X852" s="249"/>
      <c r="Y852" s="249"/>
      <c r="Z852" s="249"/>
      <c r="AA852" s="249"/>
    </row>
    <row r="853">
      <c r="A853" s="249"/>
      <c r="B853" s="249"/>
      <c r="C853" s="249"/>
      <c r="D853" s="249"/>
      <c r="E853" s="249"/>
      <c r="F853" s="249"/>
      <c r="G853" s="249"/>
      <c r="H853" s="249"/>
      <c r="I853" s="249"/>
      <c r="J853" s="249"/>
      <c r="K853" s="249"/>
      <c r="L853" s="249"/>
      <c r="M853" s="249"/>
      <c r="N853" s="249"/>
      <c r="O853" s="249"/>
      <c r="P853" s="249"/>
      <c r="Q853" s="249"/>
      <c r="R853" s="249"/>
      <c r="S853" s="249"/>
      <c r="T853" s="249"/>
      <c r="U853" s="249"/>
      <c r="V853" s="249"/>
      <c r="W853" s="249"/>
      <c r="X853" s="249"/>
      <c r="Y853" s="249"/>
      <c r="Z853" s="249"/>
      <c r="AA853" s="249"/>
    </row>
    <row r="854">
      <c r="A854" s="249"/>
      <c r="B854" s="249"/>
      <c r="C854" s="249"/>
      <c r="D854" s="249"/>
      <c r="E854" s="249"/>
      <c r="F854" s="249"/>
      <c r="G854" s="249"/>
      <c r="H854" s="249"/>
      <c r="I854" s="249"/>
      <c r="J854" s="249"/>
      <c r="K854" s="249"/>
      <c r="L854" s="249"/>
      <c r="M854" s="249"/>
      <c r="N854" s="249"/>
      <c r="O854" s="249"/>
      <c r="P854" s="249"/>
      <c r="Q854" s="249"/>
      <c r="R854" s="249"/>
      <c r="S854" s="249"/>
      <c r="T854" s="249"/>
      <c r="U854" s="249"/>
      <c r="V854" s="249"/>
      <c r="W854" s="249"/>
      <c r="X854" s="249"/>
      <c r="Y854" s="249"/>
      <c r="Z854" s="249"/>
      <c r="AA854" s="249"/>
    </row>
    <row r="855">
      <c r="A855" s="249"/>
      <c r="B855" s="249"/>
      <c r="C855" s="249"/>
      <c r="D855" s="249"/>
      <c r="E855" s="249"/>
      <c r="F855" s="249"/>
      <c r="G855" s="249"/>
      <c r="H855" s="249"/>
      <c r="I855" s="249"/>
      <c r="J855" s="249"/>
      <c r="K855" s="249"/>
      <c r="L855" s="249"/>
      <c r="M855" s="249"/>
      <c r="N855" s="249"/>
      <c r="O855" s="249"/>
      <c r="P855" s="249"/>
      <c r="Q855" s="249"/>
      <c r="R855" s="249"/>
      <c r="S855" s="249"/>
      <c r="T855" s="249"/>
      <c r="U855" s="249"/>
      <c r="V855" s="249"/>
      <c r="W855" s="249"/>
      <c r="X855" s="249"/>
      <c r="Y855" s="249"/>
      <c r="Z855" s="249"/>
      <c r="AA855" s="249"/>
    </row>
    <row r="856">
      <c r="A856" s="249"/>
      <c r="B856" s="249"/>
      <c r="C856" s="249"/>
      <c r="D856" s="249"/>
      <c r="E856" s="249"/>
      <c r="F856" s="249"/>
      <c r="G856" s="249"/>
      <c r="H856" s="249"/>
      <c r="I856" s="249"/>
      <c r="J856" s="249"/>
      <c r="K856" s="249"/>
      <c r="L856" s="249"/>
      <c r="M856" s="249"/>
      <c r="N856" s="249"/>
      <c r="O856" s="249"/>
      <c r="P856" s="249"/>
      <c r="Q856" s="249"/>
      <c r="R856" s="249"/>
      <c r="S856" s="249"/>
      <c r="T856" s="249"/>
      <c r="U856" s="249"/>
      <c r="V856" s="249"/>
      <c r="W856" s="249"/>
      <c r="X856" s="249"/>
      <c r="Y856" s="249"/>
      <c r="Z856" s="249"/>
      <c r="AA856" s="249"/>
    </row>
    <row r="857">
      <c r="A857" s="249"/>
      <c r="B857" s="249"/>
      <c r="C857" s="249"/>
      <c r="D857" s="249"/>
      <c r="E857" s="249"/>
      <c r="F857" s="249"/>
      <c r="G857" s="249"/>
      <c r="H857" s="249"/>
      <c r="I857" s="249"/>
      <c r="J857" s="249"/>
      <c r="K857" s="249"/>
      <c r="L857" s="249"/>
      <c r="M857" s="249"/>
      <c r="N857" s="249"/>
      <c r="O857" s="249"/>
      <c r="P857" s="249"/>
      <c r="Q857" s="249"/>
      <c r="R857" s="249"/>
      <c r="S857" s="249"/>
      <c r="T857" s="249"/>
      <c r="U857" s="249"/>
      <c r="V857" s="249"/>
      <c r="W857" s="249"/>
      <c r="X857" s="249"/>
      <c r="Y857" s="249"/>
      <c r="Z857" s="249"/>
      <c r="AA857" s="249"/>
    </row>
    <row r="858">
      <c r="A858" s="249"/>
      <c r="B858" s="249"/>
      <c r="C858" s="249"/>
      <c r="D858" s="249"/>
      <c r="E858" s="249"/>
      <c r="F858" s="249"/>
      <c r="G858" s="249"/>
      <c r="H858" s="249"/>
      <c r="I858" s="249"/>
      <c r="J858" s="249"/>
      <c r="K858" s="249"/>
      <c r="L858" s="249"/>
      <c r="M858" s="249"/>
      <c r="N858" s="249"/>
      <c r="O858" s="249"/>
      <c r="P858" s="249"/>
      <c r="Q858" s="249"/>
      <c r="R858" s="249"/>
      <c r="S858" s="249"/>
      <c r="T858" s="249"/>
      <c r="U858" s="249"/>
      <c r="V858" s="249"/>
      <c r="W858" s="249"/>
      <c r="X858" s="249"/>
      <c r="Y858" s="249"/>
      <c r="Z858" s="249"/>
      <c r="AA858" s="249"/>
    </row>
    <row r="859">
      <c r="A859" s="249"/>
      <c r="B859" s="249"/>
      <c r="C859" s="249"/>
      <c r="D859" s="249"/>
      <c r="E859" s="249"/>
      <c r="F859" s="249"/>
      <c r="G859" s="249"/>
      <c r="H859" s="249"/>
      <c r="I859" s="249"/>
      <c r="J859" s="249"/>
      <c r="K859" s="249"/>
      <c r="L859" s="249"/>
      <c r="M859" s="249"/>
      <c r="N859" s="249"/>
      <c r="O859" s="249"/>
      <c r="P859" s="249"/>
      <c r="Q859" s="249"/>
      <c r="R859" s="249"/>
      <c r="S859" s="249"/>
      <c r="T859" s="249"/>
      <c r="U859" s="249"/>
      <c r="V859" s="249"/>
      <c r="W859" s="249"/>
      <c r="X859" s="249"/>
      <c r="Y859" s="249"/>
      <c r="Z859" s="249"/>
      <c r="AA859" s="249"/>
    </row>
    <row r="860">
      <c r="A860" s="249"/>
      <c r="B860" s="249"/>
      <c r="C860" s="249"/>
      <c r="D860" s="249"/>
      <c r="E860" s="249"/>
      <c r="F860" s="249"/>
      <c r="G860" s="249"/>
      <c r="H860" s="249"/>
      <c r="I860" s="249"/>
      <c r="J860" s="249"/>
      <c r="K860" s="249"/>
      <c r="L860" s="249"/>
      <c r="M860" s="249"/>
      <c r="N860" s="249"/>
      <c r="O860" s="249"/>
      <c r="P860" s="249"/>
      <c r="Q860" s="249"/>
      <c r="R860" s="249"/>
      <c r="S860" s="249"/>
      <c r="T860" s="249"/>
      <c r="U860" s="249"/>
      <c r="V860" s="249"/>
      <c r="W860" s="249"/>
      <c r="X860" s="249"/>
      <c r="Y860" s="249"/>
      <c r="Z860" s="249"/>
      <c r="AA860" s="249"/>
    </row>
    <row r="861">
      <c r="A861" s="249"/>
      <c r="B861" s="249"/>
      <c r="C861" s="249"/>
      <c r="D861" s="249"/>
      <c r="E861" s="249"/>
      <c r="F861" s="249"/>
      <c r="G861" s="249"/>
      <c r="H861" s="249"/>
      <c r="I861" s="249"/>
      <c r="J861" s="249"/>
      <c r="K861" s="249"/>
      <c r="L861" s="249"/>
      <c r="M861" s="249"/>
      <c r="N861" s="249"/>
      <c r="O861" s="249"/>
      <c r="P861" s="249"/>
      <c r="Q861" s="249"/>
      <c r="R861" s="249"/>
      <c r="S861" s="249"/>
      <c r="T861" s="249"/>
      <c r="U861" s="249"/>
      <c r="V861" s="249"/>
      <c r="W861" s="249"/>
      <c r="X861" s="249"/>
      <c r="Y861" s="249"/>
      <c r="Z861" s="249"/>
      <c r="AA861" s="249"/>
    </row>
    <row r="862">
      <c r="A862" s="249"/>
      <c r="B862" s="249"/>
      <c r="C862" s="249"/>
      <c r="D862" s="249"/>
      <c r="E862" s="249"/>
      <c r="F862" s="249"/>
      <c r="G862" s="249"/>
      <c r="H862" s="249"/>
      <c r="I862" s="249"/>
      <c r="J862" s="249"/>
      <c r="K862" s="249"/>
      <c r="L862" s="249"/>
      <c r="M862" s="249"/>
      <c r="N862" s="249"/>
      <c r="O862" s="249"/>
      <c r="P862" s="249"/>
      <c r="Q862" s="249"/>
      <c r="R862" s="249"/>
      <c r="S862" s="249"/>
      <c r="T862" s="249"/>
      <c r="U862" s="249"/>
      <c r="V862" s="249"/>
      <c r="W862" s="249"/>
      <c r="X862" s="249"/>
      <c r="Y862" s="249"/>
      <c r="Z862" s="249"/>
      <c r="AA862" s="249"/>
    </row>
    <row r="863">
      <c r="A863" s="249"/>
      <c r="B863" s="249"/>
      <c r="C863" s="249"/>
      <c r="D863" s="249"/>
      <c r="E863" s="249"/>
      <c r="F863" s="249"/>
      <c r="G863" s="249"/>
      <c r="H863" s="249"/>
      <c r="I863" s="249"/>
      <c r="J863" s="249"/>
      <c r="K863" s="249"/>
      <c r="L863" s="249"/>
      <c r="M863" s="249"/>
      <c r="N863" s="249"/>
      <c r="O863" s="249"/>
      <c r="P863" s="249"/>
      <c r="Q863" s="249"/>
      <c r="R863" s="249"/>
      <c r="S863" s="249"/>
      <c r="T863" s="249"/>
      <c r="U863" s="249"/>
      <c r="V863" s="249"/>
      <c r="W863" s="249"/>
      <c r="X863" s="249"/>
      <c r="Y863" s="249"/>
      <c r="Z863" s="249"/>
      <c r="AA863" s="249"/>
    </row>
    <row r="864">
      <c r="A864" s="249"/>
      <c r="B864" s="249"/>
      <c r="C864" s="249"/>
      <c r="D864" s="249"/>
      <c r="E864" s="249"/>
      <c r="F864" s="249"/>
      <c r="G864" s="249"/>
      <c r="H864" s="249"/>
      <c r="I864" s="249"/>
      <c r="J864" s="249"/>
      <c r="K864" s="249"/>
      <c r="L864" s="249"/>
      <c r="M864" s="249"/>
      <c r="N864" s="249"/>
      <c r="O864" s="249"/>
      <c r="P864" s="249"/>
      <c r="Q864" s="249"/>
      <c r="R864" s="249"/>
      <c r="S864" s="249"/>
      <c r="T864" s="249"/>
      <c r="U864" s="249"/>
      <c r="V864" s="249"/>
      <c r="W864" s="249"/>
      <c r="X864" s="249"/>
      <c r="Y864" s="249"/>
      <c r="Z864" s="249"/>
      <c r="AA864" s="249"/>
    </row>
    <row r="865">
      <c r="A865" s="249"/>
      <c r="B865" s="249"/>
      <c r="C865" s="249"/>
      <c r="D865" s="249"/>
      <c r="E865" s="249"/>
      <c r="F865" s="249"/>
      <c r="G865" s="249"/>
      <c r="H865" s="249"/>
      <c r="I865" s="249"/>
      <c r="J865" s="249"/>
      <c r="K865" s="249"/>
      <c r="L865" s="249"/>
      <c r="M865" s="249"/>
      <c r="N865" s="249"/>
      <c r="O865" s="249"/>
      <c r="P865" s="249"/>
      <c r="Q865" s="249"/>
      <c r="R865" s="249"/>
      <c r="S865" s="249"/>
      <c r="T865" s="249"/>
      <c r="U865" s="249"/>
      <c r="V865" s="249"/>
      <c r="W865" s="249"/>
      <c r="X865" s="249"/>
      <c r="Y865" s="249"/>
      <c r="Z865" s="249"/>
      <c r="AA865" s="249"/>
    </row>
    <row r="866">
      <c r="A866" s="249"/>
      <c r="B866" s="249"/>
      <c r="C866" s="249"/>
      <c r="D866" s="249"/>
      <c r="E866" s="249"/>
      <c r="F866" s="249"/>
      <c r="G866" s="249"/>
      <c r="H866" s="249"/>
      <c r="I866" s="249"/>
      <c r="J866" s="249"/>
      <c r="K866" s="249"/>
      <c r="L866" s="249"/>
      <c r="M866" s="249"/>
      <c r="N866" s="249"/>
      <c r="O866" s="249"/>
      <c r="P866" s="249"/>
      <c r="Q866" s="249"/>
      <c r="R866" s="249"/>
      <c r="S866" s="249"/>
      <c r="T866" s="249"/>
      <c r="U866" s="249"/>
      <c r="V866" s="249"/>
      <c r="W866" s="249"/>
      <c r="X866" s="249"/>
      <c r="Y866" s="249"/>
      <c r="Z866" s="249"/>
      <c r="AA866" s="249"/>
    </row>
    <row r="867">
      <c r="A867" s="249"/>
      <c r="B867" s="249"/>
      <c r="C867" s="249"/>
      <c r="D867" s="249"/>
      <c r="E867" s="249"/>
      <c r="F867" s="249"/>
      <c r="G867" s="249"/>
      <c r="H867" s="249"/>
      <c r="I867" s="249"/>
      <c r="J867" s="249"/>
      <c r="K867" s="249"/>
      <c r="L867" s="249"/>
      <c r="M867" s="249"/>
      <c r="N867" s="249"/>
      <c r="O867" s="249"/>
      <c r="P867" s="249"/>
      <c r="Q867" s="249"/>
      <c r="R867" s="249"/>
      <c r="S867" s="249"/>
      <c r="T867" s="249"/>
      <c r="U867" s="249"/>
      <c r="V867" s="249"/>
      <c r="W867" s="249"/>
      <c r="X867" s="249"/>
      <c r="Y867" s="249"/>
      <c r="Z867" s="249"/>
      <c r="AA867" s="249"/>
    </row>
    <row r="868">
      <c r="A868" s="249"/>
      <c r="B868" s="249"/>
      <c r="C868" s="249"/>
      <c r="D868" s="249"/>
      <c r="E868" s="249"/>
      <c r="F868" s="249"/>
      <c r="G868" s="249"/>
      <c r="H868" s="249"/>
      <c r="I868" s="249"/>
      <c r="J868" s="249"/>
      <c r="K868" s="249"/>
      <c r="L868" s="249"/>
      <c r="M868" s="249"/>
      <c r="N868" s="249"/>
      <c r="O868" s="249"/>
      <c r="P868" s="249"/>
      <c r="Q868" s="249"/>
      <c r="R868" s="249"/>
      <c r="S868" s="249"/>
      <c r="T868" s="249"/>
      <c r="U868" s="249"/>
      <c r="V868" s="249"/>
      <c r="W868" s="249"/>
      <c r="X868" s="249"/>
      <c r="Y868" s="249"/>
      <c r="Z868" s="249"/>
      <c r="AA868" s="249"/>
    </row>
    <row r="869">
      <c r="A869" s="249"/>
      <c r="B869" s="249"/>
      <c r="C869" s="249"/>
      <c r="D869" s="249"/>
      <c r="E869" s="249"/>
      <c r="F869" s="249"/>
      <c r="G869" s="249"/>
      <c r="H869" s="249"/>
      <c r="I869" s="249"/>
      <c r="J869" s="249"/>
      <c r="K869" s="249"/>
      <c r="L869" s="249"/>
      <c r="M869" s="249"/>
      <c r="N869" s="249"/>
      <c r="O869" s="249"/>
      <c r="P869" s="249"/>
      <c r="Q869" s="249"/>
      <c r="R869" s="249"/>
      <c r="S869" s="249"/>
      <c r="T869" s="249"/>
      <c r="U869" s="249"/>
      <c r="V869" s="249"/>
      <c r="W869" s="249"/>
      <c r="X869" s="249"/>
      <c r="Y869" s="249"/>
      <c r="Z869" s="249"/>
      <c r="AA869" s="249"/>
    </row>
    <row r="870">
      <c r="A870" s="249"/>
      <c r="B870" s="249"/>
      <c r="C870" s="249"/>
      <c r="D870" s="249"/>
      <c r="E870" s="249"/>
      <c r="F870" s="249"/>
      <c r="G870" s="249"/>
      <c r="H870" s="249"/>
      <c r="I870" s="249"/>
      <c r="J870" s="249"/>
      <c r="K870" s="249"/>
      <c r="L870" s="249"/>
      <c r="M870" s="249"/>
      <c r="N870" s="249"/>
      <c r="O870" s="249"/>
      <c r="P870" s="249"/>
      <c r="Q870" s="249"/>
      <c r="R870" s="249"/>
      <c r="S870" s="249"/>
      <c r="T870" s="249"/>
      <c r="U870" s="249"/>
      <c r="V870" s="249"/>
      <c r="W870" s="249"/>
      <c r="X870" s="249"/>
      <c r="Y870" s="249"/>
      <c r="Z870" s="249"/>
      <c r="AA870" s="249"/>
    </row>
    <row r="871">
      <c r="A871" s="249"/>
      <c r="B871" s="249"/>
      <c r="C871" s="249"/>
      <c r="D871" s="249"/>
      <c r="E871" s="249"/>
      <c r="F871" s="249"/>
      <c r="G871" s="249"/>
      <c r="H871" s="249"/>
      <c r="I871" s="249"/>
      <c r="J871" s="249"/>
      <c r="K871" s="249"/>
      <c r="L871" s="249"/>
      <c r="M871" s="249"/>
      <c r="N871" s="249"/>
      <c r="O871" s="249"/>
      <c r="P871" s="249"/>
      <c r="Q871" s="249"/>
      <c r="R871" s="249"/>
      <c r="S871" s="249"/>
      <c r="T871" s="249"/>
      <c r="U871" s="249"/>
      <c r="V871" s="249"/>
      <c r="W871" s="249"/>
      <c r="X871" s="249"/>
      <c r="Y871" s="249"/>
      <c r="Z871" s="249"/>
      <c r="AA871" s="249"/>
    </row>
    <row r="872">
      <c r="A872" s="249"/>
      <c r="B872" s="249"/>
      <c r="C872" s="249"/>
      <c r="D872" s="249"/>
      <c r="E872" s="249"/>
      <c r="F872" s="249"/>
      <c r="G872" s="249"/>
      <c r="H872" s="249"/>
      <c r="I872" s="249"/>
      <c r="J872" s="249"/>
      <c r="K872" s="249"/>
      <c r="L872" s="249"/>
      <c r="M872" s="249"/>
      <c r="N872" s="249"/>
      <c r="O872" s="249"/>
      <c r="P872" s="249"/>
      <c r="Q872" s="249"/>
      <c r="R872" s="249"/>
      <c r="S872" s="249"/>
      <c r="T872" s="249"/>
      <c r="U872" s="249"/>
      <c r="V872" s="249"/>
      <c r="W872" s="249"/>
      <c r="X872" s="249"/>
      <c r="Y872" s="249"/>
      <c r="Z872" s="249"/>
      <c r="AA872" s="249"/>
    </row>
    <row r="873">
      <c r="A873" s="249"/>
      <c r="B873" s="249"/>
      <c r="C873" s="249"/>
      <c r="D873" s="249"/>
      <c r="E873" s="249"/>
      <c r="F873" s="249"/>
      <c r="G873" s="249"/>
      <c r="H873" s="249"/>
      <c r="I873" s="249"/>
      <c r="J873" s="249"/>
      <c r="K873" s="249"/>
      <c r="L873" s="249"/>
      <c r="M873" s="249"/>
      <c r="N873" s="249"/>
      <c r="O873" s="249"/>
      <c r="P873" s="249"/>
      <c r="Q873" s="249"/>
      <c r="R873" s="249"/>
      <c r="S873" s="249"/>
      <c r="T873" s="249"/>
      <c r="U873" s="249"/>
      <c r="V873" s="249"/>
      <c r="W873" s="249"/>
      <c r="X873" s="249"/>
      <c r="Y873" s="249"/>
      <c r="Z873" s="249"/>
      <c r="AA873" s="249"/>
    </row>
    <row r="874">
      <c r="A874" s="249"/>
      <c r="B874" s="249"/>
      <c r="C874" s="249"/>
      <c r="D874" s="249"/>
      <c r="E874" s="249"/>
      <c r="F874" s="249"/>
      <c r="G874" s="249"/>
      <c r="H874" s="249"/>
      <c r="I874" s="249"/>
      <c r="J874" s="249"/>
      <c r="K874" s="249"/>
      <c r="L874" s="249"/>
      <c r="M874" s="249"/>
      <c r="N874" s="249"/>
      <c r="O874" s="249"/>
      <c r="P874" s="249"/>
      <c r="Q874" s="249"/>
      <c r="R874" s="249"/>
      <c r="S874" s="249"/>
      <c r="T874" s="249"/>
      <c r="U874" s="249"/>
      <c r="V874" s="249"/>
      <c r="W874" s="249"/>
      <c r="X874" s="249"/>
      <c r="Y874" s="249"/>
      <c r="Z874" s="249"/>
      <c r="AA874" s="249"/>
    </row>
    <row r="875">
      <c r="A875" s="249"/>
      <c r="B875" s="249"/>
      <c r="C875" s="249"/>
      <c r="D875" s="249"/>
      <c r="E875" s="249"/>
      <c r="F875" s="249"/>
      <c r="G875" s="249"/>
      <c r="H875" s="249"/>
      <c r="I875" s="249"/>
      <c r="J875" s="249"/>
      <c r="K875" s="249"/>
      <c r="L875" s="249"/>
      <c r="M875" s="249"/>
      <c r="N875" s="249"/>
      <c r="O875" s="249"/>
      <c r="P875" s="249"/>
      <c r="Q875" s="249"/>
      <c r="R875" s="249"/>
      <c r="S875" s="249"/>
      <c r="T875" s="249"/>
      <c r="U875" s="249"/>
      <c r="V875" s="249"/>
      <c r="W875" s="249"/>
      <c r="X875" s="249"/>
      <c r="Y875" s="249"/>
      <c r="Z875" s="249"/>
      <c r="AA875" s="249"/>
    </row>
    <row r="876">
      <c r="A876" s="249"/>
      <c r="B876" s="249"/>
      <c r="C876" s="249"/>
      <c r="D876" s="249"/>
      <c r="E876" s="249"/>
      <c r="F876" s="249"/>
      <c r="G876" s="249"/>
      <c r="H876" s="249"/>
      <c r="I876" s="249"/>
      <c r="J876" s="249"/>
      <c r="K876" s="249"/>
      <c r="L876" s="249"/>
      <c r="M876" s="249"/>
      <c r="N876" s="249"/>
      <c r="O876" s="249"/>
      <c r="P876" s="249"/>
      <c r="Q876" s="249"/>
      <c r="R876" s="249"/>
      <c r="S876" s="249"/>
      <c r="T876" s="249"/>
      <c r="U876" s="249"/>
      <c r="V876" s="249"/>
      <c r="W876" s="249"/>
      <c r="X876" s="249"/>
      <c r="Y876" s="249"/>
      <c r="Z876" s="249"/>
      <c r="AA876" s="249"/>
    </row>
    <row r="877">
      <c r="A877" s="249"/>
      <c r="B877" s="249"/>
      <c r="C877" s="249"/>
      <c r="D877" s="249"/>
      <c r="E877" s="249"/>
      <c r="F877" s="249"/>
      <c r="G877" s="249"/>
      <c r="H877" s="249"/>
      <c r="I877" s="249"/>
      <c r="J877" s="249"/>
      <c r="K877" s="249"/>
      <c r="L877" s="249"/>
      <c r="M877" s="249"/>
      <c r="N877" s="249"/>
      <c r="O877" s="249"/>
      <c r="P877" s="249"/>
      <c r="Q877" s="249"/>
      <c r="R877" s="249"/>
      <c r="S877" s="249"/>
      <c r="T877" s="249"/>
      <c r="U877" s="249"/>
      <c r="V877" s="249"/>
      <c r="W877" s="249"/>
      <c r="X877" s="249"/>
      <c r="Y877" s="249"/>
      <c r="Z877" s="249"/>
      <c r="AA877" s="249"/>
    </row>
    <row r="878">
      <c r="A878" s="249"/>
      <c r="B878" s="249"/>
      <c r="C878" s="249"/>
      <c r="D878" s="249"/>
      <c r="E878" s="249"/>
      <c r="F878" s="249"/>
      <c r="G878" s="249"/>
      <c r="H878" s="249"/>
      <c r="I878" s="249"/>
      <c r="J878" s="249"/>
      <c r="K878" s="249"/>
      <c r="L878" s="249"/>
      <c r="M878" s="249"/>
      <c r="N878" s="249"/>
      <c r="O878" s="249"/>
      <c r="P878" s="249"/>
      <c r="Q878" s="249"/>
      <c r="R878" s="249"/>
      <c r="S878" s="249"/>
      <c r="T878" s="249"/>
      <c r="U878" s="249"/>
      <c r="V878" s="249"/>
      <c r="W878" s="249"/>
      <c r="X878" s="249"/>
      <c r="Y878" s="249"/>
      <c r="Z878" s="249"/>
      <c r="AA878" s="249"/>
    </row>
    <row r="879">
      <c r="A879" s="249"/>
      <c r="B879" s="249"/>
      <c r="C879" s="249"/>
      <c r="D879" s="249"/>
      <c r="E879" s="249"/>
      <c r="F879" s="249"/>
      <c r="G879" s="249"/>
      <c r="H879" s="249"/>
      <c r="I879" s="249"/>
      <c r="J879" s="249"/>
      <c r="K879" s="249"/>
      <c r="L879" s="249"/>
      <c r="M879" s="249"/>
      <c r="N879" s="249"/>
      <c r="O879" s="249"/>
      <c r="P879" s="249"/>
      <c r="Q879" s="249"/>
      <c r="R879" s="249"/>
      <c r="S879" s="249"/>
      <c r="T879" s="249"/>
      <c r="U879" s="249"/>
      <c r="V879" s="249"/>
      <c r="W879" s="249"/>
      <c r="X879" s="249"/>
      <c r="Y879" s="249"/>
      <c r="Z879" s="249"/>
      <c r="AA879" s="249"/>
    </row>
    <row r="880">
      <c r="A880" s="249"/>
      <c r="B880" s="249"/>
      <c r="C880" s="249"/>
      <c r="D880" s="249"/>
      <c r="E880" s="249"/>
      <c r="F880" s="249"/>
      <c r="G880" s="249"/>
      <c r="H880" s="249"/>
      <c r="I880" s="249"/>
      <c r="J880" s="249"/>
      <c r="K880" s="249"/>
      <c r="L880" s="249"/>
      <c r="M880" s="249"/>
      <c r="N880" s="249"/>
      <c r="O880" s="249"/>
      <c r="P880" s="249"/>
      <c r="Q880" s="249"/>
      <c r="R880" s="249"/>
      <c r="S880" s="249"/>
      <c r="T880" s="249"/>
      <c r="U880" s="249"/>
      <c r="V880" s="249"/>
      <c r="W880" s="249"/>
      <c r="X880" s="249"/>
      <c r="Y880" s="249"/>
      <c r="Z880" s="249"/>
      <c r="AA880" s="249"/>
    </row>
    <row r="881">
      <c r="A881" s="249"/>
      <c r="B881" s="249"/>
      <c r="C881" s="249"/>
      <c r="D881" s="249"/>
      <c r="E881" s="249"/>
      <c r="F881" s="249"/>
      <c r="G881" s="249"/>
      <c r="H881" s="249"/>
      <c r="I881" s="249"/>
      <c r="J881" s="249"/>
      <c r="K881" s="249"/>
      <c r="L881" s="249"/>
      <c r="M881" s="249"/>
      <c r="N881" s="249"/>
      <c r="O881" s="249"/>
      <c r="P881" s="249"/>
      <c r="Q881" s="249"/>
      <c r="R881" s="249"/>
      <c r="S881" s="249"/>
      <c r="T881" s="249"/>
      <c r="U881" s="249"/>
      <c r="V881" s="249"/>
      <c r="W881" s="249"/>
      <c r="X881" s="249"/>
      <c r="Y881" s="249"/>
      <c r="Z881" s="249"/>
      <c r="AA881" s="249"/>
    </row>
    <row r="882">
      <c r="A882" s="249"/>
      <c r="B882" s="249"/>
      <c r="C882" s="249"/>
      <c r="D882" s="249"/>
      <c r="E882" s="249"/>
      <c r="F882" s="249"/>
      <c r="G882" s="249"/>
      <c r="H882" s="249"/>
      <c r="I882" s="249"/>
      <c r="J882" s="249"/>
      <c r="K882" s="249"/>
      <c r="L882" s="249"/>
      <c r="M882" s="249"/>
      <c r="N882" s="249"/>
      <c r="O882" s="249"/>
      <c r="P882" s="249"/>
      <c r="Q882" s="249"/>
      <c r="R882" s="249"/>
      <c r="S882" s="249"/>
      <c r="T882" s="249"/>
      <c r="U882" s="249"/>
      <c r="V882" s="249"/>
      <c r="W882" s="249"/>
      <c r="X882" s="249"/>
      <c r="Y882" s="249"/>
      <c r="Z882" s="249"/>
      <c r="AA882" s="249"/>
    </row>
    <row r="883">
      <c r="A883" s="249"/>
      <c r="B883" s="249"/>
      <c r="C883" s="249"/>
      <c r="D883" s="249"/>
      <c r="E883" s="249"/>
      <c r="F883" s="249"/>
      <c r="G883" s="249"/>
      <c r="H883" s="249"/>
      <c r="I883" s="249"/>
      <c r="J883" s="249"/>
      <c r="K883" s="249"/>
      <c r="L883" s="249"/>
      <c r="M883" s="249"/>
      <c r="N883" s="249"/>
      <c r="O883" s="249"/>
      <c r="P883" s="249"/>
      <c r="Q883" s="249"/>
      <c r="R883" s="249"/>
      <c r="S883" s="249"/>
      <c r="T883" s="249"/>
      <c r="U883" s="249"/>
      <c r="V883" s="249"/>
      <c r="W883" s="249"/>
      <c r="X883" s="249"/>
      <c r="Y883" s="249"/>
      <c r="Z883" s="249"/>
      <c r="AA883" s="249"/>
    </row>
    <row r="884">
      <c r="A884" s="249"/>
      <c r="B884" s="249"/>
      <c r="C884" s="249"/>
      <c r="D884" s="249"/>
      <c r="E884" s="249"/>
      <c r="F884" s="249"/>
      <c r="G884" s="249"/>
      <c r="H884" s="249"/>
      <c r="I884" s="249"/>
      <c r="J884" s="249"/>
      <c r="K884" s="249"/>
      <c r="L884" s="249"/>
      <c r="M884" s="249"/>
      <c r="N884" s="249"/>
      <c r="O884" s="249"/>
      <c r="P884" s="249"/>
      <c r="Q884" s="249"/>
      <c r="R884" s="249"/>
      <c r="S884" s="249"/>
      <c r="T884" s="249"/>
      <c r="U884" s="249"/>
      <c r="V884" s="249"/>
      <c r="W884" s="249"/>
      <c r="X884" s="249"/>
      <c r="Y884" s="249"/>
      <c r="Z884" s="249"/>
      <c r="AA884" s="249"/>
    </row>
    <row r="885">
      <c r="A885" s="249"/>
      <c r="B885" s="249"/>
      <c r="C885" s="249"/>
      <c r="D885" s="249"/>
      <c r="E885" s="249"/>
      <c r="F885" s="249"/>
      <c r="G885" s="249"/>
      <c r="H885" s="249"/>
      <c r="I885" s="249"/>
      <c r="J885" s="249"/>
      <c r="K885" s="249"/>
      <c r="L885" s="249"/>
      <c r="M885" s="249"/>
      <c r="N885" s="249"/>
      <c r="O885" s="249"/>
      <c r="P885" s="249"/>
      <c r="Q885" s="249"/>
      <c r="R885" s="249"/>
      <c r="S885" s="249"/>
      <c r="T885" s="249"/>
      <c r="U885" s="249"/>
      <c r="V885" s="249"/>
      <c r="W885" s="249"/>
      <c r="X885" s="249"/>
      <c r="Y885" s="249"/>
      <c r="Z885" s="249"/>
      <c r="AA885" s="249"/>
    </row>
    <row r="886">
      <c r="A886" s="249"/>
      <c r="B886" s="249"/>
      <c r="C886" s="249"/>
      <c r="D886" s="249"/>
      <c r="E886" s="249"/>
      <c r="F886" s="249"/>
      <c r="G886" s="249"/>
      <c r="H886" s="249"/>
      <c r="I886" s="249"/>
      <c r="J886" s="249"/>
      <c r="K886" s="249"/>
      <c r="L886" s="249"/>
      <c r="M886" s="249"/>
      <c r="N886" s="249"/>
      <c r="O886" s="249"/>
      <c r="P886" s="249"/>
      <c r="Q886" s="249"/>
      <c r="R886" s="249"/>
      <c r="S886" s="249"/>
      <c r="T886" s="249"/>
      <c r="U886" s="249"/>
      <c r="V886" s="249"/>
      <c r="W886" s="249"/>
      <c r="X886" s="249"/>
      <c r="Y886" s="249"/>
      <c r="Z886" s="249"/>
      <c r="AA886" s="249"/>
    </row>
    <row r="887">
      <c r="A887" s="249"/>
      <c r="B887" s="249"/>
      <c r="C887" s="249"/>
      <c r="D887" s="249"/>
      <c r="E887" s="249"/>
      <c r="F887" s="249"/>
      <c r="G887" s="249"/>
      <c r="H887" s="249"/>
      <c r="I887" s="249"/>
      <c r="J887" s="249"/>
      <c r="K887" s="249"/>
      <c r="L887" s="249"/>
      <c r="M887" s="249"/>
      <c r="N887" s="249"/>
      <c r="O887" s="249"/>
      <c r="P887" s="249"/>
      <c r="Q887" s="249"/>
      <c r="R887" s="249"/>
      <c r="S887" s="249"/>
      <c r="T887" s="249"/>
      <c r="U887" s="249"/>
      <c r="V887" s="249"/>
      <c r="W887" s="249"/>
      <c r="X887" s="249"/>
      <c r="Y887" s="249"/>
      <c r="Z887" s="249"/>
      <c r="AA887" s="249"/>
    </row>
    <row r="888">
      <c r="A888" s="249"/>
      <c r="B888" s="249"/>
      <c r="C888" s="249"/>
      <c r="D888" s="249"/>
      <c r="E888" s="249"/>
      <c r="F888" s="249"/>
      <c r="G888" s="249"/>
      <c r="H888" s="249"/>
      <c r="I888" s="249"/>
      <c r="J888" s="249"/>
      <c r="K888" s="249"/>
      <c r="L888" s="249"/>
      <c r="M888" s="249"/>
      <c r="N888" s="249"/>
      <c r="O888" s="249"/>
      <c r="P888" s="249"/>
      <c r="Q888" s="249"/>
      <c r="R888" s="249"/>
      <c r="S888" s="249"/>
      <c r="T888" s="249"/>
      <c r="U888" s="249"/>
      <c r="V888" s="249"/>
      <c r="W888" s="249"/>
      <c r="X888" s="249"/>
      <c r="Y888" s="249"/>
      <c r="Z888" s="249"/>
      <c r="AA888" s="249"/>
    </row>
    <row r="889">
      <c r="A889" s="249"/>
      <c r="B889" s="249"/>
      <c r="C889" s="249"/>
      <c r="D889" s="249"/>
      <c r="E889" s="249"/>
      <c r="F889" s="249"/>
      <c r="G889" s="249"/>
      <c r="H889" s="249"/>
      <c r="I889" s="249"/>
      <c r="J889" s="249"/>
      <c r="K889" s="249"/>
      <c r="L889" s="249"/>
      <c r="M889" s="249"/>
      <c r="N889" s="249"/>
      <c r="O889" s="249"/>
      <c r="P889" s="249"/>
      <c r="Q889" s="249"/>
      <c r="R889" s="249"/>
      <c r="S889" s="249"/>
      <c r="T889" s="249"/>
      <c r="U889" s="249"/>
      <c r="V889" s="249"/>
      <c r="W889" s="249"/>
      <c r="X889" s="249"/>
      <c r="Y889" s="249"/>
      <c r="Z889" s="249"/>
      <c r="AA889" s="249"/>
    </row>
    <row r="890">
      <c r="A890" s="249"/>
      <c r="B890" s="249"/>
      <c r="C890" s="249"/>
      <c r="D890" s="249"/>
      <c r="E890" s="249"/>
      <c r="F890" s="249"/>
      <c r="G890" s="249"/>
      <c r="H890" s="249"/>
      <c r="I890" s="249"/>
      <c r="J890" s="249"/>
      <c r="K890" s="249"/>
      <c r="L890" s="249"/>
      <c r="M890" s="249"/>
      <c r="N890" s="249"/>
      <c r="O890" s="249"/>
      <c r="P890" s="249"/>
      <c r="Q890" s="249"/>
      <c r="R890" s="249"/>
      <c r="S890" s="249"/>
      <c r="T890" s="249"/>
      <c r="U890" s="249"/>
      <c r="V890" s="249"/>
      <c r="W890" s="249"/>
      <c r="X890" s="249"/>
      <c r="Y890" s="249"/>
      <c r="Z890" s="249"/>
      <c r="AA890" s="249"/>
    </row>
    <row r="891">
      <c r="A891" s="249"/>
      <c r="B891" s="249"/>
      <c r="C891" s="249"/>
      <c r="D891" s="249"/>
      <c r="E891" s="249"/>
      <c r="F891" s="249"/>
      <c r="G891" s="249"/>
      <c r="H891" s="249"/>
      <c r="I891" s="249"/>
      <c r="J891" s="249"/>
      <c r="K891" s="249"/>
      <c r="L891" s="249"/>
      <c r="M891" s="249"/>
      <c r="N891" s="249"/>
      <c r="O891" s="249"/>
      <c r="P891" s="249"/>
      <c r="Q891" s="249"/>
      <c r="R891" s="249"/>
      <c r="S891" s="249"/>
      <c r="T891" s="249"/>
      <c r="U891" s="249"/>
      <c r="V891" s="249"/>
      <c r="W891" s="249"/>
      <c r="X891" s="249"/>
      <c r="Y891" s="249"/>
      <c r="Z891" s="249"/>
      <c r="AA891" s="249"/>
    </row>
    <row r="892">
      <c r="A892" s="249"/>
      <c r="B892" s="249"/>
      <c r="C892" s="249"/>
      <c r="D892" s="249"/>
      <c r="E892" s="249"/>
      <c r="F892" s="249"/>
      <c r="G892" s="249"/>
      <c r="H892" s="249"/>
      <c r="I892" s="249"/>
      <c r="J892" s="249"/>
      <c r="K892" s="249"/>
      <c r="L892" s="249"/>
      <c r="M892" s="249"/>
      <c r="N892" s="249"/>
      <c r="O892" s="249"/>
      <c r="P892" s="249"/>
      <c r="Q892" s="249"/>
      <c r="R892" s="249"/>
      <c r="S892" s="249"/>
      <c r="T892" s="249"/>
      <c r="U892" s="249"/>
      <c r="V892" s="249"/>
      <c r="W892" s="249"/>
      <c r="X892" s="249"/>
      <c r="Y892" s="249"/>
      <c r="Z892" s="249"/>
      <c r="AA892" s="249"/>
    </row>
    <row r="893">
      <c r="A893" s="249"/>
      <c r="B893" s="249"/>
      <c r="C893" s="249"/>
      <c r="D893" s="249"/>
      <c r="E893" s="249"/>
      <c r="F893" s="249"/>
      <c r="G893" s="249"/>
      <c r="H893" s="249"/>
      <c r="I893" s="249"/>
      <c r="J893" s="249"/>
      <c r="K893" s="249"/>
      <c r="L893" s="249"/>
      <c r="M893" s="249"/>
      <c r="N893" s="249"/>
      <c r="O893" s="249"/>
      <c r="P893" s="249"/>
      <c r="Q893" s="249"/>
      <c r="R893" s="249"/>
      <c r="S893" s="249"/>
      <c r="T893" s="249"/>
      <c r="U893" s="249"/>
      <c r="V893" s="249"/>
      <c r="W893" s="249"/>
      <c r="X893" s="249"/>
      <c r="Y893" s="249"/>
      <c r="Z893" s="249"/>
      <c r="AA893" s="249"/>
    </row>
    <row r="894">
      <c r="A894" s="249"/>
      <c r="B894" s="249"/>
      <c r="C894" s="249"/>
      <c r="D894" s="249"/>
      <c r="E894" s="249"/>
      <c r="F894" s="249"/>
      <c r="G894" s="249"/>
      <c r="H894" s="249"/>
      <c r="I894" s="249"/>
      <c r="J894" s="249"/>
      <c r="K894" s="249"/>
      <c r="L894" s="249"/>
      <c r="M894" s="249"/>
      <c r="N894" s="249"/>
      <c r="O894" s="249"/>
      <c r="P894" s="249"/>
      <c r="Q894" s="249"/>
      <c r="R894" s="249"/>
      <c r="S894" s="249"/>
      <c r="T894" s="249"/>
      <c r="U894" s="249"/>
      <c r="V894" s="249"/>
      <c r="W894" s="249"/>
      <c r="X894" s="249"/>
      <c r="Y894" s="249"/>
      <c r="Z894" s="249"/>
      <c r="AA894" s="249"/>
    </row>
    <row r="895">
      <c r="A895" s="249"/>
      <c r="B895" s="249"/>
      <c r="C895" s="249"/>
      <c r="D895" s="249"/>
      <c r="E895" s="249"/>
      <c r="F895" s="249"/>
      <c r="G895" s="249"/>
      <c r="H895" s="249"/>
      <c r="I895" s="249"/>
      <c r="J895" s="249"/>
      <c r="K895" s="249"/>
      <c r="L895" s="249"/>
      <c r="M895" s="249"/>
      <c r="N895" s="249"/>
      <c r="O895" s="249"/>
      <c r="P895" s="249"/>
      <c r="Q895" s="249"/>
      <c r="R895" s="249"/>
      <c r="S895" s="249"/>
      <c r="T895" s="249"/>
      <c r="U895" s="249"/>
      <c r="V895" s="249"/>
      <c r="W895" s="249"/>
      <c r="X895" s="249"/>
      <c r="Y895" s="249"/>
      <c r="Z895" s="249"/>
      <c r="AA895" s="249"/>
    </row>
    <row r="896">
      <c r="A896" s="249"/>
      <c r="B896" s="249"/>
      <c r="C896" s="249"/>
      <c r="D896" s="249"/>
      <c r="E896" s="249"/>
      <c r="F896" s="249"/>
      <c r="G896" s="249"/>
      <c r="H896" s="249"/>
      <c r="I896" s="249"/>
      <c r="J896" s="249"/>
      <c r="K896" s="249"/>
      <c r="L896" s="249"/>
      <c r="M896" s="249"/>
      <c r="N896" s="249"/>
      <c r="O896" s="249"/>
      <c r="P896" s="249"/>
      <c r="Q896" s="249"/>
      <c r="R896" s="249"/>
      <c r="S896" s="249"/>
      <c r="T896" s="249"/>
      <c r="U896" s="249"/>
      <c r="V896" s="249"/>
      <c r="W896" s="249"/>
      <c r="X896" s="249"/>
      <c r="Y896" s="249"/>
      <c r="Z896" s="249"/>
      <c r="AA896" s="249"/>
    </row>
    <row r="897">
      <c r="A897" s="249"/>
      <c r="B897" s="249"/>
      <c r="C897" s="249"/>
      <c r="D897" s="249"/>
      <c r="E897" s="249"/>
      <c r="F897" s="249"/>
      <c r="G897" s="249"/>
      <c r="H897" s="249"/>
      <c r="I897" s="249"/>
      <c r="J897" s="249"/>
      <c r="K897" s="249"/>
      <c r="L897" s="249"/>
      <c r="M897" s="249"/>
      <c r="N897" s="249"/>
      <c r="O897" s="249"/>
      <c r="P897" s="249"/>
      <c r="Q897" s="249"/>
      <c r="R897" s="249"/>
      <c r="S897" s="249"/>
      <c r="T897" s="249"/>
      <c r="U897" s="249"/>
      <c r="V897" s="249"/>
      <c r="W897" s="249"/>
      <c r="X897" s="249"/>
      <c r="Y897" s="249"/>
      <c r="Z897" s="249"/>
      <c r="AA897" s="249"/>
    </row>
    <row r="898">
      <c r="A898" s="249"/>
      <c r="B898" s="249"/>
      <c r="C898" s="249"/>
      <c r="D898" s="249"/>
      <c r="E898" s="249"/>
      <c r="F898" s="249"/>
      <c r="G898" s="249"/>
      <c r="H898" s="249"/>
      <c r="I898" s="249"/>
      <c r="J898" s="249"/>
      <c r="K898" s="249"/>
      <c r="L898" s="249"/>
      <c r="M898" s="249"/>
      <c r="N898" s="249"/>
      <c r="O898" s="249"/>
      <c r="P898" s="249"/>
      <c r="Q898" s="249"/>
      <c r="R898" s="249"/>
      <c r="S898" s="249"/>
      <c r="T898" s="249"/>
      <c r="U898" s="249"/>
      <c r="V898" s="249"/>
      <c r="W898" s="249"/>
      <c r="X898" s="249"/>
      <c r="Y898" s="249"/>
      <c r="Z898" s="249"/>
      <c r="AA898" s="249"/>
    </row>
    <row r="899">
      <c r="A899" s="249"/>
      <c r="B899" s="249"/>
      <c r="C899" s="249"/>
      <c r="D899" s="249"/>
      <c r="E899" s="249"/>
      <c r="F899" s="249"/>
      <c r="G899" s="249"/>
      <c r="H899" s="249"/>
      <c r="I899" s="249"/>
      <c r="J899" s="249"/>
      <c r="K899" s="249"/>
      <c r="L899" s="249"/>
      <c r="M899" s="249"/>
      <c r="N899" s="249"/>
      <c r="O899" s="249"/>
      <c r="P899" s="249"/>
      <c r="Q899" s="249"/>
      <c r="R899" s="249"/>
      <c r="S899" s="249"/>
      <c r="T899" s="249"/>
      <c r="U899" s="249"/>
      <c r="V899" s="249"/>
      <c r="W899" s="249"/>
      <c r="X899" s="249"/>
      <c r="Y899" s="249"/>
      <c r="Z899" s="249"/>
      <c r="AA899" s="249"/>
    </row>
    <row r="900">
      <c r="A900" s="249"/>
      <c r="B900" s="249"/>
      <c r="C900" s="249"/>
      <c r="D900" s="249"/>
      <c r="E900" s="249"/>
      <c r="F900" s="249"/>
      <c r="G900" s="249"/>
      <c r="H900" s="249"/>
      <c r="I900" s="249"/>
      <c r="J900" s="249"/>
      <c r="K900" s="249"/>
      <c r="L900" s="249"/>
      <c r="M900" s="249"/>
      <c r="N900" s="249"/>
      <c r="O900" s="249"/>
      <c r="P900" s="249"/>
      <c r="Q900" s="249"/>
      <c r="R900" s="249"/>
      <c r="S900" s="249"/>
      <c r="T900" s="249"/>
      <c r="U900" s="249"/>
      <c r="V900" s="249"/>
      <c r="W900" s="249"/>
      <c r="X900" s="249"/>
      <c r="Y900" s="249"/>
      <c r="Z900" s="249"/>
      <c r="AA900" s="249"/>
    </row>
    <row r="901">
      <c r="A901" s="249"/>
      <c r="B901" s="249"/>
      <c r="C901" s="249"/>
      <c r="D901" s="249"/>
      <c r="E901" s="249"/>
      <c r="F901" s="249"/>
      <c r="G901" s="249"/>
      <c r="H901" s="249"/>
      <c r="I901" s="249"/>
      <c r="J901" s="249"/>
      <c r="K901" s="249"/>
      <c r="L901" s="249"/>
      <c r="M901" s="249"/>
      <c r="N901" s="249"/>
      <c r="O901" s="249"/>
      <c r="P901" s="249"/>
      <c r="Q901" s="249"/>
      <c r="R901" s="249"/>
      <c r="S901" s="249"/>
      <c r="T901" s="249"/>
      <c r="U901" s="249"/>
      <c r="V901" s="249"/>
      <c r="W901" s="249"/>
      <c r="X901" s="249"/>
      <c r="Y901" s="249"/>
      <c r="Z901" s="249"/>
      <c r="AA901" s="249"/>
    </row>
    <row r="902">
      <c r="A902" s="249"/>
      <c r="B902" s="249"/>
      <c r="C902" s="249"/>
      <c r="D902" s="249"/>
      <c r="E902" s="249"/>
      <c r="F902" s="249"/>
      <c r="G902" s="249"/>
      <c r="H902" s="249"/>
      <c r="I902" s="249"/>
      <c r="J902" s="249"/>
      <c r="K902" s="249"/>
      <c r="L902" s="249"/>
      <c r="M902" s="249"/>
      <c r="N902" s="249"/>
      <c r="O902" s="249"/>
      <c r="P902" s="249"/>
      <c r="Q902" s="249"/>
      <c r="R902" s="249"/>
      <c r="S902" s="249"/>
      <c r="T902" s="249"/>
      <c r="U902" s="249"/>
      <c r="V902" s="249"/>
      <c r="W902" s="249"/>
      <c r="X902" s="249"/>
      <c r="Y902" s="249"/>
      <c r="Z902" s="249"/>
      <c r="AA902" s="249"/>
    </row>
    <row r="903">
      <c r="A903" s="249"/>
      <c r="B903" s="249"/>
      <c r="C903" s="249"/>
      <c r="D903" s="249"/>
      <c r="E903" s="249"/>
      <c r="F903" s="249"/>
      <c r="G903" s="249"/>
      <c r="H903" s="249"/>
      <c r="I903" s="249"/>
      <c r="J903" s="249"/>
      <c r="K903" s="249"/>
      <c r="L903" s="249"/>
      <c r="M903" s="249"/>
      <c r="N903" s="249"/>
      <c r="O903" s="249"/>
      <c r="P903" s="249"/>
      <c r="Q903" s="249"/>
      <c r="R903" s="249"/>
      <c r="S903" s="249"/>
      <c r="T903" s="249"/>
      <c r="U903" s="249"/>
      <c r="V903" s="249"/>
      <c r="W903" s="249"/>
      <c r="X903" s="249"/>
      <c r="Y903" s="249"/>
      <c r="Z903" s="249"/>
      <c r="AA903" s="249"/>
    </row>
    <row r="904">
      <c r="A904" s="249"/>
      <c r="B904" s="249"/>
      <c r="C904" s="249"/>
      <c r="D904" s="249"/>
      <c r="E904" s="249"/>
      <c r="F904" s="249"/>
      <c r="G904" s="249"/>
      <c r="H904" s="249"/>
      <c r="I904" s="249"/>
      <c r="J904" s="249"/>
      <c r="K904" s="249"/>
      <c r="L904" s="249"/>
      <c r="M904" s="249"/>
      <c r="N904" s="249"/>
      <c r="O904" s="249"/>
      <c r="P904" s="249"/>
      <c r="Q904" s="249"/>
      <c r="R904" s="249"/>
      <c r="S904" s="249"/>
      <c r="T904" s="249"/>
      <c r="U904" s="249"/>
      <c r="V904" s="249"/>
      <c r="W904" s="249"/>
      <c r="X904" s="249"/>
      <c r="Y904" s="249"/>
      <c r="Z904" s="249"/>
      <c r="AA904" s="249"/>
    </row>
    <row r="905">
      <c r="A905" s="249"/>
      <c r="B905" s="249"/>
      <c r="C905" s="249"/>
      <c r="D905" s="249"/>
      <c r="E905" s="249"/>
      <c r="F905" s="249"/>
      <c r="G905" s="249"/>
      <c r="H905" s="249"/>
      <c r="I905" s="249"/>
      <c r="J905" s="249"/>
      <c r="K905" s="249"/>
      <c r="L905" s="249"/>
      <c r="M905" s="249"/>
      <c r="N905" s="249"/>
      <c r="O905" s="249"/>
      <c r="P905" s="249"/>
      <c r="Q905" s="249"/>
      <c r="R905" s="249"/>
      <c r="S905" s="249"/>
      <c r="T905" s="249"/>
      <c r="U905" s="249"/>
      <c r="V905" s="249"/>
      <c r="W905" s="249"/>
      <c r="X905" s="249"/>
      <c r="Y905" s="249"/>
      <c r="Z905" s="249"/>
      <c r="AA905" s="249"/>
    </row>
    <row r="906">
      <c r="A906" s="249"/>
      <c r="B906" s="249"/>
      <c r="C906" s="249"/>
      <c r="D906" s="249"/>
      <c r="E906" s="249"/>
      <c r="F906" s="249"/>
      <c r="G906" s="249"/>
      <c r="H906" s="249"/>
      <c r="I906" s="249"/>
      <c r="J906" s="249"/>
      <c r="K906" s="249"/>
      <c r="L906" s="249"/>
      <c r="M906" s="249"/>
      <c r="N906" s="249"/>
      <c r="O906" s="249"/>
      <c r="P906" s="249"/>
      <c r="Q906" s="249"/>
      <c r="R906" s="249"/>
      <c r="S906" s="249"/>
      <c r="T906" s="249"/>
      <c r="U906" s="249"/>
      <c r="V906" s="249"/>
      <c r="W906" s="249"/>
      <c r="X906" s="249"/>
      <c r="Y906" s="249"/>
      <c r="Z906" s="249"/>
      <c r="AA906" s="249"/>
    </row>
    <row r="907">
      <c r="A907" s="249"/>
      <c r="B907" s="249"/>
      <c r="C907" s="249"/>
      <c r="D907" s="249"/>
      <c r="E907" s="249"/>
      <c r="F907" s="249"/>
      <c r="G907" s="249"/>
      <c r="H907" s="249"/>
      <c r="I907" s="249"/>
      <c r="J907" s="249"/>
      <c r="K907" s="249"/>
      <c r="L907" s="249"/>
      <c r="M907" s="249"/>
      <c r="N907" s="249"/>
      <c r="O907" s="249"/>
      <c r="P907" s="249"/>
      <c r="Q907" s="249"/>
      <c r="R907" s="249"/>
      <c r="S907" s="249"/>
      <c r="T907" s="249"/>
      <c r="U907" s="249"/>
      <c r="V907" s="249"/>
      <c r="W907" s="249"/>
      <c r="X907" s="249"/>
      <c r="Y907" s="249"/>
      <c r="Z907" s="249"/>
      <c r="AA907" s="249"/>
    </row>
    <row r="908">
      <c r="A908" s="249"/>
      <c r="B908" s="249"/>
      <c r="C908" s="249"/>
      <c r="D908" s="249"/>
      <c r="E908" s="249"/>
      <c r="F908" s="249"/>
      <c r="G908" s="249"/>
      <c r="H908" s="249"/>
      <c r="I908" s="249"/>
      <c r="J908" s="249"/>
      <c r="K908" s="249"/>
      <c r="L908" s="249"/>
      <c r="M908" s="249"/>
      <c r="N908" s="249"/>
      <c r="O908" s="249"/>
      <c r="P908" s="249"/>
      <c r="Q908" s="249"/>
      <c r="R908" s="249"/>
      <c r="S908" s="249"/>
      <c r="T908" s="249"/>
      <c r="U908" s="249"/>
      <c r="V908" s="249"/>
      <c r="W908" s="249"/>
      <c r="X908" s="249"/>
      <c r="Y908" s="249"/>
      <c r="Z908" s="249"/>
      <c r="AA908" s="249"/>
    </row>
    <row r="909">
      <c r="A909" s="249"/>
      <c r="B909" s="249"/>
      <c r="C909" s="249"/>
      <c r="D909" s="249"/>
      <c r="E909" s="249"/>
      <c r="F909" s="249"/>
      <c r="G909" s="249"/>
      <c r="H909" s="249"/>
      <c r="I909" s="249"/>
      <c r="J909" s="249"/>
      <c r="K909" s="249"/>
      <c r="L909" s="249"/>
      <c r="M909" s="249"/>
      <c r="N909" s="249"/>
      <c r="O909" s="249"/>
      <c r="P909" s="249"/>
      <c r="Q909" s="249"/>
      <c r="R909" s="249"/>
      <c r="S909" s="249"/>
      <c r="T909" s="249"/>
      <c r="U909" s="249"/>
      <c r="V909" s="249"/>
      <c r="W909" s="249"/>
      <c r="X909" s="249"/>
      <c r="Y909" s="249"/>
      <c r="Z909" s="249"/>
      <c r="AA909" s="249"/>
    </row>
    <row r="910">
      <c r="A910" s="249"/>
      <c r="B910" s="249"/>
      <c r="C910" s="249"/>
      <c r="D910" s="249"/>
      <c r="E910" s="249"/>
      <c r="F910" s="249"/>
      <c r="G910" s="249"/>
      <c r="H910" s="249"/>
      <c r="I910" s="249"/>
      <c r="J910" s="249"/>
      <c r="K910" s="249"/>
      <c r="L910" s="249"/>
      <c r="M910" s="249"/>
      <c r="N910" s="249"/>
      <c r="O910" s="249"/>
      <c r="P910" s="249"/>
      <c r="Q910" s="249"/>
      <c r="R910" s="249"/>
      <c r="S910" s="249"/>
      <c r="T910" s="249"/>
      <c r="U910" s="249"/>
      <c r="V910" s="249"/>
      <c r="W910" s="249"/>
      <c r="X910" s="249"/>
      <c r="Y910" s="249"/>
      <c r="Z910" s="249"/>
      <c r="AA910" s="249"/>
    </row>
    <row r="911">
      <c r="A911" s="249"/>
      <c r="B911" s="249"/>
      <c r="C911" s="249"/>
      <c r="D911" s="249"/>
      <c r="E911" s="249"/>
      <c r="F911" s="249"/>
      <c r="G911" s="249"/>
      <c r="H911" s="249"/>
      <c r="I911" s="249"/>
      <c r="J911" s="249"/>
      <c r="K911" s="249"/>
      <c r="L911" s="249"/>
      <c r="M911" s="249"/>
      <c r="N911" s="249"/>
      <c r="O911" s="249"/>
      <c r="P911" s="249"/>
      <c r="Q911" s="249"/>
      <c r="R911" s="249"/>
      <c r="S911" s="249"/>
      <c r="T911" s="249"/>
      <c r="U911" s="249"/>
      <c r="V911" s="249"/>
      <c r="W911" s="249"/>
      <c r="X911" s="249"/>
      <c r="Y911" s="249"/>
      <c r="Z911" s="249"/>
      <c r="AA911" s="249"/>
    </row>
    <row r="912">
      <c r="A912" s="249"/>
      <c r="B912" s="249"/>
      <c r="C912" s="249"/>
      <c r="D912" s="249"/>
      <c r="E912" s="249"/>
      <c r="F912" s="249"/>
      <c r="G912" s="249"/>
      <c r="H912" s="249"/>
      <c r="I912" s="249"/>
      <c r="J912" s="249"/>
      <c r="K912" s="249"/>
      <c r="L912" s="249"/>
      <c r="M912" s="249"/>
      <c r="N912" s="249"/>
      <c r="O912" s="249"/>
      <c r="P912" s="249"/>
      <c r="Q912" s="249"/>
      <c r="R912" s="249"/>
      <c r="S912" s="249"/>
      <c r="T912" s="249"/>
      <c r="U912" s="249"/>
      <c r="V912" s="249"/>
      <c r="W912" s="249"/>
      <c r="X912" s="249"/>
      <c r="Y912" s="249"/>
      <c r="Z912" s="249"/>
      <c r="AA912" s="249"/>
    </row>
    <row r="913">
      <c r="A913" s="249"/>
      <c r="B913" s="249"/>
      <c r="C913" s="249"/>
      <c r="D913" s="249"/>
      <c r="E913" s="249"/>
      <c r="F913" s="249"/>
      <c r="G913" s="249"/>
      <c r="H913" s="249"/>
      <c r="I913" s="249"/>
      <c r="J913" s="249"/>
      <c r="K913" s="249"/>
      <c r="L913" s="249"/>
      <c r="M913" s="249"/>
      <c r="N913" s="249"/>
      <c r="O913" s="249"/>
      <c r="P913" s="249"/>
      <c r="Q913" s="249"/>
      <c r="R913" s="249"/>
      <c r="S913" s="249"/>
      <c r="T913" s="249"/>
      <c r="U913" s="249"/>
      <c r="V913" s="249"/>
      <c r="W913" s="249"/>
      <c r="X913" s="249"/>
      <c r="Y913" s="249"/>
      <c r="Z913" s="249"/>
      <c r="AA913" s="249"/>
    </row>
    <row r="914">
      <c r="A914" s="249"/>
      <c r="B914" s="249"/>
      <c r="C914" s="249"/>
      <c r="D914" s="249"/>
      <c r="E914" s="249"/>
      <c r="F914" s="249"/>
      <c r="G914" s="249"/>
      <c r="H914" s="249"/>
      <c r="I914" s="249"/>
      <c r="J914" s="249"/>
      <c r="K914" s="249"/>
      <c r="L914" s="249"/>
      <c r="M914" s="249"/>
      <c r="N914" s="249"/>
      <c r="O914" s="249"/>
      <c r="P914" s="249"/>
      <c r="Q914" s="249"/>
      <c r="R914" s="249"/>
      <c r="S914" s="249"/>
      <c r="T914" s="249"/>
      <c r="U914" s="249"/>
      <c r="V914" s="249"/>
      <c r="W914" s="249"/>
      <c r="X914" s="249"/>
      <c r="Y914" s="249"/>
      <c r="Z914" s="249"/>
      <c r="AA914" s="249"/>
    </row>
    <row r="915">
      <c r="A915" s="249"/>
      <c r="B915" s="249"/>
      <c r="C915" s="249"/>
      <c r="D915" s="249"/>
      <c r="E915" s="249"/>
      <c r="F915" s="249"/>
      <c r="G915" s="249"/>
      <c r="H915" s="249"/>
      <c r="I915" s="249"/>
      <c r="J915" s="249"/>
      <c r="K915" s="249"/>
      <c r="L915" s="249"/>
      <c r="M915" s="249"/>
      <c r="N915" s="249"/>
      <c r="O915" s="249"/>
      <c r="P915" s="249"/>
      <c r="Q915" s="249"/>
      <c r="R915" s="249"/>
      <c r="S915" s="249"/>
      <c r="T915" s="249"/>
      <c r="U915" s="249"/>
      <c r="V915" s="249"/>
      <c r="W915" s="249"/>
      <c r="X915" s="249"/>
      <c r="Y915" s="249"/>
      <c r="Z915" s="249"/>
      <c r="AA915" s="249"/>
    </row>
    <row r="916">
      <c r="A916" s="249"/>
      <c r="B916" s="249"/>
      <c r="C916" s="249"/>
      <c r="D916" s="249"/>
      <c r="E916" s="249"/>
      <c r="F916" s="249"/>
      <c r="G916" s="249"/>
      <c r="H916" s="249"/>
      <c r="I916" s="249"/>
      <c r="J916" s="249"/>
      <c r="K916" s="249"/>
      <c r="L916" s="249"/>
      <c r="M916" s="249"/>
      <c r="N916" s="249"/>
      <c r="O916" s="249"/>
      <c r="P916" s="249"/>
      <c r="Q916" s="249"/>
      <c r="R916" s="249"/>
      <c r="S916" s="249"/>
      <c r="T916" s="249"/>
      <c r="U916" s="249"/>
      <c r="V916" s="249"/>
      <c r="W916" s="249"/>
      <c r="X916" s="249"/>
      <c r="Y916" s="249"/>
      <c r="Z916" s="249"/>
      <c r="AA916" s="249"/>
    </row>
    <row r="917">
      <c r="A917" s="249"/>
      <c r="B917" s="249"/>
      <c r="C917" s="249"/>
      <c r="D917" s="249"/>
      <c r="E917" s="249"/>
      <c r="F917" s="249"/>
      <c r="G917" s="249"/>
      <c r="H917" s="249"/>
      <c r="I917" s="249"/>
      <c r="J917" s="249"/>
      <c r="K917" s="249"/>
      <c r="L917" s="249"/>
      <c r="M917" s="249"/>
      <c r="N917" s="249"/>
      <c r="O917" s="249"/>
      <c r="P917" s="249"/>
      <c r="Q917" s="249"/>
      <c r="R917" s="249"/>
      <c r="S917" s="249"/>
      <c r="T917" s="249"/>
      <c r="U917" s="249"/>
      <c r="V917" s="249"/>
      <c r="W917" s="249"/>
      <c r="X917" s="249"/>
      <c r="Y917" s="249"/>
      <c r="Z917" s="249"/>
      <c r="AA917" s="249"/>
    </row>
    <row r="918">
      <c r="A918" s="249"/>
      <c r="B918" s="249"/>
      <c r="C918" s="249"/>
      <c r="D918" s="249"/>
      <c r="E918" s="249"/>
      <c r="F918" s="249"/>
      <c r="G918" s="249"/>
      <c r="H918" s="249"/>
      <c r="I918" s="249"/>
      <c r="J918" s="249"/>
      <c r="K918" s="249"/>
      <c r="L918" s="249"/>
      <c r="M918" s="249"/>
      <c r="N918" s="249"/>
      <c r="O918" s="249"/>
      <c r="P918" s="249"/>
      <c r="Q918" s="249"/>
      <c r="R918" s="249"/>
      <c r="S918" s="249"/>
      <c r="T918" s="249"/>
      <c r="U918" s="249"/>
      <c r="V918" s="249"/>
      <c r="W918" s="249"/>
      <c r="X918" s="249"/>
      <c r="Y918" s="249"/>
      <c r="Z918" s="249"/>
      <c r="AA918" s="249"/>
    </row>
    <row r="919">
      <c r="A919" s="249"/>
      <c r="B919" s="249"/>
      <c r="C919" s="249"/>
      <c r="D919" s="249"/>
      <c r="E919" s="249"/>
      <c r="F919" s="249"/>
      <c r="G919" s="249"/>
      <c r="H919" s="249"/>
      <c r="I919" s="249"/>
      <c r="J919" s="249"/>
      <c r="K919" s="249"/>
      <c r="L919" s="249"/>
      <c r="M919" s="249"/>
      <c r="N919" s="249"/>
      <c r="O919" s="249"/>
      <c r="P919" s="249"/>
      <c r="Q919" s="249"/>
      <c r="R919" s="249"/>
      <c r="S919" s="249"/>
      <c r="T919" s="249"/>
      <c r="U919" s="249"/>
      <c r="V919" s="249"/>
      <c r="W919" s="249"/>
      <c r="X919" s="249"/>
      <c r="Y919" s="249"/>
      <c r="Z919" s="249"/>
      <c r="AA919" s="249"/>
    </row>
    <row r="920">
      <c r="A920" s="249"/>
      <c r="B920" s="249"/>
      <c r="C920" s="249"/>
      <c r="D920" s="249"/>
      <c r="E920" s="249"/>
      <c r="F920" s="249"/>
      <c r="G920" s="249"/>
      <c r="H920" s="249"/>
      <c r="I920" s="249"/>
      <c r="J920" s="249"/>
      <c r="K920" s="249"/>
      <c r="L920" s="249"/>
      <c r="M920" s="249"/>
      <c r="N920" s="249"/>
      <c r="O920" s="249"/>
      <c r="P920" s="249"/>
      <c r="Q920" s="249"/>
      <c r="R920" s="249"/>
      <c r="S920" s="249"/>
      <c r="T920" s="249"/>
      <c r="U920" s="249"/>
      <c r="V920" s="249"/>
      <c r="W920" s="249"/>
      <c r="X920" s="249"/>
      <c r="Y920" s="249"/>
      <c r="Z920" s="249"/>
      <c r="AA920" s="249"/>
    </row>
    <row r="921">
      <c r="A921" s="249"/>
      <c r="B921" s="249"/>
      <c r="C921" s="249"/>
      <c r="D921" s="249"/>
      <c r="E921" s="249"/>
      <c r="F921" s="249"/>
      <c r="G921" s="249"/>
      <c r="H921" s="249"/>
      <c r="I921" s="249"/>
      <c r="J921" s="249"/>
      <c r="K921" s="249"/>
      <c r="L921" s="249"/>
      <c r="M921" s="249"/>
      <c r="N921" s="249"/>
      <c r="O921" s="249"/>
      <c r="P921" s="249"/>
      <c r="Q921" s="249"/>
      <c r="R921" s="249"/>
      <c r="S921" s="249"/>
      <c r="T921" s="249"/>
      <c r="U921" s="249"/>
      <c r="V921" s="249"/>
      <c r="W921" s="249"/>
      <c r="X921" s="249"/>
      <c r="Y921" s="249"/>
      <c r="Z921" s="249"/>
      <c r="AA921" s="249"/>
    </row>
    <row r="922">
      <c r="A922" s="249"/>
      <c r="B922" s="249"/>
      <c r="C922" s="249"/>
      <c r="D922" s="249"/>
      <c r="E922" s="249"/>
      <c r="F922" s="249"/>
      <c r="G922" s="249"/>
      <c r="H922" s="249"/>
      <c r="I922" s="249"/>
      <c r="J922" s="249"/>
      <c r="K922" s="249"/>
      <c r="L922" s="249"/>
      <c r="M922" s="249"/>
      <c r="N922" s="249"/>
      <c r="O922" s="249"/>
      <c r="P922" s="249"/>
      <c r="Q922" s="249"/>
      <c r="R922" s="249"/>
      <c r="S922" s="249"/>
      <c r="T922" s="249"/>
      <c r="U922" s="249"/>
      <c r="V922" s="249"/>
      <c r="W922" s="249"/>
      <c r="X922" s="249"/>
      <c r="Y922" s="249"/>
      <c r="Z922" s="249"/>
      <c r="AA922" s="249"/>
    </row>
    <row r="923">
      <c r="A923" s="249"/>
      <c r="B923" s="249"/>
      <c r="C923" s="249"/>
      <c r="D923" s="249"/>
      <c r="E923" s="249"/>
      <c r="F923" s="249"/>
      <c r="G923" s="249"/>
      <c r="H923" s="249"/>
      <c r="I923" s="249"/>
      <c r="J923" s="249"/>
      <c r="K923" s="249"/>
      <c r="L923" s="249"/>
      <c r="M923" s="249"/>
      <c r="N923" s="249"/>
      <c r="O923" s="249"/>
      <c r="P923" s="249"/>
      <c r="Q923" s="249"/>
      <c r="R923" s="249"/>
      <c r="S923" s="249"/>
      <c r="T923" s="249"/>
      <c r="U923" s="249"/>
      <c r="V923" s="249"/>
      <c r="W923" s="249"/>
      <c r="X923" s="249"/>
      <c r="Y923" s="249"/>
      <c r="Z923" s="249"/>
      <c r="AA923" s="249"/>
    </row>
    <row r="924">
      <c r="A924" s="249"/>
      <c r="B924" s="249"/>
      <c r="C924" s="249"/>
      <c r="D924" s="249"/>
      <c r="E924" s="249"/>
      <c r="F924" s="249"/>
      <c r="G924" s="249"/>
      <c r="H924" s="249"/>
      <c r="I924" s="249"/>
      <c r="J924" s="249"/>
      <c r="K924" s="249"/>
      <c r="L924" s="249"/>
      <c r="M924" s="249"/>
      <c r="N924" s="249"/>
      <c r="O924" s="249"/>
      <c r="P924" s="249"/>
      <c r="Q924" s="249"/>
      <c r="R924" s="249"/>
      <c r="S924" s="249"/>
      <c r="T924" s="249"/>
      <c r="U924" s="249"/>
      <c r="V924" s="249"/>
      <c r="W924" s="249"/>
      <c r="X924" s="249"/>
      <c r="Y924" s="249"/>
      <c r="Z924" s="249"/>
      <c r="AA924" s="249"/>
    </row>
    <row r="925">
      <c r="A925" s="249"/>
      <c r="B925" s="249"/>
      <c r="C925" s="249"/>
      <c r="D925" s="249"/>
      <c r="E925" s="249"/>
      <c r="F925" s="249"/>
      <c r="G925" s="249"/>
      <c r="H925" s="249"/>
      <c r="I925" s="249"/>
      <c r="J925" s="249"/>
      <c r="K925" s="249"/>
      <c r="L925" s="249"/>
      <c r="M925" s="249"/>
      <c r="N925" s="249"/>
      <c r="O925" s="249"/>
      <c r="P925" s="249"/>
      <c r="Q925" s="249"/>
      <c r="R925" s="249"/>
      <c r="S925" s="249"/>
      <c r="T925" s="249"/>
      <c r="U925" s="249"/>
      <c r="V925" s="249"/>
      <c r="W925" s="249"/>
      <c r="X925" s="249"/>
      <c r="Y925" s="249"/>
      <c r="Z925" s="249"/>
      <c r="AA925" s="249"/>
    </row>
    <row r="926">
      <c r="A926" s="249"/>
      <c r="B926" s="249"/>
      <c r="C926" s="249"/>
      <c r="D926" s="249"/>
      <c r="E926" s="249"/>
      <c r="F926" s="249"/>
      <c r="G926" s="249"/>
      <c r="H926" s="249"/>
      <c r="I926" s="249"/>
      <c r="J926" s="249"/>
      <c r="K926" s="249"/>
      <c r="L926" s="249"/>
      <c r="M926" s="249"/>
      <c r="N926" s="249"/>
      <c r="O926" s="249"/>
      <c r="P926" s="249"/>
      <c r="Q926" s="249"/>
      <c r="R926" s="249"/>
      <c r="S926" s="249"/>
      <c r="T926" s="249"/>
      <c r="U926" s="249"/>
      <c r="V926" s="249"/>
      <c r="W926" s="249"/>
      <c r="X926" s="249"/>
      <c r="Y926" s="249"/>
      <c r="Z926" s="249"/>
      <c r="AA926" s="249"/>
    </row>
    <row r="927">
      <c r="A927" s="249"/>
      <c r="B927" s="249"/>
      <c r="C927" s="249"/>
      <c r="D927" s="249"/>
      <c r="E927" s="249"/>
      <c r="F927" s="249"/>
      <c r="G927" s="249"/>
      <c r="H927" s="249"/>
      <c r="I927" s="249"/>
      <c r="J927" s="249"/>
      <c r="K927" s="249"/>
      <c r="L927" s="249"/>
      <c r="M927" s="249"/>
      <c r="N927" s="249"/>
      <c r="O927" s="249"/>
      <c r="P927" s="249"/>
      <c r="Q927" s="249"/>
      <c r="R927" s="249"/>
      <c r="S927" s="249"/>
      <c r="T927" s="249"/>
      <c r="U927" s="249"/>
      <c r="V927" s="249"/>
      <c r="W927" s="249"/>
      <c r="X927" s="249"/>
      <c r="Y927" s="249"/>
      <c r="Z927" s="249"/>
      <c r="AA927" s="249"/>
    </row>
    <row r="928">
      <c r="A928" s="249"/>
      <c r="B928" s="249"/>
      <c r="C928" s="249"/>
      <c r="D928" s="249"/>
      <c r="E928" s="249"/>
      <c r="F928" s="249"/>
      <c r="G928" s="249"/>
      <c r="H928" s="249"/>
      <c r="I928" s="249"/>
      <c r="J928" s="249"/>
      <c r="K928" s="249"/>
      <c r="L928" s="249"/>
      <c r="M928" s="249"/>
      <c r="N928" s="249"/>
      <c r="O928" s="249"/>
      <c r="P928" s="249"/>
      <c r="Q928" s="249"/>
      <c r="R928" s="249"/>
      <c r="S928" s="249"/>
      <c r="T928" s="249"/>
      <c r="U928" s="249"/>
      <c r="V928" s="249"/>
      <c r="W928" s="249"/>
      <c r="X928" s="249"/>
      <c r="Y928" s="249"/>
      <c r="Z928" s="249"/>
      <c r="AA928" s="249"/>
    </row>
    <row r="929">
      <c r="A929" s="249"/>
      <c r="B929" s="249"/>
      <c r="C929" s="249"/>
      <c r="D929" s="249"/>
      <c r="E929" s="249"/>
      <c r="F929" s="249"/>
      <c r="G929" s="249"/>
      <c r="H929" s="249"/>
      <c r="I929" s="249"/>
      <c r="J929" s="249"/>
      <c r="K929" s="249"/>
      <c r="L929" s="249"/>
      <c r="M929" s="249"/>
      <c r="N929" s="249"/>
      <c r="O929" s="249"/>
      <c r="P929" s="249"/>
      <c r="Q929" s="249"/>
      <c r="R929" s="249"/>
      <c r="S929" s="249"/>
      <c r="T929" s="249"/>
      <c r="U929" s="249"/>
      <c r="V929" s="249"/>
      <c r="W929" s="249"/>
      <c r="X929" s="249"/>
      <c r="Y929" s="249"/>
      <c r="Z929" s="249"/>
      <c r="AA929" s="249"/>
    </row>
    <row r="930">
      <c r="A930" s="249"/>
      <c r="B930" s="249"/>
      <c r="C930" s="249"/>
      <c r="D930" s="249"/>
      <c r="E930" s="249"/>
      <c r="F930" s="249"/>
      <c r="G930" s="249"/>
      <c r="H930" s="249"/>
      <c r="I930" s="249"/>
      <c r="J930" s="249"/>
      <c r="K930" s="249"/>
      <c r="L930" s="249"/>
      <c r="M930" s="249"/>
      <c r="N930" s="249"/>
      <c r="O930" s="249"/>
      <c r="P930" s="249"/>
      <c r="Q930" s="249"/>
      <c r="R930" s="249"/>
      <c r="S930" s="249"/>
      <c r="T930" s="249"/>
      <c r="U930" s="249"/>
      <c r="V930" s="249"/>
      <c r="W930" s="249"/>
      <c r="X930" s="249"/>
      <c r="Y930" s="249"/>
      <c r="Z930" s="249"/>
      <c r="AA930" s="249"/>
    </row>
    <row r="931">
      <c r="A931" s="249"/>
      <c r="B931" s="249"/>
      <c r="C931" s="249"/>
      <c r="D931" s="249"/>
      <c r="E931" s="249"/>
      <c r="F931" s="249"/>
      <c r="G931" s="249"/>
      <c r="H931" s="249"/>
      <c r="I931" s="249"/>
      <c r="J931" s="249"/>
      <c r="K931" s="249"/>
      <c r="L931" s="249"/>
      <c r="M931" s="249"/>
      <c r="N931" s="249"/>
      <c r="O931" s="249"/>
      <c r="P931" s="249"/>
      <c r="Q931" s="249"/>
      <c r="R931" s="249"/>
      <c r="S931" s="249"/>
      <c r="T931" s="249"/>
      <c r="U931" s="249"/>
      <c r="V931" s="249"/>
      <c r="W931" s="249"/>
      <c r="X931" s="249"/>
      <c r="Y931" s="249"/>
      <c r="Z931" s="249"/>
      <c r="AA931" s="249"/>
    </row>
    <row r="932">
      <c r="A932" s="249"/>
      <c r="B932" s="249"/>
      <c r="C932" s="249"/>
      <c r="D932" s="249"/>
      <c r="E932" s="249"/>
      <c r="F932" s="249"/>
      <c r="G932" s="249"/>
      <c r="H932" s="249"/>
      <c r="I932" s="249"/>
      <c r="J932" s="249"/>
      <c r="K932" s="249"/>
      <c r="L932" s="249"/>
      <c r="M932" s="249"/>
      <c r="N932" s="249"/>
      <c r="O932" s="249"/>
      <c r="P932" s="249"/>
      <c r="Q932" s="249"/>
      <c r="R932" s="249"/>
      <c r="S932" s="249"/>
      <c r="T932" s="249"/>
      <c r="U932" s="249"/>
      <c r="V932" s="249"/>
      <c r="W932" s="249"/>
      <c r="X932" s="249"/>
      <c r="Y932" s="249"/>
      <c r="Z932" s="249"/>
      <c r="AA932" s="249"/>
    </row>
    <row r="933">
      <c r="A933" s="249"/>
      <c r="B933" s="249"/>
      <c r="C933" s="249"/>
      <c r="D933" s="249"/>
      <c r="E933" s="249"/>
      <c r="F933" s="249"/>
      <c r="G933" s="249"/>
      <c r="H933" s="249"/>
      <c r="I933" s="249"/>
      <c r="J933" s="249"/>
      <c r="K933" s="249"/>
      <c r="L933" s="249"/>
      <c r="M933" s="249"/>
      <c r="N933" s="249"/>
      <c r="O933" s="249"/>
      <c r="P933" s="249"/>
      <c r="Q933" s="249"/>
      <c r="R933" s="249"/>
      <c r="S933" s="249"/>
      <c r="T933" s="249"/>
      <c r="U933" s="249"/>
      <c r="V933" s="249"/>
      <c r="W933" s="249"/>
      <c r="X933" s="249"/>
      <c r="Y933" s="249"/>
      <c r="Z933" s="249"/>
      <c r="AA933" s="249"/>
    </row>
    <row r="934">
      <c r="A934" s="249"/>
      <c r="B934" s="249"/>
      <c r="C934" s="249"/>
      <c r="D934" s="249"/>
      <c r="E934" s="249"/>
      <c r="F934" s="249"/>
      <c r="G934" s="249"/>
      <c r="H934" s="249"/>
      <c r="I934" s="249"/>
      <c r="J934" s="249"/>
      <c r="K934" s="249"/>
      <c r="L934" s="249"/>
      <c r="M934" s="249"/>
      <c r="N934" s="249"/>
      <c r="O934" s="249"/>
      <c r="P934" s="249"/>
      <c r="Q934" s="249"/>
      <c r="R934" s="249"/>
      <c r="S934" s="249"/>
      <c r="T934" s="249"/>
      <c r="U934" s="249"/>
      <c r="V934" s="249"/>
      <c r="W934" s="249"/>
      <c r="X934" s="249"/>
      <c r="Y934" s="249"/>
      <c r="Z934" s="249"/>
      <c r="AA934" s="249"/>
    </row>
    <row r="935">
      <c r="A935" s="249"/>
      <c r="B935" s="249"/>
      <c r="C935" s="249"/>
      <c r="D935" s="249"/>
      <c r="E935" s="249"/>
      <c r="F935" s="249"/>
      <c r="G935" s="249"/>
      <c r="H935" s="249"/>
      <c r="I935" s="249"/>
      <c r="J935" s="249"/>
      <c r="K935" s="249"/>
      <c r="L935" s="249"/>
      <c r="M935" s="249"/>
      <c r="N935" s="249"/>
      <c r="O935" s="249"/>
      <c r="P935" s="249"/>
      <c r="Q935" s="249"/>
      <c r="R935" s="249"/>
      <c r="S935" s="249"/>
      <c r="T935" s="249"/>
      <c r="U935" s="249"/>
      <c r="V935" s="249"/>
      <c r="W935" s="249"/>
      <c r="X935" s="249"/>
      <c r="Y935" s="249"/>
      <c r="Z935" s="249"/>
      <c r="AA935" s="249"/>
    </row>
    <row r="936">
      <c r="A936" s="249"/>
      <c r="B936" s="249"/>
      <c r="C936" s="249"/>
      <c r="D936" s="249"/>
      <c r="E936" s="249"/>
      <c r="F936" s="249"/>
      <c r="G936" s="249"/>
      <c r="H936" s="249"/>
      <c r="I936" s="249"/>
      <c r="J936" s="249"/>
      <c r="K936" s="249"/>
      <c r="L936" s="249"/>
      <c r="M936" s="249"/>
      <c r="N936" s="249"/>
      <c r="O936" s="249"/>
      <c r="P936" s="249"/>
      <c r="Q936" s="249"/>
      <c r="R936" s="249"/>
      <c r="S936" s="249"/>
      <c r="T936" s="249"/>
      <c r="U936" s="249"/>
      <c r="V936" s="249"/>
      <c r="W936" s="249"/>
      <c r="X936" s="249"/>
      <c r="Y936" s="249"/>
      <c r="Z936" s="249"/>
      <c r="AA936" s="249"/>
    </row>
    <row r="937">
      <c r="A937" s="249"/>
      <c r="B937" s="249"/>
      <c r="C937" s="249"/>
      <c r="D937" s="249"/>
      <c r="E937" s="249"/>
      <c r="F937" s="249"/>
      <c r="G937" s="249"/>
      <c r="H937" s="249"/>
      <c r="I937" s="249"/>
      <c r="J937" s="249"/>
      <c r="K937" s="249"/>
      <c r="L937" s="249"/>
      <c r="M937" s="249"/>
      <c r="N937" s="249"/>
      <c r="O937" s="249"/>
      <c r="P937" s="249"/>
      <c r="Q937" s="249"/>
      <c r="R937" s="249"/>
      <c r="S937" s="249"/>
      <c r="T937" s="249"/>
      <c r="U937" s="249"/>
      <c r="V937" s="249"/>
      <c r="W937" s="249"/>
      <c r="X937" s="249"/>
      <c r="Y937" s="249"/>
      <c r="Z937" s="249"/>
      <c r="AA937" s="249"/>
    </row>
    <row r="938">
      <c r="A938" s="249"/>
      <c r="B938" s="249"/>
      <c r="C938" s="249"/>
      <c r="D938" s="249"/>
      <c r="E938" s="249"/>
      <c r="F938" s="249"/>
      <c r="G938" s="249"/>
      <c r="H938" s="249"/>
      <c r="I938" s="249"/>
      <c r="J938" s="249"/>
      <c r="K938" s="249"/>
      <c r="L938" s="249"/>
      <c r="M938" s="249"/>
      <c r="N938" s="249"/>
      <c r="O938" s="249"/>
      <c r="P938" s="249"/>
      <c r="Q938" s="249"/>
      <c r="R938" s="249"/>
      <c r="S938" s="249"/>
      <c r="T938" s="249"/>
      <c r="U938" s="249"/>
      <c r="V938" s="249"/>
      <c r="W938" s="249"/>
      <c r="X938" s="249"/>
      <c r="Y938" s="249"/>
      <c r="Z938" s="249"/>
      <c r="AA938" s="249"/>
    </row>
    <row r="939">
      <c r="A939" s="249"/>
      <c r="B939" s="249"/>
      <c r="C939" s="249"/>
      <c r="D939" s="249"/>
      <c r="E939" s="249"/>
      <c r="F939" s="249"/>
      <c r="G939" s="249"/>
      <c r="H939" s="249"/>
      <c r="I939" s="249"/>
      <c r="J939" s="249"/>
      <c r="K939" s="249"/>
      <c r="L939" s="249"/>
      <c r="M939" s="249"/>
      <c r="N939" s="249"/>
      <c r="O939" s="249"/>
      <c r="P939" s="249"/>
      <c r="Q939" s="249"/>
      <c r="R939" s="249"/>
      <c r="S939" s="249"/>
      <c r="T939" s="249"/>
      <c r="U939" s="249"/>
      <c r="V939" s="249"/>
      <c r="W939" s="249"/>
      <c r="X939" s="249"/>
      <c r="Y939" s="249"/>
      <c r="Z939" s="249"/>
      <c r="AA939" s="249"/>
    </row>
    <row r="940">
      <c r="A940" s="249"/>
      <c r="B940" s="249"/>
      <c r="C940" s="249"/>
      <c r="D940" s="249"/>
      <c r="E940" s="249"/>
      <c r="F940" s="249"/>
      <c r="G940" s="249"/>
      <c r="H940" s="249"/>
      <c r="I940" s="249"/>
      <c r="J940" s="249"/>
      <c r="K940" s="249"/>
      <c r="L940" s="249"/>
      <c r="M940" s="249"/>
      <c r="N940" s="249"/>
      <c r="O940" s="249"/>
      <c r="P940" s="249"/>
      <c r="Q940" s="249"/>
      <c r="R940" s="249"/>
      <c r="S940" s="249"/>
      <c r="T940" s="249"/>
      <c r="U940" s="249"/>
      <c r="V940" s="249"/>
      <c r="W940" s="249"/>
      <c r="X940" s="249"/>
      <c r="Y940" s="249"/>
      <c r="Z940" s="249"/>
      <c r="AA940" s="249"/>
    </row>
    <row r="941">
      <c r="A941" s="249"/>
      <c r="B941" s="249"/>
      <c r="C941" s="249"/>
      <c r="D941" s="249"/>
      <c r="E941" s="249"/>
      <c r="F941" s="249"/>
      <c r="G941" s="249"/>
      <c r="H941" s="249"/>
      <c r="I941" s="249"/>
      <c r="J941" s="249"/>
      <c r="K941" s="249"/>
      <c r="L941" s="249"/>
      <c r="M941" s="249"/>
      <c r="N941" s="249"/>
      <c r="O941" s="249"/>
      <c r="P941" s="249"/>
      <c r="Q941" s="249"/>
      <c r="R941" s="249"/>
      <c r="S941" s="249"/>
      <c r="T941" s="249"/>
      <c r="U941" s="249"/>
      <c r="V941" s="249"/>
      <c r="W941" s="249"/>
      <c r="X941" s="249"/>
      <c r="Y941" s="249"/>
      <c r="Z941" s="249"/>
      <c r="AA941" s="249"/>
    </row>
    <row r="942">
      <c r="A942" s="249"/>
      <c r="B942" s="249"/>
      <c r="C942" s="249"/>
      <c r="D942" s="249"/>
      <c r="E942" s="249"/>
      <c r="F942" s="249"/>
      <c r="G942" s="249"/>
      <c r="H942" s="249"/>
      <c r="I942" s="249"/>
      <c r="J942" s="249"/>
      <c r="K942" s="249"/>
      <c r="L942" s="249"/>
      <c r="M942" s="249"/>
      <c r="N942" s="249"/>
      <c r="O942" s="249"/>
      <c r="P942" s="249"/>
      <c r="Q942" s="249"/>
      <c r="R942" s="249"/>
      <c r="S942" s="249"/>
      <c r="T942" s="249"/>
      <c r="U942" s="249"/>
      <c r="V942" s="249"/>
      <c r="W942" s="249"/>
      <c r="X942" s="249"/>
      <c r="Y942" s="249"/>
      <c r="Z942" s="249"/>
      <c r="AA942" s="249"/>
    </row>
    <row r="943">
      <c r="A943" s="249"/>
      <c r="B943" s="249"/>
      <c r="C943" s="249"/>
      <c r="D943" s="249"/>
      <c r="E943" s="249"/>
      <c r="F943" s="249"/>
      <c r="G943" s="249"/>
      <c r="H943" s="249"/>
      <c r="I943" s="249"/>
      <c r="J943" s="249"/>
      <c r="K943" s="249"/>
      <c r="L943" s="249"/>
      <c r="M943" s="249"/>
      <c r="N943" s="249"/>
      <c r="O943" s="249"/>
      <c r="P943" s="249"/>
      <c r="Q943" s="249"/>
      <c r="R943" s="249"/>
      <c r="S943" s="249"/>
      <c r="T943" s="249"/>
      <c r="U943" s="249"/>
      <c r="V943" s="249"/>
      <c r="W943" s="249"/>
      <c r="X943" s="249"/>
      <c r="Y943" s="249"/>
      <c r="Z943" s="249"/>
      <c r="AA943" s="249"/>
    </row>
    <row r="944">
      <c r="A944" s="249"/>
      <c r="B944" s="249"/>
      <c r="C944" s="249"/>
      <c r="D944" s="249"/>
      <c r="E944" s="249"/>
      <c r="F944" s="249"/>
      <c r="G944" s="249"/>
      <c r="H944" s="249"/>
      <c r="I944" s="249"/>
      <c r="J944" s="249"/>
      <c r="K944" s="249"/>
      <c r="L944" s="249"/>
      <c r="M944" s="249"/>
      <c r="N944" s="249"/>
      <c r="O944" s="249"/>
      <c r="P944" s="249"/>
      <c r="Q944" s="249"/>
      <c r="R944" s="249"/>
      <c r="S944" s="249"/>
      <c r="T944" s="249"/>
      <c r="U944" s="249"/>
      <c r="V944" s="249"/>
      <c r="W944" s="249"/>
      <c r="X944" s="249"/>
      <c r="Y944" s="249"/>
      <c r="Z944" s="249"/>
      <c r="AA944" s="249"/>
    </row>
    <row r="945">
      <c r="A945" s="249"/>
      <c r="B945" s="249"/>
      <c r="C945" s="249"/>
      <c r="D945" s="249"/>
      <c r="E945" s="249"/>
      <c r="F945" s="249"/>
      <c r="G945" s="249"/>
      <c r="H945" s="249"/>
      <c r="I945" s="249"/>
      <c r="J945" s="249"/>
      <c r="K945" s="249"/>
      <c r="L945" s="249"/>
      <c r="M945" s="249"/>
      <c r="N945" s="249"/>
      <c r="O945" s="249"/>
      <c r="P945" s="249"/>
      <c r="Q945" s="249"/>
      <c r="R945" s="249"/>
      <c r="S945" s="249"/>
      <c r="T945" s="249"/>
      <c r="U945" s="249"/>
      <c r="V945" s="249"/>
      <c r="W945" s="249"/>
      <c r="X945" s="249"/>
      <c r="Y945" s="249"/>
      <c r="Z945" s="249"/>
      <c r="AA945" s="249"/>
    </row>
    <row r="946">
      <c r="A946" s="249"/>
      <c r="B946" s="249"/>
      <c r="C946" s="249"/>
      <c r="D946" s="249"/>
      <c r="E946" s="249"/>
      <c r="F946" s="249"/>
      <c r="G946" s="249"/>
      <c r="H946" s="249"/>
      <c r="I946" s="249"/>
      <c r="J946" s="249"/>
      <c r="K946" s="249"/>
      <c r="L946" s="249"/>
      <c r="M946" s="249"/>
      <c r="N946" s="249"/>
      <c r="O946" s="249"/>
      <c r="P946" s="249"/>
      <c r="Q946" s="249"/>
      <c r="R946" s="249"/>
      <c r="S946" s="249"/>
      <c r="T946" s="249"/>
      <c r="U946" s="249"/>
      <c r="V946" s="249"/>
      <c r="W946" s="249"/>
      <c r="X946" s="249"/>
      <c r="Y946" s="249"/>
      <c r="Z946" s="249"/>
      <c r="AA946" s="249"/>
    </row>
    <row r="947">
      <c r="A947" s="249"/>
      <c r="B947" s="249"/>
      <c r="C947" s="249"/>
      <c r="D947" s="249"/>
      <c r="E947" s="249"/>
      <c r="F947" s="249"/>
      <c r="G947" s="249"/>
      <c r="H947" s="249"/>
      <c r="I947" s="249"/>
      <c r="J947" s="249"/>
      <c r="K947" s="249"/>
      <c r="L947" s="249"/>
      <c r="M947" s="249"/>
      <c r="N947" s="249"/>
      <c r="O947" s="249"/>
      <c r="P947" s="249"/>
      <c r="Q947" s="249"/>
      <c r="R947" s="249"/>
      <c r="S947" s="249"/>
      <c r="T947" s="249"/>
      <c r="U947" s="249"/>
      <c r="V947" s="249"/>
      <c r="W947" s="249"/>
      <c r="X947" s="249"/>
      <c r="Y947" s="249"/>
      <c r="Z947" s="249"/>
      <c r="AA947" s="249"/>
    </row>
    <row r="948">
      <c r="A948" s="249"/>
      <c r="B948" s="249"/>
      <c r="C948" s="249"/>
      <c r="D948" s="249"/>
      <c r="E948" s="249"/>
      <c r="F948" s="249"/>
      <c r="G948" s="249"/>
      <c r="H948" s="249"/>
      <c r="I948" s="249"/>
      <c r="J948" s="249"/>
      <c r="K948" s="249"/>
      <c r="L948" s="249"/>
      <c r="M948" s="249"/>
      <c r="N948" s="249"/>
      <c r="O948" s="249"/>
      <c r="P948" s="249"/>
      <c r="Q948" s="249"/>
      <c r="R948" s="249"/>
      <c r="S948" s="249"/>
      <c r="T948" s="249"/>
      <c r="U948" s="249"/>
      <c r="V948" s="249"/>
      <c r="W948" s="249"/>
      <c r="X948" s="249"/>
      <c r="Y948" s="249"/>
      <c r="Z948" s="249"/>
      <c r="AA948" s="249"/>
    </row>
    <row r="949">
      <c r="A949" s="249"/>
      <c r="B949" s="249"/>
      <c r="C949" s="249"/>
      <c r="D949" s="249"/>
      <c r="E949" s="249"/>
      <c r="F949" s="249"/>
      <c r="G949" s="249"/>
      <c r="H949" s="249"/>
      <c r="I949" s="249"/>
      <c r="J949" s="249"/>
      <c r="K949" s="249"/>
      <c r="L949" s="249"/>
      <c r="M949" s="249"/>
      <c r="N949" s="249"/>
      <c r="O949" s="249"/>
      <c r="P949" s="249"/>
      <c r="Q949" s="249"/>
      <c r="R949" s="249"/>
      <c r="S949" s="249"/>
      <c r="T949" s="249"/>
      <c r="U949" s="249"/>
      <c r="V949" s="249"/>
      <c r="W949" s="249"/>
      <c r="X949" s="249"/>
      <c r="Y949" s="249"/>
      <c r="Z949" s="249"/>
      <c r="AA949" s="249"/>
    </row>
    <row r="950">
      <c r="A950" s="249"/>
      <c r="B950" s="249"/>
      <c r="C950" s="249"/>
      <c r="D950" s="249"/>
      <c r="E950" s="249"/>
      <c r="F950" s="249"/>
      <c r="G950" s="249"/>
      <c r="H950" s="249"/>
      <c r="I950" s="249"/>
      <c r="J950" s="249"/>
      <c r="K950" s="249"/>
      <c r="L950" s="249"/>
      <c r="M950" s="249"/>
      <c r="N950" s="249"/>
      <c r="O950" s="249"/>
      <c r="P950" s="249"/>
      <c r="Q950" s="249"/>
      <c r="R950" s="249"/>
      <c r="S950" s="249"/>
      <c r="T950" s="249"/>
      <c r="U950" s="249"/>
      <c r="V950" s="249"/>
      <c r="W950" s="249"/>
      <c r="X950" s="249"/>
      <c r="Y950" s="249"/>
      <c r="Z950" s="249"/>
      <c r="AA950" s="249"/>
    </row>
    <row r="951">
      <c r="A951" s="249"/>
      <c r="B951" s="249"/>
      <c r="C951" s="249"/>
      <c r="D951" s="249"/>
      <c r="E951" s="249"/>
      <c r="F951" s="249"/>
      <c r="G951" s="249"/>
      <c r="H951" s="249"/>
      <c r="I951" s="249"/>
      <c r="J951" s="249"/>
      <c r="K951" s="249"/>
      <c r="L951" s="249"/>
      <c r="M951" s="249"/>
      <c r="N951" s="249"/>
      <c r="O951" s="249"/>
      <c r="P951" s="249"/>
      <c r="Q951" s="249"/>
      <c r="R951" s="249"/>
      <c r="S951" s="249"/>
      <c r="T951" s="249"/>
      <c r="U951" s="249"/>
      <c r="V951" s="249"/>
      <c r="W951" s="249"/>
      <c r="X951" s="249"/>
      <c r="Y951" s="249"/>
      <c r="Z951" s="249"/>
      <c r="AA951" s="249"/>
    </row>
    <row r="952">
      <c r="A952" s="249"/>
      <c r="B952" s="249"/>
      <c r="C952" s="249"/>
      <c r="D952" s="249"/>
      <c r="E952" s="249"/>
      <c r="F952" s="249"/>
      <c r="G952" s="249"/>
      <c r="H952" s="249"/>
      <c r="I952" s="249"/>
      <c r="J952" s="249"/>
      <c r="K952" s="249"/>
      <c r="L952" s="249"/>
      <c r="M952" s="249"/>
      <c r="N952" s="249"/>
      <c r="O952" s="249"/>
      <c r="P952" s="249"/>
      <c r="Q952" s="249"/>
      <c r="R952" s="249"/>
      <c r="S952" s="249"/>
      <c r="T952" s="249"/>
      <c r="U952" s="249"/>
      <c r="V952" s="249"/>
      <c r="W952" s="249"/>
      <c r="X952" s="249"/>
      <c r="Y952" s="249"/>
      <c r="Z952" s="249"/>
      <c r="AA952" s="249"/>
    </row>
    <row r="953">
      <c r="A953" s="249"/>
      <c r="B953" s="249"/>
      <c r="C953" s="249"/>
      <c r="D953" s="249"/>
      <c r="E953" s="249"/>
      <c r="F953" s="249"/>
      <c r="G953" s="249"/>
      <c r="H953" s="249"/>
      <c r="I953" s="249"/>
      <c r="J953" s="249"/>
      <c r="K953" s="249"/>
      <c r="L953" s="249"/>
      <c r="M953" s="249"/>
      <c r="N953" s="249"/>
      <c r="O953" s="249"/>
      <c r="P953" s="249"/>
      <c r="Q953" s="249"/>
      <c r="R953" s="249"/>
      <c r="S953" s="249"/>
      <c r="T953" s="249"/>
      <c r="U953" s="249"/>
      <c r="V953" s="249"/>
      <c r="W953" s="249"/>
      <c r="X953" s="249"/>
      <c r="Y953" s="249"/>
      <c r="Z953" s="249"/>
      <c r="AA953" s="249"/>
    </row>
    <row r="954">
      <c r="A954" s="249"/>
      <c r="B954" s="249"/>
      <c r="C954" s="249"/>
      <c r="D954" s="249"/>
      <c r="E954" s="249"/>
      <c r="F954" s="249"/>
      <c r="G954" s="249"/>
      <c r="H954" s="249"/>
      <c r="I954" s="249"/>
      <c r="J954" s="249"/>
      <c r="K954" s="249"/>
      <c r="L954" s="249"/>
      <c r="M954" s="249"/>
      <c r="N954" s="249"/>
      <c r="O954" s="249"/>
      <c r="P954" s="249"/>
      <c r="Q954" s="249"/>
      <c r="R954" s="249"/>
      <c r="S954" s="249"/>
      <c r="T954" s="249"/>
      <c r="U954" s="249"/>
      <c r="V954" s="249"/>
      <c r="W954" s="249"/>
      <c r="X954" s="249"/>
      <c r="Y954" s="249"/>
      <c r="Z954" s="249"/>
      <c r="AA954" s="249"/>
    </row>
    <row r="955">
      <c r="A955" s="249"/>
      <c r="B955" s="249"/>
      <c r="C955" s="249"/>
      <c r="D955" s="249"/>
      <c r="E955" s="249"/>
      <c r="F955" s="249"/>
      <c r="G955" s="249"/>
      <c r="H955" s="249"/>
      <c r="I955" s="249"/>
      <c r="J955" s="249"/>
      <c r="K955" s="249"/>
      <c r="L955" s="249"/>
      <c r="M955" s="249"/>
      <c r="N955" s="249"/>
      <c r="O955" s="249"/>
      <c r="P955" s="249"/>
      <c r="Q955" s="249"/>
      <c r="R955" s="249"/>
      <c r="S955" s="249"/>
      <c r="T955" s="249"/>
      <c r="U955" s="249"/>
      <c r="V955" s="249"/>
      <c r="W955" s="249"/>
      <c r="X955" s="249"/>
      <c r="Y955" s="249"/>
      <c r="Z955" s="249"/>
      <c r="AA955" s="249"/>
    </row>
    <row r="956">
      <c r="A956" s="249"/>
      <c r="B956" s="249"/>
      <c r="C956" s="249"/>
      <c r="D956" s="249"/>
      <c r="E956" s="249"/>
      <c r="F956" s="249"/>
      <c r="G956" s="249"/>
      <c r="H956" s="249"/>
      <c r="I956" s="249"/>
      <c r="J956" s="249"/>
      <c r="K956" s="249"/>
      <c r="L956" s="249"/>
      <c r="M956" s="249"/>
      <c r="N956" s="249"/>
      <c r="O956" s="249"/>
      <c r="P956" s="249"/>
      <c r="Q956" s="249"/>
      <c r="R956" s="249"/>
      <c r="S956" s="249"/>
      <c r="T956" s="249"/>
      <c r="U956" s="249"/>
      <c r="V956" s="249"/>
      <c r="W956" s="249"/>
      <c r="X956" s="249"/>
      <c r="Y956" s="249"/>
      <c r="Z956" s="249"/>
      <c r="AA956" s="249"/>
    </row>
    <row r="957">
      <c r="A957" s="249"/>
      <c r="B957" s="249"/>
      <c r="C957" s="249"/>
      <c r="D957" s="249"/>
      <c r="E957" s="249"/>
      <c r="F957" s="249"/>
      <c r="G957" s="249"/>
      <c r="H957" s="249"/>
      <c r="I957" s="249"/>
      <c r="J957" s="249"/>
      <c r="K957" s="249"/>
      <c r="L957" s="249"/>
      <c r="M957" s="249"/>
      <c r="N957" s="249"/>
      <c r="O957" s="249"/>
      <c r="P957" s="249"/>
      <c r="Q957" s="249"/>
      <c r="R957" s="249"/>
      <c r="S957" s="249"/>
      <c r="T957" s="249"/>
      <c r="U957" s="249"/>
      <c r="V957" s="249"/>
      <c r="W957" s="249"/>
      <c r="X957" s="249"/>
      <c r="Y957" s="249"/>
      <c r="Z957" s="249"/>
      <c r="AA957" s="249"/>
    </row>
    <row r="958">
      <c r="A958" s="249"/>
      <c r="B958" s="249"/>
      <c r="C958" s="249"/>
      <c r="D958" s="249"/>
      <c r="E958" s="249"/>
      <c r="F958" s="249"/>
      <c r="G958" s="249"/>
      <c r="H958" s="249"/>
      <c r="I958" s="249"/>
      <c r="J958" s="249"/>
      <c r="K958" s="249"/>
      <c r="L958" s="249"/>
      <c r="M958" s="249"/>
      <c r="N958" s="249"/>
      <c r="O958" s="249"/>
      <c r="P958" s="249"/>
      <c r="Q958" s="249"/>
      <c r="R958" s="249"/>
      <c r="S958" s="249"/>
      <c r="T958" s="249"/>
      <c r="U958" s="249"/>
      <c r="V958" s="249"/>
      <c r="W958" s="249"/>
      <c r="X958" s="249"/>
      <c r="Y958" s="249"/>
      <c r="Z958" s="249"/>
      <c r="AA958" s="249"/>
    </row>
    <row r="959">
      <c r="A959" s="249"/>
      <c r="B959" s="249"/>
      <c r="C959" s="249"/>
      <c r="D959" s="249"/>
      <c r="E959" s="249"/>
      <c r="F959" s="249"/>
      <c r="G959" s="249"/>
      <c r="H959" s="249"/>
      <c r="I959" s="249"/>
      <c r="J959" s="249"/>
      <c r="K959" s="249"/>
      <c r="L959" s="249"/>
      <c r="M959" s="249"/>
      <c r="N959" s="249"/>
      <c r="O959" s="249"/>
      <c r="P959" s="249"/>
      <c r="Q959" s="249"/>
      <c r="R959" s="249"/>
      <c r="S959" s="249"/>
      <c r="T959" s="249"/>
      <c r="U959" s="249"/>
      <c r="V959" s="249"/>
      <c r="W959" s="249"/>
      <c r="X959" s="249"/>
      <c r="Y959" s="249"/>
      <c r="Z959" s="249"/>
      <c r="AA959" s="249"/>
    </row>
    <row r="960">
      <c r="A960" s="249"/>
      <c r="B960" s="249"/>
      <c r="C960" s="249"/>
      <c r="D960" s="249"/>
      <c r="E960" s="249"/>
      <c r="F960" s="249"/>
      <c r="G960" s="249"/>
      <c r="H960" s="249"/>
      <c r="I960" s="249"/>
      <c r="J960" s="249"/>
      <c r="K960" s="249"/>
      <c r="L960" s="249"/>
      <c r="M960" s="249"/>
      <c r="N960" s="249"/>
      <c r="O960" s="249"/>
      <c r="P960" s="249"/>
      <c r="Q960" s="249"/>
      <c r="R960" s="249"/>
      <c r="S960" s="249"/>
      <c r="T960" s="249"/>
      <c r="U960" s="249"/>
      <c r="V960" s="249"/>
      <c r="W960" s="249"/>
      <c r="X960" s="249"/>
      <c r="Y960" s="249"/>
      <c r="Z960" s="249"/>
      <c r="AA960" s="249"/>
    </row>
    <row r="961">
      <c r="A961" s="249"/>
      <c r="B961" s="249"/>
      <c r="C961" s="249"/>
      <c r="D961" s="249"/>
      <c r="E961" s="249"/>
      <c r="F961" s="249"/>
      <c r="G961" s="249"/>
      <c r="H961" s="249"/>
      <c r="I961" s="249"/>
      <c r="J961" s="249"/>
      <c r="K961" s="249"/>
      <c r="L961" s="249"/>
      <c r="M961" s="249"/>
      <c r="N961" s="249"/>
      <c r="O961" s="249"/>
      <c r="P961" s="249"/>
      <c r="Q961" s="249"/>
      <c r="R961" s="249"/>
      <c r="S961" s="249"/>
      <c r="T961" s="249"/>
      <c r="U961" s="249"/>
      <c r="V961" s="249"/>
      <c r="W961" s="249"/>
      <c r="X961" s="249"/>
      <c r="Y961" s="249"/>
      <c r="Z961" s="249"/>
      <c r="AA961" s="249"/>
    </row>
    <row r="962">
      <c r="A962" s="249"/>
      <c r="B962" s="249"/>
      <c r="C962" s="249"/>
      <c r="D962" s="249"/>
      <c r="E962" s="249"/>
      <c r="F962" s="249"/>
      <c r="G962" s="249"/>
      <c r="H962" s="249"/>
      <c r="I962" s="249"/>
      <c r="J962" s="249"/>
      <c r="K962" s="249"/>
      <c r="L962" s="249"/>
      <c r="M962" s="249"/>
      <c r="N962" s="249"/>
      <c r="O962" s="249"/>
      <c r="P962" s="249"/>
      <c r="Q962" s="249"/>
      <c r="R962" s="249"/>
      <c r="S962" s="249"/>
      <c r="T962" s="249"/>
      <c r="U962" s="249"/>
      <c r="V962" s="249"/>
      <c r="W962" s="249"/>
      <c r="X962" s="249"/>
      <c r="Y962" s="249"/>
      <c r="Z962" s="249"/>
      <c r="AA962" s="249"/>
    </row>
    <row r="963">
      <c r="A963" s="249"/>
      <c r="B963" s="249"/>
      <c r="C963" s="249"/>
      <c r="D963" s="249"/>
      <c r="E963" s="249"/>
      <c r="F963" s="249"/>
      <c r="G963" s="249"/>
      <c r="H963" s="249"/>
      <c r="I963" s="249"/>
      <c r="J963" s="249"/>
      <c r="K963" s="249"/>
      <c r="L963" s="249"/>
      <c r="M963" s="249"/>
      <c r="N963" s="249"/>
      <c r="O963" s="249"/>
      <c r="P963" s="249"/>
      <c r="Q963" s="249"/>
      <c r="R963" s="249"/>
      <c r="S963" s="249"/>
      <c r="T963" s="249"/>
      <c r="U963" s="249"/>
      <c r="V963" s="249"/>
      <c r="W963" s="249"/>
      <c r="X963" s="249"/>
      <c r="Y963" s="249"/>
      <c r="Z963" s="249"/>
      <c r="AA963" s="249"/>
    </row>
    <row r="964">
      <c r="A964" s="249"/>
      <c r="B964" s="249"/>
      <c r="C964" s="249"/>
      <c r="D964" s="249"/>
      <c r="E964" s="249"/>
      <c r="F964" s="249"/>
      <c r="G964" s="249"/>
      <c r="H964" s="249"/>
      <c r="I964" s="249"/>
      <c r="J964" s="249"/>
      <c r="K964" s="249"/>
      <c r="L964" s="249"/>
      <c r="M964" s="249"/>
      <c r="N964" s="249"/>
      <c r="O964" s="249"/>
      <c r="P964" s="249"/>
      <c r="Q964" s="249"/>
      <c r="R964" s="249"/>
      <c r="S964" s="249"/>
      <c r="T964" s="249"/>
      <c r="U964" s="249"/>
      <c r="V964" s="249"/>
      <c r="W964" s="249"/>
      <c r="X964" s="249"/>
      <c r="Y964" s="249"/>
      <c r="Z964" s="249"/>
      <c r="AA964" s="249"/>
    </row>
    <row r="965">
      <c r="A965" s="249"/>
      <c r="B965" s="249"/>
      <c r="C965" s="249"/>
      <c r="D965" s="249"/>
      <c r="E965" s="249"/>
      <c r="F965" s="249"/>
      <c r="G965" s="249"/>
      <c r="H965" s="249"/>
      <c r="I965" s="249"/>
      <c r="J965" s="249"/>
      <c r="K965" s="249"/>
      <c r="L965" s="249"/>
      <c r="M965" s="249"/>
      <c r="N965" s="249"/>
      <c r="O965" s="249"/>
      <c r="P965" s="249"/>
      <c r="Q965" s="249"/>
      <c r="R965" s="249"/>
      <c r="S965" s="249"/>
      <c r="T965" s="249"/>
      <c r="U965" s="249"/>
      <c r="V965" s="249"/>
      <c r="W965" s="249"/>
      <c r="X965" s="249"/>
      <c r="Y965" s="249"/>
      <c r="Z965" s="249"/>
      <c r="AA965" s="249"/>
    </row>
    <row r="966">
      <c r="A966" s="249"/>
      <c r="B966" s="249"/>
      <c r="C966" s="249"/>
      <c r="D966" s="249"/>
      <c r="E966" s="249"/>
      <c r="F966" s="249"/>
      <c r="G966" s="249"/>
      <c r="H966" s="249"/>
      <c r="I966" s="249"/>
      <c r="J966" s="249"/>
      <c r="K966" s="249"/>
      <c r="L966" s="249"/>
      <c r="M966" s="249"/>
      <c r="N966" s="249"/>
      <c r="O966" s="249"/>
      <c r="P966" s="249"/>
      <c r="Q966" s="249"/>
      <c r="R966" s="249"/>
      <c r="S966" s="249"/>
      <c r="T966" s="249"/>
      <c r="U966" s="249"/>
      <c r="V966" s="249"/>
      <c r="W966" s="249"/>
      <c r="X966" s="249"/>
      <c r="Y966" s="249"/>
      <c r="Z966" s="249"/>
      <c r="AA966" s="249"/>
    </row>
    <row r="967">
      <c r="A967" s="249"/>
      <c r="B967" s="249"/>
      <c r="C967" s="249"/>
      <c r="D967" s="249"/>
      <c r="E967" s="249"/>
      <c r="F967" s="249"/>
      <c r="G967" s="249"/>
      <c r="H967" s="249"/>
      <c r="I967" s="249"/>
      <c r="J967" s="249"/>
      <c r="K967" s="249"/>
      <c r="L967" s="249"/>
      <c r="M967" s="249"/>
      <c r="N967" s="249"/>
      <c r="O967" s="249"/>
      <c r="P967" s="249"/>
      <c r="Q967" s="249"/>
      <c r="R967" s="249"/>
      <c r="S967" s="249"/>
      <c r="T967" s="249"/>
      <c r="U967" s="249"/>
      <c r="V967" s="249"/>
      <c r="W967" s="249"/>
      <c r="X967" s="249"/>
      <c r="Y967" s="249"/>
      <c r="Z967" s="249"/>
      <c r="AA967" s="249"/>
    </row>
    <row r="968">
      <c r="A968" s="249"/>
      <c r="B968" s="249"/>
      <c r="C968" s="249"/>
      <c r="D968" s="249"/>
      <c r="E968" s="249"/>
      <c r="F968" s="249"/>
      <c r="G968" s="249"/>
      <c r="H968" s="249"/>
      <c r="I968" s="249"/>
      <c r="J968" s="249"/>
      <c r="K968" s="249"/>
      <c r="L968" s="249"/>
      <c r="M968" s="249"/>
      <c r="N968" s="249"/>
      <c r="O968" s="249"/>
      <c r="P968" s="249"/>
      <c r="Q968" s="249"/>
      <c r="R968" s="249"/>
      <c r="S968" s="249"/>
      <c r="T968" s="249"/>
      <c r="U968" s="249"/>
      <c r="V968" s="249"/>
      <c r="W968" s="249"/>
      <c r="X968" s="249"/>
      <c r="Y968" s="249"/>
      <c r="Z968" s="249"/>
      <c r="AA968" s="249"/>
    </row>
    <row r="969">
      <c r="A969" s="249"/>
      <c r="B969" s="249"/>
      <c r="C969" s="249"/>
      <c r="D969" s="249"/>
      <c r="E969" s="249"/>
      <c r="F969" s="249"/>
      <c r="G969" s="249"/>
      <c r="H969" s="249"/>
      <c r="I969" s="249"/>
      <c r="J969" s="249"/>
      <c r="K969" s="249"/>
      <c r="L969" s="249"/>
      <c r="M969" s="249"/>
      <c r="N969" s="249"/>
      <c r="O969" s="249"/>
      <c r="P969" s="249"/>
      <c r="Q969" s="249"/>
      <c r="R969" s="249"/>
      <c r="S969" s="249"/>
      <c r="T969" s="249"/>
      <c r="U969" s="249"/>
      <c r="V969" s="249"/>
      <c r="W969" s="249"/>
      <c r="X969" s="249"/>
      <c r="Y969" s="249"/>
      <c r="Z969" s="249"/>
      <c r="AA969" s="249"/>
    </row>
    <row r="970">
      <c r="A970" s="249"/>
      <c r="B970" s="249"/>
      <c r="C970" s="249"/>
      <c r="D970" s="249"/>
      <c r="E970" s="249"/>
      <c r="F970" s="249"/>
      <c r="G970" s="249"/>
      <c r="H970" s="249"/>
      <c r="I970" s="249"/>
      <c r="J970" s="249"/>
      <c r="K970" s="249"/>
      <c r="L970" s="249"/>
      <c r="M970" s="249"/>
      <c r="N970" s="249"/>
      <c r="O970" s="249"/>
      <c r="P970" s="249"/>
      <c r="Q970" s="249"/>
      <c r="R970" s="249"/>
      <c r="S970" s="249"/>
      <c r="T970" s="249"/>
      <c r="U970" s="249"/>
      <c r="V970" s="249"/>
      <c r="W970" s="249"/>
      <c r="X970" s="249"/>
      <c r="Y970" s="249"/>
      <c r="Z970" s="249"/>
      <c r="AA970" s="249"/>
    </row>
    <row r="971">
      <c r="A971" s="249"/>
      <c r="B971" s="249"/>
      <c r="C971" s="249"/>
      <c r="D971" s="249"/>
      <c r="E971" s="249"/>
      <c r="F971" s="249"/>
      <c r="G971" s="249"/>
      <c r="H971" s="249"/>
      <c r="I971" s="249"/>
      <c r="J971" s="249"/>
      <c r="K971" s="249"/>
      <c r="L971" s="249"/>
      <c r="M971" s="249"/>
      <c r="N971" s="249"/>
      <c r="O971" s="249"/>
      <c r="P971" s="249"/>
      <c r="Q971" s="249"/>
      <c r="R971" s="249"/>
      <c r="S971" s="249"/>
      <c r="T971" s="249"/>
      <c r="U971" s="249"/>
      <c r="V971" s="249"/>
      <c r="W971" s="249"/>
      <c r="X971" s="249"/>
      <c r="Y971" s="249"/>
      <c r="Z971" s="249"/>
      <c r="AA971" s="249"/>
    </row>
    <row r="972">
      <c r="A972" s="249"/>
      <c r="B972" s="249"/>
      <c r="C972" s="249"/>
      <c r="D972" s="249"/>
      <c r="E972" s="249"/>
      <c r="F972" s="249"/>
      <c r="G972" s="249"/>
      <c r="H972" s="249"/>
      <c r="I972" s="249"/>
      <c r="J972" s="249"/>
      <c r="K972" s="249"/>
      <c r="L972" s="249"/>
      <c r="M972" s="249"/>
      <c r="N972" s="249"/>
      <c r="O972" s="249"/>
      <c r="P972" s="249"/>
      <c r="Q972" s="249"/>
      <c r="R972" s="249"/>
      <c r="S972" s="249"/>
      <c r="T972" s="249"/>
      <c r="U972" s="249"/>
      <c r="V972" s="249"/>
      <c r="W972" s="249"/>
      <c r="X972" s="249"/>
      <c r="Y972" s="249"/>
      <c r="Z972" s="249"/>
      <c r="AA972" s="249"/>
    </row>
    <row r="973">
      <c r="A973" s="249"/>
      <c r="B973" s="249"/>
      <c r="C973" s="249"/>
      <c r="D973" s="249"/>
      <c r="E973" s="249"/>
      <c r="F973" s="249"/>
      <c r="G973" s="249"/>
      <c r="H973" s="249"/>
      <c r="I973" s="249"/>
      <c r="J973" s="249"/>
      <c r="K973" s="249"/>
      <c r="L973" s="249"/>
      <c r="M973" s="249"/>
      <c r="N973" s="249"/>
      <c r="O973" s="249"/>
      <c r="P973" s="249"/>
      <c r="Q973" s="249"/>
      <c r="R973" s="249"/>
      <c r="S973" s="249"/>
      <c r="T973" s="249"/>
      <c r="U973" s="249"/>
      <c r="V973" s="249"/>
      <c r="W973" s="249"/>
      <c r="X973" s="249"/>
      <c r="Y973" s="249"/>
      <c r="Z973" s="249"/>
      <c r="AA973" s="249"/>
    </row>
    <row r="974">
      <c r="A974" s="249"/>
      <c r="B974" s="249"/>
      <c r="C974" s="249"/>
      <c r="D974" s="249"/>
      <c r="E974" s="249"/>
      <c r="F974" s="249"/>
      <c r="G974" s="249"/>
      <c r="H974" s="249"/>
      <c r="I974" s="249"/>
      <c r="J974" s="249"/>
      <c r="K974" s="249"/>
      <c r="L974" s="249"/>
      <c r="M974" s="249"/>
      <c r="N974" s="249"/>
      <c r="O974" s="249"/>
      <c r="P974" s="249"/>
      <c r="Q974" s="249"/>
      <c r="R974" s="249"/>
      <c r="S974" s="249"/>
      <c r="T974" s="249"/>
      <c r="U974" s="249"/>
      <c r="V974" s="249"/>
      <c r="W974" s="249"/>
      <c r="X974" s="249"/>
      <c r="Y974" s="249"/>
      <c r="Z974" s="249"/>
      <c r="AA974" s="249"/>
    </row>
    <row r="975">
      <c r="A975" s="249"/>
      <c r="B975" s="249"/>
      <c r="C975" s="249"/>
      <c r="D975" s="249"/>
      <c r="E975" s="249"/>
      <c r="F975" s="249"/>
      <c r="G975" s="249"/>
      <c r="H975" s="249"/>
      <c r="I975" s="249"/>
      <c r="J975" s="249"/>
      <c r="K975" s="249"/>
      <c r="L975" s="249"/>
      <c r="M975" s="249"/>
      <c r="N975" s="249"/>
      <c r="O975" s="249"/>
      <c r="P975" s="249"/>
      <c r="Q975" s="249"/>
      <c r="R975" s="249"/>
      <c r="S975" s="249"/>
      <c r="T975" s="249"/>
      <c r="U975" s="249"/>
      <c r="V975" s="249"/>
      <c r="W975" s="249"/>
      <c r="X975" s="249"/>
      <c r="Y975" s="249"/>
      <c r="Z975" s="249"/>
      <c r="AA975" s="249"/>
    </row>
    <row r="976">
      <c r="A976" s="249"/>
      <c r="B976" s="249"/>
      <c r="C976" s="249"/>
      <c r="D976" s="249"/>
      <c r="E976" s="249"/>
      <c r="F976" s="249"/>
      <c r="G976" s="249"/>
      <c r="H976" s="249"/>
      <c r="I976" s="249"/>
      <c r="J976" s="249"/>
      <c r="K976" s="249"/>
      <c r="L976" s="249"/>
      <c r="M976" s="249"/>
      <c r="N976" s="249"/>
      <c r="O976" s="249"/>
      <c r="P976" s="249"/>
      <c r="Q976" s="249"/>
      <c r="R976" s="249"/>
      <c r="S976" s="249"/>
      <c r="T976" s="249"/>
      <c r="U976" s="249"/>
      <c r="V976" s="249"/>
      <c r="W976" s="249"/>
      <c r="X976" s="249"/>
      <c r="Y976" s="249"/>
      <c r="Z976" s="249"/>
      <c r="AA976" s="249"/>
    </row>
    <row r="977">
      <c r="A977" s="249"/>
      <c r="B977" s="249"/>
      <c r="C977" s="249"/>
      <c r="D977" s="249"/>
      <c r="E977" s="249"/>
      <c r="F977" s="249"/>
      <c r="G977" s="249"/>
      <c r="H977" s="249"/>
      <c r="I977" s="249"/>
      <c r="J977" s="249"/>
      <c r="K977" s="249"/>
      <c r="L977" s="249"/>
      <c r="M977" s="249"/>
      <c r="N977" s="249"/>
      <c r="O977" s="249"/>
      <c r="P977" s="249"/>
      <c r="Q977" s="249"/>
      <c r="R977" s="249"/>
      <c r="S977" s="249"/>
      <c r="T977" s="249"/>
      <c r="U977" s="249"/>
      <c r="V977" s="249"/>
      <c r="W977" s="249"/>
      <c r="X977" s="249"/>
      <c r="Y977" s="249"/>
      <c r="Z977" s="249"/>
      <c r="AA977" s="249"/>
    </row>
    <row r="978">
      <c r="A978" s="249"/>
      <c r="B978" s="249"/>
      <c r="C978" s="249"/>
      <c r="D978" s="249"/>
      <c r="E978" s="249"/>
      <c r="F978" s="249"/>
      <c r="G978" s="249"/>
      <c r="H978" s="249"/>
      <c r="I978" s="249"/>
      <c r="J978" s="249"/>
      <c r="K978" s="249"/>
      <c r="L978" s="249"/>
      <c r="M978" s="249"/>
      <c r="N978" s="249"/>
      <c r="O978" s="249"/>
      <c r="P978" s="249"/>
      <c r="Q978" s="249"/>
      <c r="R978" s="249"/>
      <c r="S978" s="249"/>
      <c r="T978" s="249"/>
      <c r="U978" s="249"/>
      <c r="V978" s="249"/>
      <c r="W978" s="249"/>
      <c r="X978" s="249"/>
      <c r="Y978" s="249"/>
      <c r="Z978" s="249"/>
      <c r="AA978" s="249"/>
    </row>
    <row r="979">
      <c r="A979" s="249"/>
      <c r="B979" s="249"/>
      <c r="C979" s="249"/>
      <c r="D979" s="249"/>
      <c r="E979" s="249"/>
      <c r="F979" s="249"/>
      <c r="G979" s="249"/>
      <c r="H979" s="249"/>
      <c r="I979" s="249"/>
      <c r="J979" s="249"/>
      <c r="K979" s="249"/>
      <c r="L979" s="249"/>
      <c r="M979" s="249"/>
      <c r="N979" s="249"/>
      <c r="O979" s="249"/>
      <c r="P979" s="249"/>
      <c r="Q979" s="249"/>
      <c r="R979" s="249"/>
      <c r="S979" s="249"/>
      <c r="T979" s="249"/>
      <c r="U979" s="249"/>
      <c r="V979" s="249"/>
      <c r="W979" s="249"/>
      <c r="X979" s="249"/>
      <c r="Y979" s="249"/>
      <c r="Z979" s="249"/>
      <c r="AA979" s="249"/>
    </row>
    <row r="980">
      <c r="A980" s="249"/>
      <c r="B980" s="249"/>
      <c r="C980" s="249"/>
      <c r="D980" s="249"/>
      <c r="E980" s="249"/>
      <c r="F980" s="249"/>
      <c r="G980" s="249"/>
      <c r="H980" s="249"/>
      <c r="I980" s="249"/>
      <c r="J980" s="249"/>
      <c r="K980" s="249"/>
      <c r="L980" s="249"/>
      <c r="M980" s="249"/>
      <c r="N980" s="249"/>
      <c r="O980" s="249"/>
      <c r="P980" s="249"/>
      <c r="Q980" s="249"/>
      <c r="R980" s="249"/>
      <c r="S980" s="249"/>
      <c r="T980" s="249"/>
      <c r="U980" s="249"/>
      <c r="V980" s="249"/>
      <c r="W980" s="249"/>
      <c r="X980" s="249"/>
      <c r="Y980" s="249"/>
      <c r="Z980" s="249"/>
      <c r="AA980" s="249"/>
    </row>
    <row r="981">
      <c r="A981" s="249"/>
      <c r="B981" s="249"/>
      <c r="C981" s="249"/>
      <c r="D981" s="249"/>
      <c r="E981" s="249"/>
      <c r="F981" s="249"/>
      <c r="G981" s="249"/>
      <c r="H981" s="249"/>
      <c r="I981" s="249"/>
      <c r="J981" s="249"/>
      <c r="K981" s="249"/>
      <c r="L981" s="249"/>
      <c r="M981" s="249"/>
      <c r="N981" s="249"/>
      <c r="O981" s="249"/>
      <c r="P981" s="249"/>
      <c r="Q981" s="249"/>
      <c r="R981" s="249"/>
      <c r="S981" s="249"/>
      <c r="T981" s="249"/>
      <c r="U981" s="249"/>
      <c r="V981" s="249"/>
      <c r="W981" s="249"/>
      <c r="X981" s="249"/>
      <c r="Y981" s="249"/>
      <c r="Z981" s="249"/>
      <c r="AA981" s="249"/>
    </row>
    <row r="982">
      <c r="A982" s="249"/>
      <c r="B982" s="249"/>
      <c r="C982" s="249"/>
      <c r="D982" s="249"/>
      <c r="E982" s="249"/>
      <c r="F982" s="249"/>
      <c r="G982" s="249"/>
      <c r="H982" s="249"/>
      <c r="I982" s="249"/>
      <c r="J982" s="249"/>
      <c r="K982" s="249"/>
      <c r="L982" s="249"/>
      <c r="M982" s="249"/>
      <c r="N982" s="249"/>
      <c r="O982" s="249"/>
      <c r="P982" s="249"/>
      <c r="Q982" s="249"/>
      <c r="R982" s="249"/>
      <c r="S982" s="249"/>
      <c r="T982" s="249"/>
      <c r="U982" s="249"/>
      <c r="V982" s="249"/>
      <c r="W982" s="249"/>
      <c r="X982" s="249"/>
      <c r="Y982" s="249"/>
      <c r="Z982" s="249"/>
      <c r="AA982" s="249"/>
    </row>
    <row r="983">
      <c r="A983" s="249"/>
      <c r="B983" s="249"/>
      <c r="C983" s="249"/>
      <c r="D983" s="249"/>
      <c r="E983" s="249"/>
      <c r="F983" s="249"/>
      <c r="G983" s="249"/>
      <c r="H983" s="249"/>
      <c r="I983" s="249"/>
      <c r="J983" s="249"/>
      <c r="K983" s="249"/>
      <c r="L983" s="249"/>
      <c r="M983" s="249"/>
      <c r="N983" s="249"/>
      <c r="O983" s="249"/>
      <c r="P983" s="249"/>
      <c r="Q983" s="249"/>
      <c r="R983" s="249"/>
      <c r="S983" s="249"/>
      <c r="T983" s="249"/>
      <c r="U983" s="249"/>
      <c r="V983" s="249"/>
      <c r="W983" s="249"/>
      <c r="X983" s="249"/>
      <c r="Y983" s="249"/>
      <c r="Z983" s="249"/>
      <c r="AA983" s="249"/>
    </row>
    <row r="984">
      <c r="A984" s="249"/>
      <c r="B984" s="249"/>
      <c r="C984" s="249"/>
      <c r="D984" s="249"/>
      <c r="E984" s="249"/>
      <c r="F984" s="249"/>
      <c r="G984" s="249"/>
      <c r="H984" s="249"/>
      <c r="I984" s="249"/>
      <c r="J984" s="249"/>
      <c r="K984" s="249"/>
      <c r="L984" s="249"/>
      <c r="M984" s="249"/>
      <c r="N984" s="249"/>
      <c r="O984" s="249"/>
      <c r="P984" s="249"/>
      <c r="Q984" s="249"/>
      <c r="R984" s="249"/>
      <c r="S984" s="249"/>
      <c r="T984" s="249"/>
      <c r="U984" s="249"/>
      <c r="V984" s="249"/>
      <c r="W984" s="249"/>
      <c r="X984" s="249"/>
      <c r="Y984" s="249"/>
      <c r="Z984" s="249"/>
      <c r="AA984" s="249"/>
    </row>
    <row r="985">
      <c r="A985" s="249"/>
      <c r="B985" s="249"/>
      <c r="C985" s="249"/>
      <c r="D985" s="249"/>
      <c r="E985" s="249"/>
      <c r="F985" s="249"/>
      <c r="G985" s="249"/>
      <c r="H985" s="249"/>
      <c r="I985" s="249"/>
      <c r="J985" s="249"/>
      <c r="K985" s="249"/>
      <c r="L985" s="249"/>
      <c r="M985" s="249"/>
      <c r="N985" s="249"/>
      <c r="O985" s="249"/>
      <c r="P985" s="249"/>
      <c r="Q985" s="249"/>
      <c r="R985" s="249"/>
      <c r="S985" s="249"/>
      <c r="T985" s="249"/>
      <c r="U985" s="249"/>
      <c r="V985" s="249"/>
      <c r="W985" s="249"/>
      <c r="X985" s="249"/>
      <c r="Y985" s="249"/>
      <c r="Z985" s="249"/>
      <c r="AA985" s="249"/>
    </row>
    <row r="986">
      <c r="A986" s="249"/>
      <c r="B986" s="249"/>
      <c r="C986" s="249"/>
      <c r="D986" s="249"/>
      <c r="E986" s="249"/>
      <c r="F986" s="249"/>
      <c r="G986" s="249"/>
      <c r="H986" s="249"/>
      <c r="I986" s="249"/>
      <c r="J986" s="249"/>
      <c r="K986" s="249"/>
      <c r="L986" s="249"/>
      <c r="M986" s="249"/>
      <c r="N986" s="249"/>
      <c r="O986" s="249"/>
      <c r="P986" s="249"/>
      <c r="Q986" s="249"/>
      <c r="R986" s="249"/>
      <c r="S986" s="249"/>
      <c r="T986" s="249"/>
      <c r="U986" s="249"/>
      <c r="V986" s="249"/>
      <c r="W986" s="249"/>
      <c r="X986" s="249"/>
      <c r="Y986" s="249"/>
      <c r="Z986" s="249"/>
      <c r="AA986" s="249"/>
    </row>
    <row r="987">
      <c r="A987" s="249"/>
      <c r="B987" s="249"/>
      <c r="C987" s="249"/>
      <c r="D987" s="249"/>
      <c r="E987" s="249"/>
      <c r="F987" s="249"/>
      <c r="G987" s="249"/>
      <c r="H987" s="249"/>
      <c r="I987" s="249"/>
      <c r="J987" s="249"/>
      <c r="K987" s="249"/>
      <c r="L987" s="249"/>
      <c r="M987" s="249"/>
      <c r="N987" s="249"/>
      <c r="O987" s="249"/>
      <c r="P987" s="249"/>
      <c r="Q987" s="249"/>
      <c r="R987" s="249"/>
      <c r="S987" s="249"/>
      <c r="T987" s="249"/>
      <c r="U987" s="249"/>
      <c r="V987" s="249"/>
      <c r="W987" s="249"/>
      <c r="X987" s="249"/>
      <c r="Y987" s="249"/>
      <c r="Z987" s="249"/>
      <c r="AA987" s="249"/>
    </row>
    <row r="988">
      <c r="A988" s="249"/>
      <c r="B988" s="249"/>
      <c r="C988" s="249"/>
      <c r="D988" s="249"/>
      <c r="E988" s="249"/>
      <c r="F988" s="249"/>
      <c r="G988" s="249"/>
      <c r="H988" s="249"/>
      <c r="I988" s="249"/>
      <c r="J988" s="249"/>
      <c r="K988" s="249"/>
      <c r="L988" s="249"/>
      <c r="M988" s="249"/>
      <c r="N988" s="249"/>
      <c r="O988" s="249"/>
      <c r="P988" s="249"/>
      <c r="Q988" s="249"/>
      <c r="R988" s="249"/>
      <c r="S988" s="249"/>
      <c r="T988" s="249"/>
      <c r="U988" s="249"/>
      <c r="V988" s="249"/>
      <c r="W988" s="249"/>
      <c r="X988" s="249"/>
      <c r="Y988" s="249"/>
      <c r="Z988" s="249"/>
      <c r="AA988" s="249"/>
    </row>
    <row r="989">
      <c r="A989" s="249"/>
      <c r="B989" s="249"/>
      <c r="C989" s="249"/>
      <c r="D989" s="249"/>
      <c r="E989" s="249"/>
      <c r="F989" s="249"/>
      <c r="G989" s="249"/>
      <c r="H989" s="249"/>
      <c r="I989" s="249"/>
      <c r="J989" s="249"/>
      <c r="K989" s="249"/>
      <c r="L989" s="249"/>
      <c r="M989" s="249"/>
      <c r="N989" s="249"/>
      <c r="O989" s="249"/>
      <c r="P989" s="249"/>
      <c r="Q989" s="249"/>
      <c r="R989" s="249"/>
      <c r="S989" s="249"/>
      <c r="T989" s="249"/>
      <c r="U989" s="249"/>
      <c r="V989" s="249"/>
      <c r="W989" s="249"/>
      <c r="X989" s="249"/>
      <c r="Y989" s="249"/>
      <c r="Z989" s="249"/>
      <c r="AA989" s="249"/>
    </row>
    <row r="990">
      <c r="A990" s="249"/>
      <c r="B990" s="249"/>
      <c r="C990" s="249"/>
      <c r="D990" s="249"/>
      <c r="E990" s="249"/>
      <c r="F990" s="249"/>
      <c r="G990" s="249"/>
      <c r="H990" s="249"/>
      <c r="I990" s="249"/>
      <c r="J990" s="249"/>
      <c r="K990" s="249"/>
      <c r="L990" s="249"/>
      <c r="M990" s="249"/>
      <c r="N990" s="249"/>
      <c r="O990" s="249"/>
      <c r="P990" s="249"/>
      <c r="Q990" s="249"/>
      <c r="R990" s="249"/>
      <c r="S990" s="249"/>
      <c r="T990" s="249"/>
      <c r="U990" s="249"/>
      <c r="V990" s="249"/>
      <c r="W990" s="249"/>
      <c r="X990" s="249"/>
      <c r="Y990" s="249"/>
      <c r="Z990" s="249"/>
      <c r="AA990" s="249"/>
    </row>
    <row r="991">
      <c r="A991" s="249"/>
      <c r="B991" s="249"/>
      <c r="C991" s="249"/>
      <c r="D991" s="249"/>
      <c r="E991" s="249"/>
      <c r="F991" s="249"/>
      <c r="G991" s="249"/>
      <c r="H991" s="249"/>
      <c r="I991" s="249"/>
      <c r="J991" s="249"/>
      <c r="K991" s="249"/>
      <c r="L991" s="249"/>
      <c r="M991" s="249"/>
      <c r="N991" s="249"/>
      <c r="O991" s="249"/>
      <c r="P991" s="249"/>
      <c r="Q991" s="249"/>
      <c r="R991" s="249"/>
      <c r="S991" s="249"/>
      <c r="T991" s="249"/>
      <c r="U991" s="249"/>
      <c r="V991" s="249"/>
      <c r="W991" s="249"/>
      <c r="X991" s="249"/>
      <c r="Y991" s="249"/>
      <c r="Z991" s="249"/>
      <c r="AA991" s="249"/>
    </row>
    <row r="992">
      <c r="A992" s="249"/>
      <c r="B992" s="249"/>
      <c r="C992" s="249"/>
      <c r="D992" s="249"/>
      <c r="E992" s="249"/>
      <c r="F992" s="249"/>
      <c r="G992" s="249"/>
      <c r="H992" s="249"/>
      <c r="I992" s="249"/>
      <c r="J992" s="249"/>
      <c r="K992" s="249"/>
      <c r="L992" s="249"/>
      <c r="M992" s="249"/>
      <c r="N992" s="249"/>
      <c r="O992" s="249"/>
      <c r="P992" s="249"/>
      <c r="Q992" s="249"/>
      <c r="R992" s="249"/>
      <c r="S992" s="249"/>
      <c r="T992" s="249"/>
      <c r="U992" s="249"/>
      <c r="V992" s="249"/>
      <c r="W992" s="249"/>
      <c r="X992" s="249"/>
      <c r="Y992" s="249"/>
      <c r="Z992" s="249"/>
      <c r="AA992" s="249"/>
    </row>
    <row r="993">
      <c r="A993" s="249"/>
      <c r="B993" s="249"/>
      <c r="C993" s="249"/>
      <c r="D993" s="249"/>
      <c r="E993" s="249"/>
      <c r="F993" s="249"/>
      <c r="G993" s="249"/>
      <c r="H993" s="249"/>
      <c r="I993" s="249"/>
      <c r="J993" s="249"/>
      <c r="K993" s="249"/>
      <c r="L993" s="249"/>
      <c r="M993" s="249"/>
      <c r="N993" s="249"/>
      <c r="O993" s="249"/>
      <c r="P993" s="249"/>
      <c r="Q993" s="249"/>
      <c r="R993" s="249"/>
      <c r="S993" s="249"/>
      <c r="T993" s="249"/>
      <c r="U993" s="249"/>
      <c r="V993" s="249"/>
      <c r="W993" s="249"/>
      <c r="X993" s="249"/>
      <c r="Y993" s="249"/>
      <c r="Z993" s="249"/>
      <c r="AA993" s="249"/>
    </row>
    <row r="994">
      <c r="A994" s="249"/>
      <c r="B994" s="249"/>
      <c r="C994" s="249"/>
      <c r="D994" s="249"/>
      <c r="E994" s="249"/>
      <c r="F994" s="249"/>
      <c r="G994" s="249"/>
      <c r="H994" s="249"/>
      <c r="I994" s="249"/>
      <c r="J994" s="249"/>
      <c r="K994" s="249"/>
      <c r="L994" s="249"/>
      <c r="M994" s="249"/>
      <c r="N994" s="249"/>
      <c r="O994" s="249"/>
      <c r="P994" s="249"/>
      <c r="Q994" s="249"/>
      <c r="R994" s="249"/>
      <c r="S994" s="249"/>
      <c r="T994" s="249"/>
      <c r="U994" s="249"/>
      <c r="V994" s="249"/>
      <c r="W994" s="249"/>
      <c r="X994" s="249"/>
      <c r="Y994" s="249"/>
      <c r="Z994" s="249"/>
      <c r="AA994" s="249"/>
    </row>
    <row r="995">
      <c r="A995" s="249"/>
      <c r="B995" s="249"/>
      <c r="C995" s="249"/>
      <c r="D995" s="249"/>
      <c r="E995" s="249"/>
      <c r="F995" s="249"/>
      <c r="G995" s="249"/>
      <c r="H995" s="249"/>
      <c r="I995" s="249"/>
      <c r="J995" s="249"/>
      <c r="K995" s="249"/>
      <c r="L995" s="249"/>
      <c r="M995" s="249"/>
      <c r="N995" s="249"/>
      <c r="O995" s="249"/>
      <c r="P995" s="249"/>
      <c r="Q995" s="249"/>
      <c r="R995" s="249"/>
      <c r="S995" s="249"/>
      <c r="T995" s="249"/>
      <c r="U995" s="249"/>
      <c r="V995" s="249"/>
      <c r="W995" s="249"/>
      <c r="X995" s="249"/>
      <c r="Y995" s="249"/>
      <c r="Z995" s="249"/>
      <c r="AA995" s="249"/>
    </row>
    <row r="996">
      <c r="A996" s="249"/>
      <c r="B996" s="249"/>
      <c r="C996" s="249"/>
      <c r="D996" s="249"/>
      <c r="E996" s="249"/>
      <c r="F996" s="249"/>
      <c r="G996" s="249"/>
      <c r="H996" s="249"/>
      <c r="I996" s="249"/>
      <c r="J996" s="249"/>
      <c r="K996" s="249"/>
      <c r="L996" s="249"/>
      <c r="M996" s="249"/>
      <c r="N996" s="249"/>
      <c r="O996" s="249"/>
      <c r="P996" s="249"/>
      <c r="Q996" s="249"/>
      <c r="R996" s="249"/>
      <c r="S996" s="249"/>
      <c r="T996" s="249"/>
      <c r="U996" s="249"/>
      <c r="V996" s="249"/>
      <c r="W996" s="249"/>
      <c r="X996" s="249"/>
      <c r="Y996" s="249"/>
      <c r="Z996" s="249"/>
      <c r="AA996" s="249"/>
    </row>
    <row r="997">
      <c r="A997" s="249"/>
      <c r="B997" s="249"/>
      <c r="C997" s="249"/>
      <c r="D997" s="249"/>
      <c r="E997" s="249"/>
      <c r="F997" s="249"/>
      <c r="G997" s="249"/>
      <c r="H997" s="249"/>
      <c r="I997" s="249"/>
      <c r="J997" s="249"/>
      <c r="K997" s="249"/>
      <c r="L997" s="249"/>
      <c r="M997" s="249"/>
      <c r="N997" s="249"/>
      <c r="O997" s="249"/>
      <c r="P997" s="249"/>
      <c r="Q997" s="249"/>
      <c r="R997" s="249"/>
      <c r="S997" s="249"/>
      <c r="T997" s="249"/>
      <c r="U997" s="249"/>
      <c r="V997" s="249"/>
      <c r="W997" s="249"/>
      <c r="X997" s="249"/>
      <c r="Y997" s="249"/>
      <c r="Z997" s="249"/>
      <c r="AA997" s="249"/>
    </row>
    <row r="998">
      <c r="A998" s="249"/>
      <c r="B998" s="249"/>
      <c r="C998" s="249"/>
      <c r="D998" s="249"/>
      <c r="E998" s="249"/>
      <c r="F998" s="249"/>
      <c r="G998" s="249"/>
      <c r="H998" s="249"/>
      <c r="I998" s="249"/>
      <c r="J998" s="249"/>
      <c r="K998" s="249"/>
      <c r="L998" s="249"/>
      <c r="M998" s="249"/>
      <c r="N998" s="249"/>
      <c r="O998" s="249"/>
      <c r="P998" s="249"/>
      <c r="Q998" s="249"/>
      <c r="R998" s="249"/>
      <c r="S998" s="249"/>
      <c r="T998" s="249"/>
      <c r="U998" s="249"/>
      <c r="V998" s="249"/>
      <c r="W998" s="249"/>
      <c r="X998" s="249"/>
      <c r="Y998" s="249"/>
      <c r="Z998" s="249"/>
      <c r="AA998" s="249"/>
    </row>
    <row r="999">
      <c r="A999" s="249"/>
      <c r="B999" s="249"/>
      <c r="C999" s="249"/>
      <c r="D999" s="249"/>
      <c r="E999" s="249"/>
      <c r="F999" s="249"/>
      <c r="G999" s="249"/>
      <c r="H999" s="249"/>
      <c r="I999" s="249"/>
      <c r="J999" s="249"/>
      <c r="K999" s="249"/>
      <c r="L999" s="249"/>
      <c r="M999" s="249"/>
      <c r="N999" s="249"/>
      <c r="O999" s="249"/>
      <c r="P999" s="249"/>
      <c r="Q999" s="249"/>
      <c r="R999" s="249"/>
      <c r="S999" s="249"/>
      <c r="T999" s="249"/>
      <c r="U999" s="249"/>
      <c r="V999" s="249"/>
      <c r="W999" s="249"/>
      <c r="X999" s="249"/>
      <c r="Y999" s="249"/>
      <c r="Z999" s="249"/>
      <c r="AA999" s="249"/>
    </row>
    <row r="1000">
      <c r="A1000" s="249"/>
      <c r="B1000" s="249"/>
      <c r="C1000" s="249"/>
      <c r="D1000" s="249"/>
      <c r="E1000" s="249"/>
      <c r="F1000" s="249"/>
      <c r="G1000" s="249"/>
      <c r="H1000" s="249"/>
      <c r="I1000" s="249"/>
      <c r="J1000" s="249"/>
      <c r="K1000" s="249"/>
      <c r="L1000" s="249"/>
      <c r="M1000" s="249"/>
      <c r="N1000" s="249"/>
      <c r="O1000" s="249"/>
      <c r="P1000" s="249"/>
      <c r="Q1000" s="249"/>
      <c r="R1000" s="249"/>
      <c r="S1000" s="249"/>
      <c r="T1000" s="249"/>
      <c r="U1000" s="249"/>
      <c r="V1000" s="249"/>
      <c r="W1000" s="249"/>
      <c r="X1000" s="249"/>
      <c r="Y1000" s="249"/>
      <c r="Z1000" s="249"/>
      <c r="AA1000" s="249"/>
    </row>
    <row r="1001">
      <c r="A1001" s="249"/>
      <c r="B1001" s="249"/>
      <c r="C1001" s="249"/>
      <c r="D1001" s="249"/>
      <c r="E1001" s="249"/>
      <c r="F1001" s="249"/>
      <c r="G1001" s="249"/>
      <c r="H1001" s="249"/>
      <c r="I1001" s="249"/>
      <c r="J1001" s="249"/>
      <c r="K1001" s="249"/>
      <c r="L1001" s="249"/>
      <c r="M1001" s="249"/>
      <c r="N1001" s="249"/>
      <c r="O1001" s="249"/>
      <c r="P1001" s="249"/>
      <c r="Q1001" s="249"/>
      <c r="R1001" s="249"/>
      <c r="S1001" s="249"/>
      <c r="T1001" s="249"/>
      <c r="U1001" s="249"/>
      <c r="V1001" s="249"/>
      <c r="W1001" s="249"/>
      <c r="X1001" s="249"/>
      <c r="Y1001" s="249"/>
      <c r="Z1001" s="249"/>
      <c r="AA1001" s="249"/>
    </row>
    <row r="1002">
      <c r="A1002" s="249"/>
      <c r="B1002" s="249"/>
      <c r="C1002" s="249"/>
      <c r="D1002" s="249"/>
      <c r="E1002" s="249"/>
      <c r="F1002" s="249"/>
      <c r="G1002" s="249"/>
      <c r="H1002" s="249"/>
      <c r="I1002" s="249"/>
      <c r="J1002" s="249"/>
      <c r="K1002" s="249"/>
      <c r="L1002" s="249"/>
      <c r="M1002" s="249"/>
      <c r="N1002" s="249"/>
      <c r="O1002" s="249"/>
      <c r="P1002" s="249"/>
      <c r="Q1002" s="249"/>
      <c r="R1002" s="249"/>
      <c r="S1002" s="249"/>
      <c r="T1002" s="249"/>
      <c r="U1002" s="249"/>
      <c r="V1002" s="249"/>
      <c r="W1002" s="249"/>
      <c r="X1002" s="249"/>
      <c r="Y1002" s="249"/>
      <c r="Z1002" s="249"/>
      <c r="AA1002" s="249"/>
    </row>
    <row r="1003">
      <c r="A1003" s="249"/>
      <c r="B1003" s="249"/>
      <c r="C1003" s="249"/>
      <c r="D1003" s="249"/>
      <c r="E1003" s="249"/>
      <c r="F1003" s="249"/>
      <c r="G1003" s="249"/>
      <c r="H1003" s="249"/>
      <c r="I1003" s="249"/>
      <c r="J1003" s="249"/>
      <c r="K1003" s="249"/>
      <c r="L1003" s="249"/>
      <c r="M1003" s="249"/>
      <c r="N1003" s="249"/>
      <c r="O1003" s="249"/>
      <c r="P1003" s="249"/>
      <c r="Q1003" s="249"/>
      <c r="R1003" s="249"/>
      <c r="S1003" s="249"/>
      <c r="T1003" s="249"/>
      <c r="U1003" s="249"/>
      <c r="V1003" s="249"/>
      <c r="W1003" s="249"/>
      <c r="X1003" s="249"/>
      <c r="Y1003" s="249"/>
      <c r="Z1003" s="249"/>
      <c r="AA1003" s="249"/>
    </row>
    <row r="1004">
      <c r="A1004" s="249"/>
      <c r="B1004" s="249"/>
      <c r="C1004" s="249"/>
      <c r="D1004" s="249"/>
      <c r="E1004" s="249"/>
      <c r="F1004" s="249"/>
      <c r="G1004" s="249"/>
      <c r="H1004" s="249"/>
      <c r="I1004" s="249"/>
      <c r="J1004" s="249"/>
      <c r="K1004" s="249"/>
      <c r="L1004" s="249"/>
      <c r="M1004" s="249"/>
      <c r="N1004" s="249"/>
      <c r="O1004" s="249"/>
      <c r="P1004" s="249"/>
      <c r="Q1004" s="249"/>
      <c r="R1004" s="249"/>
      <c r="S1004" s="249"/>
      <c r="T1004" s="249"/>
      <c r="U1004" s="249"/>
      <c r="V1004" s="249"/>
      <c r="W1004" s="249"/>
      <c r="X1004" s="249"/>
      <c r="Y1004" s="249"/>
      <c r="Z1004" s="249"/>
      <c r="AA1004" s="249"/>
    </row>
    <row r="1005">
      <c r="A1005" s="249"/>
      <c r="B1005" s="249"/>
      <c r="C1005" s="249"/>
      <c r="D1005" s="249"/>
      <c r="E1005" s="249"/>
      <c r="F1005" s="249"/>
      <c r="G1005" s="249"/>
      <c r="H1005" s="249"/>
      <c r="I1005" s="249"/>
      <c r="J1005" s="249"/>
      <c r="K1005" s="249"/>
      <c r="L1005" s="249"/>
      <c r="M1005" s="249"/>
      <c r="N1005" s="249"/>
      <c r="O1005" s="249"/>
      <c r="P1005" s="249"/>
      <c r="Q1005" s="249"/>
      <c r="R1005" s="249"/>
      <c r="S1005" s="249"/>
      <c r="T1005" s="249"/>
      <c r="U1005" s="249"/>
      <c r="V1005" s="249"/>
      <c r="W1005" s="249"/>
      <c r="X1005" s="249"/>
      <c r="Y1005" s="249"/>
      <c r="Z1005" s="249"/>
      <c r="AA1005" s="249"/>
    </row>
    <row r="1006">
      <c r="A1006" s="249"/>
      <c r="B1006" s="249"/>
      <c r="C1006" s="249"/>
      <c r="D1006" s="249"/>
      <c r="E1006" s="249"/>
      <c r="F1006" s="249"/>
      <c r="G1006" s="249"/>
      <c r="H1006" s="249"/>
      <c r="I1006" s="249"/>
      <c r="J1006" s="249"/>
      <c r="K1006" s="249"/>
      <c r="L1006" s="249"/>
      <c r="M1006" s="249"/>
      <c r="N1006" s="249"/>
      <c r="O1006" s="249"/>
      <c r="P1006" s="249"/>
      <c r="Q1006" s="249"/>
      <c r="R1006" s="249"/>
      <c r="S1006" s="249"/>
      <c r="T1006" s="249"/>
      <c r="U1006" s="249"/>
      <c r="V1006" s="249"/>
      <c r="W1006" s="249"/>
      <c r="X1006" s="249"/>
      <c r="Y1006" s="249"/>
      <c r="Z1006" s="249"/>
      <c r="AA1006" s="249"/>
    </row>
    <row r="1007">
      <c r="A1007" s="249"/>
      <c r="B1007" s="249"/>
      <c r="C1007" s="249"/>
      <c r="D1007" s="249"/>
      <c r="E1007" s="249"/>
      <c r="F1007" s="249"/>
      <c r="G1007" s="249"/>
      <c r="H1007" s="249"/>
      <c r="I1007" s="249"/>
      <c r="J1007" s="249"/>
      <c r="K1007" s="249"/>
      <c r="L1007" s="249"/>
      <c r="M1007" s="249"/>
      <c r="N1007" s="249"/>
      <c r="O1007" s="249"/>
      <c r="P1007" s="249"/>
      <c r="Q1007" s="249"/>
      <c r="R1007" s="249"/>
      <c r="S1007" s="249"/>
      <c r="T1007" s="249"/>
      <c r="U1007" s="249"/>
      <c r="V1007" s="249"/>
      <c r="W1007" s="249"/>
      <c r="X1007" s="249"/>
      <c r="Y1007" s="249"/>
      <c r="Z1007" s="249"/>
      <c r="AA1007" s="249"/>
    </row>
    <row r="1008">
      <c r="A1008" s="249"/>
      <c r="B1008" s="249"/>
      <c r="C1008" s="249"/>
      <c r="D1008" s="249"/>
      <c r="E1008" s="249"/>
      <c r="F1008" s="249"/>
      <c r="G1008" s="249"/>
      <c r="H1008" s="249"/>
      <c r="I1008" s="249"/>
      <c r="J1008" s="249"/>
      <c r="K1008" s="249"/>
      <c r="L1008" s="249"/>
      <c r="M1008" s="249"/>
      <c r="N1008" s="249"/>
      <c r="O1008" s="249"/>
      <c r="P1008" s="249"/>
      <c r="Q1008" s="249"/>
      <c r="R1008" s="249"/>
      <c r="S1008" s="249"/>
      <c r="T1008" s="249"/>
      <c r="U1008" s="249"/>
      <c r="V1008" s="249"/>
      <c r="W1008" s="249"/>
      <c r="X1008" s="249"/>
      <c r="Y1008" s="249"/>
      <c r="Z1008" s="249"/>
      <c r="AA1008" s="249"/>
    </row>
    <row r="1009">
      <c r="A1009" s="249"/>
      <c r="B1009" s="249"/>
      <c r="C1009" s="249"/>
      <c r="D1009" s="249"/>
      <c r="E1009" s="249"/>
      <c r="F1009" s="249"/>
      <c r="G1009" s="249"/>
      <c r="H1009" s="249"/>
      <c r="I1009" s="249"/>
      <c r="J1009" s="249"/>
      <c r="K1009" s="249"/>
      <c r="L1009" s="249"/>
      <c r="M1009" s="249"/>
      <c r="N1009" s="249"/>
      <c r="O1009" s="249"/>
      <c r="P1009" s="249"/>
      <c r="Q1009" s="249"/>
      <c r="R1009" s="249"/>
      <c r="S1009" s="249"/>
      <c r="T1009" s="249"/>
      <c r="U1009" s="249"/>
      <c r="V1009" s="249"/>
      <c r="W1009" s="249"/>
      <c r="X1009" s="249"/>
      <c r="Y1009" s="249"/>
      <c r="Z1009" s="249"/>
      <c r="AA1009" s="249"/>
    </row>
    <row r="1010">
      <c r="A1010" s="249"/>
      <c r="B1010" s="249"/>
      <c r="C1010" s="249"/>
      <c r="D1010" s="249"/>
      <c r="E1010" s="249"/>
      <c r="F1010" s="249"/>
      <c r="G1010" s="249"/>
      <c r="H1010" s="249"/>
      <c r="I1010" s="249"/>
      <c r="J1010" s="249"/>
      <c r="K1010" s="249"/>
      <c r="L1010" s="249"/>
      <c r="M1010" s="249"/>
      <c r="N1010" s="249"/>
      <c r="O1010" s="249"/>
      <c r="P1010" s="249"/>
      <c r="Q1010" s="249"/>
      <c r="R1010" s="249"/>
      <c r="S1010" s="249"/>
      <c r="T1010" s="249"/>
      <c r="U1010" s="249"/>
      <c r="V1010" s="249"/>
      <c r="W1010" s="249"/>
      <c r="X1010" s="249"/>
      <c r="Y1010" s="249"/>
      <c r="Z1010" s="249"/>
      <c r="AA1010" s="24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3" max="3" width="23.63"/>
  </cols>
  <sheetData>
    <row r="1">
      <c r="A1" s="280"/>
      <c r="B1" s="280"/>
      <c r="C1" s="280"/>
      <c r="D1" s="280"/>
      <c r="E1" s="280"/>
      <c r="F1" s="280"/>
      <c r="G1" s="280"/>
      <c r="H1" s="280"/>
      <c r="I1" s="280"/>
      <c r="J1" s="280"/>
      <c r="K1" s="280"/>
      <c r="L1" s="280"/>
      <c r="M1" s="280"/>
      <c r="N1" s="280"/>
      <c r="O1" s="280"/>
      <c r="P1" s="280"/>
      <c r="Q1" s="280"/>
      <c r="R1" s="280"/>
      <c r="S1" s="280"/>
      <c r="T1" s="280"/>
      <c r="U1" s="280"/>
      <c r="V1" s="280"/>
      <c r="W1" s="280"/>
      <c r="X1" s="280"/>
      <c r="Y1" s="280"/>
      <c r="Z1" s="280"/>
    </row>
    <row r="2">
      <c r="A2" s="281" t="s">
        <v>261</v>
      </c>
      <c r="B2" s="281" t="s">
        <v>262</v>
      </c>
      <c r="C2" s="280"/>
      <c r="D2" s="280"/>
      <c r="E2" s="280"/>
      <c r="F2" s="280"/>
      <c r="G2" s="280"/>
      <c r="H2" s="280"/>
      <c r="I2" s="280"/>
      <c r="J2" s="280"/>
      <c r="K2" s="280"/>
      <c r="L2" s="280"/>
      <c r="M2" s="280"/>
      <c r="N2" s="280"/>
      <c r="O2" s="280"/>
      <c r="P2" s="280"/>
      <c r="Q2" s="280"/>
      <c r="R2" s="280"/>
      <c r="S2" s="280"/>
      <c r="T2" s="280"/>
      <c r="U2" s="280"/>
      <c r="V2" s="280"/>
      <c r="W2" s="280"/>
      <c r="X2" s="280"/>
      <c r="Y2" s="280"/>
      <c r="Z2" s="280"/>
    </row>
    <row r="3">
      <c r="A3" s="282" t="s">
        <v>263</v>
      </c>
      <c r="B3" s="282" t="s">
        <v>9</v>
      </c>
      <c r="C3" s="282" t="s">
        <v>264</v>
      </c>
      <c r="D3" s="280"/>
      <c r="E3" s="280"/>
      <c r="F3" s="280"/>
      <c r="G3" s="280"/>
      <c r="H3" s="280"/>
      <c r="I3" s="280"/>
      <c r="J3" s="280"/>
      <c r="K3" s="280"/>
      <c r="L3" s="280"/>
      <c r="M3" s="280"/>
      <c r="N3" s="280"/>
      <c r="O3" s="280"/>
      <c r="P3" s="280"/>
      <c r="Q3" s="280"/>
      <c r="R3" s="280"/>
      <c r="S3" s="280"/>
      <c r="T3" s="280"/>
      <c r="U3" s="280"/>
      <c r="V3" s="280"/>
      <c r="W3" s="280"/>
      <c r="X3" s="280"/>
      <c r="Y3" s="280"/>
      <c r="Z3" s="280"/>
    </row>
    <row r="4">
      <c r="A4" s="283" t="s">
        <v>240</v>
      </c>
      <c r="B4" s="284">
        <v>-1.0</v>
      </c>
      <c r="C4" s="285"/>
      <c r="D4" s="280"/>
      <c r="E4" s="280"/>
      <c r="F4" s="280"/>
      <c r="G4" s="280"/>
      <c r="H4" s="280"/>
      <c r="I4" s="280"/>
      <c r="J4" s="280"/>
      <c r="K4" s="280"/>
      <c r="L4" s="280"/>
      <c r="M4" s="280"/>
      <c r="N4" s="280"/>
      <c r="O4" s="280"/>
      <c r="P4" s="280"/>
      <c r="Q4" s="280"/>
      <c r="R4" s="280"/>
      <c r="S4" s="280"/>
      <c r="T4" s="280"/>
      <c r="U4" s="280"/>
      <c r="V4" s="280"/>
      <c r="W4" s="280"/>
      <c r="X4" s="280"/>
      <c r="Y4" s="280"/>
      <c r="Z4" s="280"/>
    </row>
    <row r="5">
      <c r="A5" s="285" t="s">
        <v>215</v>
      </c>
      <c r="B5" s="286">
        <v>-1.0</v>
      </c>
      <c r="C5" s="285"/>
      <c r="D5" s="280"/>
      <c r="E5" s="280"/>
      <c r="F5" s="280"/>
      <c r="G5" s="280"/>
      <c r="H5" s="280"/>
      <c r="I5" s="280"/>
      <c r="J5" s="280"/>
      <c r="K5" s="280"/>
      <c r="L5" s="280"/>
      <c r="M5" s="280"/>
      <c r="N5" s="280"/>
      <c r="O5" s="280"/>
      <c r="P5" s="280"/>
      <c r="Q5" s="280"/>
      <c r="R5" s="280"/>
      <c r="S5" s="280"/>
      <c r="T5" s="280"/>
      <c r="U5" s="280"/>
      <c r="V5" s="280"/>
      <c r="W5" s="280"/>
      <c r="X5" s="280"/>
      <c r="Y5" s="280"/>
      <c r="Z5" s="280"/>
    </row>
    <row r="6">
      <c r="A6" s="285" t="s">
        <v>234</v>
      </c>
      <c r="B6" s="286">
        <v>-1.0</v>
      </c>
      <c r="C6" s="285"/>
      <c r="D6" s="280"/>
      <c r="E6" s="280"/>
      <c r="F6" s="280"/>
      <c r="G6" s="280"/>
      <c r="H6" s="280"/>
      <c r="I6" s="280"/>
      <c r="J6" s="280"/>
      <c r="K6" s="280"/>
      <c r="L6" s="280"/>
      <c r="M6" s="280"/>
      <c r="N6" s="280"/>
      <c r="O6" s="280"/>
      <c r="P6" s="280"/>
      <c r="Q6" s="280"/>
      <c r="R6" s="280"/>
      <c r="S6" s="280"/>
      <c r="T6" s="280"/>
      <c r="U6" s="280"/>
      <c r="V6" s="280"/>
      <c r="W6" s="280"/>
      <c r="X6" s="280"/>
      <c r="Y6" s="280"/>
      <c r="Z6" s="280"/>
    </row>
    <row r="7">
      <c r="A7" s="285" t="s">
        <v>233</v>
      </c>
      <c r="B7" s="286">
        <v>-1.0</v>
      </c>
      <c r="C7" s="285"/>
      <c r="D7" s="280"/>
      <c r="E7" s="280"/>
      <c r="F7" s="280"/>
      <c r="G7" s="280"/>
      <c r="H7" s="280"/>
      <c r="I7" s="280"/>
      <c r="J7" s="280"/>
      <c r="K7" s="280"/>
      <c r="L7" s="280"/>
      <c r="M7" s="280"/>
      <c r="N7" s="280"/>
      <c r="O7" s="280"/>
      <c r="P7" s="280"/>
      <c r="Q7" s="280"/>
      <c r="R7" s="280"/>
      <c r="S7" s="280"/>
      <c r="T7" s="280"/>
      <c r="U7" s="280"/>
      <c r="V7" s="280"/>
      <c r="W7" s="280"/>
      <c r="X7" s="280"/>
      <c r="Y7" s="280"/>
      <c r="Z7" s="280"/>
    </row>
    <row r="8">
      <c r="A8" s="283" t="s">
        <v>248</v>
      </c>
      <c r="B8" s="283">
        <v>-1.0</v>
      </c>
      <c r="C8" s="285"/>
      <c r="D8" s="280"/>
      <c r="E8" s="280"/>
      <c r="F8" s="280"/>
      <c r="G8" s="280"/>
      <c r="H8" s="280"/>
      <c r="I8" s="280"/>
      <c r="J8" s="280"/>
      <c r="K8" s="280"/>
      <c r="L8" s="280"/>
      <c r="M8" s="280"/>
      <c r="N8" s="280"/>
      <c r="O8" s="280"/>
      <c r="P8" s="280"/>
      <c r="Q8" s="280"/>
      <c r="R8" s="280"/>
      <c r="S8" s="280"/>
      <c r="T8" s="280"/>
      <c r="U8" s="280"/>
      <c r="V8" s="280"/>
      <c r="W8" s="280"/>
      <c r="X8" s="280"/>
      <c r="Y8" s="280"/>
      <c r="Z8" s="280"/>
    </row>
    <row r="9">
      <c r="A9" s="283" t="s">
        <v>249</v>
      </c>
      <c r="B9" s="287">
        <v>-1.0</v>
      </c>
      <c r="C9" s="285"/>
      <c r="D9" s="280"/>
      <c r="E9" s="280"/>
      <c r="F9" s="280"/>
      <c r="G9" s="280"/>
      <c r="H9" s="280"/>
      <c r="I9" s="280"/>
      <c r="J9" s="280"/>
      <c r="K9" s="280"/>
      <c r="L9" s="280"/>
      <c r="M9" s="280"/>
      <c r="N9" s="280"/>
      <c r="O9" s="280"/>
      <c r="P9" s="280"/>
      <c r="Q9" s="280"/>
      <c r="R9" s="280"/>
      <c r="S9" s="280"/>
      <c r="T9" s="280"/>
      <c r="U9" s="280"/>
      <c r="V9" s="280"/>
      <c r="W9" s="280"/>
      <c r="X9" s="280"/>
      <c r="Y9" s="280"/>
      <c r="Z9" s="280"/>
    </row>
    <row r="10">
      <c r="A10" s="281" t="s">
        <v>235</v>
      </c>
      <c r="B10" s="288">
        <v>1.0</v>
      </c>
      <c r="C10" s="285"/>
      <c r="D10" s="280"/>
      <c r="E10" s="280"/>
      <c r="F10" s="280"/>
      <c r="G10" s="280"/>
      <c r="H10" s="280"/>
      <c r="I10" s="280"/>
      <c r="J10" s="280"/>
      <c r="K10" s="280"/>
      <c r="L10" s="280"/>
      <c r="M10" s="280"/>
      <c r="N10" s="280"/>
      <c r="O10" s="280"/>
      <c r="P10" s="280"/>
      <c r="Q10" s="280"/>
      <c r="R10" s="280"/>
      <c r="S10" s="280"/>
      <c r="T10" s="280"/>
      <c r="U10" s="280"/>
      <c r="V10" s="280"/>
      <c r="W10" s="280"/>
      <c r="X10" s="280"/>
      <c r="Y10" s="280"/>
      <c r="Z10" s="280"/>
    </row>
    <row r="11">
      <c r="A11" s="281" t="s">
        <v>213</v>
      </c>
      <c r="B11" s="281">
        <v>1.0</v>
      </c>
      <c r="C11" s="280"/>
      <c r="D11" s="280"/>
      <c r="E11" s="280"/>
      <c r="F11" s="280"/>
      <c r="G11" s="280"/>
      <c r="H11" s="280"/>
      <c r="I11" s="280"/>
      <c r="J11" s="280"/>
      <c r="K11" s="280"/>
      <c r="L11" s="280"/>
      <c r="M11" s="280"/>
      <c r="N11" s="280"/>
      <c r="O11" s="280"/>
      <c r="P11" s="280"/>
      <c r="Q11" s="280"/>
      <c r="R11" s="280"/>
      <c r="S11" s="280"/>
      <c r="T11" s="280"/>
      <c r="U11" s="280"/>
      <c r="V11" s="280"/>
      <c r="W11" s="280"/>
      <c r="X11" s="280"/>
      <c r="Y11" s="280"/>
      <c r="Z11" s="280"/>
    </row>
    <row r="12">
      <c r="A12" s="281" t="s">
        <v>255</v>
      </c>
      <c r="B12" s="281">
        <v>1.0</v>
      </c>
      <c r="C12" s="282"/>
      <c r="D12" s="282"/>
      <c r="E12" s="282"/>
      <c r="F12" s="280"/>
      <c r="G12" s="280"/>
      <c r="H12" s="282"/>
      <c r="I12" s="282"/>
      <c r="J12" s="280"/>
      <c r="K12" s="280"/>
      <c r="L12" s="280"/>
      <c r="M12" s="280"/>
      <c r="N12" s="280"/>
      <c r="O12" s="280"/>
      <c r="P12" s="280"/>
      <c r="Q12" s="280"/>
      <c r="R12" s="280"/>
      <c r="S12" s="280"/>
      <c r="T12" s="280"/>
      <c r="U12" s="280"/>
      <c r="V12" s="280"/>
      <c r="W12" s="280"/>
      <c r="X12" s="280"/>
      <c r="Y12" s="280"/>
      <c r="Z12" s="280"/>
    </row>
    <row r="13">
      <c r="A13" s="280"/>
      <c r="B13" s="289"/>
      <c r="C13" s="289"/>
      <c r="D13" s="289"/>
      <c r="E13" s="289"/>
      <c r="F13" s="280"/>
      <c r="G13" s="282"/>
      <c r="H13" s="290"/>
      <c r="I13" s="291"/>
      <c r="J13" s="280"/>
      <c r="K13" s="280"/>
      <c r="L13" s="280"/>
      <c r="M13" s="280"/>
      <c r="N13" s="280"/>
      <c r="O13" s="280"/>
      <c r="P13" s="280"/>
      <c r="Q13" s="280"/>
      <c r="R13" s="280"/>
      <c r="S13" s="280"/>
      <c r="T13" s="280"/>
      <c r="U13" s="280"/>
      <c r="V13" s="280"/>
      <c r="W13" s="280"/>
      <c r="X13" s="280"/>
      <c r="Y13" s="280"/>
      <c r="Z13" s="280"/>
    </row>
    <row r="14">
      <c r="A14" s="282"/>
      <c r="B14" s="289"/>
      <c r="C14" s="289"/>
      <c r="D14" s="289"/>
      <c r="E14" s="289"/>
      <c r="F14" s="280"/>
      <c r="G14" s="282"/>
      <c r="H14" s="290"/>
      <c r="I14" s="291"/>
      <c r="J14" s="280"/>
      <c r="K14" s="280"/>
      <c r="L14" s="280"/>
      <c r="M14" s="280"/>
      <c r="N14" s="280"/>
      <c r="O14" s="280"/>
      <c r="P14" s="280"/>
      <c r="Q14" s="280"/>
      <c r="R14" s="280"/>
      <c r="S14" s="280"/>
      <c r="T14" s="280"/>
      <c r="U14" s="280"/>
      <c r="V14" s="280"/>
      <c r="W14" s="280"/>
      <c r="X14" s="280"/>
      <c r="Y14" s="280"/>
      <c r="Z14" s="280"/>
    </row>
    <row r="15">
      <c r="A15" s="281" t="s">
        <v>24</v>
      </c>
      <c r="B15" s="289">
        <f>AVERAGE(B3:B12)</f>
        <v>-0.3333333333</v>
      </c>
      <c r="C15" s="289"/>
      <c r="D15" s="289"/>
      <c r="E15" s="289"/>
      <c r="F15" s="280"/>
      <c r="G15" s="282"/>
      <c r="H15" s="290"/>
      <c r="I15" s="291"/>
      <c r="J15" s="280"/>
      <c r="K15" s="280"/>
      <c r="L15" s="280"/>
      <c r="M15" s="280"/>
      <c r="N15" s="280"/>
      <c r="O15" s="280"/>
      <c r="P15" s="280"/>
      <c r="Q15" s="280"/>
      <c r="R15" s="280"/>
      <c r="S15" s="280"/>
      <c r="T15" s="280"/>
      <c r="U15" s="280"/>
      <c r="V15" s="280"/>
      <c r="W15" s="280"/>
      <c r="X15" s="280"/>
      <c r="Y15" s="280"/>
      <c r="Z15" s="280"/>
    </row>
    <row r="16">
      <c r="A16" s="282"/>
      <c r="B16" s="289"/>
      <c r="C16" s="289"/>
      <c r="D16" s="289"/>
      <c r="E16" s="289"/>
      <c r="F16" s="280"/>
      <c r="G16" s="282"/>
      <c r="H16" s="290"/>
      <c r="I16" s="291"/>
      <c r="J16" s="280"/>
      <c r="K16" s="280"/>
      <c r="L16" s="280"/>
      <c r="M16" s="280"/>
      <c r="N16" s="280"/>
      <c r="O16" s="280"/>
      <c r="P16" s="280"/>
      <c r="Q16" s="280"/>
      <c r="R16" s="280"/>
      <c r="S16" s="280"/>
      <c r="T16" s="280"/>
      <c r="U16" s="280"/>
      <c r="V16" s="280"/>
      <c r="W16" s="280"/>
      <c r="X16" s="280"/>
      <c r="Y16" s="280"/>
      <c r="Z16" s="280"/>
    </row>
    <row r="17">
      <c r="A17" s="282"/>
      <c r="B17" s="289"/>
      <c r="C17" s="289"/>
      <c r="D17" s="289"/>
      <c r="E17" s="289"/>
      <c r="F17" s="280"/>
      <c r="G17" s="282"/>
      <c r="H17" s="290"/>
      <c r="I17" s="291"/>
      <c r="J17" s="280"/>
      <c r="K17" s="280"/>
      <c r="L17" s="280"/>
      <c r="M17" s="280"/>
      <c r="N17" s="280"/>
      <c r="O17" s="280"/>
      <c r="P17" s="280"/>
      <c r="Q17" s="280"/>
      <c r="R17" s="280"/>
      <c r="S17" s="280"/>
      <c r="T17" s="280"/>
      <c r="U17" s="280"/>
      <c r="V17" s="280"/>
      <c r="W17" s="280"/>
      <c r="X17" s="280"/>
      <c r="Y17" s="280"/>
      <c r="Z17" s="280"/>
    </row>
    <row r="18">
      <c r="A18" s="280"/>
      <c r="B18" s="280"/>
      <c r="C18" s="280"/>
      <c r="D18" s="280"/>
      <c r="E18" s="280"/>
      <c r="F18" s="280"/>
      <c r="G18" s="280"/>
      <c r="H18" s="280"/>
      <c r="I18" s="291"/>
      <c r="J18" s="280"/>
      <c r="K18" s="280"/>
      <c r="L18" s="280"/>
      <c r="M18" s="280"/>
      <c r="N18" s="280"/>
      <c r="O18" s="280"/>
      <c r="P18" s="280"/>
      <c r="Q18" s="280"/>
      <c r="R18" s="280"/>
      <c r="S18" s="280"/>
      <c r="T18" s="280"/>
      <c r="U18" s="280"/>
      <c r="V18" s="280"/>
      <c r="W18" s="280"/>
      <c r="X18" s="280"/>
      <c r="Y18" s="280"/>
      <c r="Z18" s="280"/>
    </row>
    <row r="19">
      <c r="A19" s="280"/>
      <c r="B19" s="280"/>
      <c r="C19" s="280"/>
      <c r="D19" s="280"/>
      <c r="E19" s="280"/>
      <c r="F19" s="280"/>
      <c r="G19" s="280"/>
      <c r="H19" s="280"/>
      <c r="I19" s="280"/>
      <c r="J19" s="280"/>
      <c r="K19" s="280"/>
      <c r="L19" s="280"/>
      <c r="M19" s="280"/>
      <c r="N19" s="280"/>
      <c r="O19" s="280"/>
      <c r="P19" s="280"/>
      <c r="Q19" s="280"/>
      <c r="R19" s="280"/>
      <c r="S19" s="280"/>
      <c r="T19" s="280"/>
      <c r="U19" s="280"/>
      <c r="V19" s="280"/>
      <c r="W19" s="280"/>
      <c r="X19" s="280"/>
      <c r="Y19" s="280"/>
      <c r="Z19" s="280"/>
    </row>
    <row r="20">
      <c r="A20" s="280"/>
      <c r="B20" s="280"/>
      <c r="C20" s="280"/>
      <c r="D20" s="280"/>
      <c r="E20" s="280"/>
      <c r="F20" s="280"/>
      <c r="G20" s="280"/>
      <c r="H20" s="280"/>
      <c r="I20" s="280"/>
      <c r="J20" s="280"/>
      <c r="K20" s="280"/>
      <c r="L20" s="280"/>
      <c r="M20" s="280"/>
      <c r="N20" s="280"/>
      <c r="O20" s="280"/>
      <c r="P20" s="280"/>
      <c r="Q20" s="280"/>
      <c r="R20" s="280"/>
      <c r="S20" s="280"/>
      <c r="T20" s="280"/>
      <c r="U20" s="280"/>
      <c r="V20" s="280"/>
      <c r="W20" s="280"/>
      <c r="X20" s="280"/>
      <c r="Y20" s="280"/>
      <c r="Z20" s="280"/>
    </row>
    <row r="21">
      <c r="A21" s="280"/>
      <c r="B21" s="280"/>
      <c r="C21" s="280"/>
      <c r="D21" s="280"/>
      <c r="E21" s="280"/>
      <c r="F21" s="280"/>
      <c r="G21" s="280"/>
      <c r="H21" s="280"/>
      <c r="I21" s="280"/>
      <c r="J21" s="280"/>
      <c r="K21" s="280"/>
      <c r="L21" s="280"/>
      <c r="M21" s="280"/>
      <c r="N21" s="280"/>
      <c r="O21" s="280"/>
      <c r="P21" s="280"/>
      <c r="Q21" s="280"/>
      <c r="R21" s="280"/>
      <c r="S21" s="280"/>
      <c r="T21" s="280"/>
      <c r="U21" s="280"/>
      <c r="V21" s="280"/>
      <c r="W21" s="280"/>
      <c r="X21" s="280"/>
      <c r="Y21" s="280"/>
      <c r="Z21" s="280"/>
    </row>
    <row r="22">
      <c r="A22" s="280"/>
      <c r="B22" s="280"/>
      <c r="C22" s="280"/>
      <c r="D22" s="280"/>
      <c r="E22" s="280"/>
      <c r="F22" s="280"/>
      <c r="G22" s="280"/>
      <c r="H22" s="280"/>
      <c r="I22" s="280"/>
      <c r="J22" s="280"/>
      <c r="K22" s="280"/>
      <c r="L22" s="280"/>
      <c r="M22" s="280"/>
      <c r="N22" s="280"/>
      <c r="O22" s="280"/>
      <c r="P22" s="280"/>
      <c r="Q22" s="280"/>
      <c r="R22" s="280"/>
      <c r="S22" s="280"/>
      <c r="T22" s="280"/>
      <c r="U22" s="280"/>
      <c r="V22" s="280"/>
      <c r="W22" s="280"/>
      <c r="X22" s="280"/>
      <c r="Y22" s="280"/>
      <c r="Z22" s="280"/>
    </row>
    <row r="23">
      <c r="A23" s="280"/>
      <c r="B23" s="280"/>
      <c r="C23" s="280"/>
      <c r="D23" s="280"/>
      <c r="E23" s="280"/>
      <c r="F23" s="280"/>
      <c r="G23" s="280"/>
      <c r="H23" s="280"/>
      <c r="I23" s="280"/>
      <c r="J23" s="280"/>
      <c r="K23" s="280"/>
      <c r="L23" s="280"/>
      <c r="M23" s="280"/>
      <c r="N23" s="280"/>
      <c r="O23" s="280"/>
      <c r="P23" s="280"/>
      <c r="Q23" s="280"/>
      <c r="R23" s="280"/>
      <c r="S23" s="280"/>
      <c r="T23" s="280"/>
      <c r="U23" s="280"/>
      <c r="V23" s="280"/>
      <c r="W23" s="280"/>
      <c r="X23" s="280"/>
      <c r="Y23" s="280"/>
      <c r="Z23" s="280"/>
    </row>
    <row r="24">
      <c r="A24" s="280"/>
      <c r="B24" s="280"/>
      <c r="C24" s="280"/>
      <c r="D24" s="280"/>
      <c r="E24" s="280"/>
      <c r="F24" s="280"/>
      <c r="G24" s="280"/>
      <c r="H24" s="280"/>
      <c r="I24" s="280"/>
      <c r="J24" s="280"/>
      <c r="K24" s="280"/>
      <c r="L24" s="280"/>
      <c r="M24" s="280"/>
      <c r="N24" s="280"/>
      <c r="O24" s="280"/>
      <c r="P24" s="280"/>
      <c r="Q24" s="280"/>
      <c r="R24" s="280"/>
      <c r="S24" s="280"/>
      <c r="T24" s="280"/>
      <c r="U24" s="280"/>
      <c r="V24" s="280"/>
      <c r="W24" s="280"/>
      <c r="X24" s="280"/>
      <c r="Y24" s="280"/>
      <c r="Z24" s="280"/>
    </row>
    <row r="25">
      <c r="A25" s="280"/>
      <c r="B25" s="280"/>
      <c r="C25" s="280"/>
      <c r="D25" s="280"/>
      <c r="E25" s="280"/>
      <c r="F25" s="280"/>
      <c r="G25" s="280"/>
      <c r="H25" s="280"/>
      <c r="I25" s="280"/>
      <c r="J25" s="280"/>
      <c r="K25" s="280"/>
      <c r="L25" s="280"/>
      <c r="M25" s="280"/>
      <c r="N25" s="280"/>
      <c r="O25" s="280"/>
      <c r="P25" s="280"/>
      <c r="Q25" s="280"/>
      <c r="R25" s="280"/>
      <c r="S25" s="280"/>
      <c r="T25" s="280"/>
      <c r="U25" s="280"/>
      <c r="V25" s="280"/>
      <c r="W25" s="280"/>
      <c r="X25" s="280"/>
      <c r="Y25" s="280"/>
      <c r="Z25" s="280"/>
    </row>
    <row r="26">
      <c r="A26" s="280"/>
      <c r="B26" s="280"/>
      <c r="C26" s="280"/>
      <c r="D26" s="280"/>
      <c r="E26" s="280"/>
      <c r="F26" s="280"/>
      <c r="G26" s="280"/>
      <c r="H26" s="280"/>
      <c r="I26" s="280"/>
      <c r="J26" s="280"/>
      <c r="K26" s="280"/>
      <c r="L26" s="280"/>
      <c r="M26" s="280"/>
      <c r="N26" s="280"/>
      <c r="O26" s="280"/>
      <c r="P26" s="280"/>
      <c r="Q26" s="280"/>
      <c r="R26" s="280"/>
      <c r="S26" s="280"/>
      <c r="T26" s="280"/>
      <c r="U26" s="280"/>
      <c r="V26" s="280"/>
      <c r="W26" s="280"/>
      <c r="X26" s="280"/>
      <c r="Y26" s="280"/>
      <c r="Z26" s="280"/>
    </row>
    <row r="27">
      <c r="A27" s="280"/>
      <c r="B27" s="280"/>
      <c r="C27" s="280"/>
      <c r="D27" s="280"/>
      <c r="E27" s="280"/>
      <c r="F27" s="280"/>
      <c r="G27" s="280"/>
      <c r="H27" s="280"/>
      <c r="I27" s="280"/>
      <c r="J27" s="280"/>
      <c r="K27" s="280"/>
      <c r="L27" s="280"/>
      <c r="M27" s="280"/>
      <c r="N27" s="280"/>
      <c r="O27" s="280"/>
      <c r="P27" s="280"/>
      <c r="Q27" s="280"/>
      <c r="R27" s="280"/>
      <c r="S27" s="280"/>
      <c r="T27" s="280"/>
      <c r="U27" s="280"/>
      <c r="V27" s="280"/>
      <c r="W27" s="280"/>
      <c r="X27" s="280"/>
      <c r="Y27" s="280"/>
      <c r="Z27" s="280"/>
    </row>
    <row r="28">
      <c r="A28" s="280"/>
      <c r="B28" s="280"/>
      <c r="C28" s="280"/>
      <c r="D28" s="280"/>
      <c r="E28" s="280"/>
      <c r="F28" s="280"/>
      <c r="G28" s="280"/>
      <c r="H28" s="280"/>
      <c r="I28" s="280"/>
      <c r="J28" s="280"/>
      <c r="K28" s="280"/>
      <c r="L28" s="280"/>
      <c r="M28" s="280"/>
      <c r="N28" s="280"/>
      <c r="O28" s="280"/>
      <c r="P28" s="280"/>
      <c r="Q28" s="280"/>
      <c r="R28" s="280"/>
      <c r="S28" s="280"/>
      <c r="T28" s="280"/>
      <c r="U28" s="280"/>
      <c r="V28" s="280"/>
      <c r="W28" s="280"/>
      <c r="X28" s="280"/>
      <c r="Y28" s="280"/>
      <c r="Z28" s="280"/>
    </row>
    <row r="29">
      <c r="A29" s="280"/>
      <c r="B29" s="280"/>
      <c r="C29" s="280"/>
      <c r="D29" s="280"/>
      <c r="E29" s="280"/>
      <c r="F29" s="280"/>
      <c r="G29" s="280"/>
      <c r="H29" s="280"/>
      <c r="I29" s="280"/>
      <c r="J29" s="280"/>
      <c r="K29" s="280"/>
      <c r="L29" s="280"/>
      <c r="M29" s="280"/>
      <c r="N29" s="280"/>
      <c r="O29" s="280"/>
      <c r="P29" s="280"/>
      <c r="Q29" s="280"/>
      <c r="R29" s="280"/>
      <c r="S29" s="280"/>
      <c r="T29" s="280"/>
      <c r="U29" s="280"/>
      <c r="V29" s="280"/>
      <c r="W29" s="280"/>
      <c r="X29" s="280"/>
      <c r="Y29" s="280"/>
      <c r="Z29" s="280"/>
    </row>
    <row r="30">
      <c r="A30" s="280"/>
      <c r="B30" s="280"/>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row>
    <row r="31">
      <c r="A31" s="280"/>
      <c r="B31" s="280"/>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row>
    <row r="32">
      <c r="A32" s="280"/>
      <c r="B32" s="280"/>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row>
    <row r="33">
      <c r="A33" s="280"/>
      <c r="B33" s="280"/>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row>
    <row r="34">
      <c r="A34" s="280"/>
      <c r="B34" s="280"/>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row>
    <row r="35">
      <c r="A35" s="280"/>
      <c r="B35" s="280"/>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row>
    <row r="36">
      <c r="A36" s="280"/>
      <c r="B36" s="280"/>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row>
    <row r="37">
      <c r="A37" s="280"/>
      <c r="B37" s="280"/>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row>
    <row r="38">
      <c r="A38" s="280"/>
      <c r="B38" s="280"/>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row>
    <row r="39">
      <c r="A39" s="280"/>
      <c r="B39" s="280"/>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row>
    <row r="40">
      <c r="A40" s="280"/>
      <c r="B40" s="280"/>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row>
    <row r="41">
      <c r="A41" s="280"/>
      <c r="B41" s="280"/>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row>
    <row r="42">
      <c r="A42" s="280"/>
      <c r="B42" s="280"/>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row>
    <row r="43">
      <c r="A43" s="280"/>
      <c r="B43" s="280"/>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row>
    <row r="44">
      <c r="A44" s="280"/>
      <c r="B44" s="280"/>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row>
    <row r="45">
      <c r="A45" s="280"/>
      <c r="B45" s="280"/>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row>
    <row r="46">
      <c r="A46" s="280"/>
      <c r="B46" s="280"/>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row>
    <row r="47">
      <c r="A47" s="280"/>
      <c r="B47" s="280"/>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row>
    <row r="48">
      <c r="A48" s="280"/>
      <c r="B48" s="280"/>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row>
    <row r="49">
      <c r="A49" s="280"/>
      <c r="B49" s="280"/>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row>
    <row r="50">
      <c r="A50" s="280"/>
      <c r="B50" s="280"/>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row>
    <row r="51">
      <c r="A51" s="280"/>
      <c r="B51" s="280"/>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row>
    <row r="52">
      <c r="A52" s="280"/>
      <c r="B52" s="280"/>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row>
    <row r="53">
      <c r="A53" s="280"/>
      <c r="B53" s="280"/>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row>
    <row r="54">
      <c r="A54" s="280"/>
      <c r="B54" s="280"/>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row>
    <row r="55">
      <c r="A55" s="280"/>
      <c r="B55" s="280"/>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row>
    <row r="56">
      <c r="A56" s="280"/>
      <c r="B56" s="280"/>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row>
    <row r="57">
      <c r="A57" s="280"/>
      <c r="B57" s="280"/>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row>
    <row r="58">
      <c r="A58" s="280"/>
      <c r="B58" s="280"/>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row>
    <row r="59">
      <c r="A59" s="280"/>
      <c r="B59" s="280"/>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row>
    <row r="60">
      <c r="A60" s="280"/>
      <c r="B60" s="280"/>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row>
    <row r="61">
      <c r="A61" s="280"/>
      <c r="B61" s="280"/>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row>
    <row r="62">
      <c r="A62" s="280"/>
      <c r="B62" s="280"/>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row>
    <row r="63">
      <c r="A63" s="280"/>
      <c r="B63" s="280"/>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row>
    <row r="64">
      <c r="A64" s="280"/>
      <c r="B64" s="280"/>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row>
    <row r="65">
      <c r="A65" s="280"/>
      <c r="B65" s="280"/>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row>
    <row r="66">
      <c r="A66" s="280"/>
      <c r="B66" s="280"/>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row>
    <row r="67">
      <c r="A67" s="280"/>
      <c r="B67" s="280"/>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row>
    <row r="68">
      <c r="A68" s="280"/>
      <c r="B68" s="280"/>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row>
    <row r="69">
      <c r="A69" s="280"/>
      <c r="B69" s="280"/>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row>
    <row r="70">
      <c r="A70" s="280"/>
      <c r="B70" s="280"/>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row>
    <row r="71">
      <c r="A71" s="280"/>
      <c r="B71" s="280"/>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row>
    <row r="72">
      <c r="A72" s="280"/>
      <c r="B72" s="280"/>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row>
    <row r="73">
      <c r="A73" s="280"/>
      <c r="B73" s="280"/>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row>
    <row r="74">
      <c r="A74" s="280"/>
      <c r="B74" s="280"/>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row>
    <row r="75">
      <c r="A75" s="280"/>
      <c r="B75" s="280"/>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row>
    <row r="76">
      <c r="A76" s="280"/>
      <c r="B76" s="280"/>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row>
    <row r="77">
      <c r="A77" s="280"/>
      <c r="B77" s="280"/>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row>
    <row r="78">
      <c r="A78" s="280"/>
      <c r="B78" s="280"/>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row>
    <row r="79">
      <c r="A79" s="280"/>
      <c r="B79" s="280"/>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row>
    <row r="80">
      <c r="A80" s="280"/>
      <c r="B80" s="280"/>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row>
    <row r="81">
      <c r="A81" s="280"/>
      <c r="B81" s="280"/>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row>
    <row r="82">
      <c r="A82" s="280"/>
      <c r="B82" s="280"/>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row>
    <row r="83">
      <c r="A83" s="280"/>
      <c r="B83" s="280"/>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row>
    <row r="84">
      <c r="A84" s="280"/>
      <c r="B84" s="280"/>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row>
    <row r="85">
      <c r="A85" s="280"/>
      <c r="B85" s="280"/>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row>
    <row r="86">
      <c r="A86" s="280"/>
      <c r="B86" s="280"/>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row>
    <row r="87">
      <c r="A87" s="280"/>
      <c r="B87" s="280"/>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row>
    <row r="88">
      <c r="A88" s="280"/>
      <c r="B88" s="280"/>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row>
    <row r="89">
      <c r="A89" s="280"/>
      <c r="B89" s="280"/>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row>
    <row r="90">
      <c r="A90" s="280"/>
      <c r="B90" s="280"/>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row>
    <row r="91">
      <c r="A91" s="280"/>
      <c r="B91" s="280"/>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row>
    <row r="92">
      <c r="A92" s="280"/>
      <c r="B92" s="280"/>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row>
    <row r="93">
      <c r="A93" s="280"/>
      <c r="B93" s="280"/>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row>
    <row r="94">
      <c r="A94" s="280"/>
      <c r="B94" s="280"/>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row>
    <row r="95">
      <c r="A95" s="280"/>
      <c r="B95" s="280"/>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row>
    <row r="96">
      <c r="A96" s="280"/>
      <c r="B96" s="280"/>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row>
    <row r="97">
      <c r="A97" s="280"/>
      <c r="B97" s="280"/>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row>
    <row r="98">
      <c r="A98" s="280"/>
      <c r="B98" s="280"/>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row>
    <row r="99">
      <c r="A99" s="280"/>
      <c r="B99" s="280"/>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row>
    <row r="100">
      <c r="A100" s="280"/>
      <c r="B100" s="280"/>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row>
    <row r="101">
      <c r="A101" s="280"/>
      <c r="B101" s="280"/>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row>
    <row r="102">
      <c r="A102" s="280"/>
      <c r="B102" s="280"/>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row>
    <row r="103">
      <c r="A103" s="280"/>
      <c r="B103" s="280"/>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row>
    <row r="104">
      <c r="A104" s="280"/>
      <c r="B104" s="280"/>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row>
    <row r="105">
      <c r="A105" s="280"/>
      <c r="B105" s="280"/>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row>
    <row r="106">
      <c r="A106" s="280"/>
      <c r="B106" s="280"/>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row>
    <row r="107">
      <c r="A107" s="280"/>
      <c r="B107" s="280"/>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row>
    <row r="108">
      <c r="A108" s="280"/>
      <c r="B108" s="280"/>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row>
    <row r="109">
      <c r="A109" s="280"/>
      <c r="B109" s="280"/>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row>
    <row r="110">
      <c r="A110" s="280"/>
      <c r="B110" s="280"/>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row>
    <row r="111">
      <c r="A111" s="280"/>
      <c r="B111" s="280"/>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row>
    <row r="112">
      <c r="A112" s="280"/>
      <c r="B112" s="280"/>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row>
    <row r="113">
      <c r="A113" s="280"/>
      <c r="B113" s="280"/>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row>
    <row r="114">
      <c r="A114" s="280"/>
      <c r="B114" s="280"/>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row>
    <row r="115">
      <c r="A115" s="280"/>
      <c r="B115" s="280"/>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row>
    <row r="116">
      <c r="A116" s="280"/>
      <c r="B116" s="280"/>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row>
    <row r="117">
      <c r="A117" s="280"/>
      <c r="B117" s="280"/>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row>
    <row r="118">
      <c r="A118" s="280"/>
      <c r="B118" s="280"/>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row>
    <row r="119">
      <c r="A119" s="280"/>
      <c r="B119" s="280"/>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row>
    <row r="120">
      <c r="A120" s="280"/>
      <c r="B120" s="280"/>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row>
    <row r="121">
      <c r="A121" s="280"/>
      <c r="B121" s="280"/>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row>
    <row r="122">
      <c r="A122" s="280"/>
      <c r="B122" s="280"/>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row>
    <row r="123">
      <c r="A123" s="280"/>
      <c r="B123" s="280"/>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row>
    <row r="124">
      <c r="A124" s="280"/>
      <c r="B124" s="280"/>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row>
    <row r="125">
      <c r="A125" s="280"/>
      <c r="B125" s="280"/>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row>
    <row r="126">
      <c r="A126" s="280"/>
      <c r="B126" s="280"/>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row>
    <row r="127">
      <c r="A127" s="280"/>
      <c r="B127" s="280"/>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row>
    <row r="128">
      <c r="A128" s="280"/>
      <c r="B128" s="280"/>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row>
    <row r="129">
      <c r="A129" s="280"/>
      <c r="B129" s="280"/>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row>
    <row r="130">
      <c r="A130" s="280"/>
      <c r="B130" s="280"/>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row>
    <row r="131">
      <c r="A131" s="280"/>
      <c r="B131" s="280"/>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row>
    <row r="132">
      <c r="A132" s="280"/>
      <c r="B132" s="280"/>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row>
    <row r="133">
      <c r="A133" s="280"/>
      <c r="B133" s="280"/>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row>
    <row r="134">
      <c r="A134" s="280"/>
      <c r="B134" s="280"/>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row>
    <row r="135">
      <c r="A135" s="280"/>
      <c r="B135" s="280"/>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row>
    <row r="136">
      <c r="A136" s="280"/>
      <c r="B136" s="280"/>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row>
    <row r="137">
      <c r="A137" s="280"/>
      <c r="B137" s="280"/>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row>
    <row r="138">
      <c r="A138" s="280"/>
      <c r="B138" s="280"/>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row>
    <row r="139">
      <c r="A139" s="280"/>
      <c r="B139" s="280"/>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row>
    <row r="140">
      <c r="A140" s="280"/>
      <c r="B140" s="280"/>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row>
    <row r="141">
      <c r="A141" s="280"/>
      <c r="B141" s="280"/>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row>
    <row r="142">
      <c r="A142" s="280"/>
      <c r="B142" s="280"/>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row>
    <row r="143">
      <c r="A143" s="280"/>
      <c r="B143" s="280"/>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row>
    <row r="144">
      <c r="A144" s="280"/>
      <c r="B144" s="280"/>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row>
    <row r="145">
      <c r="A145" s="280"/>
      <c r="B145" s="280"/>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row>
    <row r="146">
      <c r="A146" s="280"/>
      <c r="B146" s="280"/>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row>
    <row r="147">
      <c r="A147" s="280"/>
      <c r="B147" s="280"/>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row>
    <row r="148">
      <c r="A148" s="280"/>
      <c r="B148" s="280"/>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row>
    <row r="149">
      <c r="A149" s="280"/>
      <c r="B149" s="280"/>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row>
    <row r="150">
      <c r="A150" s="280"/>
      <c r="B150" s="280"/>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row>
    <row r="151">
      <c r="A151" s="280"/>
      <c r="B151" s="280"/>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row>
    <row r="152">
      <c r="A152" s="280"/>
      <c r="B152" s="280"/>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row>
    <row r="153">
      <c r="A153" s="280"/>
      <c r="B153" s="280"/>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row>
    <row r="154">
      <c r="A154" s="280"/>
      <c r="B154" s="280"/>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row>
    <row r="155">
      <c r="A155" s="280"/>
      <c r="B155" s="280"/>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row>
    <row r="156">
      <c r="A156" s="280"/>
      <c r="B156" s="280"/>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row>
    <row r="157">
      <c r="A157" s="280"/>
      <c r="B157" s="280"/>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row>
    <row r="158">
      <c r="A158" s="280"/>
      <c r="B158" s="280"/>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row>
    <row r="159">
      <c r="A159" s="280"/>
      <c r="B159" s="280"/>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row>
    <row r="160">
      <c r="A160" s="280"/>
      <c r="B160" s="280"/>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row>
    <row r="161">
      <c r="A161" s="280"/>
      <c r="B161" s="280"/>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row>
    <row r="162">
      <c r="A162" s="280"/>
      <c r="B162" s="280"/>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row>
    <row r="163">
      <c r="A163" s="280"/>
      <c r="B163" s="280"/>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row>
    <row r="164">
      <c r="A164" s="280"/>
      <c r="B164" s="280"/>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row>
    <row r="165">
      <c r="A165" s="280"/>
      <c r="B165" s="280"/>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row>
    <row r="166">
      <c r="A166" s="280"/>
      <c r="B166" s="280"/>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row>
    <row r="167">
      <c r="A167" s="280"/>
      <c r="B167" s="280"/>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row>
    <row r="168">
      <c r="A168" s="280"/>
      <c r="B168" s="280"/>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row>
    <row r="169">
      <c r="A169" s="280"/>
      <c r="B169" s="280"/>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row>
    <row r="170">
      <c r="A170" s="280"/>
      <c r="B170" s="280"/>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row>
    <row r="171">
      <c r="A171" s="280"/>
      <c r="B171" s="280"/>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row>
    <row r="172">
      <c r="A172" s="280"/>
      <c r="B172" s="280"/>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row>
    <row r="173">
      <c r="A173" s="280"/>
      <c r="B173" s="280"/>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row>
    <row r="174">
      <c r="A174" s="280"/>
      <c r="B174" s="280"/>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row>
    <row r="175">
      <c r="A175" s="280"/>
      <c r="B175" s="280"/>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row>
    <row r="176">
      <c r="A176" s="280"/>
      <c r="B176" s="280"/>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row>
    <row r="177">
      <c r="A177" s="280"/>
      <c r="B177" s="280"/>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row>
    <row r="178">
      <c r="A178" s="280"/>
      <c r="B178" s="280"/>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row>
    <row r="179">
      <c r="A179" s="280"/>
      <c r="B179" s="280"/>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row>
    <row r="180">
      <c r="A180" s="280"/>
      <c r="B180" s="280"/>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row>
    <row r="181">
      <c r="A181" s="280"/>
      <c r="B181" s="280"/>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row>
    <row r="182">
      <c r="A182" s="280"/>
      <c r="B182" s="280"/>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row>
    <row r="183">
      <c r="A183" s="280"/>
      <c r="B183" s="280"/>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row>
    <row r="184">
      <c r="A184" s="280"/>
      <c r="B184" s="280"/>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row>
    <row r="185">
      <c r="A185" s="280"/>
      <c r="B185" s="280"/>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row>
    <row r="186">
      <c r="A186" s="280"/>
      <c r="B186" s="280"/>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row>
    <row r="187">
      <c r="A187" s="280"/>
      <c r="B187" s="280"/>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row>
    <row r="188">
      <c r="A188" s="280"/>
      <c r="B188" s="280"/>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row>
    <row r="189">
      <c r="A189" s="280"/>
      <c r="B189" s="280"/>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row>
    <row r="190">
      <c r="A190" s="280"/>
      <c r="B190" s="280"/>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row>
    <row r="191">
      <c r="A191" s="280"/>
      <c r="B191" s="280"/>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row>
    <row r="192">
      <c r="A192" s="280"/>
      <c r="B192" s="280"/>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row>
    <row r="193">
      <c r="A193" s="280"/>
      <c r="B193" s="280"/>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row>
    <row r="194">
      <c r="A194" s="280"/>
      <c r="B194" s="280"/>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row>
    <row r="195">
      <c r="A195" s="280"/>
      <c r="B195" s="280"/>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row>
    <row r="196">
      <c r="A196" s="280"/>
      <c r="B196" s="280"/>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row>
    <row r="197">
      <c r="A197" s="280"/>
      <c r="B197" s="280"/>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row>
    <row r="198">
      <c r="A198" s="280"/>
      <c r="B198" s="280"/>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row>
    <row r="199">
      <c r="A199" s="280"/>
      <c r="B199" s="280"/>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row>
    <row r="200">
      <c r="A200" s="280"/>
      <c r="B200" s="280"/>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row>
    <row r="201">
      <c r="A201" s="280"/>
      <c r="B201" s="280"/>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row>
    <row r="202">
      <c r="A202" s="280"/>
      <c r="B202" s="280"/>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row>
    <row r="203">
      <c r="A203" s="280"/>
      <c r="B203" s="280"/>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row>
    <row r="204">
      <c r="A204" s="280"/>
      <c r="B204" s="280"/>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row>
    <row r="205">
      <c r="A205" s="280"/>
      <c r="B205" s="280"/>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row>
    <row r="206">
      <c r="A206" s="280"/>
      <c r="B206" s="280"/>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row>
    <row r="207">
      <c r="A207" s="280"/>
      <c r="B207" s="280"/>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row>
    <row r="208">
      <c r="A208" s="280"/>
      <c r="B208" s="280"/>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row>
    <row r="209">
      <c r="A209" s="280"/>
      <c r="B209" s="280"/>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row>
    <row r="210">
      <c r="A210" s="280"/>
      <c r="B210" s="280"/>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row>
    <row r="211">
      <c r="A211" s="280"/>
      <c r="B211" s="280"/>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row>
    <row r="212">
      <c r="A212" s="280"/>
      <c r="B212" s="280"/>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row>
    <row r="213">
      <c r="A213" s="280"/>
      <c r="B213" s="280"/>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row>
    <row r="214">
      <c r="A214" s="280"/>
      <c r="B214" s="280"/>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row>
    <row r="215">
      <c r="A215" s="280"/>
      <c r="B215" s="280"/>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row>
    <row r="216">
      <c r="A216" s="280"/>
      <c r="B216" s="280"/>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row>
    <row r="217">
      <c r="A217" s="280"/>
      <c r="B217" s="280"/>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row>
    <row r="218">
      <c r="A218" s="280"/>
      <c r="B218" s="280"/>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row>
    <row r="219">
      <c r="A219" s="280"/>
      <c r="B219" s="280"/>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row>
    <row r="220">
      <c r="A220" s="280"/>
      <c r="B220" s="280"/>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row>
    <row r="221">
      <c r="A221" s="280"/>
      <c r="B221" s="280"/>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row>
    <row r="222">
      <c r="A222" s="280"/>
      <c r="B222" s="280"/>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row>
    <row r="223">
      <c r="A223" s="280"/>
      <c r="B223" s="280"/>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row>
    <row r="224">
      <c r="A224" s="280"/>
      <c r="B224" s="280"/>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row>
    <row r="225">
      <c r="A225" s="280"/>
      <c r="B225" s="280"/>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row>
    <row r="226">
      <c r="A226" s="280"/>
      <c r="B226" s="280"/>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row>
    <row r="227">
      <c r="A227" s="280"/>
      <c r="B227" s="280"/>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row>
    <row r="228">
      <c r="A228" s="280"/>
      <c r="B228" s="280"/>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row>
    <row r="229">
      <c r="A229" s="280"/>
      <c r="B229" s="280"/>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row>
    <row r="230">
      <c r="A230" s="280"/>
      <c r="B230" s="280"/>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row>
    <row r="231">
      <c r="A231" s="280"/>
      <c r="B231" s="280"/>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row>
    <row r="232">
      <c r="A232" s="280"/>
      <c r="B232" s="280"/>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row>
    <row r="233">
      <c r="A233" s="280"/>
      <c r="B233" s="280"/>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row>
    <row r="234">
      <c r="A234" s="280"/>
      <c r="B234" s="280"/>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row>
    <row r="235">
      <c r="A235" s="280"/>
      <c r="B235" s="280"/>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row>
    <row r="236">
      <c r="A236" s="280"/>
      <c r="B236" s="280"/>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row>
    <row r="237">
      <c r="A237" s="280"/>
      <c r="B237" s="280"/>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row>
    <row r="238">
      <c r="A238" s="280"/>
      <c r="B238" s="280"/>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row>
    <row r="239">
      <c r="A239" s="280"/>
      <c r="B239" s="280"/>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row>
    <row r="240">
      <c r="A240" s="280"/>
      <c r="B240" s="280"/>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row>
    <row r="241">
      <c r="A241" s="280"/>
      <c r="B241" s="280"/>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row>
    <row r="242">
      <c r="A242" s="280"/>
      <c r="B242" s="280"/>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row>
    <row r="243">
      <c r="A243" s="280"/>
      <c r="B243" s="280"/>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row>
    <row r="244">
      <c r="A244" s="280"/>
      <c r="B244" s="280"/>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row>
    <row r="245">
      <c r="A245" s="280"/>
      <c r="B245" s="280"/>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row>
    <row r="246">
      <c r="A246" s="280"/>
      <c r="B246" s="280"/>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row>
    <row r="247">
      <c r="A247" s="280"/>
      <c r="B247" s="280"/>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row>
    <row r="248">
      <c r="A248" s="280"/>
      <c r="B248" s="280"/>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row>
    <row r="249">
      <c r="A249" s="280"/>
      <c r="B249" s="280"/>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row>
    <row r="250">
      <c r="A250" s="280"/>
      <c r="B250" s="280"/>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row>
    <row r="251">
      <c r="A251" s="280"/>
      <c r="B251" s="280"/>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row>
    <row r="252">
      <c r="A252" s="280"/>
      <c r="B252" s="280"/>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row>
    <row r="253">
      <c r="A253" s="280"/>
      <c r="B253" s="280"/>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row>
    <row r="254">
      <c r="A254" s="280"/>
      <c r="B254" s="280"/>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row>
    <row r="255">
      <c r="A255" s="280"/>
      <c r="B255" s="280"/>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row>
    <row r="256">
      <c r="A256" s="280"/>
      <c r="B256" s="280"/>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row>
    <row r="257">
      <c r="A257" s="280"/>
      <c r="B257" s="280"/>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row>
    <row r="258">
      <c r="A258" s="280"/>
      <c r="B258" s="280"/>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row>
    <row r="259">
      <c r="A259" s="280"/>
      <c r="B259" s="280"/>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row>
    <row r="260">
      <c r="A260" s="280"/>
      <c r="B260" s="280"/>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row>
    <row r="261">
      <c r="A261" s="280"/>
      <c r="B261" s="280"/>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row>
    <row r="262">
      <c r="A262" s="280"/>
      <c r="B262" s="280"/>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row>
    <row r="263">
      <c r="A263" s="280"/>
      <c r="B263" s="280"/>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row>
    <row r="264">
      <c r="A264" s="280"/>
      <c r="B264" s="280"/>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row>
    <row r="265">
      <c r="A265" s="280"/>
      <c r="B265" s="280"/>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row>
    <row r="266">
      <c r="A266" s="280"/>
      <c r="B266" s="280"/>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row>
    <row r="267">
      <c r="A267" s="280"/>
      <c r="B267" s="280"/>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row>
    <row r="268">
      <c r="A268" s="280"/>
      <c r="B268" s="280"/>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row>
    <row r="269">
      <c r="A269" s="280"/>
      <c r="B269" s="280"/>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row>
    <row r="270">
      <c r="A270" s="280"/>
      <c r="B270" s="280"/>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row>
    <row r="271">
      <c r="A271" s="280"/>
      <c r="B271" s="280"/>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row>
    <row r="272">
      <c r="A272" s="280"/>
      <c r="B272" s="280"/>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row>
    <row r="273">
      <c r="A273" s="280"/>
      <c r="B273" s="280"/>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row>
    <row r="274">
      <c r="A274" s="280"/>
      <c r="B274" s="280"/>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row>
    <row r="275">
      <c r="A275" s="280"/>
      <c r="B275" s="280"/>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row>
    <row r="276">
      <c r="A276" s="280"/>
      <c r="B276" s="280"/>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row>
    <row r="277">
      <c r="A277" s="280"/>
      <c r="B277" s="280"/>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row>
    <row r="278">
      <c r="A278" s="280"/>
      <c r="B278" s="280"/>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row>
    <row r="279">
      <c r="A279" s="280"/>
      <c r="B279" s="280"/>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row>
    <row r="280">
      <c r="A280" s="280"/>
      <c r="B280" s="280"/>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row>
    <row r="281">
      <c r="A281" s="280"/>
      <c r="B281" s="280"/>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row>
    <row r="282">
      <c r="A282" s="280"/>
      <c r="B282" s="280"/>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row>
    <row r="283">
      <c r="A283" s="280"/>
      <c r="B283" s="280"/>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row>
    <row r="284">
      <c r="A284" s="280"/>
      <c r="B284" s="280"/>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row>
    <row r="285">
      <c r="A285" s="280"/>
      <c r="B285" s="280"/>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row>
    <row r="286">
      <c r="A286" s="280"/>
      <c r="B286" s="280"/>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row>
    <row r="287">
      <c r="A287" s="280"/>
      <c r="B287" s="280"/>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row>
    <row r="288">
      <c r="A288" s="280"/>
      <c r="B288" s="280"/>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row>
    <row r="289">
      <c r="A289" s="280"/>
      <c r="B289" s="280"/>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row>
    <row r="290">
      <c r="A290" s="280"/>
      <c r="B290" s="280"/>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row>
    <row r="291">
      <c r="A291" s="280"/>
      <c r="B291" s="280"/>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row>
    <row r="292">
      <c r="A292" s="280"/>
      <c r="B292" s="280"/>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row>
    <row r="293">
      <c r="A293" s="280"/>
      <c r="B293" s="280"/>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row>
    <row r="294">
      <c r="A294" s="280"/>
      <c r="B294" s="280"/>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row>
    <row r="295">
      <c r="A295" s="280"/>
      <c r="B295" s="280"/>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row>
    <row r="296">
      <c r="A296" s="280"/>
      <c r="B296" s="280"/>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row>
    <row r="297">
      <c r="A297" s="280"/>
      <c r="B297" s="280"/>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row>
    <row r="298">
      <c r="A298" s="280"/>
      <c r="B298" s="280"/>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row>
    <row r="299">
      <c r="A299" s="280"/>
      <c r="B299" s="280"/>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row>
    <row r="300">
      <c r="A300" s="280"/>
      <c r="B300" s="280"/>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row>
    <row r="301">
      <c r="A301" s="280"/>
      <c r="B301" s="280"/>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row>
    <row r="302">
      <c r="A302" s="280"/>
      <c r="B302" s="280"/>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row>
    <row r="303">
      <c r="A303" s="280"/>
      <c r="B303" s="280"/>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row>
    <row r="304">
      <c r="A304" s="280"/>
      <c r="B304" s="280"/>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row>
    <row r="305">
      <c r="A305" s="280"/>
      <c r="B305" s="280"/>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row>
    <row r="306">
      <c r="A306" s="280"/>
      <c r="B306" s="280"/>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row>
    <row r="307">
      <c r="A307" s="280"/>
      <c r="B307" s="280"/>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row>
    <row r="308">
      <c r="A308" s="280"/>
      <c r="B308" s="280"/>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row>
    <row r="309">
      <c r="A309" s="280"/>
      <c r="B309" s="280"/>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row>
    <row r="310">
      <c r="A310" s="280"/>
      <c r="B310" s="280"/>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row>
    <row r="311">
      <c r="A311" s="280"/>
      <c r="B311" s="280"/>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row>
    <row r="312">
      <c r="A312" s="280"/>
      <c r="B312" s="280"/>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row>
    <row r="313">
      <c r="A313" s="280"/>
      <c r="B313" s="280"/>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row>
    <row r="314">
      <c r="A314" s="280"/>
      <c r="B314" s="280"/>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row>
    <row r="315">
      <c r="A315" s="280"/>
      <c r="B315" s="280"/>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row>
    <row r="316">
      <c r="A316" s="280"/>
      <c r="B316" s="280"/>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row>
    <row r="317">
      <c r="A317" s="280"/>
      <c r="B317" s="280"/>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row>
    <row r="318">
      <c r="A318" s="280"/>
      <c r="B318" s="280"/>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row>
    <row r="319">
      <c r="A319" s="280"/>
      <c r="B319" s="280"/>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row>
    <row r="320">
      <c r="A320" s="280"/>
      <c r="B320" s="280"/>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row>
    <row r="321">
      <c r="A321" s="280"/>
      <c r="B321" s="280"/>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row>
    <row r="322">
      <c r="A322" s="280"/>
      <c r="B322" s="280"/>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row>
    <row r="323">
      <c r="A323" s="280"/>
      <c r="B323" s="280"/>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row>
    <row r="324">
      <c r="A324" s="280"/>
      <c r="B324" s="280"/>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row>
    <row r="325">
      <c r="A325" s="280"/>
      <c r="B325" s="280"/>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row>
    <row r="326">
      <c r="A326" s="280"/>
      <c r="B326" s="280"/>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row>
    <row r="327">
      <c r="A327" s="280"/>
      <c r="B327" s="280"/>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row>
    <row r="328">
      <c r="A328" s="280"/>
      <c r="B328" s="280"/>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row>
    <row r="329">
      <c r="A329" s="280"/>
      <c r="B329" s="280"/>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row>
    <row r="330">
      <c r="A330" s="280"/>
      <c r="B330" s="280"/>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row>
    <row r="331">
      <c r="A331" s="280"/>
      <c r="B331" s="280"/>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row>
    <row r="332">
      <c r="A332" s="280"/>
      <c r="B332" s="280"/>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row>
    <row r="333">
      <c r="A333" s="280"/>
      <c r="B333" s="280"/>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row>
    <row r="334">
      <c r="A334" s="280"/>
      <c r="B334" s="280"/>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row>
    <row r="335">
      <c r="A335" s="280"/>
      <c r="B335" s="280"/>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row>
    <row r="336">
      <c r="A336" s="280"/>
      <c r="B336" s="280"/>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row>
    <row r="337">
      <c r="A337" s="280"/>
      <c r="B337" s="280"/>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row>
    <row r="338">
      <c r="A338" s="280"/>
      <c r="B338" s="280"/>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row>
    <row r="339">
      <c r="A339" s="280"/>
      <c r="B339" s="280"/>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row>
    <row r="340">
      <c r="A340" s="280"/>
      <c r="B340" s="280"/>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row>
    <row r="341">
      <c r="A341" s="280"/>
      <c r="B341" s="280"/>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row>
    <row r="342">
      <c r="A342" s="280"/>
      <c r="B342" s="280"/>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row>
    <row r="343">
      <c r="A343" s="280"/>
      <c r="B343" s="280"/>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row>
    <row r="344">
      <c r="A344" s="280"/>
      <c r="B344" s="280"/>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row>
    <row r="345">
      <c r="A345" s="280"/>
      <c r="B345" s="280"/>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row>
    <row r="346">
      <c r="A346" s="280"/>
      <c r="B346" s="280"/>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row>
    <row r="347">
      <c r="A347" s="280"/>
      <c r="B347" s="280"/>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row>
    <row r="348">
      <c r="A348" s="280"/>
      <c r="B348" s="280"/>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row>
    <row r="349">
      <c r="A349" s="280"/>
      <c r="B349" s="280"/>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row>
    <row r="350">
      <c r="A350" s="280"/>
      <c r="B350" s="280"/>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row>
    <row r="351">
      <c r="A351" s="280"/>
      <c r="B351" s="280"/>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row>
    <row r="352">
      <c r="A352" s="280"/>
      <c r="B352" s="280"/>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row>
    <row r="353">
      <c r="A353" s="280"/>
      <c r="B353" s="280"/>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row>
    <row r="354">
      <c r="A354" s="280"/>
      <c r="B354" s="280"/>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row>
    <row r="355">
      <c r="A355" s="280"/>
      <c r="B355" s="280"/>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row>
    <row r="356">
      <c r="A356" s="280"/>
      <c r="B356" s="280"/>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row>
    <row r="357">
      <c r="A357" s="280"/>
      <c r="B357" s="280"/>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row>
    <row r="358">
      <c r="A358" s="280"/>
      <c r="B358" s="280"/>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row>
    <row r="359">
      <c r="A359" s="280"/>
      <c r="B359" s="280"/>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row>
    <row r="360">
      <c r="A360" s="280"/>
      <c r="B360" s="280"/>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row>
    <row r="361">
      <c r="A361" s="280"/>
      <c r="B361" s="280"/>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row>
    <row r="362">
      <c r="A362" s="280"/>
      <c r="B362" s="280"/>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row>
    <row r="363">
      <c r="A363" s="280"/>
      <c r="B363" s="280"/>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row>
    <row r="364">
      <c r="A364" s="280"/>
      <c r="B364" s="280"/>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row>
    <row r="365">
      <c r="A365" s="280"/>
      <c r="B365" s="280"/>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row>
    <row r="366">
      <c r="A366" s="280"/>
      <c r="B366" s="280"/>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row>
    <row r="367">
      <c r="A367" s="280"/>
      <c r="B367" s="280"/>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row>
    <row r="368">
      <c r="A368" s="280"/>
      <c r="B368" s="280"/>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row>
    <row r="369">
      <c r="A369" s="280"/>
      <c r="B369" s="280"/>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row>
    <row r="370">
      <c r="A370" s="280"/>
      <c r="B370" s="280"/>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row>
    <row r="371">
      <c r="A371" s="280"/>
      <c r="B371" s="280"/>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row>
    <row r="372">
      <c r="A372" s="280"/>
      <c r="B372" s="280"/>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row>
    <row r="373">
      <c r="A373" s="280"/>
      <c r="B373" s="280"/>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row>
    <row r="374">
      <c r="A374" s="280"/>
      <c r="B374" s="280"/>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row>
    <row r="375">
      <c r="A375" s="280"/>
      <c r="B375" s="280"/>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row>
    <row r="376">
      <c r="A376" s="280"/>
      <c r="B376" s="280"/>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row>
    <row r="377">
      <c r="A377" s="280"/>
      <c r="B377" s="280"/>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row>
    <row r="378">
      <c r="A378" s="280"/>
      <c r="B378" s="280"/>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row>
    <row r="379">
      <c r="A379" s="280"/>
      <c r="B379" s="280"/>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row>
    <row r="380">
      <c r="A380" s="280"/>
      <c r="B380" s="280"/>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row>
    <row r="381">
      <c r="A381" s="280"/>
      <c r="B381" s="280"/>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row>
    <row r="382">
      <c r="A382" s="280"/>
      <c r="B382" s="280"/>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row>
    <row r="383">
      <c r="A383" s="280"/>
      <c r="B383" s="280"/>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row>
    <row r="384">
      <c r="A384" s="280"/>
      <c r="B384" s="280"/>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row>
    <row r="385">
      <c r="A385" s="280"/>
      <c r="B385" s="280"/>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row>
    <row r="386">
      <c r="A386" s="280"/>
      <c r="B386" s="280"/>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row>
    <row r="387">
      <c r="A387" s="280"/>
      <c r="B387" s="280"/>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row>
    <row r="388">
      <c r="A388" s="280"/>
      <c r="B388" s="280"/>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row>
    <row r="389">
      <c r="A389" s="280"/>
      <c r="B389" s="280"/>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row>
    <row r="390">
      <c r="A390" s="280"/>
      <c r="B390" s="280"/>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row>
    <row r="391">
      <c r="A391" s="280"/>
      <c r="B391" s="280"/>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row>
    <row r="392">
      <c r="A392" s="280"/>
      <c r="B392" s="280"/>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row>
    <row r="393">
      <c r="A393" s="280"/>
      <c r="B393" s="280"/>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row>
    <row r="394">
      <c r="A394" s="280"/>
      <c r="B394" s="280"/>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row>
    <row r="395">
      <c r="A395" s="280"/>
      <c r="B395" s="280"/>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row>
    <row r="396">
      <c r="A396" s="280"/>
      <c r="B396" s="280"/>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row>
    <row r="397">
      <c r="A397" s="280"/>
      <c r="B397" s="280"/>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row>
    <row r="398">
      <c r="A398" s="280"/>
      <c r="B398" s="280"/>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row>
    <row r="399">
      <c r="A399" s="280"/>
      <c r="B399" s="280"/>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row>
    <row r="400">
      <c r="A400" s="280"/>
      <c r="B400" s="280"/>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row>
    <row r="401">
      <c r="A401" s="280"/>
      <c r="B401" s="280"/>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row>
    <row r="402">
      <c r="A402" s="280"/>
      <c r="B402" s="280"/>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row>
    <row r="403">
      <c r="A403" s="280"/>
      <c r="B403" s="280"/>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row>
    <row r="404">
      <c r="A404" s="280"/>
      <c r="B404" s="280"/>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row>
    <row r="405">
      <c r="A405" s="280"/>
      <c r="B405" s="280"/>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row>
    <row r="406">
      <c r="A406" s="280"/>
      <c r="B406" s="280"/>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row>
    <row r="407">
      <c r="A407" s="280"/>
      <c r="B407" s="280"/>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row>
    <row r="408">
      <c r="A408" s="280"/>
      <c r="B408" s="280"/>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row>
    <row r="409">
      <c r="A409" s="280"/>
      <c r="B409" s="280"/>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row>
    <row r="410">
      <c r="A410" s="280"/>
      <c r="B410" s="280"/>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row>
    <row r="411">
      <c r="A411" s="280"/>
      <c r="B411" s="280"/>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row>
    <row r="412">
      <c r="A412" s="280"/>
      <c r="B412" s="280"/>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row>
    <row r="413">
      <c r="A413" s="280"/>
      <c r="B413" s="280"/>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row>
    <row r="414">
      <c r="A414" s="280"/>
      <c r="B414" s="280"/>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row>
    <row r="415">
      <c r="A415" s="280"/>
      <c r="B415" s="280"/>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row>
    <row r="416">
      <c r="A416" s="280"/>
      <c r="B416" s="280"/>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row>
    <row r="417">
      <c r="A417" s="280"/>
      <c r="B417" s="280"/>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row>
    <row r="418">
      <c r="A418" s="280"/>
      <c r="B418" s="280"/>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row>
    <row r="419">
      <c r="A419" s="280"/>
      <c r="B419" s="280"/>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row>
    <row r="420">
      <c r="A420" s="280"/>
      <c r="B420" s="280"/>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row>
    <row r="421">
      <c r="A421" s="280"/>
      <c r="B421" s="280"/>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row>
    <row r="422">
      <c r="A422" s="280"/>
      <c r="B422" s="280"/>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row>
    <row r="423">
      <c r="A423" s="280"/>
      <c r="B423" s="280"/>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row>
    <row r="424">
      <c r="A424" s="280"/>
      <c r="B424" s="280"/>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row>
    <row r="425">
      <c r="A425" s="280"/>
      <c r="B425" s="280"/>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row>
    <row r="426">
      <c r="A426" s="280"/>
      <c r="B426" s="280"/>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row>
    <row r="427">
      <c r="A427" s="280"/>
      <c r="B427" s="280"/>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row>
    <row r="428">
      <c r="A428" s="280"/>
      <c r="B428" s="280"/>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row>
    <row r="429">
      <c r="A429" s="280"/>
      <c r="B429" s="280"/>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row>
    <row r="430">
      <c r="A430" s="280"/>
      <c r="B430" s="280"/>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row>
    <row r="431">
      <c r="A431" s="280"/>
      <c r="B431" s="280"/>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row>
    <row r="432">
      <c r="A432" s="280"/>
      <c r="B432" s="280"/>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row>
    <row r="433">
      <c r="A433" s="280"/>
      <c r="B433" s="280"/>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row>
    <row r="434">
      <c r="A434" s="280"/>
      <c r="B434" s="280"/>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row>
    <row r="435">
      <c r="A435" s="280"/>
      <c r="B435" s="280"/>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row>
    <row r="436">
      <c r="A436" s="280"/>
      <c r="B436" s="280"/>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row>
    <row r="437">
      <c r="A437" s="280"/>
      <c r="B437" s="280"/>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row>
    <row r="438">
      <c r="A438" s="280"/>
      <c r="B438" s="280"/>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row>
    <row r="439">
      <c r="A439" s="280"/>
      <c r="B439" s="280"/>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row>
    <row r="440">
      <c r="A440" s="280"/>
      <c r="B440" s="280"/>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row>
    <row r="441">
      <c r="A441" s="280"/>
      <c r="B441" s="280"/>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row>
    <row r="442">
      <c r="A442" s="280"/>
      <c r="B442" s="280"/>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row>
    <row r="443">
      <c r="A443" s="280"/>
      <c r="B443" s="280"/>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row>
    <row r="444">
      <c r="A444" s="280"/>
      <c r="B444" s="280"/>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row>
    <row r="445">
      <c r="A445" s="280"/>
      <c r="B445" s="280"/>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row>
    <row r="446">
      <c r="A446" s="280"/>
      <c r="B446" s="280"/>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row>
    <row r="447">
      <c r="A447" s="280"/>
      <c r="B447" s="280"/>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row>
    <row r="448">
      <c r="A448" s="280"/>
      <c r="B448" s="280"/>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row>
    <row r="449">
      <c r="A449" s="280"/>
      <c r="B449" s="280"/>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row>
    <row r="450">
      <c r="A450" s="280"/>
      <c r="B450" s="280"/>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row>
    <row r="451">
      <c r="A451" s="280"/>
      <c r="B451" s="280"/>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row>
    <row r="452">
      <c r="A452" s="280"/>
      <c r="B452" s="280"/>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row>
    <row r="453">
      <c r="A453" s="280"/>
      <c r="B453" s="280"/>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row>
    <row r="454">
      <c r="A454" s="280"/>
      <c r="B454" s="280"/>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row>
    <row r="455">
      <c r="A455" s="280"/>
      <c r="B455" s="280"/>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row>
    <row r="456">
      <c r="A456" s="280"/>
      <c r="B456" s="280"/>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row>
    <row r="457">
      <c r="A457" s="280"/>
      <c r="B457" s="280"/>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row>
    <row r="458">
      <c r="A458" s="280"/>
      <c r="B458" s="280"/>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row>
    <row r="459">
      <c r="A459" s="280"/>
      <c r="B459" s="280"/>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row>
    <row r="460">
      <c r="A460" s="280"/>
      <c r="B460" s="280"/>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row>
    <row r="461">
      <c r="A461" s="280"/>
      <c r="B461" s="280"/>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row>
    <row r="462">
      <c r="A462" s="280"/>
      <c r="B462" s="280"/>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row>
    <row r="463">
      <c r="A463" s="280"/>
      <c r="B463" s="280"/>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row>
    <row r="464">
      <c r="A464" s="280"/>
      <c r="B464" s="280"/>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row>
    <row r="465">
      <c r="A465" s="280"/>
      <c r="B465" s="280"/>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row>
    <row r="466">
      <c r="A466" s="280"/>
      <c r="B466" s="280"/>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row>
    <row r="467">
      <c r="A467" s="280"/>
      <c r="B467" s="280"/>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row>
    <row r="468">
      <c r="A468" s="280"/>
      <c r="B468" s="280"/>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row>
    <row r="469">
      <c r="A469" s="280"/>
      <c r="B469" s="280"/>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row>
    <row r="470">
      <c r="A470" s="280"/>
      <c r="B470" s="280"/>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row>
    <row r="471">
      <c r="A471" s="280"/>
      <c r="B471" s="280"/>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row>
    <row r="472">
      <c r="A472" s="280"/>
      <c r="B472" s="280"/>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row>
    <row r="473">
      <c r="A473" s="280"/>
      <c r="B473" s="280"/>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row>
    <row r="474">
      <c r="A474" s="280"/>
      <c r="B474" s="280"/>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row>
    <row r="475">
      <c r="A475" s="280"/>
      <c r="B475" s="280"/>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row>
    <row r="476">
      <c r="A476" s="280"/>
      <c r="B476" s="280"/>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row>
    <row r="477">
      <c r="A477" s="280"/>
      <c r="B477" s="280"/>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row>
    <row r="478">
      <c r="A478" s="280"/>
      <c r="B478" s="280"/>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row>
    <row r="479">
      <c r="A479" s="280"/>
      <c r="B479" s="280"/>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row>
    <row r="480">
      <c r="A480" s="280"/>
      <c r="B480" s="280"/>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row>
    <row r="481">
      <c r="A481" s="280"/>
      <c r="B481" s="280"/>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row>
    <row r="482">
      <c r="A482" s="280"/>
      <c r="B482" s="280"/>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row>
    <row r="483">
      <c r="A483" s="280"/>
      <c r="B483" s="280"/>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row>
    <row r="484">
      <c r="A484" s="280"/>
      <c r="B484" s="280"/>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row>
    <row r="485">
      <c r="A485" s="280"/>
      <c r="B485" s="280"/>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row>
    <row r="486">
      <c r="A486" s="280"/>
      <c r="B486" s="280"/>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row>
    <row r="487">
      <c r="A487" s="280"/>
      <c r="B487" s="280"/>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row>
    <row r="488">
      <c r="A488" s="280"/>
      <c r="B488" s="280"/>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row>
    <row r="489">
      <c r="A489" s="280"/>
      <c r="B489" s="280"/>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row>
    <row r="490">
      <c r="A490" s="280"/>
      <c r="B490" s="280"/>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row>
    <row r="491">
      <c r="A491" s="280"/>
      <c r="B491" s="280"/>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row>
    <row r="492">
      <c r="A492" s="280"/>
      <c r="B492" s="280"/>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row>
    <row r="493">
      <c r="A493" s="280"/>
      <c r="B493" s="280"/>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row>
    <row r="494">
      <c r="A494" s="280"/>
      <c r="B494" s="280"/>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row>
    <row r="495">
      <c r="A495" s="280"/>
      <c r="B495" s="280"/>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row>
    <row r="496">
      <c r="A496" s="280"/>
      <c r="B496" s="280"/>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row>
    <row r="497">
      <c r="A497" s="280"/>
      <c r="B497" s="280"/>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row>
    <row r="498">
      <c r="A498" s="280"/>
      <c r="B498" s="280"/>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row>
    <row r="499">
      <c r="A499" s="280"/>
      <c r="B499" s="280"/>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row>
    <row r="500">
      <c r="A500" s="280"/>
      <c r="B500" s="280"/>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row>
    <row r="501">
      <c r="A501" s="280"/>
      <c r="B501" s="280"/>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row>
    <row r="502">
      <c r="A502" s="280"/>
      <c r="B502" s="280"/>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row>
    <row r="503">
      <c r="A503" s="280"/>
      <c r="B503" s="280"/>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row>
    <row r="504">
      <c r="A504" s="280"/>
      <c r="B504" s="280"/>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row>
    <row r="505">
      <c r="A505" s="280"/>
      <c r="B505" s="280"/>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row>
    <row r="506">
      <c r="A506" s="280"/>
      <c r="B506" s="280"/>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row>
    <row r="507">
      <c r="A507" s="280"/>
      <c r="B507" s="280"/>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row>
    <row r="508">
      <c r="A508" s="280"/>
      <c r="B508" s="280"/>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row>
    <row r="509">
      <c r="A509" s="280"/>
      <c r="B509" s="280"/>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row>
    <row r="510">
      <c r="A510" s="280"/>
      <c r="B510" s="280"/>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row>
    <row r="511">
      <c r="A511" s="280"/>
      <c r="B511" s="280"/>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row>
    <row r="512">
      <c r="A512" s="280"/>
      <c r="B512" s="280"/>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row>
    <row r="513">
      <c r="A513" s="280"/>
      <c r="B513" s="280"/>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row>
    <row r="514">
      <c r="A514" s="280"/>
      <c r="B514" s="280"/>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row>
    <row r="515">
      <c r="A515" s="280"/>
      <c r="B515" s="280"/>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row>
    <row r="516">
      <c r="A516" s="280"/>
      <c r="B516" s="280"/>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row>
    <row r="517">
      <c r="A517" s="280"/>
      <c r="B517" s="280"/>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row>
    <row r="518">
      <c r="A518" s="280"/>
      <c r="B518" s="280"/>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row>
    <row r="519">
      <c r="A519" s="280"/>
      <c r="B519" s="280"/>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row>
    <row r="520">
      <c r="A520" s="280"/>
      <c r="B520" s="280"/>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row>
    <row r="521">
      <c r="A521" s="280"/>
      <c r="B521" s="280"/>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row>
    <row r="522">
      <c r="A522" s="280"/>
      <c r="B522" s="280"/>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row>
    <row r="523">
      <c r="A523" s="280"/>
      <c r="B523" s="280"/>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row>
    <row r="524">
      <c r="A524" s="280"/>
      <c r="B524" s="280"/>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row>
    <row r="525">
      <c r="A525" s="280"/>
      <c r="B525" s="280"/>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row>
    <row r="526">
      <c r="A526" s="280"/>
      <c r="B526" s="280"/>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row>
    <row r="527">
      <c r="A527" s="280"/>
      <c r="B527" s="280"/>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row>
    <row r="528">
      <c r="A528" s="280"/>
      <c r="B528" s="280"/>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row>
    <row r="529">
      <c r="A529" s="280"/>
      <c r="B529" s="280"/>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row>
    <row r="530">
      <c r="A530" s="280"/>
      <c r="B530" s="280"/>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row>
    <row r="531">
      <c r="A531" s="280"/>
      <c r="B531" s="280"/>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row>
    <row r="532">
      <c r="A532" s="280"/>
      <c r="B532" s="280"/>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row>
    <row r="533">
      <c r="A533" s="280"/>
      <c r="B533" s="280"/>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row>
    <row r="534">
      <c r="A534" s="280"/>
      <c r="B534" s="280"/>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row>
    <row r="535">
      <c r="A535" s="280"/>
      <c r="B535" s="280"/>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row>
    <row r="536">
      <c r="A536" s="280"/>
      <c r="B536" s="280"/>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row>
    <row r="537">
      <c r="A537" s="280"/>
      <c r="B537" s="280"/>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row>
    <row r="538">
      <c r="A538" s="280"/>
      <c r="B538" s="280"/>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row>
    <row r="539">
      <c r="A539" s="280"/>
      <c r="B539" s="280"/>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row>
    <row r="540">
      <c r="A540" s="280"/>
      <c r="B540" s="280"/>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row>
    <row r="541">
      <c r="A541" s="280"/>
      <c r="B541" s="280"/>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row>
    <row r="542">
      <c r="A542" s="280"/>
      <c r="B542" s="280"/>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row>
    <row r="543">
      <c r="A543" s="280"/>
      <c r="B543" s="280"/>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row>
    <row r="544">
      <c r="A544" s="280"/>
      <c r="B544" s="280"/>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row>
    <row r="545">
      <c r="A545" s="280"/>
      <c r="B545" s="280"/>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row>
    <row r="546">
      <c r="A546" s="280"/>
      <c r="B546" s="280"/>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row>
    <row r="547">
      <c r="A547" s="280"/>
      <c r="B547" s="280"/>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row>
    <row r="548">
      <c r="A548" s="280"/>
      <c r="B548" s="280"/>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row>
    <row r="549">
      <c r="A549" s="280"/>
      <c r="B549" s="280"/>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row>
    <row r="550">
      <c r="A550" s="280"/>
      <c r="B550" s="280"/>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row>
    <row r="551">
      <c r="A551" s="280"/>
      <c r="B551" s="280"/>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row>
    <row r="552">
      <c r="A552" s="280"/>
      <c r="B552" s="280"/>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row>
    <row r="553">
      <c r="A553" s="280"/>
      <c r="B553" s="280"/>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row>
    <row r="554">
      <c r="A554" s="280"/>
      <c r="B554" s="280"/>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row>
    <row r="555">
      <c r="A555" s="280"/>
      <c r="B555" s="280"/>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row>
    <row r="556">
      <c r="A556" s="280"/>
      <c r="B556" s="280"/>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row>
    <row r="557">
      <c r="A557" s="280"/>
      <c r="B557" s="280"/>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row>
    <row r="558">
      <c r="A558" s="280"/>
      <c r="B558" s="280"/>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row>
    <row r="559">
      <c r="A559" s="280"/>
      <c r="B559" s="280"/>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row>
    <row r="560">
      <c r="A560" s="280"/>
      <c r="B560" s="280"/>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row>
    <row r="561">
      <c r="A561" s="280"/>
      <c r="B561" s="280"/>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row>
    <row r="562">
      <c r="A562" s="280"/>
      <c r="B562" s="280"/>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row>
    <row r="563">
      <c r="A563" s="280"/>
      <c r="B563" s="280"/>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row>
    <row r="564">
      <c r="A564" s="280"/>
      <c r="B564" s="280"/>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row>
    <row r="565">
      <c r="A565" s="280"/>
      <c r="B565" s="280"/>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row>
    <row r="566">
      <c r="A566" s="280"/>
      <c r="B566" s="280"/>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row>
    <row r="567">
      <c r="A567" s="280"/>
      <c r="B567" s="280"/>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row>
    <row r="568">
      <c r="A568" s="280"/>
      <c r="B568" s="280"/>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row>
    <row r="569">
      <c r="A569" s="280"/>
      <c r="B569" s="280"/>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row>
    <row r="570">
      <c r="A570" s="280"/>
      <c r="B570" s="280"/>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row>
    <row r="571">
      <c r="A571" s="280"/>
      <c r="B571" s="280"/>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row>
    <row r="572">
      <c r="A572" s="280"/>
      <c r="B572" s="280"/>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row>
    <row r="573">
      <c r="A573" s="280"/>
      <c r="B573" s="280"/>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row>
    <row r="574">
      <c r="A574" s="280"/>
      <c r="B574" s="280"/>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row>
    <row r="575">
      <c r="A575" s="280"/>
      <c r="B575" s="280"/>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row>
    <row r="576">
      <c r="A576" s="280"/>
      <c r="B576" s="280"/>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row>
    <row r="577">
      <c r="A577" s="280"/>
      <c r="B577" s="280"/>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row>
    <row r="578">
      <c r="A578" s="280"/>
      <c r="B578" s="280"/>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row>
    <row r="579">
      <c r="A579" s="280"/>
      <c r="B579" s="280"/>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row>
    <row r="580">
      <c r="A580" s="280"/>
      <c r="B580" s="280"/>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row>
    <row r="581">
      <c r="A581" s="280"/>
      <c r="B581" s="280"/>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row>
    <row r="582">
      <c r="A582" s="280"/>
      <c r="B582" s="280"/>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row>
    <row r="583">
      <c r="A583" s="280"/>
      <c r="B583" s="280"/>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row>
    <row r="584">
      <c r="A584" s="280"/>
      <c r="B584" s="280"/>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row>
    <row r="585">
      <c r="A585" s="280"/>
      <c r="B585" s="280"/>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row>
    <row r="586">
      <c r="A586" s="280"/>
      <c r="B586" s="280"/>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row>
    <row r="587">
      <c r="A587" s="280"/>
      <c r="B587" s="280"/>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row>
    <row r="588">
      <c r="A588" s="280"/>
      <c r="B588" s="280"/>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row>
    <row r="589">
      <c r="A589" s="280"/>
      <c r="B589" s="280"/>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row>
    <row r="590">
      <c r="A590" s="280"/>
      <c r="B590" s="280"/>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row>
    <row r="591">
      <c r="A591" s="280"/>
      <c r="B591" s="280"/>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row>
    <row r="592">
      <c r="A592" s="280"/>
      <c r="B592" s="280"/>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row>
    <row r="593">
      <c r="A593" s="280"/>
      <c r="B593" s="280"/>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row>
    <row r="594">
      <c r="A594" s="280"/>
      <c r="B594" s="280"/>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row>
    <row r="595">
      <c r="A595" s="280"/>
      <c r="B595" s="280"/>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row>
    <row r="596">
      <c r="A596" s="280"/>
      <c r="B596" s="280"/>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row>
    <row r="597">
      <c r="A597" s="280"/>
      <c r="B597" s="280"/>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row>
    <row r="598">
      <c r="A598" s="280"/>
      <c r="B598" s="280"/>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row>
    <row r="599">
      <c r="A599" s="280"/>
      <c r="B599" s="280"/>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row>
    <row r="600">
      <c r="A600" s="280"/>
      <c r="B600" s="280"/>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row>
    <row r="601">
      <c r="A601" s="280"/>
      <c r="B601" s="280"/>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row>
    <row r="602">
      <c r="A602" s="280"/>
      <c r="B602" s="280"/>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row>
    <row r="603">
      <c r="A603" s="280"/>
      <c r="B603" s="280"/>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row>
    <row r="604">
      <c r="A604" s="280"/>
      <c r="B604" s="280"/>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row>
    <row r="605">
      <c r="A605" s="280"/>
      <c r="B605" s="280"/>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row>
    <row r="606">
      <c r="A606" s="280"/>
      <c r="B606" s="280"/>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row>
    <row r="607">
      <c r="A607" s="280"/>
      <c r="B607" s="280"/>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row>
    <row r="608">
      <c r="A608" s="280"/>
      <c r="B608" s="280"/>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row>
    <row r="609">
      <c r="A609" s="280"/>
      <c r="B609" s="280"/>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row>
    <row r="610">
      <c r="A610" s="280"/>
      <c r="B610" s="280"/>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row>
    <row r="611">
      <c r="A611" s="280"/>
      <c r="B611" s="280"/>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row>
    <row r="612">
      <c r="A612" s="280"/>
      <c r="B612" s="280"/>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row>
    <row r="613">
      <c r="A613" s="280"/>
      <c r="B613" s="280"/>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row>
    <row r="614">
      <c r="A614" s="280"/>
      <c r="B614" s="280"/>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row>
    <row r="615">
      <c r="A615" s="280"/>
      <c r="B615" s="280"/>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row>
    <row r="616">
      <c r="A616" s="280"/>
      <c r="B616" s="280"/>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row>
    <row r="617">
      <c r="A617" s="280"/>
      <c r="B617" s="280"/>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row>
    <row r="618">
      <c r="A618" s="280"/>
      <c r="B618" s="280"/>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row>
    <row r="619">
      <c r="A619" s="280"/>
      <c r="B619" s="280"/>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row>
    <row r="620">
      <c r="A620" s="280"/>
      <c r="B620" s="280"/>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row>
    <row r="621">
      <c r="A621" s="280"/>
      <c r="B621" s="280"/>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row>
    <row r="622">
      <c r="A622" s="280"/>
      <c r="B622" s="280"/>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row>
    <row r="623">
      <c r="A623" s="280"/>
      <c r="B623" s="280"/>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row>
    <row r="624">
      <c r="A624" s="280"/>
      <c r="B624" s="280"/>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row>
    <row r="625">
      <c r="A625" s="280"/>
      <c r="B625" s="280"/>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row>
    <row r="626">
      <c r="A626" s="280"/>
      <c r="B626" s="280"/>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row>
    <row r="627">
      <c r="A627" s="280"/>
      <c r="B627" s="280"/>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row>
    <row r="628">
      <c r="A628" s="280"/>
      <c r="B628" s="280"/>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row>
    <row r="629">
      <c r="A629" s="280"/>
      <c r="B629" s="280"/>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row>
    <row r="630">
      <c r="A630" s="280"/>
      <c r="B630" s="280"/>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row>
    <row r="631">
      <c r="A631" s="280"/>
      <c r="B631" s="280"/>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row>
    <row r="632">
      <c r="A632" s="280"/>
      <c r="B632" s="280"/>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row>
    <row r="633">
      <c r="A633" s="280"/>
      <c r="B633" s="280"/>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row>
    <row r="634">
      <c r="A634" s="280"/>
      <c r="B634" s="280"/>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row>
    <row r="635">
      <c r="A635" s="280"/>
      <c r="B635" s="280"/>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row>
    <row r="636">
      <c r="A636" s="280"/>
      <c r="B636" s="280"/>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row>
    <row r="637">
      <c r="A637" s="280"/>
      <c r="B637" s="280"/>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row>
    <row r="638">
      <c r="A638" s="280"/>
      <c r="B638" s="280"/>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row>
    <row r="639">
      <c r="A639" s="280"/>
      <c r="B639" s="280"/>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row>
    <row r="640">
      <c r="A640" s="280"/>
      <c r="B640" s="280"/>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row>
    <row r="641">
      <c r="A641" s="280"/>
      <c r="B641" s="280"/>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row>
    <row r="642">
      <c r="A642" s="280"/>
      <c r="B642" s="280"/>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row>
    <row r="643">
      <c r="A643" s="280"/>
      <c r="B643" s="280"/>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row>
    <row r="644">
      <c r="A644" s="280"/>
      <c r="B644" s="280"/>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row>
    <row r="645">
      <c r="A645" s="280"/>
      <c r="B645" s="280"/>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row>
    <row r="646">
      <c r="A646" s="280"/>
      <c r="B646" s="280"/>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row>
    <row r="647">
      <c r="A647" s="280"/>
      <c r="B647" s="280"/>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row>
    <row r="648">
      <c r="A648" s="280"/>
      <c r="B648" s="280"/>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row>
    <row r="649">
      <c r="A649" s="280"/>
      <c r="B649" s="280"/>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row>
    <row r="650">
      <c r="A650" s="280"/>
      <c r="B650" s="280"/>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row>
    <row r="651">
      <c r="A651" s="280"/>
      <c r="B651" s="280"/>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row>
    <row r="652">
      <c r="A652" s="280"/>
      <c r="B652" s="280"/>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row>
    <row r="653">
      <c r="A653" s="280"/>
      <c r="B653" s="280"/>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row>
    <row r="654">
      <c r="A654" s="280"/>
      <c r="B654" s="280"/>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row>
    <row r="655">
      <c r="A655" s="280"/>
      <c r="B655" s="280"/>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row>
    <row r="656">
      <c r="A656" s="280"/>
      <c r="B656" s="280"/>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row>
    <row r="657">
      <c r="A657" s="280"/>
      <c r="B657" s="280"/>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row>
    <row r="658">
      <c r="A658" s="280"/>
      <c r="B658" s="280"/>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row>
    <row r="659">
      <c r="A659" s="280"/>
      <c r="B659" s="280"/>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row>
    <row r="660">
      <c r="A660" s="280"/>
      <c r="B660" s="280"/>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row>
    <row r="661">
      <c r="A661" s="280"/>
      <c r="B661" s="280"/>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row>
    <row r="662">
      <c r="A662" s="280"/>
      <c r="B662" s="280"/>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row>
    <row r="663">
      <c r="A663" s="280"/>
      <c r="B663" s="280"/>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row>
    <row r="664">
      <c r="A664" s="280"/>
      <c r="B664" s="280"/>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row>
    <row r="665">
      <c r="A665" s="280"/>
      <c r="B665" s="280"/>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row>
    <row r="666">
      <c r="A666" s="280"/>
      <c r="B666" s="280"/>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row>
    <row r="667">
      <c r="A667" s="280"/>
      <c r="B667" s="280"/>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row>
    <row r="668">
      <c r="A668" s="280"/>
      <c r="B668" s="280"/>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row>
    <row r="669">
      <c r="A669" s="280"/>
      <c r="B669" s="280"/>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row>
    <row r="670">
      <c r="A670" s="280"/>
      <c r="B670" s="280"/>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row>
    <row r="671">
      <c r="A671" s="280"/>
      <c r="B671" s="280"/>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row>
    <row r="672">
      <c r="A672" s="280"/>
      <c r="B672" s="280"/>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row>
    <row r="673">
      <c r="A673" s="280"/>
      <c r="B673" s="280"/>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row>
    <row r="674">
      <c r="A674" s="280"/>
      <c r="B674" s="280"/>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row>
    <row r="675">
      <c r="A675" s="280"/>
      <c r="B675" s="280"/>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row>
    <row r="676">
      <c r="A676" s="280"/>
      <c r="B676" s="280"/>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row>
    <row r="677">
      <c r="A677" s="280"/>
      <c r="B677" s="280"/>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row>
    <row r="678">
      <c r="A678" s="280"/>
      <c r="B678" s="280"/>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row>
    <row r="679">
      <c r="A679" s="280"/>
      <c r="B679" s="280"/>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row>
    <row r="680">
      <c r="A680" s="280"/>
      <c r="B680" s="280"/>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row>
    <row r="681">
      <c r="A681" s="280"/>
      <c r="B681" s="280"/>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row>
    <row r="682">
      <c r="A682" s="280"/>
      <c r="B682" s="280"/>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row>
    <row r="683">
      <c r="A683" s="280"/>
      <c r="B683" s="280"/>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row>
    <row r="684">
      <c r="A684" s="280"/>
      <c r="B684" s="280"/>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row>
    <row r="685">
      <c r="A685" s="280"/>
      <c r="B685" s="280"/>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row>
    <row r="686">
      <c r="A686" s="280"/>
      <c r="B686" s="280"/>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row>
    <row r="687">
      <c r="A687" s="280"/>
      <c r="B687" s="280"/>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row>
    <row r="688">
      <c r="A688" s="280"/>
      <c r="B688" s="280"/>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row>
    <row r="689">
      <c r="A689" s="280"/>
      <c r="B689" s="280"/>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row>
    <row r="690">
      <c r="A690" s="280"/>
      <c r="B690" s="280"/>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row>
    <row r="691">
      <c r="A691" s="280"/>
      <c r="B691" s="280"/>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row>
    <row r="692">
      <c r="A692" s="280"/>
      <c r="B692" s="280"/>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row>
    <row r="693">
      <c r="A693" s="280"/>
      <c r="B693" s="280"/>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row>
    <row r="694">
      <c r="A694" s="280"/>
      <c r="B694" s="280"/>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row>
    <row r="695">
      <c r="A695" s="280"/>
      <c r="B695" s="280"/>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row>
    <row r="696">
      <c r="A696" s="280"/>
      <c r="B696" s="280"/>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row>
    <row r="697">
      <c r="A697" s="280"/>
      <c r="B697" s="280"/>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row>
    <row r="698">
      <c r="A698" s="280"/>
      <c r="B698" s="280"/>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row>
    <row r="699">
      <c r="A699" s="280"/>
      <c r="B699" s="280"/>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row>
    <row r="700">
      <c r="A700" s="280"/>
      <c r="B700" s="280"/>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row>
    <row r="701">
      <c r="A701" s="280"/>
      <c r="B701" s="280"/>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row>
    <row r="702">
      <c r="A702" s="280"/>
      <c r="B702" s="280"/>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row>
    <row r="703">
      <c r="A703" s="280"/>
      <c r="B703" s="280"/>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row>
    <row r="704">
      <c r="A704" s="280"/>
      <c r="B704" s="280"/>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row>
    <row r="705">
      <c r="A705" s="280"/>
      <c r="B705" s="280"/>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row>
    <row r="706">
      <c r="A706" s="280"/>
      <c r="B706" s="280"/>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row>
    <row r="707">
      <c r="A707" s="280"/>
      <c r="B707" s="280"/>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row>
    <row r="708">
      <c r="A708" s="280"/>
      <c r="B708" s="280"/>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row>
    <row r="709">
      <c r="A709" s="280"/>
      <c r="B709" s="280"/>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row>
    <row r="710">
      <c r="A710" s="280"/>
      <c r="B710" s="280"/>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row>
    <row r="711">
      <c r="A711" s="280"/>
      <c r="B711" s="280"/>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row>
    <row r="712">
      <c r="A712" s="280"/>
      <c r="B712" s="280"/>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row>
    <row r="713">
      <c r="A713" s="280"/>
      <c r="B713" s="280"/>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row>
    <row r="714">
      <c r="A714" s="280"/>
      <c r="B714" s="280"/>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row>
    <row r="715">
      <c r="A715" s="280"/>
      <c r="B715" s="280"/>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row>
    <row r="716">
      <c r="A716" s="280"/>
      <c r="B716" s="280"/>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row>
    <row r="717">
      <c r="A717" s="280"/>
      <c r="B717" s="280"/>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row>
    <row r="718">
      <c r="A718" s="280"/>
      <c r="B718" s="280"/>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row>
    <row r="719">
      <c r="A719" s="280"/>
      <c r="B719" s="280"/>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row>
    <row r="720">
      <c r="A720" s="280"/>
      <c r="B720" s="280"/>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row>
    <row r="721">
      <c r="A721" s="280"/>
      <c r="B721" s="280"/>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row>
    <row r="722">
      <c r="A722" s="280"/>
      <c r="B722" s="280"/>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row>
    <row r="723">
      <c r="A723" s="280"/>
      <c r="B723" s="280"/>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row>
    <row r="724">
      <c r="A724" s="280"/>
      <c r="B724" s="280"/>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row>
    <row r="725">
      <c r="A725" s="280"/>
      <c r="B725" s="280"/>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row>
    <row r="726">
      <c r="A726" s="280"/>
      <c r="B726" s="280"/>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row>
    <row r="727">
      <c r="A727" s="280"/>
      <c r="B727" s="280"/>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row>
    <row r="728">
      <c r="A728" s="280"/>
      <c r="B728" s="280"/>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row>
    <row r="729">
      <c r="A729" s="280"/>
      <c r="B729" s="280"/>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row>
    <row r="730">
      <c r="A730" s="280"/>
      <c r="B730" s="280"/>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row>
    <row r="731">
      <c r="A731" s="280"/>
      <c r="B731" s="280"/>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row>
    <row r="732">
      <c r="A732" s="280"/>
      <c r="B732" s="280"/>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row>
    <row r="733">
      <c r="A733" s="280"/>
      <c r="B733" s="280"/>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row>
    <row r="734">
      <c r="A734" s="280"/>
      <c r="B734" s="280"/>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row>
    <row r="735">
      <c r="A735" s="280"/>
      <c r="B735" s="280"/>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row>
    <row r="736">
      <c r="A736" s="280"/>
      <c r="B736" s="280"/>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row>
    <row r="737">
      <c r="A737" s="280"/>
      <c r="B737" s="280"/>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row>
    <row r="738">
      <c r="A738" s="280"/>
      <c r="B738" s="280"/>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row>
    <row r="739">
      <c r="A739" s="280"/>
      <c r="B739" s="280"/>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row>
    <row r="740">
      <c r="A740" s="280"/>
      <c r="B740" s="280"/>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row>
    <row r="741">
      <c r="A741" s="280"/>
      <c r="B741" s="280"/>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row>
    <row r="742">
      <c r="A742" s="280"/>
      <c r="B742" s="280"/>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row>
    <row r="743">
      <c r="A743" s="280"/>
      <c r="B743" s="280"/>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row>
    <row r="744">
      <c r="A744" s="280"/>
      <c r="B744" s="280"/>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row>
    <row r="745">
      <c r="A745" s="280"/>
      <c r="B745" s="280"/>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row>
    <row r="746">
      <c r="A746" s="280"/>
      <c r="B746" s="280"/>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row>
    <row r="747">
      <c r="A747" s="280"/>
      <c r="B747" s="280"/>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row>
    <row r="748">
      <c r="A748" s="280"/>
      <c r="B748" s="280"/>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row>
    <row r="749">
      <c r="A749" s="280"/>
      <c r="B749" s="280"/>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row>
    <row r="750">
      <c r="A750" s="280"/>
      <c r="B750" s="280"/>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row>
    <row r="751">
      <c r="A751" s="280"/>
      <c r="B751" s="280"/>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row>
    <row r="752">
      <c r="A752" s="280"/>
      <c r="B752" s="280"/>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row>
    <row r="753">
      <c r="A753" s="280"/>
      <c r="B753" s="280"/>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row>
    <row r="754">
      <c r="A754" s="280"/>
      <c r="B754" s="280"/>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row>
    <row r="755">
      <c r="A755" s="280"/>
      <c r="B755" s="280"/>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row>
    <row r="756">
      <c r="A756" s="280"/>
      <c r="B756" s="280"/>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row>
    <row r="757">
      <c r="A757" s="280"/>
      <c r="B757" s="280"/>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row>
    <row r="758">
      <c r="A758" s="280"/>
      <c r="B758" s="280"/>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row>
    <row r="759">
      <c r="A759" s="280"/>
      <c r="B759" s="280"/>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row>
    <row r="760">
      <c r="A760" s="280"/>
      <c r="B760" s="280"/>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row>
    <row r="761">
      <c r="A761" s="280"/>
      <c r="B761" s="280"/>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row>
    <row r="762">
      <c r="A762" s="280"/>
      <c r="B762" s="280"/>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row>
    <row r="763">
      <c r="A763" s="280"/>
      <c r="B763" s="280"/>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row>
    <row r="764">
      <c r="A764" s="280"/>
      <c r="B764" s="280"/>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row>
    <row r="765">
      <c r="A765" s="280"/>
      <c r="B765" s="280"/>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row>
    <row r="766">
      <c r="A766" s="280"/>
      <c r="B766" s="280"/>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row>
    <row r="767">
      <c r="A767" s="280"/>
      <c r="B767" s="280"/>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row>
    <row r="768">
      <c r="A768" s="280"/>
      <c r="B768" s="280"/>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row>
    <row r="769">
      <c r="A769" s="280"/>
      <c r="B769" s="280"/>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row>
    <row r="770">
      <c r="A770" s="280"/>
      <c r="B770" s="280"/>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row>
    <row r="771">
      <c r="A771" s="280"/>
      <c r="B771" s="280"/>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row>
    <row r="772">
      <c r="A772" s="280"/>
      <c r="B772" s="280"/>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row>
    <row r="773">
      <c r="A773" s="280"/>
      <c r="B773" s="280"/>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row>
    <row r="774">
      <c r="A774" s="280"/>
      <c r="B774" s="280"/>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row>
    <row r="775">
      <c r="A775" s="280"/>
      <c r="B775" s="280"/>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row>
    <row r="776">
      <c r="A776" s="280"/>
      <c r="B776" s="280"/>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row>
    <row r="777">
      <c r="A777" s="280"/>
      <c r="B777" s="280"/>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row>
    <row r="778">
      <c r="A778" s="280"/>
      <c r="B778" s="280"/>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row>
    <row r="779">
      <c r="A779" s="280"/>
      <c r="B779" s="280"/>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row>
    <row r="780">
      <c r="A780" s="280"/>
      <c r="B780" s="280"/>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row>
    <row r="781">
      <c r="A781" s="280"/>
      <c r="B781" s="280"/>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row>
    <row r="782">
      <c r="A782" s="280"/>
      <c r="B782" s="280"/>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row>
    <row r="783">
      <c r="A783" s="280"/>
      <c r="B783" s="280"/>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row>
    <row r="784">
      <c r="A784" s="280"/>
      <c r="B784" s="280"/>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row>
    <row r="785">
      <c r="A785" s="280"/>
      <c r="B785" s="280"/>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row>
    <row r="786">
      <c r="A786" s="280"/>
      <c r="B786" s="280"/>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row>
    <row r="787">
      <c r="A787" s="280"/>
      <c r="B787" s="280"/>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row>
    <row r="788">
      <c r="A788" s="280"/>
      <c r="B788" s="280"/>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row>
    <row r="789">
      <c r="A789" s="280"/>
      <c r="B789" s="280"/>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row>
    <row r="790">
      <c r="A790" s="280"/>
      <c r="B790" s="280"/>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row>
    <row r="791">
      <c r="A791" s="280"/>
      <c r="B791" s="280"/>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row>
    <row r="792">
      <c r="A792" s="280"/>
      <c r="B792" s="280"/>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row>
    <row r="793">
      <c r="A793" s="280"/>
      <c r="B793" s="280"/>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row>
    <row r="794">
      <c r="A794" s="280"/>
      <c r="B794" s="280"/>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row>
    <row r="795">
      <c r="A795" s="280"/>
      <c r="B795" s="280"/>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row>
    <row r="796">
      <c r="A796" s="280"/>
      <c r="B796" s="280"/>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row>
    <row r="797">
      <c r="A797" s="280"/>
      <c r="B797" s="280"/>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row>
    <row r="798">
      <c r="A798" s="280"/>
      <c r="B798" s="280"/>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row>
    <row r="799">
      <c r="A799" s="280"/>
      <c r="B799" s="280"/>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row>
    <row r="800">
      <c r="A800" s="280"/>
      <c r="B800" s="280"/>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row>
    <row r="801">
      <c r="A801" s="280"/>
      <c r="B801" s="280"/>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row>
    <row r="802">
      <c r="A802" s="280"/>
      <c r="B802" s="280"/>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row>
    <row r="803">
      <c r="A803" s="280"/>
      <c r="B803" s="280"/>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row>
    <row r="804">
      <c r="A804" s="280"/>
      <c r="B804" s="280"/>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row>
    <row r="805">
      <c r="A805" s="280"/>
      <c r="B805" s="280"/>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row>
    <row r="806">
      <c r="A806" s="280"/>
      <c r="B806" s="280"/>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row>
    <row r="807">
      <c r="A807" s="280"/>
      <c r="B807" s="280"/>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row>
    <row r="808">
      <c r="A808" s="280"/>
      <c r="B808" s="280"/>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row>
    <row r="809">
      <c r="A809" s="280"/>
      <c r="B809" s="280"/>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row>
    <row r="810">
      <c r="A810" s="280"/>
      <c r="B810" s="280"/>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row>
    <row r="811">
      <c r="A811" s="280"/>
      <c r="B811" s="280"/>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row>
    <row r="812">
      <c r="A812" s="280"/>
      <c r="B812" s="280"/>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row>
    <row r="813">
      <c r="A813" s="280"/>
      <c r="B813" s="280"/>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row>
    <row r="814">
      <c r="A814" s="280"/>
      <c r="B814" s="280"/>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row>
    <row r="815">
      <c r="A815" s="280"/>
      <c r="B815" s="280"/>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row>
    <row r="816">
      <c r="A816" s="280"/>
      <c r="B816" s="280"/>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row>
    <row r="817">
      <c r="A817" s="280"/>
      <c r="B817" s="280"/>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row>
    <row r="818">
      <c r="A818" s="280"/>
      <c r="B818" s="280"/>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row>
    <row r="819">
      <c r="A819" s="280"/>
      <c r="B819" s="280"/>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row>
    <row r="820">
      <c r="A820" s="280"/>
      <c r="B820" s="280"/>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row>
    <row r="821">
      <c r="A821" s="280"/>
      <c r="B821" s="280"/>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row>
    <row r="822">
      <c r="A822" s="280"/>
      <c r="B822" s="280"/>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row>
    <row r="823">
      <c r="A823" s="280"/>
      <c r="B823" s="280"/>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row>
    <row r="824">
      <c r="A824" s="280"/>
      <c r="B824" s="280"/>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row>
    <row r="825">
      <c r="A825" s="280"/>
      <c r="B825" s="280"/>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row>
    <row r="826">
      <c r="A826" s="280"/>
      <c r="B826" s="280"/>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row>
    <row r="827">
      <c r="A827" s="280"/>
      <c r="B827" s="280"/>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row>
    <row r="828">
      <c r="A828" s="280"/>
      <c r="B828" s="280"/>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row>
    <row r="829">
      <c r="A829" s="280"/>
      <c r="B829" s="280"/>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row>
    <row r="830">
      <c r="A830" s="280"/>
      <c r="B830" s="280"/>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row>
    <row r="831">
      <c r="A831" s="280"/>
      <c r="B831" s="280"/>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row>
    <row r="832">
      <c r="A832" s="280"/>
      <c r="B832" s="280"/>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row>
    <row r="833">
      <c r="A833" s="280"/>
      <c r="B833" s="280"/>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row>
    <row r="834">
      <c r="A834" s="280"/>
      <c r="B834" s="280"/>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row>
    <row r="835">
      <c r="A835" s="280"/>
      <c r="B835" s="280"/>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row>
    <row r="836">
      <c r="A836" s="280"/>
      <c r="B836" s="280"/>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row>
    <row r="837">
      <c r="A837" s="280"/>
      <c r="B837" s="280"/>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row>
    <row r="838">
      <c r="A838" s="280"/>
      <c r="B838" s="280"/>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row>
    <row r="839">
      <c r="A839" s="280"/>
      <c r="B839" s="280"/>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row>
    <row r="840">
      <c r="A840" s="280"/>
      <c r="B840" s="280"/>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row>
    <row r="841">
      <c r="A841" s="280"/>
      <c r="B841" s="280"/>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row>
    <row r="842">
      <c r="A842" s="280"/>
      <c r="B842" s="280"/>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row>
    <row r="843">
      <c r="A843" s="280"/>
      <c r="B843" s="280"/>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row>
    <row r="844">
      <c r="A844" s="280"/>
      <c r="B844" s="280"/>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row>
    <row r="845">
      <c r="A845" s="280"/>
      <c r="B845" s="280"/>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row>
    <row r="846">
      <c r="A846" s="280"/>
      <c r="B846" s="280"/>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row>
    <row r="847">
      <c r="A847" s="280"/>
      <c r="B847" s="280"/>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row>
    <row r="848">
      <c r="A848" s="280"/>
      <c r="B848" s="280"/>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row>
    <row r="849">
      <c r="A849" s="280"/>
      <c r="B849" s="280"/>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row>
    <row r="850">
      <c r="A850" s="280"/>
      <c r="B850" s="280"/>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row>
    <row r="851">
      <c r="A851" s="280"/>
      <c r="B851" s="280"/>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row>
    <row r="852">
      <c r="A852" s="280"/>
      <c r="B852" s="280"/>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row>
    <row r="853">
      <c r="A853" s="280"/>
      <c r="B853" s="280"/>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row>
    <row r="854">
      <c r="A854" s="280"/>
      <c r="B854" s="280"/>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row>
    <row r="855">
      <c r="A855" s="280"/>
      <c r="B855" s="280"/>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row>
    <row r="856">
      <c r="A856" s="280"/>
      <c r="B856" s="280"/>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row>
    <row r="857">
      <c r="A857" s="280"/>
      <c r="B857" s="280"/>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row>
    <row r="858">
      <c r="A858" s="280"/>
      <c r="B858" s="280"/>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row>
    <row r="859">
      <c r="A859" s="280"/>
      <c r="B859" s="280"/>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row>
    <row r="860">
      <c r="A860" s="280"/>
      <c r="B860" s="280"/>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row>
    <row r="861">
      <c r="A861" s="280"/>
      <c r="B861" s="280"/>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row>
    <row r="862">
      <c r="A862" s="280"/>
      <c r="B862" s="280"/>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row>
    <row r="863">
      <c r="A863" s="280"/>
      <c r="B863" s="280"/>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row>
    <row r="864">
      <c r="A864" s="280"/>
      <c r="B864" s="280"/>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row>
    <row r="865">
      <c r="A865" s="280"/>
      <c r="B865" s="280"/>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row>
    <row r="866">
      <c r="A866" s="280"/>
      <c r="B866" s="280"/>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row>
    <row r="867">
      <c r="A867" s="280"/>
      <c r="B867" s="280"/>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row>
    <row r="868">
      <c r="A868" s="280"/>
      <c r="B868" s="280"/>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row>
    <row r="869">
      <c r="A869" s="280"/>
      <c r="B869" s="280"/>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row>
    <row r="870">
      <c r="A870" s="280"/>
      <c r="B870" s="280"/>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row>
    <row r="871">
      <c r="A871" s="280"/>
      <c r="B871" s="280"/>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row>
    <row r="872">
      <c r="A872" s="280"/>
      <c r="B872" s="280"/>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row>
    <row r="873">
      <c r="A873" s="280"/>
      <c r="B873" s="280"/>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row>
    <row r="874">
      <c r="A874" s="280"/>
      <c r="B874" s="280"/>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row>
    <row r="875">
      <c r="A875" s="280"/>
      <c r="B875" s="280"/>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row>
    <row r="876">
      <c r="A876" s="280"/>
      <c r="B876" s="280"/>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row>
    <row r="877">
      <c r="A877" s="280"/>
      <c r="B877" s="280"/>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row>
    <row r="878">
      <c r="A878" s="280"/>
      <c r="B878" s="280"/>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row>
    <row r="879">
      <c r="A879" s="280"/>
      <c r="B879" s="280"/>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row>
    <row r="880">
      <c r="A880" s="280"/>
      <c r="B880" s="280"/>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row>
    <row r="881">
      <c r="A881" s="280"/>
      <c r="B881" s="280"/>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row>
    <row r="882">
      <c r="A882" s="280"/>
      <c r="B882" s="280"/>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row>
    <row r="883">
      <c r="A883" s="280"/>
      <c r="B883" s="280"/>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row>
    <row r="884">
      <c r="A884" s="280"/>
      <c r="B884" s="280"/>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row>
    <row r="885">
      <c r="A885" s="280"/>
      <c r="B885" s="280"/>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row>
    <row r="886">
      <c r="A886" s="280"/>
      <c r="B886" s="280"/>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row>
    <row r="887">
      <c r="A887" s="280"/>
      <c r="B887" s="280"/>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row>
    <row r="888">
      <c r="A888" s="280"/>
      <c r="B888" s="280"/>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row>
    <row r="889">
      <c r="A889" s="280"/>
      <c r="B889" s="280"/>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row>
    <row r="890">
      <c r="A890" s="280"/>
      <c r="B890" s="280"/>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row>
    <row r="891">
      <c r="A891" s="280"/>
      <c r="B891" s="280"/>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row>
    <row r="892">
      <c r="A892" s="280"/>
      <c r="B892" s="280"/>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row>
    <row r="893">
      <c r="A893" s="280"/>
      <c r="B893" s="280"/>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row>
    <row r="894">
      <c r="A894" s="280"/>
      <c r="B894" s="280"/>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row>
    <row r="895">
      <c r="A895" s="280"/>
      <c r="B895" s="280"/>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row>
    <row r="896">
      <c r="A896" s="280"/>
      <c r="B896" s="280"/>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row>
    <row r="897">
      <c r="A897" s="280"/>
      <c r="B897" s="280"/>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row>
    <row r="898">
      <c r="A898" s="280"/>
      <c r="B898" s="280"/>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row>
    <row r="899">
      <c r="A899" s="280"/>
      <c r="B899" s="280"/>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row>
    <row r="900">
      <c r="A900" s="280"/>
      <c r="B900" s="280"/>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row>
    <row r="901">
      <c r="A901" s="280"/>
      <c r="B901" s="280"/>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row>
    <row r="902">
      <c r="A902" s="280"/>
      <c r="B902" s="280"/>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row>
    <row r="903">
      <c r="A903" s="280"/>
      <c r="B903" s="280"/>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row>
    <row r="904">
      <c r="A904" s="280"/>
      <c r="B904" s="280"/>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row>
    <row r="905">
      <c r="A905" s="280"/>
      <c r="B905" s="280"/>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row>
    <row r="906">
      <c r="A906" s="280"/>
      <c r="B906" s="280"/>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row>
    <row r="907">
      <c r="A907" s="280"/>
      <c r="B907" s="280"/>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row>
    <row r="908">
      <c r="A908" s="280"/>
      <c r="B908" s="280"/>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row>
    <row r="909">
      <c r="A909" s="280"/>
      <c r="B909" s="280"/>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row>
    <row r="910">
      <c r="A910" s="280"/>
      <c r="B910" s="280"/>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row>
    <row r="911">
      <c r="A911" s="280"/>
      <c r="B911" s="280"/>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row>
    <row r="912">
      <c r="A912" s="280"/>
      <c r="B912" s="280"/>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row>
    <row r="913">
      <c r="A913" s="280"/>
      <c r="B913" s="280"/>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row>
    <row r="914">
      <c r="A914" s="280"/>
      <c r="B914" s="280"/>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row>
    <row r="915">
      <c r="A915" s="280"/>
      <c r="B915" s="280"/>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row>
    <row r="916">
      <c r="A916" s="280"/>
      <c r="B916" s="280"/>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row>
    <row r="917">
      <c r="A917" s="280"/>
      <c r="B917" s="280"/>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row>
    <row r="918">
      <c r="A918" s="280"/>
      <c r="B918" s="280"/>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row>
    <row r="919">
      <c r="A919" s="280"/>
      <c r="B919" s="280"/>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row>
    <row r="920">
      <c r="A920" s="280"/>
      <c r="B920" s="280"/>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row>
    <row r="921">
      <c r="A921" s="280"/>
      <c r="B921" s="280"/>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row>
    <row r="922">
      <c r="A922" s="280"/>
      <c r="B922" s="280"/>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row>
    <row r="923">
      <c r="A923" s="280"/>
      <c r="B923" s="280"/>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row>
    <row r="924">
      <c r="A924" s="280"/>
      <c r="B924" s="280"/>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row>
    <row r="925">
      <c r="A925" s="280"/>
      <c r="B925" s="280"/>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row>
    <row r="926">
      <c r="A926" s="280"/>
      <c r="B926" s="280"/>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row>
    <row r="927">
      <c r="A927" s="280"/>
      <c r="B927" s="280"/>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row>
    <row r="928">
      <c r="A928" s="280"/>
      <c r="B928" s="280"/>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row>
    <row r="929">
      <c r="A929" s="280"/>
      <c r="B929" s="280"/>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row>
    <row r="930">
      <c r="A930" s="280"/>
      <c r="B930" s="280"/>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row>
    <row r="931">
      <c r="A931" s="280"/>
      <c r="B931" s="280"/>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row>
    <row r="932">
      <c r="A932" s="280"/>
      <c r="B932" s="280"/>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row>
    <row r="933">
      <c r="A933" s="280"/>
      <c r="B933" s="280"/>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row>
    <row r="934">
      <c r="A934" s="280"/>
      <c r="B934" s="280"/>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row>
    <row r="935">
      <c r="A935" s="280"/>
      <c r="B935" s="280"/>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row>
    <row r="936">
      <c r="A936" s="280"/>
      <c r="B936" s="280"/>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row>
    <row r="937">
      <c r="A937" s="280"/>
      <c r="B937" s="280"/>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row>
    <row r="938">
      <c r="A938" s="280"/>
      <c r="B938" s="280"/>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row>
    <row r="939">
      <c r="A939" s="280"/>
      <c r="B939" s="280"/>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row>
    <row r="940">
      <c r="A940" s="280"/>
      <c r="B940" s="280"/>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row>
    <row r="941">
      <c r="A941" s="280"/>
      <c r="B941" s="280"/>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row>
    <row r="942">
      <c r="A942" s="280"/>
      <c r="B942" s="280"/>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row>
    <row r="943">
      <c r="A943" s="280"/>
      <c r="B943" s="280"/>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row>
    <row r="944">
      <c r="A944" s="280"/>
      <c r="B944" s="280"/>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row>
    <row r="945">
      <c r="A945" s="280"/>
      <c r="B945" s="280"/>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row>
    <row r="946">
      <c r="A946" s="280"/>
      <c r="B946" s="280"/>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row>
    <row r="947">
      <c r="A947" s="280"/>
      <c r="B947" s="280"/>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row>
    <row r="948">
      <c r="A948" s="280"/>
      <c r="B948" s="280"/>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row>
    <row r="949">
      <c r="A949" s="280"/>
      <c r="B949" s="280"/>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row>
    <row r="950">
      <c r="A950" s="280"/>
      <c r="B950" s="280"/>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row>
    <row r="951">
      <c r="A951" s="280"/>
      <c r="B951" s="280"/>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row>
    <row r="952">
      <c r="A952" s="280"/>
      <c r="B952" s="280"/>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row>
    <row r="953">
      <c r="A953" s="280"/>
      <c r="B953" s="280"/>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row>
    <row r="954">
      <c r="A954" s="280"/>
      <c r="B954" s="280"/>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row>
    <row r="955">
      <c r="A955" s="280"/>
      <c r="B955" s="280"/>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row>
    <row r="956">
      <c r="A956" s="280"/>
      <c r="B956" s="280"/>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row>
    <row r="957">
      <c r="A957" s="280"/>
      <c r="B957" s="280"/>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row>
    <row r="958">
      <c r="A958" s="280"/>
      <c r="B958" s="280"/>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row>
    <row r="959">
      <c r="A959" s="280"/>
      <c r="B959" s="280"/>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row>
    <row r="960">
      <c r="A960" s="280"/>
      <c r="B960" s="280"/>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row>
    <row r="961">
      <c r="A961" s="280"/>
      <c r="B961" s="280"/>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row>
    <row r="962">
      <c r="A962" s="280"/>
      <c r="B962" s="280"/>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row>
    <row r="963">
      <c r="A963" s="280"/>
      <c r="B963" s="280"/>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row>
    <row r="964">
      <c r="A964" s="280"/>
      <c r="B964" s="280"/>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row>
    <row r="965">
      <c r="A965" s="280"/>
      <c r="B965" s="280"/>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row>
    <row r="966">
      <c r="A966" s="280"/>
      <c r="B966" s="280"/>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row>
    <row r="967">
      <c r="A967" s="280"/>
      <c r="B967" s="280"/>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row>
    <row r="968">
      <c r="A968" s="280"/>
      <c r="B968" s="280"/>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row>
    <row r="969">
      <c r="A969" s="280"/>
      <c r="B969" s="280"/>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row>
    <row r="970">
      <c r="A970" s="280"/>
      <c r="B970" s="280"/>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row>
    <row r="971">
      <c r="A971" s="280"/>
      <c r="B971" s="280"/>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row>
    <row r="972">
      <c r="A972" s="280"/>
      <c r="B972" s="280"/>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row>
    <row r="973">
      <c r="A973" s="280"/>
      <c r="B973" s="280"/>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row>
    <row r="974">
      <c r="A974" s="280"/>
      <c r="B974" s="280"/>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row>
    <row r="975">
      <c r="A975" s="280"/>
      <c r="B975" s="280"/>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row>
    <row r="976">
      <c r="A976" s="280"/>
      <c r="B976" s="280"/>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row>
    <row r="977">
      <c r="A977" s="280"/>
      <c r="B977" s="280"/>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row>
    <row r="978">
      <c r="A978" s="280"/>
      <c r="B978" s="280"/>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row>
    <row r="979">
      <c r="A979" s="280"/>
      <c r="B979" s="280"/>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row>
    <row r="980">
      <c r="A980" s="280"/>
      <c r="B980" s="280"/>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row>
    <row r="981">
      <c r="A981" s="280"/>
      <c r="B981" s="280"/>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row>
    <row r="982">
      <c r="A982" s="280"/>
      <c r="B982" s="280"/>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row>
    <row r="983">
      <c r="A983" s="280"/>
      <c r="B983" s="280"/>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row>
    <row r="984">
      <c r="A984" s="280"/>
      <c r="B984" s="280"/>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row>
    <row r="985">
      <c r="A985" s="280"/>
      <c r="B985" s="280"/>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row>
    <row r="986">
      <c r="A986" s="280"/>
      <c r="B986" s="280"/>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row>
    <row r="987">
      <c r="A987" s="280"/>
      <c r="B987" s="280"/>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row>
    <row r="988">
      <c r="A988" s="280"/>
      <c r="B988" s="280"/>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33.88"/>
  </cols>
  <sheetData>
    <row r="1">
      <c r="A1" s="292"/>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row>
    <row r="2">
      <c r="A2" s="292"/>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row>
    <row r="3">
      <c r="A3" s="293" t="s">
        <v>265</v>
      </c>
      <c r="B3" s="292"/>
      <c r="C3" s="292"/>
      <c r="D3" s="292"/>
      <c r="E3" s="292"/>
      <c r="F3" s="292"/>
      <c r="G3" s="292"/>
      <c r="H3" s="292"/>
      <c r="I3" s="292"/>
      <c r="J3" s="292"/>
      <c r="K3" s="292"/>
      <c r="L3" s="292"/>
      <c r="M3" s="292"/>
      <c r="N3" s="292"/>
      <c r="O3" s="292"/>
      <c r="P3" s="292"/>
      <c r="Q3" s="292"/>
      <c r="R3" s="292"/>
      <c r="S3" s="292"/>
      <c r="T3" s="292"/>
      <c r="U3" s="292"/>
      <c r="V3" s="292"/>
      <c r="W3" s="292"/>
      <c r="X3" s="292"/>
      <c r="Y3" s="292"/>
      <c r="Z3" s="292"/>
      <c r="AA3" s="292"/>
      <c r="AB3" s="292"/>
    </row>
    <row r="4">
      <c r="A4" s="294" t="s">
        <v>263</v>
      </c>
      <c r="B4" s="294" t="s">
        <v>266</v>
      </c>
      <c r="C4" s="294" t="s">
        <v>9</v>
      </c>
      <c r="D4" s="292"/>
      <c r="E4" s="292"/>
      <c r="F4" s="292"/>
      <c r="G4" s="292"/>
      <c r="H4" s="292"/>
      <c r="I4" s="292"/>
      <c r="J4" s="292"/>
      <c r="K4" s="292"/>
      <c r="L4" s="292"/>
      <c r="M4" s="292"/>
      <c r="N4" s="292"/>
      <c r="O4" s="292"/>
      <c r="P4" s="292"/>
      <c r="Q4" s="292"/>
      <c r="R4" s="292"/>
      <c r="S4" s="292"/>
      <c r="T4" s="292"/>
      <c r="U4" s="292"/>
      <c r="V4" s="292"/>
      <c r="W4" s="292"/>
      <c r="X4" s="292"/>
      <c r="Y4" s="292"/>
      <c r="Z4" s="292"/>
      <c r="AA4" s="292"/>
      <c r="AB4" s="292"/>
    </row>
    <row r="5">
      <c r="A5" s="295" t="s">
        <v>234</v>
      </c>
      <c r="B5" s="295" t="s">
        <v>267</v>
      </c>
      <c r="C5" s="296">
        <v>1.0</v>
      </c>
      <c r="D5" s="292"/>
      <c r="E5" s="292"/>
      <c r="F5" s="292"/>
      <c r="G5" s="292"/>
      <c r="H5" s="292"/>
      <c r="I5" s="292"/>
      <c r="J5" s="292"/>
      <c r="K5" s="292"/>
      <c r="L5" s="292"/>
      <c r="M5" s="292"/>
      <c r="N5" s="292"/>
      <c r="O5" s="292"/>
      <c r="P5" s="292"/>
      <c r="Q5" s="292"/>
      <c r="R5" s="292"/>
      <c r="S5" s="292"/>
      <c r="T5" s="292"/>
      <c r="U5" s="292"/>
      <c r="V5" s="292"/>
      <c r="W5" s="292"/>
      <c r="X5" s="292"/>
      <c r="Y5" s="292"/>
      <c r="Z5" s="292"/>
      <c r="AA5" s="292"/>
      <c r="AB5" s="292"/>
    </row>
    <row r="6">
      <c r="A6" s="295" t="s">
        <v>27</v>
      </c>
      <c r="B6" s="295" t="s">
        <v>268</v>
      </c>
      <c r="C6" s="296">
        <v>-1.0</v>
      </c>
      <c r="D6" s="292"/>
      <c r="E6" s="292"/>
      <c r="F6" s="292"/>
      <c r="G6" s="292"/>
      <c r="H6" s="292"/>
      <c r="I6" s="292"/>
      <c r="J6" s="292"/>
      <c r="K6" s="292"/>
      <c r="L6" s="292"/>
      <c r="M6" s="292"/>
      <c r="N6" s="292"/>
      <c r="O6" s="292"/>
      <c r="P6" s="292"/>
      <c r="Q6" s="292"/>
      <c r="R6" s="292"/>
      <c r="S6" s="292"/>
      <c r="T6" s="292"/>
      <c r="U6" s="292"/>
      <c r="V6" s="292"/>
      <c r="W6" s="292"/>
      <c r="X6" s="292"/>
      <c r="Y6" s="292"/>
      <c r="Z6" s="292"/>
      <c r="AA6" s="292"/>
      <c r="AB6" s="292"/>
    </row>
    <row r="7">
      <c r="A7" s="295" t="s">
        <v>269</v>
      </c>
      <c r="B7" s="295" t="s">
        <v>270</v>
      </c>
      <c r="C7" s="296">
        <v>-1.0</v>
      </c>
      <c r="D7" s="292"/>
      <c r="E7" s="292"/>
      <c r="F7" s="292"/>
      <c r="G7" s="292"/>
      <c r="H7" s="292"/>
      <c r="I7" s="292"/>
      <c r="J7" s="292"/>
      <c r="K7" s="292"/>
      <c r="L7" s="292"/>
      <c r="M7" s="292"/>
      <c r="N7" s="292"/>
      <c r="O7" s="292"/>
      <c r="P7" s="292"/>
      <c r="Q7" s="292"/>
      <c r="R7" s="292"/>
      <c r="S7" s="292"/>
      <c r="T7" s="292"/>
      <c r="U7" s="292"/>
      <c r="V7" s="292"/>
      <c r="W7" s="292"/>
      <c r="X7" s="292"/>
      <c r="Y7" s="292"/>
      <c r="Z7" s="292"/>
      <c r="AA7" s="292"/>
      <c r="AB7" s="292"/>
    </row>
    <row r="8">
      <c r="A8" s="295" t="s">
        <v>271</v>
      </c>
      <c r="B8" s="295" t="s">
        <v>272</v>
      </c>
      <c r="C8" s="296">
        <v>-1.0</v>
      </c>
      <c r="D8" s="292"/>
      <c r="E8" s="292"/>
      <c r="F8" s="292"/>
      <c r="G8" s="292"/>
      <c r="H8" s="292"/>
      <c r="I8" s="292"/>
      <c r="J8" s="292"/>
      <c r="K8" s="292"/>
      <c r="L8" s="292"/>
      <c r="M8" s="292"/>
      <c r="N8" s="292"/>
      <c r="O8" s="292"/>
      <c r="P8" s="292"/>
      <c r="Q8" s="292"/>
      <c r="R8" s="292"/>
      <c r="S8" s="292"/>
      <c r="T8" s="292"/>
      <c r="U8" s="292"/>
      <c r="V8" s="292"/>
      <c r="W8" s="292"/>
      <c r="X8" s="292"/>
      <c r="Y8" s="292"/>
      <c r="Z8" s="292"/>
      <c r="AA8" s="292"/>
      <c r="AB8" s="292"/>
    </row>
    <row r="9">
      <c r="A9" s="295" t="s">
        <v>30</v>
      </c>
      <c r="B9" s="295" t="s">
        <v>43</v>
      </c>
      <c r="C9" s="295">
        <v>-1.0</v>
      </c>
      <c r="D9" s="292"/>
      <c r="E9" s="292"/>
      <c r="F9" s="292"/>
      <c r="G9" s="292"/>
      <c r="H9" s="292"/>
      <c r="I9" s="292"/>
      <c r="J9" s="292"/>
      <c r="K9" s="292"/>
      <c r="L9" s="292"/>
      <c r="M9" s="292"/>
      <c r="N9" s="292"/>
      <c r="O9" s="292"/>
      <c r="P9" s="292"/>
      <c r="Q9" s="292"/>
      <c r="R9" s="292"/>
      <c r="S9" s="292"/>
      <c r="T9" s="292"/>
      <c r="U9" s="292"/>
      <c r="V9" s="292"/>
      <c r="W9" s="292"/>
      <c r="X9" s="292"/>
      <c r="Y9" s="292"/>
      <c r="Z9" s="292"/>
      <c r="AA9" s="292"/>
      <c r="AB9" s="292"/>
    </row>
    <row r="10">
      <c r="A10" s="293" t="s">
        <v>273</v>
      </c>
      <c r="B10" s="297"/>
      <c r="C10" s="293">
        <v>-1.0</v>
      </c>
      <c r="D10" s="292"/>
      <c r="E10" s="292"/>
      <c r="F10" s="292"/>
      <c r="G10" s="292"/>
      <c r="H10" s="292"/>
      <c r="I10" s="292"/>
      <c r="J10" s="292"/>
      <c r="K10" s="292"/>
      <c r="L10" s="292"/>
      <c r="M10" s="292"/>
      <c r="N10" s="292"/>
      <c r="O10" s="292"/>
      <c r="P10" s="292"/>
      <c r="Q10" s="292"/>
      <c r="R10" s="292"/>
      <c r="S10" s="292"/>
      <c r="T10" s="292"/>
      <c r="U10" s="292"/>
      <c r="V10" s="292"/>
      <c r="W10" s="292"/>
      <c r="X10" s="292"/>
      <c r="Y10" s="292"/>
      <c r="Z10" s="292"/>
      <c r="AA10" s="292"/>
      <c r="AB10" s="292"/>
    </row>
    <row r="11">
      <c r="A11" s="293" t="s">
        <v>274</v>
      </c>
      <c r="B11" s="297"/>
      <c r="C11" s="293">
        <v>-1.0</v>
      </c>
      <c r="D11" s="292"/>
      <c r="E11" s="292"/>
      <c r="F11" s="292"/>
      <c r="G11" s="292"/>
      <c r="H11" s="292"/>
      <c r="I11" s="292"/>
      <c r="J11" s="292"/>
      <c r="K11" s="292"/>
      <c r="L11" s="292"/>
      <c r="M11" s="298"/>
      <c r="N11" s="292"/>
      <c r="O11" s="292"/>
      <c r="P11" s="292"/>
      <c r="Q11" s="292"/>
      <c r="R11" s="292"/>
      <c r="S11" s="292"/>
      <c r="T11" s="292"/>
      <c r="U11" s="292"/>
      <c r="V11" s="292"/>
      <c r="W11" s="292"/>
      <c r="X11" s="292"/>
      <c r="Y11" s="292"/>
      <c r="Z11" s="292"/>
      <c r="AA11" s="292"/>
      <c r="AB11" s="292"/>
    </row>
    <row r="12">
      <c r="A12" s="299" t="s">
        <v>59</v>
      </c>
      <c r="B12" s="300"/>
      <c r="C12" s="301">
        <f>AVERAGE(C5:C11)</f>
        <v>-0.7142857143</v>
      </c>
      <c r="D12" s="292"/>
      <c r="E12" s="292"/>
      <c r="F12" s="292"/>
      <c r="G12" s="292"/>
      <c r="H12" s="292"/>
      <c r="I12" s="292"/>
      <c r="J12" s="292"/>
      <c r="K12" s="292"/>
      <c r="L12" s="292"/>
      <c r="M12" s="292"/>
      <c r="N12" s="292"/>
      <c r="O12" s="292"/>
      <c r="P12" s="292"/>
      <c r="Q12" s="292"/>
      <c r="R12" s="292"/>
      <c r="S12" s="292"/>
      <c r="T12" s="292"/>
      <c r="U12" s="292"/>
      <c r="V12" s="292"/>
      <c r="W12" s="292"/>
      <c r="X12" s="292"/>
      <c r="Y12" s="292"/>
      <c r="Z12" s="292"/>
      <c r="AA12" s="292"/>
      <c r="AB12" s="292"/>
    </row>
    <row r="13">
      <c r="A13" s="292"/>
      <c r="B13" s="292"/>
      <c r="C13" s="292"/>
      <c r="D13" s="292"/>
      <c r="E13" s="292"/>
      <c r="F13" s="292"/>
      <c r="G13" s="292"/>
      <c r="H13" s="292"/>
      <c r="I13" s="292"/>
      <c r="J13" s="292"/>
      <c r="K13" s="292"/>
      <c r="L13" s="292"/>
      <c r="M13" s="292"/>
      <c r="N13" s="292"/>
      <c r="O13" s="292"/>
      <c r="P13" s="292"/>
      <c r="Q13" s="292"/>
      <c r="R13" s="292"/>
      <c r="S13" s="292"/>
      <c r="T13" s="292"/>
      <c r="U13" s="292"/>
      <c r="V13" s="292"/>
      <c r="W13" s="292"/>
      <c r="X13" s="292"/>
      <c r="Y13" s="292"/>
      <c r="Z13" s="292"/>
      <c r="AA13" s="292"/>
      <c r="AB13" s="292"/>
    </row>
    <row r="14">
      <c r="A14" s="292"/>
      <c r="B14" s="292"/>
      <c r="C14" s="292"/>
      <c r="D14" s="292"/>
      <c r="E14" s="292"/>
      <c r="F14" s="292"/>
      <c r="G14" s="292"/>
      <c r="H14" s="292"/>
      <c r="I14" s="292"/>
      <c r="J14" s="292"/>
      <c r="K14" s="292"/>
      <c r="L14" s="292"/>
      <c r="M14" s="292"/>
      <c r="N14" s="292"/>
      <c r="O14" s="292"/>
      <c r="P14" s="292"/>
      <c r="Q14" s="292"/>
      <c r="R14" s="292"/>
      <c r="S14" s="292"/>
      <c r="T14" s="292"/>
      <c r="U14" s="292"/>
      <c r="V14" s="292"/>
      <c r="W14" s="292"/>
      <c r="X14" s="292"/>
      <c r="Y14" s="292"/>
      <c r="Z14" s="292"/>
      <c r="AA14" s="292"/>
      <c r="AB14" s="292"/>
    </row>
    <row r="15">
      <c r="A15" s="297"/>
      <c r="B15" s="292"/>
      <c r="C15" s="297"/>
      <c r="D15" s="297"/>
      <c r="E15" s="297"/>
      <c r="F15" s="297"/>
      <c r="G15" s="292"/>
      <c r="H15" s="292"/>
      <c r="I15" s="297"/>
      <c r="J15" s="297"/>
      <c r="K15" s="292"/>
      <c r="L15" s="292"/>
      <c r="M15" s="292"/>
      <c r="N15" s="292"/>
      <c r="O15" s="292"/>
      <c r="P15" s="292"/>
      <c r="Q15" s="292"/>
      <c r="R15" s="292"/>
      <c r="S15" s="292"/>
      <c r="T15" s="292"/>
      <c r="U15" s="292"/>
      <c r="V15" s="292"/>
      <c r="W15" s="292"/>
      <c r="X15" s="292"/>
      <c r="Y15" s="292"/>
      <c r="Z15" s="292"/>
      <c r="AA15" s="292"/>
      <c r="AB15" s="292"/>
    </row>
    <row r="16">
      <c r="A16" s="297"/>
      <c r="B16" s="298"/>
      <c r="C16" s="302"/>
      <c r="D16" s="302"/>
      <c r="E16" s="302"/>
      <c r="F16" s="302"/>
      <c r="G16" s="292"/>
      <c r="H16" s="297"/>
      <c r="I16" s="303"/>
      <c r="J16" s="304"/>
      <c r="K16" s="292"/>
      <c r="L16" s="292"/>
      <c r="M16" s="298"/>
      <c r="N16" s="298"/>
      <c r="O16" s="298"/>
      <c r="P16" s="298"/>
      <c r="Q16" s="292"/>
      <c r="R16" s="292"/>
      <c r="S16" s="292"/>
      <c r="T16" s="298"/>
      <c r="U16" s="292"/>
      <c r="V16" s="292"/>
      <c r="W16" s="292"/>
      <c r="X16" s="292"/>
      <c r="Y16" s="292"/>
      <c r="Z16" s="292"/>
      <c r="AA16" s="292"/>
      <c r="AB16" s="292"/>
    </row>
    <row r="17">
      <c r="A17" s="297"/>
      <c r="B17" s="298"/>
      <c r="C17" s="302"/>
      <c r="D17" s="302"/>
      <c r="E17" s="302"/>
      <c r="F17" s="302"/>
      <c r="G17" s="292"/>
      <c r="H17" s="297"/>
      <c r="I17" s="303"/>
      <c r="J17" s="304"/>
      <c r="K17" s="292"/>
      <c r="L17" s="292"/>
      <c r="M17" s="298"/>
      <c r="N17" s="298"/>
      <c r="O17" s="298"/>
      <c r="P17" s="298"/>
      <c r="Q17" s="292"/>
      <c r="R17" s="292"/>
      <c r="S17" s="292"/>
      <c r="T17" s="298"/>
      <c r="U17" s="292"/>
      <c r="V17" s="292"/>
      <c r="W17" s="292"/>
      <c r="X17" s="292"/>
      <c r="Y17" s="292"/>
      <c r="Z17" s="292"/>
      <c r="AA17" s="292"/>
      <c r="AB17" s="292"/>
    </row>
    <row r="18">
      <c r="A18" s="297"/>
      <c r="B18" s="298"/>
      <c r="C18" s="302"/>
      <c r="D18" s="302"/>
      <c r="E18" s="302"/>
      <c r="F18" s="302"/>
      <c r="G18" s="292"/>
      <c r="H18" s="297"/>
      <c r="I18" s="303"/>
      <c r="J18" s="304"/>
      <c r="K18" s="292"/>
      <c r="L18" s="292"/>
      <c r="M18" s="298"/>
      <c r="N18" s="298"/>
      <c r="O18" s="298"/>
      <c r="P18" s="298"/>
      <c r="Q18" s="292"/>
      <c r="R18" s="292"/>
      <c r="S18" s="292"/>
      <c r="T18" s="298"/>
      <c r="U18" s="292"/>
      <c r="V18" s="292"/>
      <c r="W18" s="292"/>
      <c r="X18" s="292"/>
      <c r="Y18" s="292"/>
      <c r="Z18" s="292"/>
      <c r="AA18" s="292"/>
      <c r="AB18" s="292"/>
    </row>
    <row r="19">
      <c r="A19" s="297"/>
      <c r="B19" s="298"/>
      <c r="C19" s="302"/>
      <c r="D19" s="302"/>
      <c r="E19" s="302"/>
      <c r="F19" s="302"/>
      <c r="G19" s="292"/>
      <c r="H19" s="297"/>
      <c r="I19" s="303"/>
      <c r="J19" s="304"/>
      <c r="K19" s="292"/>
      <c r="L19" s="292"/>
      <c r="M19" s="298"/>
      <c r="N19" s="298"/>
      <c r="O19" s="298"/>
      <c r="P19" s="298"/>
      <c r="Q19" s="292"/>
      <c r="R19" s="292"/>
      <c r="S19" s="292"/>
      <c r="T19" s="298"/>
      <c r="U19" s="292"/>
      <c r="V19" s="292"/>
      <c r="W19" s="292"/>
      <c r="X19" s="292"/>
      <c r="Y19" s="292"/>
      <c r="Z19" s="292"/>
      <c r="AA19" s="292"/>
      <c r="AB19" s="292"/>
    </row>
    <row r="20">
      <c r="A20" s="297"/>
      <c r="B20" s="298"/>
      <c r="C20" s="302"/>
      <c r="D20" s="302"/>
      <c r="E20" s="302"/>
      <c r="F20" s="302"/>
      <c r="G20" s="292"/>
      <c r="H20" s="297"/>
      <c r="I20" s="303"/>
      <c r="J20" s="304"/>
      <c r="K20" s="292"/>
      <c r="L20" s="292"/>
      <c r="M20" s="298"/>
      <c r="N20" s="298"/>
      <c r="O20" s="298"/>
      <c r="P20" s="298"/>
      <c r="Q20" s="292"/>
      <c r="R20" s="292"/>
      <c r="S20" s="292"/>
      <c r="T20" s="298"/>
      <c r="U20" s="292"/>
      <c r="V20" s="292"/>
      <c r="W20" s="292"/>
      <c r="X20" s="292"/>
      <c r="Y20" s="292"/>
      <c r="Z20" s="292"/>
      <c r="AA20" s="292"/>
      <c r="AB20" s="292"/>
    </row>
    <row r="21">
      <c r="A21" s="292"/>
      <c r="B21" s="292"/>
      <c r="C21" s="292"/>
      <c r="D21" s="292"/>
      <c r="E21" s="292"/>
      <c r="F21" s="292"/>
      <c r="G21" s="292"/>
      <c r="H21" s="292"/>
      <c r="I21" s="292"/>
      <c r="J21" s="304"/>
      <c r="K21" s="292"/>
      <c r="L21" s="292"/>
      <c r="M21" s="292"/>
      <c r="N21" s="292"/>
      <c r="O21" s="292"/>
      <c r="P21" s="292"/>
      <c r="Q21" s="292"/>
      <c r="R21" s="292"/>
      <c r="S21" s="292"/>
      <c r="T21" s="292"/>
      <c r="U21" s="292"/>
      <c r="V21" s="292"/>
      <c r="W21" s="292"/>
      <c r="X21" s="292"/>
      <c r="Y21" s="292"/>
      <c r="Z21" s="292"/>
      <c r="AA21" s="292"/>
      <c r="AB21" s="292"/>
    </row>
    <row r="22">
      <c r="A22" s="292"/>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c r="AA22" s="292"/>
      <c r="AB22" s="292"/>
    </row>
    <row r="23">
      <c r="A23" s="292"/>
      <c r="B23" s="292"/>
      <c r="C23" s="292"/>
      <c r="D23" s="292"/>
      <c r="E23" s="292"/>
      <c r="F23" s="292"/>
      <c r="G23" s="292"/>
      <c r="H23" s="292"/>
      <c r="I23" s="292"/>
      <c r="J23" s="292"/>
      <c r="K23" s="292"/>
      <c r="L23" s="292"/>
      <c r="M23" s="292"/>
      <c r="N23" s="292"/>
      <c r="O23" s="292"/>
      <c r="P23" s="292"/>
      <c r="Q23" s="292"/>
      <c r="R23" s="292"/>
      <c r="S23" s="292"/>
      <c r="T23" s="292"/>
      <c r="U23" s="292"/>
      <c r="V23" s="292"/>
      <c r="W23" s="292"/>
      <c r="X23" s="292"/>
      <c r="Y23" s="292"/>
      <c r="Z23" s="292"/>
      <c r="AA23" s="292"/>
      <c r="AB23" s="292"/>
    </row>
    <row r="24">
      <c r="A24" s="292"/>
      <c r="B24" s="292"/>
      <c r="C24" s="292"/>
      <c r="D24" s="292"/>
      <c r="E24" s="292"/>
      <c r="F24" s="292"/>
      <c r="G24" s="292"/>
      <c r="H24" s="292"/>
      <c r="I24" s="292"/>
      <c r="J24" s="292"/>
      <c r="K24" s="292"/>
      <c r="L24" s="292"/>
      <c r="M24" s="292"/>
      <c r="N24" s="292"/>
      <c r="O24" s="292"/>
      <c r="P24" s="292"/>
      <c r="Q24" s="292"/>
      <c r="R24" s="292"/>
      <c r="S24" s="292"/>
      <c r="T24" s="292"/>
      <c r="U24" s="292"/>
      <c r="V24" s="292"/>
      <c r="W24" s="292"/>
      <c r="X24" s="292"/>
      <c r="Y24" s="292"/>
      <c r="Z24" s="292"/>
      <c r="AA24" s="292"/>
      <c r="AB24" s="292"/>
    </row>
    <row r="25">
      <c r="A25" s="305" t="s">
        <v>71</v>
      </c>
      <c r="B25" s="306"/>
      <c r="C25" s="305" t="s">
        <v>59</v>
      </c>
      <c r="D25" s="292"/>
      <c r="E25" s="292"/>
      <c r="F25" s="292"/>
      <c r="G25" s="292"/>
      <c r="H25" s="292"/>
      <c r="I25" s="292"/>
      <c r="J25" s="292"/>
      <c r="K25" s="292"/>
      <c r="L25" s="292"/>
      <c r="M25" s="292"/>
      <c r="N25" s="292"/>
      <c r="O25" s="292"/>
      <c r="P25" s="292"/>
      <c r="Q25" s="292"/>
      <c r="R25" s="292"/>
      <c r="S25" s="292"/>
      <c r="T25" s="292"/>
      <c r="U25" s="292"/>
      <c r="V25" s="292"/>
      <c r="W25" s="292"/>
      <c r="X25" s="292"/>
      <c r="Y25" s="292"/>
      <c r="Z25" s="292"/>
      <c r="AA25" s="292"/>
      <c r="AB25" s="292"/>
    </row>
    <row r="26">
      <c r="A26" s="307">
        <v>45422.0</v>
      </c>
      <c r="B26" s="306"/>
      <c r="C26" s="299">
        <v>-0.29</v>
      </c>
      <c r="D26" s="292"/>
      <c r="E26" s="292"/>
      <c r="F26" s="292"/>
      <c r="G26" s="292"/>
      <c r="H26" s="292"/>
      <c r="I26" s="292"/>
      <c r="J26" s="292"/>
      <c r="K26" s="292"/>
      <c r="L26" s="292"/>
      <c r="M26" s="292"/>
      <c r="N26" s="292"/>
      <c r="O26" s="292"/>
      <c r="P26" s="292"/>
      <c r="Q26" s="292"/>
      <c r="R26" s="292"/>
      <c r="S26" s="292"/>
      <c r="T26" s="292"/>
      <c r="U26" s="292"/>
      <c r="V26" s="292"/>
      <c r="W26" s="292"/>
      <c r="X26" s="292"/>
      <c r="Y26" s="292"/>
      <c r="Z26" s="292"/>
      <c r="AA26" s="292"/>
      <c r="AB26" s="292"/>
    </row>
    <row r="27">
      <c r="A27" s="307">
        <v>45453.0</v>
      </c>
      <c r="B27" s="306"/>
      <c r="C27" s="299">
        <v>-0.21</v>
      </c>
      <c r="D27" s="292"/>
      <c r="E27" s="292"/>
      <c r="F27" s="292"/>
      <c r="G27" s="292"/>
      <c r="H27" s="292"/>
      <c r="I27" s="292"/>
      <c r="J27" s="292"/>
      <c r="K27" s="292"/>
      <c r="L27" s="292"/>
      <c r="M27" s="292"/>
      <c r="N27" s="292"/>
      <c r="O27" s="292"/>
      <c r="P27" s="292"/>
      <c r="Q27" s="292"/>
      <c r="R27" s="292"/>
      <c r="S27" s="292"/>
      <c r="T27" s="292"/>
      <c r="U27" s="292"/>
      <c r="V27" s="292"/>
      <c r="W27" s="292"/>
      <c r="X27" s="292"/>
      <c r="Y27" s="292"/>
      <c r="Z27" s="292"/>
      <c r="AA27" s="292"/>
      <c r="AB27" s="292"/>
    </row>
    <row r="28">
      <c r="A28" s="307">
        <v>45483.0</v>
      </c>
      <c r="B28" s="306"/>
      <c r="C28" s="299">
        <v>0.02</v>
      </c>
      <c r="D28" s="292"/>
      <c r="E28" s="292"/>
      <c r="F28" s="292"/>
      <c r="G28" s="292"/>
      <c r="H28" s="292"/>
      <c r="I28" s="292"/>
      <c r="J28" s="292"/>
      <c r="K28" s="292"/>
      <c r="L28" s="292"/>
      <c r="M28" s="292"/>
      <c r="N28" s="292"/>
      <c r="O28" s="292"/>
      <c r="P28" s="292"/>
      <c r="Q28" s="292"/>
      <c r="R28" s="292"/>
      <c r="S28" s="292"/>
      <c r="T28" s="292"/>
      <c r="U28" s="292"/>
      <c r="V28" s="292"/>
      <c r="W28" s="292"/>
      <c r="X28" s="292"/>
      <c r="Y28" s="292"/>
      <c r="Z28" s="292"/>
      <c r="AA28" s="292"/>
      <c r="AB28" s="292"/>
    </row>
    <row r="29">
      <c r="A29" s="307">
        <v>45514.0</v>
      </c>
      <c r="B29" s="300"/>
      <c r="C29" s="308">
        <v>0.02</v>
      </c>
      <c r="D29" s="292"/>
      <c r="E29" s="292"/>
      <c r="F29" s="292"/>
      <c r="G29" s="292"/>
      <c r="H29" s="292"/>
      <c r="I29" s="292"/>
      <c r="J29" s="292"/>
      <c r="K29" s="292"/>
      <c r="L29" s="292"/>
      <c r="M29" s="292"/>
      <c r="N29" s="292"/>
      <c r="O29" s="292"/>
      <c r="P29" s="292"/>
      <c r="Q29" s="292"/>
      <c r="R29" s="292"/>
      <c r="S29" s="292"/>
      <c r="T29" s="292"/>
      <c r="U29" s="292"/>
      <c r="V29" s="292"/>
      <c r="W29" s="292"/>
      <c r="X29" s="292"/>
      <c r="Y29" s="292"/>
      <c r="Z29" s="292"/>
      <c r="AA29" s="292"/>
      <c r="AB29" s="292"/>
    </row>
    <row r="30">
      <c r="A30" s="307">
        <v>45545.0</v>
      </c>
      <c r="B30" s="306"/>
      <c r="C30" s="299">
        <v>0.02</v>
      </c>
      <c r="D30" s="292"/>
      <c r="E30" s="292"/>
      <c r="F30" s="292"/>
      <c r="G30" s="292"/>
      <c r="H30" s="292"/>
      <c r="I30" s="292"/>
      <c r="J30" s="292"/>
      <c r="K30" s="292"/>
      <c r="L30" s="292"/>
      <c r="M30" s="292"/>
      <c r="N30" s="292"/>
      <c r="O30" s="292"/>
      <c r="P30" s="292"/>
      <c r="Q30" s="292"/>
      <c r="R30" s="292"/>
      <c r="S30" s="292"/>
      <c r="T30" s="292"/>
      <c r="U30" s="292"/>
      <c r="V30" s="292"/>
      <c r="W30" s="292"/>
      <c r="X30" s="292"/>
      <c r="Y30" s="292"/>
      <c r="Z30" s="292"/>
      <c r="AA30" s="292"/>
      <c r="AB30" s="292"/>
    </row>
    <row r="31">
      <c r="A31" s="309">
        <v>45575.0</v>
      </c>
      <c r="B31" s="306"/>
      <c r="C31" s="299">
        <v>-0.34</v>
      </c>
      <c r="D31" s="292"/>
      <c r="E31" s="292"/>
      <c r="F31" s="292"/>
      <c r="G31" s="292"/>
      <c r="H31" s="292"/>
      <c r="I31" s="292"/>
      <c r="J31" s="292"/>
      <c r="K31" s="292"/>
      <c r="L31" s="292"/>
      <c r="M31" s="292"/>
      <c r="N31" s="292"/>
      <c r="O31" s="292"/>
      <c r="P31" s="292"/>
      <c r="Q31" s="292"/>
      <c r="R31" s="292"/>
      <c r="S31" s="292"/>
      <c r="T31" s="292"/>
      <c r="U31" s="292"/>
      <c r="V31" s="292"/>
      <c r="W31" s="292"/>
      <c r="X31" s="292"/>
      <c r="Y31" s="292"/>
      <c r="Z31" s="292"/>
      <c r="AA31" s="292"/>
      <c r="AB31" s="292"/>
    </row>
    <row r="32">
      <c r="A32" s="309">
        <v>45606.0</v>
      </c>
      <c r="B32" s="300"/>
      <c r="C32" s="308">
        <v>-0.34</v>
      </c>
      <c r="D32" s="292"/>
      <c r="E32" s="292"/>
      <c r="F32" s="292"/>
      <c r="G32" s="292"/>
      <c r="H32" s="292"/>
      <c r="I32" s="292"/>
      <c r="J32" s="292"/>
      <c r="K32" s="292"/>
      <c r="L32" s="292"/>
      <c r="M32" s="292"/>
      <c r="N32" s="292"/>
      <c r="O32" s="292"/>
      <c r="P32" s="292"/>
      <c r="Q32" s="292"/>
      <c r="R32" s="292"/>
      <c r="S32" s="292"/>
      <c r="T32" s="292"/>
      <c r="U32" s="292"/>
      <c r="V32" s="292"/>
      <c r="W32" s="292"/>
      <c r="X32" s="292"/>
      <c r="Y32" s="292"/>
      <c r="Z32" s="292"/>
      <c r="AA32" s="292"/>
      <c r="AB32" s="292"/>
    </row>
    <row r="33">
      <c r="A33" s="309">
        <v>45636.0</v>
      </c>
      <c r="B33" s="306"/>
      <c r="C33" s="299">
        <v>-0.05</v>
      </c>
      <c r="D33" s="292"/>
      <c r="E33" s="292"/>
      <c r="F33" s="292"/>
      <c r="G33" s="292"/>
      <c r="H33" s="292"/>
      <c r="I33" s="292"/>
      <c r="J33" s="292"/>
      <c r="K33" s="292"/>
      <c r="L33" s="292"/>
      <c r="M33" s="292"/>
      <c r="N33" s="292"/>
      <c r="O33" s="292"/>
      <c r="P33" s="292"/>
      <c r="Q33" s="292"/>
      <c r="R33" s="292"/>
      <c r="S33" s="292"/>
      <c r="T33" s="292"/>
      <c r="U33" s="292"/>
      <c r="V33" s="292"/>
      <c r="W33" s="292"/>
      <c r="X33" s="292"/>
      <c r="Y33" s="292"/>
      <c r="Z33" s="292"/>
      <c r="AA33" s="292"/>
      <c r="AB33" s="292"/>
    </row>
    <row r="34">
      <c r="A34" s="310" t="s">
        <v>108</v>
      </c>
      <c r="B34" s="306"/>
      <c r="C34" s="299">
        <v>-0.19</v>
      </c>
      <c r="D34" s="292"/>
      <c r="E34" s="292"/>
      <c r="F34" s="292"/>
      <c r="G34" s="292"/>
      <c r="H34" s="292"/>
      <c r="I34" s="292"/>
      <c r="J34" s="292"/>
      <c r="K34" s="292"/>
      <c r="L34" s="292"/>
      <c r="M34" s="292"/>
      <c r="N34" s="292"/>
      <c r="O34" s="292"/>
      <c r="P34" s="292"/>
      <c r="Q34" s="292"/>
      <c r="R34" s="292"/>
      <c r="S34" s="292"/>
      <c r="T34" s="292"/>
      <c r="U34" s="292"/>
      <c r="V34" s="292"/>
      <c r="W34" s="292"/>
      <c r="X34" s="292"/>
      <c r="Y34" s="292"/>
      <c r="Z34" s="292"/>
      <c r="AA34" s="292"/>
      <c r="AB34" s="292"/>
    </row>
    <row r="35">
      <c r="A35" s="310" t="s">
        <v>109</v>
      </c>
      <c r="B35" s="306"/>
      <c r="C35" s="299">
        <v>0.23</v>
      </c>
      <c r="D35" s="292"/>
      <c r="E35" s="292"/>
      <c r="F35" s="292"/>
      <c r="G35" s="292"/>
      <c r="H35" s="292"/>
      <c r="I35" s="292"/>
      <c r="J35" s="292"/>
      <c r="K35" s="292"/>
      <c r="L35" s="292"/>
      <c r="M35" s="292"/>
      <c r="N35" s="292"/>
      <c r="O35" s="292"/>
      <c r="P35" s="292"/>
      <c r="Q35" s="292"/>
      <c r="R35" s="292"/>
      <c r="S35" s="292"/>
      <c r="T35" s="292"/>
      <c r="U35" s="292"/>
      <c r="V35" s="292"/>
      <c r="W35" s="292"/>
      <c r="X35" s="292"/>
      <c r="Y35" s="292"/>
      <c r="Z35" s="292"/>
      <c r="AA35" s="292"/>
      <c r="AB35" s="292"/>
    </row>
    <row r="36">
      <c r="A36" s="310" t="s">
        <v>110</v>
      </c>
      <c r="B36" s="306"/>
      <c r="C36" s="299">
        <v>0.66</v>
      </c>
      <c r="D36" s="292"/>
      <c r="E36" s="292"/>
      <c r="F36" s="292"/>
      <c r="G36" s="292"/>
      <c r="H36" s="292"/>
      <c r="I36" s="292"/>
      <c r="J36" s="292"/>
      <c r="K36" s="292"/>
      <c r="L36" s="292"/>
      <c r="M36" s="292"/>
      <c r="N36" s="292"/>
      <c r="O36" s="292"/>
      <c r="P36" s="292"/>
      <c r="Q36" s="292"/>
      <c r="R36" s="292"/>
      <c r="S36" s="292"/>
      <c r="T36" s="292"/>
      <c r="U36" s="292"/>
      <c r="V36" s="292"/>
      <c r="W36" s="292"/>
      <c r="X36" s="292"/>
      <c r="Y36" s="292"/>
      <c r="Z36" s="292"/>
      <c r="AA36" s="292"/>
      <c r="AB36" s="292"/>
    </row>
    <row r="37">
      <c r="A37" s="310" t="s">
        <v>112</v>
      </c>
      <c r="B37" s="306"/>
      <c r="C37" s="299">
        <v>0.81</v>
      </c>
      <c r="D37" s="292"/>
      <c r="E37" s="292"/>
      <c r="F37" s="292"/>
      <c r="G37" s="292"/>
      <c r="H37" s="292"/>
      <c r="I37" s="292"/>
      <c r="J37" s="292"/>
      <c r="K37" s="292"/>
      <c r="L37" s="292"/>
      <c r="M37" s="292"/>
      <c r="N37" s="292"/>
      <c r="O37" s="292"/>
      <c r="P37" s="292"/>
      <c r="Q37" s="292"/>
      <c r="R37" s="292"/>
      <c r="S37" s="292"/>
      <c r="T37" s="292"/>
      <c r="U37" s="292"/>
      <c r="V37" s="292"/>
      <c r="W37" s="292"/>
      <c r="X37" s="292"/>
      <c r="Y37" s="292"/>
      <c r="Z37" s="292"/>
      <c r="AA37" s="292"/>
      <c r="AB37" s="292"/>
    </row>
    <row r="38">
      <c r="A38" s="310" t="s">
        <v>113</v>
      </c>
      <c r="B38" s="306"/>
      <c r="C38" s="299">
        <v>0.81</v>
      </c>
      <c r="D38" s="292"/>
      <c r="E38" s="292"/>
      <c r="F38" s="292"/>
      <c r="G38" s="292"/>
      <c r="H38" s="292"/>
      <c r="I38" s="292"/>
      <c r="J38" s="292"/>
      <c r="K38" s="292"/>
      <c r="L38" s="292"/>
      <c r="M38" s="292"/>
      <c r="N38" s="292"/>
      <c r="O38" s="292"/>
      <c r="P38" s="292"/>
      <c r="Q38" s="292"/>
      <c r="R38" s="292"/>
      <c r="S38" s="292"/>
      <c r="T38" s="292"/>
      <c r="U38" s="292"/>
      <c r="V38" s="292"/>
      <c r="W38" s="292"/>
      <c r="X38" s="292"/>
      <c r="Y38" s="292"/>
      <c r="Z38" s="292"/>
      <c r="AA38" s="292"/>
      <c r="AB38" s="292"/>
    </row>
    <row r="39">
      <c r="A39" s="310" t="s">
        <v>114</v>
      </c>
      <c r="B39" s="306"/>
      <c r="C39" s="299">
        <v>0.66</v>
      </c>
      <c r="D39" s="292"/>
      <c r="E39" s="292"/>
      <c r="F39" s="292"/>
      <c r="G39" s="292"/>
      <c r="H39" s="292"/>
      <c r="I39" s="292"/>
      <c r="J39" s="292"/>
      <c r="K39" s="292"/>
      <c r="L39" s="292"/>
      <c r="M39" s="292"/>
      <c r="N39" s="292"/>
      <c r="O39" s="292"/>
      <c r="P39" s="292"/>
      <c r="Q39" s="292"/>
      <c r="R39" s="292"/>
      <c r="S39" s="292"/>
      <c r="T39" s="292"/>
      <c r="U39" s="292"/>
      <c r="V39" s="292"/>
      <c r="W39" s="292"/>
      <c r="X39" s="292"/>
      <c r="Y39" s="292"/>
      <c r="Z39" s="292"/>
      <c r="AA39" s="292"/>
      <c r="AB39" s="292"/>
    </row>
    <row r="40">
      <c r="A40" s="310" t="s">
        <v>115</v>
      </c>
      <c r="B40" s="306"/>
      <c r="C40" s="299">
        <v>0.66</v>
      </c>
      <c r="D40" s="292"/>
      <c r="E40" s="292"/>
      <c r="F40" s="292"/>
      <c r="G40" s="292"/>
      <c r="H40" s="292"/>
      <c r="I40" s="292"/>
      <c r="J40" s="292"/>
      <c r="K40" s="292"/>
      <c r="L40" s="292"/>
      <c r="M40" s="292"/>
      <c r="N40" s="292"/>
      <c r="O40" s="292"/>
      <c r="P40" s="292"/>
      <c r="Q40" s="292"/>
      <c r="R40" s="292"/>
      <c r="S40" s="292"/>
      <c r="T40" s="292"/>
      <c r="U40" s="292"/>
      <c r="V40" s="292"/>
      <c r="W40" s="292"/>
      <c r="X40" s="292"/>
      <c r="Y40" s="292"/>
      <c r="Z40" s="292"/>
      <c r="AA40" s="292"/>
      <c r="AB40" s="292"/>
    </row>
    <row r="41">
      <c r="A41" s="310" t="s">
        <v>116</v>
      </c>
      <c r="B41" s="306"/>
      <c r="C41" s="299">
        <v>0.81</v>
      </c>
      <c r="D41" s="292"/>
      <c r="E41" s="292"/>
      <c r="F41" s="292"/>
      <c r="G41" s="292"/>
      <c r="H41" s="292"/>
      <c r="I41" s="292"/>
      <c r="J41" s="292"/>
      <c r="K41" s="292"/>
      <c r="L41" s="292"/>
      <c r="M41" s="292"/>
      <c r="N41" s="292"/>
      <c r="O41" s="292"/>
      <c r="P41" s="292"/>
      <c r="Q41" s="292"/>
      <c r="R41" s="292"/>
      <c r="S41" s="292"/>
      <c r="T41" s="292"/>
      <c r="U41" s="292"/>
      <c r="V41" s="292"/>
      <c r="W41" s="292"/>
      <c r="X41" s="292"/>
      <c r="Y41" s="292"/>
      <c r="Z41" s="292"/>
      <c r="AA41" s="292"/>
      <c r="AB41" s="292"/>
    </row>
    <row r="42">
      <c r="A42" s="310" t="s">
        <v>117</v>
      </c>
      <c r="B42" s="306"/>
      <c r="C42" s="299">
        <v>0.81</v>
      </c>
      <c r="D42" s="292"/>
      <c r="E42" s="292"/>
      <c r="F42" s="292"/>
      <c r="G42" s="292"/>
      <c r="H42" s="292"/>
      <c r="I42" s="292"/>
      <c r="J42" s="292"/>
      <c r="K42" s="292"/>
      <c r="L42" s="292"/>
      <c r="M42" s="292"/>
      <c r="N42" s="292"/>
      <c r="O42" s="292"/>
      <c r="P42" s="292"/>
      <c r="Q42" s="292"/>
      <c r="R42" s="292"/>
      <c r="S42" s="292"/>
      <c r="T42" s="292"/>
      <c r="U42" s="292"/>
      <c r="V42" s="292"/>
      <c r="W42" s="292"/>
      <c r="X42" s="292"/>
      <c r="Y42" s="292"/>
      <c r="Z42" s="292"/>
      <c r="AA42" s="292"/>
      <c r="AB42" s="292"/>
    </row>
    <row r="43">
      <c r="A43" s="310" t="s">
        <v>118</v>
      </c>
      <c r="B43" s="306"/>
      <c r="C43" s="299">
        <v>0.81</v>
      </c>
      <c r="D43" s="292"/>
      <c r="E43" s="292"/>
      <c r="F43" s="292"/>
      <c r="G43" s="292"/>
      <c r="H43" s="292"/>
      <c r="I43" s="292"/>
      <c r="J43" s="292"/>
      <c r="K43" s="292"/>
      <c r="L43" s="292"/>
      <c r="M43" s="292"/>
      <c r="N43" s="292"/>
      <c r="O43" s="292"/>
      <c r="P43" s="292"/>
      <c r="Q43" s="292"/>
      <c r="R43" s="292"/>
      <c r="S43" s="292"/>
      <c r="T43" s="292"/>
      <c r="U43" s="292"/>
      <c r="V43" s="292"/>
      <c r="W43" s="292"/>
      <c r="X43" s="292"/>
      <c r="Y43" s="292"/>
      <c r="Z43" s="292"/>
      <c r="AA43" s="292"/>
      <c r="AB43" s="292"/>
    </row>
    <row r="44">
      <c r="A44" s="310" t="s">
        <v>119</v>
      </c>
      <c r="B44" s="306"/>
      <c r="C44" s="299">
        <v>0.95</v>
      </c>
      <c r="D44" s="292"/>
      <c r="E44" s="292"/>
      <c r="F44" s="292"/>
      <c r="G44" s="292"/>
      <c r="H44" s="292"/>
      <c r="I44" s="292"/>
      <c r="J44" s="292"/>
      <c r="K44" s="292"/>
      <c r="L44" s="292"/>
      <c r="M44" s="292"/>
      <c r="N44" s="292"/>
      <c r="O44" s="292"/>
      <c r="P44" s="292"/>
      <c r="Q44" s="292"/>
      <c r="R44" s="292"/>
      <c r="S44" s="292"/>
      <c r="T44" s="292"/>
      <c r="U44" s="292"/>
      <c r="V44" s="292"/>
      <c r="W44" s="292"/>
      <c r="X44" s="292"/>
      <c r="Y44" s="292"/>
      <c r="Z44" s="292"/>
      <c r="AA44" s="292"/>
      <c r="AB44" s="292"/>
    </row>
    <row r="45">
      <c r="A45" s="310" t="s">
        <v>120</v>
      </c>
      <c r="B45" s="306"/>
      <c r="C45" s="299">
        <v>0.95</v>
      </c>
      <c r="D45" s="292"/>
      <c r="E45" s="292"/>
      <c r="F45" s="292"/>
      <c r="G45" s="292"/>
      <c r="H45" s="292"/>
      <c r="I45" s="292"/>
      <c r="J45" s="292"/>
      <c r="K45" s="292"/>
      <c r="L45" s="292"/>
      <c r="M45" s="292"/>
      <c r="N45" s="292"/>
      <c r="O45" s="292"/>
      <c r="P45" s="292"/>
      <c r="Q45" s="292"/>
      <c r="R45" s="292"/>
      <c r="S45" s="292"/>
      <c r="T45" s="292"/>
      <c r="U45" s="292"/>
      <c r="V45" s="292"/>
      <c r="W45" s="292"/>
      <c r="X45" s="292"/>
      <c r="Y45" s="292"/>
      <c r="Z45" s="292"/>
      <c r="AA45" s="292"/>
      <c r="AB45" s="292"/>
    </row>
    <row r="46">
      <c r="A46" s="310" t="s">
        <v>121</v>
      </c>
      <c r="B46" s="306"/>
      <c r="C46" s="299">
        <v>0.81</v>
      </c>
      <c r="D46" s="292"/>
      <c r="E46" s="292"/>
      <c r="F46" s="292"/>
      <c r="G46" s="292"/>
      <c r="H46" s="292"/>
      <c r="I46" s="292"/>
      <c r="J46" s="292"/>
      <c r="K46" s="292"/>
      <c r="L46" s="292"/>
      <c r="M46" s="292"/>
      <c r="N46" s="292"/>
      <c r="O46" s="292"/>
      <c r="P46" s="292"/>
      <c r="Q46" s="292"/>
      <c r="R46" s="292"/>
      <c r="S46" s="292"/>
      <c r="T46" s="292"/>
      <c r="U46" s="292"/>
      <c r="V46" s="292"/>
      <c r="W46" s="292"/>
      <c r="X46" s="292"/>
      <c r="Y46" s="292"/>
      <c r="Z46" s="292"/>
      <c r="AA46" s="292"/>
      <c r="AB46" s="292"/>
    </row>
    <row r="47">
      <c r="A47" s="310" t="s">
        <v>122</v>
      </c>
      <c r="B47" s="306"/>
      <c r="C47" s="299">
        <v>0.81</v>
      </c>
      <c r="D47" s="292"/>
      <c r="E47" s="292"/>
      <c r="F47" s="292"/>
      <c r="G47" s="292"/>
      <c r="H47" s="292"/>
      <c r="I47" s="292"/>
      <c r="J47" s="292"/>
      <c r="K47" s="292"/>
      <c r="L47" s="292"/>
      <c r="M47" s="292"/>
      <c r="N47" s="292"/>
      <c r="O47" s="292"/>
      <c r="P47" s="292"/>
      <c r="Q47" s="292"/>
      <c r="R47" s="292"/>
      <c r="S47" s="292"/>
      <c r="T47" s="292"/>
      <c r="U47" s="292"/>
      <c r="V47" s="292"/>
      <c r="W47" s="292"/>
      <c r="X47" s="292"/>
      <c r="Y47" s="292"/>
      <c r="Z47" s="292"/>
      <c r="AA47" s="292"/>
      <c r="AB47" s="292"/>
    </row>
    <row r="48">
      <c r="A48" s="310" t="s">
        <v>123</v>
      </c>
      <c r="B48" s="306"/>
      <c r="C48" s="299">
        <v>0.81</v>
      </c>
      <c r="D48" s="292"/>
      <c r="E48" s="292"/>
      <c r="F48" s="292"/>
      <c r="G48" s="292"/>
      <c r="H48" s="292"/>
      <c r="I48" s="292"/>
      <c r="J48" s="292"/>
      <c r="K48" s="292"/>
      <c r="L48" s="292"/>
      <c r="M48" s="292"/>
      <c r="N48" s="292"/>
      <c r="O48" s="292"/>
      <c r="P48" s="292"/>
      <c r="Q48" s="292"/>
      <c r="R48" s="292"/>
      <c r="S48" s="292"/>
      <c r="T48" s="292"/>
      <c r="U48" s="292"/>
      <c r="V48" s="292"/>
      <c r="W48" s="292"/>
      <c r="X48" s="292"/>
      <c r="Y48" s="292"/>
      <c r="Z48" s="292"/>
      <c r="AA48" s="292"/>
      <c r="AB48" s="292"/>
    </row>
    <row r="49">
      <c r="A49" s="310" t="s">
        <v>124</v>
      </c>
      <c r="B49" s="306"/>
      <c r="C49" s="299">
        <v>0.95</v>
      </c>
      <c r="D49" s="292"/>
      <c r="E49" s="292"/>
      <c r="F49" s="292"/>
      <c r="G49" s="292"/>
      <c r="H49" s="292"/>
      <c r="I49" s="292"/>
      <c r="J49" s="292"/>
      <c r="K49" s="292"/>
      <c r="L49" s="292"/>
      <c r="M49" s="292"/>
      <c r="N49" s="292"/>
      <c r="O49" s="292"/>
      <c r="P49" s="292"/>
      <c r="Q49" s="292"/>
      <c r="R49" s="292"/>
      <c r="S49" s="292"/>
      <c r="T49" s="292"/>
      <c r="U49" s="292"/>
      <c r="V49" s="292"/>
      <c r="W49" s="292"/>
      <c r="X49" s="292"/>
      <c r="Y49" s="292"/>
      <c r="Z49" s="292"/>
      <c r="AA49" s="292"/>
      <c r="AB49" s="292"/>
    </row>
    <row r="50">
      <c r="A50" s="310" t="s">
        <v>125</v>
      </c>
      <c r="B50" s="306"/>
      <c r="C50" s="299">
        <v>0.95</v>
      </c>
      <c r="D50" s="292"/>
      <c r="E50" s="292"/>
      <c r="F50" s="292"/>
      <c r="G50" s="292"/>
      <c r="H50" s="292"/>
      <c r="I50" s="292"/>
      <c r="J50" s="292"/>
      <c r="K50" s="292"/>
      <c r="L50" s="292"/>
      <c r="M50" s="292"/>
      <c r="N50" s="292"/>
      <c r="O50" s="292"/>
      <c r="P50" s="292"/>
      <c r="Q50" s="292"/>
      <c r="R50" s="292"/>
      <c r="S50" s="292"/>
      <c r="T50" s="292"/>
      <c r="U50" s="292"/>
      <c r="V50" s="292"/>
      <c r="W50" s="292"/>
      <c r="X50" s="292"/>
      <c r="Y50" s="292"/>
      <c r="Z50" s="292"/>
      <c r="AA50" s="292"/>
      <c r="AB50" s="292"/>
    </row>
    <row r="51">
      <c r="A51" s="310" t="s">
        <v>126</v>
      </c>
      <c r="B51" s="306"/>
      <c r="C51" s="299">
        <v>0.73</v>
      </c>
      <c r="D51" s="292"/>
      <c r="E51" s="292"/>
      <c r="F51" s="292"/>
      <c r="G51" s="292"/>
      <c r="H51" s="292"/>
      <c r="I51" s="292"/>
      <c r="J51" s="292"/>
      <c r="K51" s="292"/>
      <c r="L51" s="292"/>
      <c r="M51" s="292"/>
      <c r="N51" s="292"/>
      <c r="O51" s="292"/>
      <c r="P51" s="292"/>
      <c r="Q51" s="292"/>
      <c r="R51" s="292"/>
      <c r="S51" s="292"/>
      <c r="T51" s="292"/>
      <c r="U51" s="292"/>
      <c r="V51" s="292"/>
      <c r="W51" s="292"/>
      <c r="X51" s="292"/>
      <c r="Y51" s="292"/>
      <c r="Z51" s="292"/>
      <c r="AA51" s="292"/>
      <c r="AB51" s="292"/>
    </row>
    <row r="52">
      <c r="A52" s="307">
        <v>45302.0</v>
      </c>
      <c r="B52" s="306"/>
      <c r="C52" s="299">
        <v>0.66</v>
      </c>
      <c r="D52" s="292"/>
      <c r="E52" s="292"/>
      <c r="F52" s="292"/>
      <c r="G52" s="292"/>
      <c r="H52" s="292"/>
      <c r="I52" s="292"/>
      <c r="J52" s="292"/>
      <c r="K52" s="292"/>
      <c r="L52" s="292"/>
      <c r="M52" s="292"/>
      <c r="N52" s="292"/>
      <c r="O52" s="292"/>
      <c r="P52" s="292"/>
      <c r="Q52" s="292"/>
      <c r="R52" s="292"/>
      <c r="S52" s="292"/>
      <c r="T52" s="292"/>
      <c r="U52" s="292"/>
      <c r="V52" s="292"/>
      <c r="W52" s="292"/>
      <c r="X52" s="292"/>
      <c r="Y52" s="292"/>
      <c r="Z52" s="292"/>
      <c r="AA52" s="292"/>
      <c r="AB52" s="292"/>
    </row>
    <row r="53">
      <c r="A53" s="307">
        <v>45333.0</v>
      </c>
      <c r="B53" s="306"/>
      <c r="C53" s="299">
        <v>0.66</v>
      </c>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c r="AB53" s="292"/>
    </row>
    <row r="54">
      <c r="A54" s="307">
        <v>45362.0</v>
      </c>
      <c r="B54" s="306"/>
      <c r="C54" s="299">
        <v>0.66</v>
      </c>
      <c r="D54" s="292"/>
      <c r="E54" s="292"/>
      <c r="F54" s="292"/>
      <c r="G54" s="292"/>
      <c r="H54" s="292"/>
      <c r="I54" s="292"/>
      <c r="J54" s="292"/>
      <c r="K54" s="292"/>
      <c r="L54" s="292"/>
      <c r="M54" s="292"/>
      <c r="N54" s="292"/>
      <c r="O54" s="292"/>
      <c r="P54" s="292"/>
      <c r="Q54" s="292"/>
      <c r="R54" s="292"/>
      <c r="S54" s="292"/>
      <c r="T54" s="292"/>
      <c r="U54" s="292"/>
      <c r="V54" s="292"/>
      <c r="W54" s="292"/>
      <c r="X54" s="292"/>
      <c r="Y54" s="292"/>
      <c r="Z54" s="292"/>
      <c r="AA54" s="292"/>
      <c r="AB54" s="292"/>
    </row>
    <row r="55">
      <c r="A55" s="307">
        <v>45393.0</v>
      </c>
      <c r="B55" s="306"/>
      <c r="C55" s="299">
        <v>0.52</v>
      </c>
      <c r="D55" s="292"/>
      <c r="E55" s="292"/>
      <c r="F55" s="292"/>
      <c r="G55" s="292"/>
      <c r="H55" s="292"/>
      <c r="I55" s="292"/>
      <c r="J55" s="292"/>
      <c r="K55" s="292"/>
      <c r="L55" s="292"/>
      <c r="M55" s="292"/>
      <c r="N55" s="292"/>
      <c r="O55" s="292"/>
      <c r="P55" s="292"/>
      <c r="Q55" s="292"/>
      <c r="R55" s="292"/>
      <c r="S55" s="292"/>
      <c r="T55" s="292"/>
      <c r="U55" s="292"/>
      <c r="V55" s="292"/>
      <c r="W55" s="292"/>
      <c r="X55" s="292"/>
      <c r="Y55" s="292"/>
      <c r="Z55" s="292"/>
      <c r="AA55" s="292"/>
      <c r="AB55" s="292"/>
    </row>
    <row r="56">
      <c r="A56" s="307">
        <v>45423.0</v>
      </c>
      <c r="B56" s="306"/>
      <c r="C56" s="299">
        <v>0.59</v>
      </c>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c r="AB56" s="292"/>
    </row>
    <row r="57">
      <c r="A57" s="307">
        <v>45454.0</v>
      </c>
      <c r="B57" s="306"/>
      <c r="C57" s="299">
        <v>0.81</v>
      </c>
      <c r="D57" s="292"/>
      <c r="E57" s="292"/>
      <c r="F57" s="292"/>
      <c r="G57" s="292"/>
      <c r="H57" s="292"/>
      <c r="I57" s="292"/>
      <c r="J57" s="292"/>
      <c r="K57" s="292"/>
      <c r="L57" s="292"/>
      <c r="M57" s="292"/>
      <c r="N57" s="292"/>
      <c r="O57" s="292"/>
      <c r="P57" s="292"/>
      <c r="Q57" s="292"/>
      <c r="R57" s="292"/>
      <c r="S57" s="292"/>
      <c r="T57" s="292"/>
      <c r="U57" s="292"/>
      <c r="V57" s="292"/>
      <c r="W57" s="292"/>
      <c r="X57" s="292"/>
      <c r="Y57" s="292"/>
      <c r="Z57" s="292"/>
      <c r="AA57" s="292"/>
      <c r="AB57" s="292"/>
    </row>
    <row r="58">
      <c r="A58" s="307">
        <v>45484.0</v>
      </c>
      <c r="B58" s="306"/>
      <c r="C58" s="299">
        <v>0.95</v>
      </c>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c r="AB58" s="292"/>
    </row>
    <row r="59">
      <c r="A59" s="307">
        <v>45546.0</v>
      </c>
      <c r="B59" s="306"/>
      <c r="C59" s="299">
        <v>0.95</v>
      </c>
      <c r="D59" s="292"/>
      <c r="E59" s="292"/>
      <c r="F59" s="292"/>
      <c r="G59" s="292"/>
      <c r="H59" s="292"/>
      <c r="I59" s="292"/>
      <c r="J59" s="292"/>
      <c r="K59" s="292"/>
      <c r="L59" s="292"/>
      <c r="M59" s="292"/>
      <c r="N59" s="292"/>
      <c r="O59" s="292"/>
      <c r="P59" s="292"/>
      <c r="Q59" s="292"/>
      <c r="R59" s="292"/>
      <c r="S59" s="292"/>
      <c r="T59" s="292"/>
      <c r="U59" s="292"/>
      <c r="V59" s="292"/>
      <c r="W59" s="292"/>
      <c r="X59" s="292"/>
      <c r="Y59" s="292"/>
      <c r="Z59" s="292"/>
      <c r="AA59" s="292"/>
      <c r="AB59" s="292"/>
    </row>
    <row r="60">
      <c r="A60" s="309">
        <v>45576.0</v>
      </c>
      <c r="B60" s="306"/>
      <c r="C60" s="299">
        <v>0.95</v>
      </c>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c r="AB60" s="292"/>
    </row>
    <row r="61">
      <c r="A61" s="309">
        <v>45607.0</v>
      </c>
      <c r="B61" s="306"/>
      <c r="C61" s="299">
        <v>0.95</v>
      </c>
      <c r="D61" s="292"/>
      <c r="E61" s="292"/>
      <c r="F61" s="292"/>
      <c r="G61" s="292"/>
      <c r="H61" s="292"/>
      <c r="I61" s="292"/>
      <c r="J61" s="292"/>
      <c r="K61" s="292"/>
      <c r="L61" s="292"/>
      <c r="M61" s="292"/>
      <c r="N61" s="292"/>
      <c r="O61" s="292"/>
      <c r="P61" s="292"/>
      <c r="Q61" s="292"/>
      <c r="R61" s="292"/>
      <c r="S61" s="292"/>
      <c r="T61" s="292"/>
      <c r="U61" s="292"/>
      <c r="V61" s="292"/>
      <c r="W61" s="292"/>
      <c r="X61" s="292"/>
      <c r="Y61" s="292"/>
      <c r="Z61" s="292"/>
      <c r="AA61" s="292"/>
      <c r="AB61" s="292"/>
    </row>
    <row r="62">
      <c r="A62" s="309">
        <v>45637.0</v>
      </c>
      <c r="B62" s="306"/>
      <c r="C62" s="299">
        <v>0.95</v>
      </c>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c r="AB62" s="292"/>
    </row>
    <row r="63">
      <c r="A63" s="310" t="s">
        <v>127</v>
      </c>
      <c r="B63" s="306"/>
      <c r="C63" s="299">
        <v>0.95</v>
      </c>
      <c r="D63" s="292"/>
      <c r="E63" s="292"/>
      <c r="F63" s="292"/>
      <c r="G63" s="292"/>
      <c r="H63" s="292"/>
      <c r="I63" s="292"/>
      <c r="J63" s="292"/>
      <c r="K63" s="292"/>
      <c r="L63" s="292"/>
      <c r="M63" s="292"/>
      <c r="N63" s="292"/>
      <c r="O63" s="292"/>
      <c r="P63" s="292"/>
      <c r="Q63" s="292"/>
      <c r="R63" s="292"/>
      <c r="S63" s="292"/>
      <c r="T63" s="292"/>
      <c r="U63" s="292"/>
      <c r="V63" s="292"/>
      <c r="W63" s="292"/>
      <c r="X63" s="292"/>
      <c r="Y63" s="292"/>
      <c r="Z63" s="292"/>
      <c r="AA63" s="292"/>
      <c r="AB63" s="292"/>
    </row>
    <row r="64">
      <c r="A64" s="310" t="s">
        <v>128</v>
      </c>
      <c r="B64" s="306"/>
      <c r="C64" s="299">
        <v>0.95</v>
      </c>
      <c r="D64" s="292"/>
      <c r="E64" s="292"/>
      <c r="F64" s="292"/>
      <c r="G64" s="292"/>
      <c r="H64" s="292"/>
      <c r="I64" s="292"/>
      <c r="J64" s="292"/>
      <c r="K64" s="292"/>
      <c r="L64" s="292"/>
      <c r="M64" s="292"/>
      <c r="N64" s="292"/>
      <c r="O64" s="292"/>
      <c r="P64" s="292"/>
      <c r="Q64" s="292"/>
      <c r="R64" s="292"/>
      <c r="S64" s="292"/>
      <c r="T64" s="292"/>
      <c r="U64" s="292"/>
      <c r="V64" s="292"/>
      <c r="W64" s="292"/>
      <c r="X64" s="292"/>
      <c r="Y64" s="292"/>
      <c r="Z64" s="292"/>
      <c r="AA64" s="292"/>
      <c r="AB64" s="292"/>
    </row>
    <row r="65">
      <c r="A65" s="310" t="s">
        <v>129</v>
      </c>
      <c r="B65" s="306"/>
      <c r="C65" s="299">
        <v>0.81</v>
      </c>
      <c r="D65" s="292"/>
      <c r="E65" s="292"/>
      <c r="F65" s="292"/>
      <c r="G65" s="292"/>
      <c r="H65" s="292"/>
      <c r="I65" s="292"/>
      <c r="J65" s="292"/>
      <c r="K65" s="292"/>
      <c r="L65" s="292"/>
      <c r="M65" s="292"/>
      <c r="N65" s="292"/>
      <c r="O65" s="292"/>
      <c r="P65" s="292"/>
      <c r="Q65" s="292"/>
      <c r="R65" s="292"/>
      <c r="S65" s="292"/>
      <c r="T65" s="292"/>
      <c r="U65" s="292"/>
      <c r="V65" s="292"/>
      <c r="W65" s="292"/>
      <c r="X65" s="292"/>
      <c r="Y65" s="292"/>
      <c r="Z65" s="292"/>
      <c r="AA65" s="292"/>
      <c r="AB65" s="292"/>
    </row>
    <row r="66">
      <c r="A66" s="310" t="s">
        <v>130</v>
      </c>
      <c r="B66" s="306"/>
      <c r="C66" s="299">
        <v>0.81</v>
      </c>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c r="AB66" s="292"/>
    </row>
    <row r="67">
      <c r="A67" s="310" t="s">
        <v>131</v>
      </c>
      <c r="B67" s="306"/>
      <c r="C67" s="299">
        <v>0.88</v>
      </c>
      <c r="D67" s="292"/>
      <c r="E67" s="292"/>
      <c r="F67" s="292"/>
      <c r="G67" s="292"/>
      <c r="H67" s="292"/>
      <c r="I67" s="292"/>
      <c r="J67" s="292"/>
      <c r="K67" s="292"/>
      <c r="L67" s="292"/>
      <c r="M67" s="292"/>
      <c r="N67" s="292"/>
      <c r="O67" s="292"/>
      <c r="P67" s="292"/>
      <c r="Q67" s="292"/>
      <c r="R67" s="292"/>
      <c r="S67" s="292"/>
      <c r="T67" s="292"/>
      <c r="U67" s="292"/>
      <c r="V67" s="292"/>
      <c r="W67" s="292"/>
      <c r="X67" s="292"/>
      <c r="Y67" s="292"/>
      <c r="Z67" s="292"/>
      <c r="AA67" s="292"/>
      <c r="AB67" s="292"/>
    </row>
    <row r="68">
      <c r="A68" s="310" t="s">
        <v>258</v>
      </c>
      <c r="B68" s="306"/>
      <c r="C68" s="299">
        <v>0.95</v>
      </c>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c r="AB68" s="292"/>
    </row>
    <row r="69">
      <c r="A69" s="310" t="s">
        <v>132</v>
      </c>
      <c r="B69" s="306"/>
      <c r="C69" s="299">
        <v>0.95</v>
      </c>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c r="AB69" s="292"/>
    </row>
    <row r="70">
      <c r="A70" s="310" t="s">
        <v>133</v>
      </c>
      <c r="B70" s="306"/>
      <c r="C70" s="299">
        <v>0.95</v>
      </c>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c r="AB70" s="292"/>
    </row>
    <row r="71">
      <c r="A71" s="310" t="s">
        <v>134</v>
      </c>
      <c r="B71" s="306"/>
      <c r="C71" s="299">
        <v>0.95</v>
      </c>
      <c r="D71" s="292"/>
      <c r="E71" s="292"/>
      <c r="F71" s="292"/>
      <c r="G71" s="292"/>
      <c r="H71" s="292"/>
      <c r="I71" s="292"/>
      <c r="J71" s="292"/>
      <c r="K71" s="292"/>
      <c r="L71" s="292"/>
      <c r="M71" s="292"/>
      <c r="N71" s="292"/>
      <c r="O71" s="292"/>
      <c r="P71" s="292"/>
      <c r="Q71" s="292"/>
      <c r="R71" s="292"/>
      <c r="S71" s="292"/>
      <c r="T71" s="292"/>
      <c r="U71" s="292"/>
      <c r="V71" s="292"/>
      <c r="W71" s="292"/>
      <c r="X71" s="292"/>
      <c r="Y71" s="292"/>
      <c r="Z71" s="292"/>
      <c r="AA71" s="292"/>
      <c r="AB71" s="292"/>
    </row>
    <row r="72">
      <c r="A72" s="310" t="s">
        <v>135</v>
      </c>
      <c r="B72" s="306"/>
      <c r="C72" s="299">
        <v>0.95</v>
      </c>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c r="AB72" s="292"/>
    </row>
    <row r="73">
      <c r="A73" s="310" t="s">
        <v>275</v>
      </c>
      <c r="B73" s="306"/>
      <c r="C73" s="299">
        <v>0.73</v>
      </c>
      <c r="D73" s="292"/>
      <c r="E73" s="292"/>
      <c r="F73" s="292"/>
      <c r="G73" s="292"/>
      <c r="H73" s="292"/>
      <c r="I73" s="292"/>
      <c r="J73" s="292"/>
      <c r="K73" s="292"/>
      <c r="L73" s="292"/>
      <c r="M73" s="292"/>
      <c r="N73" s="292"/>
      <c r="O73" s="292"/>
      <c r="P73" s="292"/>
      <c r="Q73" s="292"/>
      <c r="R73" s="292"/>
      <c r="S73" s="292"/>
      <c r="T73" s="292"/>
      <c r="U73" s="292"/>
      <c r="V73" s="292"/>
      <c r="W73" s="292"/>
      <c r="X73" s="292"/>
      <c r="Y73" s="292"/>
      <c r="Z73" s="292"/>
      <c r="AA73" s="292"/>
      <c r="AB73" s="292"/>
    </row>
    <row r="74">
      <c r="A74" s="310" t="s">
        <v>137</v>
      </c>
      <c r="B74" s="306"/>
      <c r="C74" s="299">
        <v>0.66</v>
      </c>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c r="AB74" s="292"/>
    </row>
    <row r="75">
      <c r="A75" s="310" t="s">
        <v>259</v>
      </c>
      <c r="B75" s="306"/>
      <c r="C75" s="299">
        <v>0.66</v>
      </c>
      <c r="D75" s="292"/>
      <c r="E75" s="292"/>
      <c r="F75" s="292"/>
      <c r="G75" s="292"/>
      <c r="H75" s="292"/>
      <c r="I75" s="292"/>
      <c r="J75" s="292"/>
      <c r="K75" s="292"/>
      <c r="L75" s="292"/>
      <c r="M75" s="292"/>
      <c r="N75" s="292"/>
      <c r="O75" s="292"/>
      <c r="P75" s="292"/>
      <c r="Q75" s="292"/>
      <c r="R75" s="292"/>
      <c r="S75" s="292"/>
      <c r="T75" s="292"/>
      <c r="U75" s="292"/>
      <c r="V75" s="292"/>
      <c r="W75" s="292"/>
      <c r="X75" s="292"/>
      <c r="Y75" s="292"/>
      <c r="Z75" s="292"/>
      <c r="AA75" s="292"/>
      <c r="AB75" s="292"/>
    </row>
    <row r="76">
      <c r="A76" s="310" t="s">
        <v>138</v>
      </c>
      <c r="B76" s="306"/>
      <c r="C76" s="299">
        <v>0.66</v>
      </c>
      <c r="D76" s="292"/>
      <c r="E76" s="292"/>
      <c r="F76" s="292"/>
      <c r="G76" s="292"/>
      <c r="H76" s="292"/>
      <c r="I76" s="292"/>
      <c r="J76" s="292"/>
      <c r="K76" s="292"/>
      <c r="L76" s="292"/>
      <c r="M76" s="292"/>
      <c r="N76" s="292"/>
      <c r="O76" s="292"/>
      <c r="P76" s="292"/>
      <c r="Q76" s="292"/>
      <c r="R76" s="292"/>
      <c r="S76" s="292"/>
      <c r="T76" s="292"/>
      <c r="U76" s="292"/>
      <c r="V76" s="292"/>
      <c r="W76" s="292"/>
      <c r="X76" s="292"/>
      <c r="Y76" s="292"/>
      <c r="Z76" s="292"/>
      <c r="AA76" s="292"/>
      <c r="AB76" s="292"/>
    </row>
    <row r="77">
      <c r="A77" s="310" t="s">
        <v>260</v>
      </c>
      <c r="B77" s="306"/>
      <c r="C77" s="299">
        <v>0.66</v>
      </c>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c r="AB77" s="292"/>
    </row>
    <row r="78">
      <c r="A78" s="311">
        <v>45444.0</v>
      </c>
      <c r="B78" s="310"/>
      <c r="C78" s="312">
        <v>-0.45</v>
      </c>
      <c r="D78" s="292"/>
      <c r="E78" s="292"/>
      <c r="F78" s="292"/>
      <c r="G78" s="292"/>
      <c r="H78" s="292"/>
      <c r="I78" s="292"/>
      <c r="J78" s="292"/>
      <c r="K78" s="292"/>
      <c r="L78" s="292"/>
      <c r="M78" s="292"/>
      <c r="N78" s="292"/>
      <c r="O78" s="292"/>
      <c r="P78" s="292"/>
      <c r="Q78" s="292"/>
      <c r="R78" s="292"/>
      <c r="S78" s="292"/>
      <c r="T78" s="292"/>
      <c r="U78" s="292"/>
      <c r="V78" s="292"/>
      <c r="W78" s="292"/>
      <c r="X78" s="292"/>
      <c r="Y78" s="292"/>
      <c r="Z78" s="292"/>
      <c r="AA78" s="292"/>
      <c r="AB78" s="292"/>
    </row>
    <row r="79">
      <c r="A79" s="310"/>
      <c r="B79" s="310"/>
      <c r="C79" s="310"/>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c r="AB79" s="292"/>
    </row>
    <row r="80">
      <c r="A80" s="310"/>
      <c r="B80" s="310"/>
      <c r="C80" s="310"/>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c r="AB80" s="292"/>
    </row>
    <row r="81">
      <c r="A81" s="310"/>
      <c r="B81" s="310"/>
      <c r="C81" s="310"/>
      <c r="D81" s="292"/>
      <c r="E81" s="292"/>
      <c r="F81" s="292"/>
      <c r="G81" s="292"/>
      <c r="H81" s="292"/>
      <c r="I81" s="292"/>
      <c r="J81" s="292"/>
      <c r="K81" s="292"/>
      <c r="L81" s="292"/>
      <c r="M81" s="292"/>
      <c r="N81" s="292"/>
      <c r="O81" s="292"/>
      <c r="P81" s="292"/>
      <c r="Q81" s="292"/>
      <c r="R81" s="292"/>
      <c r="S81" s="292"/>
      <c r="T81" s="292"/>
      <c r="U81" s="292"/>
      <c r="V81" s="292"/>
      <c r="W81" s="292"/>
      <c r="X81" s="292"/>
      <c r="Y81" s="292"/>
      <c r="Z81" s="292"/>
      <c r="AA81" s="292"/>
      <c r="AB81" s="292"/>
    </row>
    <row r="82">
      <c r="A82" s="310"/>
      <c r="B82" s="310"/>
      <c r="C82" s="310"/>
      <c r="D82" s="292"/>
      <c r="E82" s="292"/>
      <c r="F82" s="292"/>
      <c r="G82" s="292"/>
      <c r="H82" s="292"/>
      <c r="I82" s="292"/>
      <c r="J82" s="292"/>
      <c r="K82" s="292"/>
      <c r="L82" s="292"/>
      <c r="M82" s="292"/>
      <c r="N82" s="292"/>
      <c r="O82" s="292"/>
      <c r="P82" s="292"/>
      <c r="Q82" s="292"/>
      <c r="R82" s="292"/>
      <c r="S82" s="292"/>
      <c r="T82" s="292"/>
      <c r="U82" s="292"/>
      <c r="V82" s="292"/>
      <c r="W82" s="292"/>
      <c r="X82" s="292"/>
      <c r="Y82" s="292"/>
      <c r="Z82" s="292"/>
      <c r="AA82" s="292"/>
      <c r="AB82" s="292"/>
    </row>
    <row r="83">
      <c r="A83" s="310"/>
      <c r="B83" s="310"/>
      <c r="C83" s="310"/>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c r="AB83" s="292"/>
    </row>
    <row r="84">
      <c r="A84" s="310"/>
      <c r="B84" s="310"/>
      <c r="C84" s="310"/>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c r="AB84" s="292"/>
    </row>
    <row r="85">
      <c r="A85" s="310"/>
      <c r="B85" s="310"/>
      <c r="C85" s="310"/>
      <c r="D85" s="292"/>
      <c r="E85" s="292"/>
      <c r="F85" s="292"/>
      <c r="G85" s="292"/>
      <c r="H85" s="292"/>
      <c r="I85" s="292"/>
      <c r="J85" s="292"/>
      <c r="K85" s="292"/>
      <c r="L85" s="292"/>
      <c r="M85" s="292"/>
      <c r="N85" s="292"/>
      <c r="O85" s="292"/>
      <c r="P85" s="292"/>
      <c r="Q85" s="292"/>
      <c r="R85" s="292"/>
      <c r="S85" s="292"/>
      <c r="T85" s="292"/>
      <c r="U85" s="292"/>
      <c r="V85" s="292"/>
      <c r="W85" s="292"/>
      <c r="X85" s="292"/>
      <c r="Y85" s="292"/>
      <c r="Z85" s="292"/>
      <c r="AA85" s="292"/>
      <c r="AB85" s="292"/>
    </row>
    <row r="86">
      <c r="A86" s="310"/>
      <c r="B86" s="310"/>
      <c r="C86" s="310"/>
      <c r="D86" s="292"/>
      <c r="E86" s="292"/>
      <c r="F86" s="292"/>
      <c r="G86" s="292"/>
      <c r="H86" s="292"/>
      <c r="I86" s="292"/>
      <c r="J86" s="292"/>
      <c r="K86" s="292"/>
      <c r="L86" s="292"/>
      <c r="M86" s="292"/>
      <c r="N86" s="292"/>
      <c r="O86" s="292"/>
      <c r="P86" s="292"/>
      <c r="Q86" s="292"/>
      <c r="R86" s="292"/>
      <c r="S86" s="292"/>
      <c r="T86" s="292"/>
      <c r="U86" s="292"/>
      <c r="V86" s="292"/>
      <c r="W86" s="292"/>
      <c r="X86" s="292"/>
      <c r="Y86" s="292"/>
      <c r="Z86" s="292"/>
      <c r="AA86" s="292"/>
      <c r="AB86" s="292"/>
    </row>
    <row r="87">
      <c r="A87" s="310"/>
      <c r="B87" s="310"/>
      <c r="C87" s="310"/>
      <c r="D87" s="292"/>
      <c r="E87" s="292"/>
      <c r="F87" s="292"/>
      <c r="G87" s="292"/>
      <c r="H87" s="292"/>
      <c r="I87" s="292"/>
      <c r="J87" s="292"/>
      <c r="K87" s="292"/>
      <c r="L87" s="292"/>
      <c r="M87" s="292"/>
      <c r="N87" s="292"/>
      <c r="O87" s="292"/>
      <c r="P87" s="292"/>
      <c r="Q87" s="292"/>
      <c r="R87" s="292"/>
      <c r="S87" s="292"/>
      <c r="T87" s="292"/>
      <c r="U87" s="292"/>
      <c r="V87" s="292"/>
      <c r="W87" s="292"/>
      <c r="X87" s="292"/>
      <c r="Y87" s="292"/>
      <c r="Z87" s="292"/>
      <c r="AA87" s="292"/>
      <c r="AB87" s="292"/>
    </row>
    <row r="88">
      <c r="A88" s="310"/>
      <c r="B88" s="310"/>
      <c r="C88" s="310"/>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row>
    <row r="89">
      <c r="A89" s="310"/>
      <c r="B89" s="310"/>
      <c r="C89" s="310"/>
      <c r="D89" s="292"/>
      <c r="E89" s="292"/>
      <c r="F89" s="292"/>
      <c r="G89" s="292"/>
      <c r="H89" s="292"/>
      <c r="I89" s="292"/>
      <c r="J89" s="292"/>
      <c r="K89" s="292"/>
      <c r="L89" s="292"/>
      <c r="M89" s="292"/>
      <c r="N89" s="292"/>
      <c r="O89" s="292"/>
      <c r="P89" s="292"/>
      <c r="Q89" s="292"/>
      <c r="R89" s="292"/>
      <c r="S89" s="292"/>
      <c r="T89" s="292"/>
      <c r="U89" s="292"/>
      <c r="V89" s="292"/>
      <c r="W89" s="292"/>
      <c r="X89" s="292"/>
      <c r="Y89" s="292"/>
      <c r="Z89" s="292"/>
      <c r="AA89" s="292"/>
      <c r="AB89" s="292"/>
    </row>
    <row r="90">
      <c r="A90" s="310"/>
      <c r="B90" s="310"/>
      <c r="C90" s="310"/>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c r="AB90" s="292"/>
    </row>
    <row r="91">
      <c r="A91" s="310"/>
      <c r="B91" s="310"/>
      <c r="C91" s="310"/>
      <c r="D91" s="292"/>
      <c r="E91" s="292"/>
      <c r="F91" s="292"/>
      <c r="G91" s="292"/>
      <c r="H91" s="292"/>
      <c r="I91" s="292"/>
      <c r="J91" s="292"/>
      <c r="K91" s="292"/>
      <c r="L91" s="292"/>
      <c r="M91" s="292"/>
      <c r="N91" s="292"/>
      <c r="O91" s="292"/>
      <c r="P91" s="292"/>
      <c r="Q91" s="292"/>
      <c r="R91" s="292"/>
      <c r="S91" s="292"/>
      <c r="T91" s="292"/>
      <c r="U91" s="292"/>
      <c r="V91" s="292"/>
      <c r="W91" s="292"/>
      <c r="X91" s="292"/>
      <c r="Y91" s="292"/>
      <c r="Z91" s="292"/>
      <c r="AA91" s="292"/>
      <c r="AB91" s="292"/>
    </row>
    <row r="92">
      <c r="A92" s="310"/>
      <c r="B92" s="310"/>
      <c r="C92" s="310"/>
      <c r="D92" s="292"/>
      <c r="E92" s="292"/>
      <c r="F92" s="292"/>
      <c r="G92" s="292"/>
      <c r="H92" s="292"/>
      <c r="I92" s="292"/>
      <c r="J92" s="292"/>
      <c r="K92" s="292"/>
      <c r="L92" s="292"/>
      <c r="M92" s="292"/>
      <c r="N92" s="292"/>
      <c r="O92" s="292"/>
      <c r="P92" s="292"/>
      <c r="Q92" s="292"/>
      <c r="R92" s="292"/>
      <c r="S92" s="292"/>
      <c r="T92" s="292"/>
      <c r="U92" s="292"/>
      <c r="V92" s="292"/>
      <c r="W92" s="292"/>
      <c r="X92" s="292"/>
      <c r="Y92" s="292"/>
      <c r="Z92" s="292"/>
      <c r="AA92" s="292"/>
      <c r="AB92" s="292"/>
    </row>
    <row r="93">
      <c r="A93" s="310"/>
      <c r="B93" s="310"/>
      <c r="C93" s="310"/>
      <c r="D93" s="292"/>
      <c r="E93" s="292"/>
      <c r="F93" s="292"/>
      <c r="G93" s="292"/>
      <c r="H93" s="292"/>
      <c r="I93" s="292"/>
      <c r="J93" s="292"/>
      <c r="K93" s="292"/>
      <c r="L93" s="292"/>
      <c r="M93" s="292"/>
      <c r="N93" s="292"/>
      <c r="O93" s="292"/>
      <c r="P93" s="292"/>
      <c r="Q93" s="292"/>
      <c r="R93" s="292"/>
      <c r="S93" s="292"/>
      <c r="T93" s="292"/>
      <c r="U93" s="292"/>
      <c r="V93" s="292"/>
      <c r="W93" s="292"/>
      <c r="X93" s="292"/>
      <c r="Y93" s="292"/>
      <c r="Z93" s="292"/>
      <c r="AA93" s="292"/>
      <c r="AB93" s="292"/>
    </row>
    <row r="94">
      <c r="A94" s="310"/>
      <c r="B94" s="310"/>
      <c r="C94" s="310"/>
      <c r="D94" s="292"/>
      <c r="E94" s="292"/>
      <c r="F94" s="292"/>
      <c r="G94" s="292"/>
      <c r="H94" s="292"/>
      <c r="I94" s="292"/>
      <c r="J94" s="292"/>
      <c r="K94" s="292"/>
      <c r="L94" s="292"/>
      <c r="M94" s="292"/>
      <c r="N94" s="292"/>
      <c r="O94" s="292"/>
      <c r="P94" s="292"/>
      <c r="Q94" s="292"/>
      <c r="R94" s="292"/>
      <c r="S94" s="292"/>
      <c r="T94" s="292"/>
      <c r="U94" s="292"/>
      <c r="V94" s="292"/>
      <c r="W94" s="292"/>
      <c r="X94" s="292"/>
      <c r="Y94" s="292"/>
      <c r="Z94" s="292"/>
      <c r="AA94" s="292"/>
      <c r="AB94" s="292"/>
    </row>
    <row r="95">
      <c r="A95" s="310"/>
      <c r="B95" s="310"/>
      <c r="C95" s="310"/>
      <c r="D95" s="292"/>
      <c r="E95" s="292"/>
      <c r="F95" s="292"/>
      <c r="G95" s="292"/>
      <c r="H95" s="292"/>
      <c r="I95" s="292"/>
      <c r="J95" s="292"/>
      <c r="K95" s="292"/>
      <c r="L95" s="292"/>
      <c r="M95" s="292"/>
      <c r="N95" s="292"/>
      <c r="O95" s="292"/>
      <c r="P95" s="292"/>
      <c r="Q95" s="292"/>
      <c r="R95" s="292"/>
      <c r="S95" s="292"/>
      <c r="T95" s="292"/>
      <c r="U95" s="292"/>
      <c r="V95" s="292"/>
      <c r="W95" s="292"/>
      <c r="X95" s="292"/>
      <c r="Y95" s="292"/>
      <c r="Z95" s="292"/>
      <c r="AA95" s="292"/>
      <c r="AB95" s="292"/>
    </row>
    <row r="96">
      <c r="A96" s="310"/>
      <c r="B96" s="310"/>
      <c r="C96" s="310"/>
      <c r="D96" s="292"/>
      <c r="E96" s="292"/>
      <c r="F96" s="292"/>
      <c r="G96" s="292"/>
      <c r="H96" s="292"/>
      <c r="I96" s="292"/>
      <c r="J96" s="292"/>
      <c r="K96" s="292"/>
      <c r="L96" s="292"/>
      <c r="M96" s="292"/>
      <c r="N96" s="292"/>
      <c r="O96" s="292"/>
      <c r="P96" s="292"/>
      <c r="Q96" s="292"/>
      <c r="R96" s="292"/>
      <c r="S96" s="292"/>
      <c r="T96" s="292"/>
      <c r="U96" s="292"/>
      <c r="V96" s="292"/>
      <c r="W96" s="292"/>
      <c r="X96" s="292"/>
      <c r="Y96" s="292"/>
      <c r="Z96" s="292"/>
      <c r="AA96" s="292"/>
      <c r="AB96" s="292"/>
    </row>
    <row r="97">
      <c r="A97" s="310"/>
      <c r="B97" s="310"/>
      <c r="C97" s="310"/>
      <c r="D97" s="292"/>
      <c r="E97" s="292"/>
      <c r="F97" s="292"/>
      <c r="G97" s="292"/>
      <c r="H97" s="292"/>
      <c r="I97" s="292"/>
      <c r="J97" s="292"/>
      <c r="K97" s="292"/>
      <c r="L97" s="292"/>
      <c r="M97" s="292"/>
      <c r="N97" s="292"/>
      <c r="O97" s="292"/>
      <c r="P97" s="292"/>
      <c r="Q97" s="292"/>
      <c r="R97" s="292"/>
      <c r="S97" s="292"/>
      <c r="T97" s="292"/>
      <c r="U97" s="292"/>
      <c r="V97" s="292"/>
      <c r="W97" s="292"/>
      <c r="X97" s="292"/>
      <c r="Y97" s="292"/>
      <c r="Z97" s="292"/>
      <c r="AA97" s="292"/>
      <c r="AB97" s="292"/>
    </row>
    <row r="98">
      <c r="A98" s="310"/>
      <c r="B98" s="310"/>
      <c r="C98" s="310"/>
      <c r="D98" s="292"/>
      <c r="E98" s="292"/>
      <c r="F98" s="292"/>
      <c r="G98" s="292"/>
      <c r="H98" s="292"/>
      <c r="I98" s="292"/>
      <c r="J98" s="292"/>
      <c r="K98" s="292"/>
      <c r="L98" s="292"/>
      <c r="M98" s="292"/>
      <c r="N98" s="292"/>
      <c r="O98" s="292"/>
      <c r="P98" s="292"/>
      <c r="Q98" s="292"/>
      <c r="R98" s="292"/>
      <c r="S98" s="292"/>
      <c r="T98" s="292"/>
      <c r="U98" s="292"/>
      <c r="V98" s="292"/>
      <c r="W98" s="292"/>
      <c r="X98" s="292"/>
      <c r="Y98" s="292"/>
      <c r="Z98" s="292"/>
      <c r="AA98" s="292"/>
      <c r="AB98" s="292"/>
    </row>
    <row r="99">
      <c r="A99" s="310"/>
      <c r="B99" s="310"/>
      <c r="C99" s="310"/>
      <c r="D99" s="292"/>
      <c r="E99" s="292"/>
      <c r="F99" s="292"/>
      <c r="G99" s="292"/>
      <c r="H99" s="292"/>
      <c r="I99" s="292"/>
      <c r="J99" s="292"/>
      <c r="K99" s="292"/>
      <c r="L99" s="292"/>
      <c r="M99" s="292"/>
      <c r="N99" s="292"/>
      <c r="O99" s="292"/>
      <c r="P99" s="292"/>
      <c r="Q99" s="292"/>
      <c r="R99" s="292"/>
      <c r="S99" s="292"/>
      <c r="T99" s="292"/>
      <c r="U99" s="292"/>
      <c r="V99" s="292"/>
      <c r="W99" s="292"/>
      <c r="X99" s="292"/>
      <c r="Y99" s="292"/>
      <c r="Z99" s="292"/>
      <c r="AA99" s="292"/>
      <c r="AB99" s="292"/>
    </row>
    <row r="100">
      <c r="A100" s="310"/>
      <c r="B100" s="310"/>
      <c r="C100" s="310"/>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c r="AB100" s="292"/>
    </row>
    <row r="101">
      <c r="A101" s="313"/>
      <c r="B101" s="313"/>
      <c r="C101" s="313"/>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c r="AB101" s="292"/>
    </row>
    <row r="102">
      <c r="A102" s="313"/>
      <c r="B102" s="313"/>
      <c r="C102" s="313"/>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c r="AB102" s="292"/>
    </row>
    <row r="103">
      <c r="A103" s="313"/>
      <c r="B103" s="313"/>
      <c r="C103" s="313"/>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c r="AB103" s="292"/>
    </row>
    <row r="104">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c r="AA104" s="292"/>
      <c r="AB104" s="292"/>
    </row>
    <row r="105">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c r="AA105" s="292"/>
      <c r="AB105" s="292"/>
    </row>
    <row r="106">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c r="AA106" s="292"/>
      <c r="AB106" s="292"/>
    </row>
    <row r="107">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c r="AB107" s="292"/>
    </row>
    <row r="108">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c r="AA108" s="292"/>
      <c r="AB108" s="292"/>
    </row>
    <row r="109">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c r="AA109" s="292"/>
      <c r="AB109" s="292"/>
    </row>
    <row r="110">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c r="AB110" s="292"/>
    </row>
    <row r="11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c r="AB111" s="292"/>
    </row>
    <row r="112">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c r="AB112" s="292"/>
    </row>
    <row r="113">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c r="AB113" s="292"/>
    </row>
    <row r="114">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c r="AA114" s="292"/>
      <c r="AB114" s="292"/>
    </row>
    <row r="115">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c r="AA115" s="292"/>
      <c r="AB115" s="292"/>
    </row>
    <row r="116">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c r="AB116" s="292"/>
    </row>
    <row r="117">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c r="AA117" s="292"/>
      <c r="AB117" s="292"/>
    </row>
    <row r="118">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c r="AB118" s="292"/>
    </row>
    <row r="119">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c r="AB119" s="292"/>
    </row>
    <row r="120">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c r="AB120" s="292"/>
    </row>
    <row r="12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c r="AB121" s="292"/>
    </row>
    <row r="122">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c r="AB122" s="292"/>
    </row>
    <row r="123">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c r="AA123" s="292"/>
      <c r="AB123" s="292"/>
    </row>
    <row r="124">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c r="AA124" s="292"/>
      <c r="AB124" s="292"/>
    </row>
    <row r="125">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c r="AB125" s="292"/>
    </row>
    <row r="126">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c r="AB126" s="292"/>
    </row>
    <row r="127">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c r="AA127" s="292"/>
      <c r="AB127" s="292"/>
    </row>
    <row r="128">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c r="AB128" s="292"/>
    </row>
    <row r="129">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c r="AA129" s="292"/>
      <c r="AB129" s="292"/>
    </row>
    <row r="130">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c r="AA130" s="292"/>
      <c r="AB130" s="292"/>
    </row>
    <row r="13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c r="AA131" s="292"/>
      <c r="AB131" s="292"/>
    </row>
    <row r="132">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c r="AB132" s="292"/>
    </row>
    <row r="133">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c r="AA133" s="292"/>
      <c r="AB133" s="292"/>
    </row>
    <row r="134">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c r="AA134" s="292"/>
      <c r="AB134" s="292"/>
    </row>
    <row r="135">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c r="AB135" s="292"/>
    </row>
    <row r="136">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c r="AB136" s="292"/>
    </row>
    <row r="137">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c r="AA137" s="292"/>
      <c r="AB137" s="292"/>
    </row>
    <row r="138">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c r="AA138" s="292"/>
      <c r="AB138" s="292"/>
    </row>
    <row r="139">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c r="AB139" s="292"/>
    </row>
    <row r="140">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c r="AB140" s="292"/>
    </row>
    <row r="14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c r="AB141" s="292"/>
    </row>
    <row r="142">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c r="AA142" s="292"/>
      <c r="AB142" s="292"/>
    </row>
    <row r="143">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c r="AA143" s="292"/>
      <c r="AB143" s="292"/>
    </row>
    <row r="144">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c r="AA144" s="292"/>
      <c r="AB144" s="292"/>
    </row>
    <row r="145">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c r="AA145" s="292"/>
      <c r="AB145" s="292"/>
    </row>
    <row r="146">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c r="AA146" s="292"/>
      <c r="AB146" s="292"/>
    </row>
    <row r="147">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c r="AA147" s="292"/>
      <c r="AB147" s="292"/>
    </row>
    <row r="148">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c r="AA148" s="292"/>
      <c r="AB148" s="292"/>
    </row>
    <row r="149">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c r="AB149" s="292"/>
    </row>
    <row r="150">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c r="AA150" s="292"/>
      <c r="AB150" s="292"/>
    </row>
    <row r="15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c r="AA151" s="292"/>
      <c r="AB151" s="292"/>
    </row>
    <row r="152">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c r="AA152" s="292"/>
      <c r="AB152" s="292"/>
    </row>
    <row r="153">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c r="AB153" s="292"/>
    </row>
    <row r="154">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c r="AB154" s="292"/>
    </row>
    <row r="155">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c r="AA155" s="292"/>
      <c r="AB155" s="292"/>
    </row>
    <row r="156">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c r="AA156" s="292"/>
      <c r="AB156" s="292"/>
    </row>
    <row r="157">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c r="AB157" s="292"/>
    </row>
    <row r="158">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c r="AA158" s="292"/>
      <c r="AB158" s="292"/>
    </row>
    <row r="159">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c r="AA159" s="292"/>
      <c r="AB159" s="292"/>
    </row>
    <row r="160">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c r="AA160" s="292"/>
      <c r="AB160" s="292"/>
    </row>
    <row r="16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c r="AA161" s="292"/>
      <c r="AB161" s="292"/>
    </row>
    <row r="162">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c r="AA162" s="292"/>
      <c r="AB162" s="292"/>
    </row>
    <row r="163">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c r="AA163" s="292"/>
      <c r="AB163" s="292"/>
    </row>
    <row r="164">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c r="AA164" s="292"/>
      <c r="AB164" s="292"/>
    </row>
    <row r="165">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c r="AB165" s="292"/>
    </row>
    <row r="166">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c r="AB166" s="292"/>
    </row>
    <row r="167">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c r="AB167" s="292"/>
    </row>
    <row r="168">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c r="AB168" s="292"/>
    </row>
    <row r="169">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c r="AB169" s="292"/>
    </row>
    <row r="170">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c r="AB170" s="292"/>
    </row>
    <row r="17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c r="AB171" s="292"/>
    </row>
    <row r="172">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c r="AB172" s="292"/>
    </row>
    <row r="173">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c r="AB173" s="292"/>
    </row>
    <row r="174">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c r="AA174" s="292"/>
      <c r="AB174" s="292"/>
    </row>
    <row r="175">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c r="AA175" s="292"/>
      <c r="AB175" s="292"/>
    </row>
    <row r="176">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c r="AA176" s="292"/>
      <c r="AB176" s="292"/>
    </row>
    <row r="177">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c r="AA177" s="292"/>
      <c r="AB177" s="292"/>
    </row>
    <row r="178">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c r="AA178" s="292"/>
      <c r="AB178" s="292"/>
    </row>
    <row r="179">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c r="AA179" s="292"/>
      <c r="AB179" s="292"/>
    </row>
    <row r="180">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c r="AA180" s="292"/>
      <c r="AB180" s="292"/>
    </row>
    <row r="18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c r="AA181" s="292"/>
      <c r="AB181" s="292"/>
    </row>
    <row r="182">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c r="AA182" s="292"/>
      <c r="AB182" s="292"/>
    </row>
    <row r="183">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c r="AA183" s="292"/>
      <c r="AB183" s="292"/>
    </row>
    <row r="184">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c r="AA184" s="292"/>
      <c r="AB184" s="292"/>
    </row>
    <row r="185">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c r="AA185" s="292"/>
      <c r="AB185" s="292"/>
    </row>
    <row r="186">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c r="AA186" s="292"/>
      <c r="AB186" s="292"/>
    </row>
    <row r="187">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c r="AA187" s="292"/>
      <c r="AB187" s="292"/>
    </row>
    <row r="188">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c r="AA188" s="292"/>
      <c r="AB188" s="292"/>
    </row>
    <row r="189">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c r="AA189" s="292"/>
      <c r="AB189" s="292"/>
    </row>
    <row r="190">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c r="AB190" s="292"/>
    </row>
    <row r="19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c r="AB191" s="292"/>
    </row>
    <row r="192">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c r="AA192" s="292"/>
      <c r="AB192" s="292"/>
    </row>
    <row r="193">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c r="AA193" s="292"/>
      <c r="AB193" s="292"/>
    </row>
    <row r="194">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c r="AA194" s="292"/>
      <c r="AB194" s="292"/>
    </row>
    <row r="195">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row>
    <row r="196">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row>
    <row r="197">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c r="AB197" s="292"/>
    </row>
    <row r="198">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c r="AA198" s="292"/>
      <c r="AB198" s="292"/>
    </row>
    <row r="199">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c r="AA199" s="292"/>
      <c r="AB199" s="292"/>
    </row>
    <row r="200">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c r="AB200" s="292"/>
    </row>
    <row r="20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row>
    <row r="202">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c r="AA202" s="292"/>
      <c r="AB202" s="292"/>
    </row>
    <row r="203">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c r="AA203" s="292"/>
      <c r="AB203" s="292"/>
    </row>
    <row r="204">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c r="AA204" s="292"/>
      <c r="AB204" s="292"/>
    </row>
    <row r="205">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c r="AA205" s="292"/>
      <c r="AB205" s="292"/>
    </row>
    <row r="206">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c r="AA206" s="292"/>
      <c r="AB206" s="292"/>
    </row>
    <row r="207">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c r="AA207" s="292"/>
      <c r="AB207" s="292"/>
    </row>
    <row r="208">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c r="AA208" s="292"/>
      <c r="AB208" s="292"/>
    </row>
    <row r="209">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c r="AA209" s="292"/>
      <c r="AB209" s="292"/>
    </row>
    <row r="210">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c r="AA210" s="292"/>
      <c r="AB210" s="292"/>
    </row>
    <row r="21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c r="AA211" s="292"/>
      <c r="AB211" s="292"/>
    </row>
    <row r="212">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c r="AA212" s="292"/>
      <c r="AB212" s="292"/>
    </row>
    <row r="213">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c r="AA213" s="292"/>
      <c r="AB213" s="292"/>
    </row>
    <row r="214">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c r="AA214" s="292"/>
      <c r="AB214" s="292"/>
    </row>
    <row r="215">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c r="AA215" s="292"/>
      <c r="AB215" s="292"/>
    </row>
    <row r="216">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c r="AA216" s="292"/>
      <c r="AB216" s="292"/>
    </row>
    <row r="217">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c r="AA217" s="292"/>
      <c r="AB217" s="292"/>
    </row>
    <row r="218">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c r="AA218" s="292"/>
      <c r="AB218" s="292"/>
    </row>
    <row r="219">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c r="AA219" s="292"/>
      <c r="AB219" s="292"/>
    </row>
    <row r="220">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c r="AA220" s="292"/>
      <c r="AB220" s="292"/>
    </row>
    <row r="22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c r="AB221" s="292"/>
    </row>
    <row r="222">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c r="AA222" s="292"/>
      <c r="AB222" s="292"/>
    </row>
    <row r="223">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c r="AB223" s="292"/>
    </row>
    <row r="224">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c r="AB224" s="292"/>
    </row>
    <row r="225">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c r="AA225" s="292"/>
      <c r="AB225" s="292"/>
    </row>
    <row r="226">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c r="AB226" s="292"/>
    </row>
    <row r="227">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c r="AA227" s="292"/>
      <c r="AB227" s="292"/>
    </row>
    <row r="228">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c r="AA228" s="292"/>
      <c r="AB228" s="292"/>
    </row>
    <row r="229">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c r="AA229" s="292"/>
      <c r="AB229" s="292"/>
    </row>
    <row r="230">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c r="AB230" s="292"/>
    </row>
    <row r="23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c r="AA231" s="292"/>
      <c r="AB231" s="292"/>
    </row>
    <row r="232">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c r="AA232" s="292"/>
      <c r="AB232" s="292"/>
    </row>
    <row r="233">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2"/>
      <c r="AB233" s="292"/>
    </row>
    <row r="234">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c r="AA234" s="292"/>
      <c r="AB234" s="292"/>
    </row>
    <row r="235">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c r="AA235" s="292"/>
      <c r="AB235" s="292"/>
    </row>
    <row r="236">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c r="AA236" s="292"/>
      <c r="AB236" s="292"/>
    </row>
    <row r="237">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c r="AA237" s="292"/>
      <c r="AB237" s="292"/>
    </row>
    <row r="238">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c r="AA238" s="292"/>
      <c r="AB238" s="292"/>
    </row>
    <row r="239">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c r="AA239" s="292"/>
      <c r="AB239" s="292"/>
    </row>
    <row r="240">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c r="AA240" s="292"/>
      <c r="AB240" s="292"/>
    </row>
    <row r="24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c r="AA241" s="292"/>
      <c r="AB241" s="292"/>
    </row>
    <row r="242">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c r="AA242" s="292"/>
      <c r="AB242" s="292"/>
    </row>
    <row r="243">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c r="AA243" s="292"/>
      <c r="AB243" s="292"/>
    </row>
    <row r="244">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c r="AA244" s="292"/>
      <c r="AB244" s="292"/>
    </row>
    <row r="245">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c r="AA245" s="292"/>
      <c r="AB245" s="292"/>
    </row>
    <row r="246">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c r="AA246" s="292"/>
      <c r="AB246" s="292"/>
    </row>
    <row r="247">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c r="AA247" s="292"/>
      <c r="AB247" s="292"/>
    </row>
    <row r="248">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c r="AA248" s="292"/>
      <c r="AB248" s="292"/>
    </row>
    <row r="249">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c r="AA249" s="292"/>
      <c r="AB249" s="292"/>
    </row>
    <row r="250">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c r="AA250" s="292"/>
      <c r="AB250" s="292"/>
    </row>
    <row r="25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c r="AA251" s="292"/>
      <c r="AB251" s="292"/>
    </row>
    <row r="252">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c r="AA252" s="292"/>
      <c r="AB252" s="292"/>
    </row>
    <row r="253">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c r="AA253" s="292"/>
      <c r="AB253" s="292"/>
    </row>
    <row r="254">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c r="AA254" s="292"/>
      <c r="AB254" s="292"/>
    </row>
    <row r="255">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c r="AA255" s="292"/>
      <c r="AB255" s="292"/>
    </row>
    <row r="256">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c r="AA256" s="292"/>
      <c r="AB256" s="292"/>
    </row>
    <row r="257">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c r="AA257" s="292"/>
      <c r="AB257" s="292"/>
    </row>
    <row r="258">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c r="AA258" s="292"/>
      <c r="AB258" s="292"/>
    </row>
    <row r="259">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c r="AA259" s="292"/>
      <c r="AB259" s="292"/>
    </row>
    <row r="260">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c r="AA260" s="292"/>
      <c r="AB260" s="292"/>
    </row>
    <row r="26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c r="AA261" s="292"/>
      <c r="AB261" s="292"/>
    </row>
    <row r="262">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c r="AA262" s="292"/>
      <c r="AB262" s="292"/>
    </row>
    <row r="263">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c r="AA263" s="292"/>
      <c r="AB263" s="292"/>
    </row>
    <row r="264">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c r="AA264" s="292"/>
      <c r="AB264" s="292"/>
    </row>
    <row r="265">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c r="AA265" s="292"/>
      <c r="AB265" s="292"/>
    </row>
    <row r="266">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c r="AA266" s="292"/>
      <c r="AB266" s="292"/>
    </row>
    <row r="267">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c r="AA267" s="292"/>
      <c r="AB267" s="292"/>
    </row>
    <row r="268">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c r="AA268" s="292"/>
      <c r="AB268" s="292"/>
    </row>
    <row r="269">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c r="AA269" s="292"/>
      <c r="AB269" s="292"/>
    </row>
    <row r="270">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c r="AA270" s="292"/>
      <c r="AB270" s="292"/>
    </row>
    <row r="27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c r="AA271" s="292"/>
      <c r="AB271" s="292"/>
    </row>
    <row r="272">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c r="AA272" s="292"/>
      <c r="AB272" s="292"/>
    </row>
    <row r="273">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c r="AA273" s="292"/>
      <c r="AB273" s="292"/>
    </row>
    <row r="274">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c r="AA274" s="292"/>
      <c r="AB274" s="292"/>
    </row>
    <row r="275">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c r="AA275" s="292"/>
      <c r="AB275" s="292"/>
    </row>
    <row r="276">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c r="AA276" s="292"/>
      <c r="AB276" s="292"/>
    </row>
    <row r="277">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c r="AA277" s="292"/>
      <c r="AB277" s="292"/>
    </row>
    <row r="278">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c r="AA278" s="292"/>
      <c r="AB278" s="292"/>
    </row>
    <row r="279">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c r="AA279" s="292"/>
      <c r="AB279" s="292"/>
    </row>
    <row r="280">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c r="AA280" s="292"/>
      <c r="AB280" s="292"/>
    </row>
    <row r="28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c r="AA281" s="292"/>
      <c r="AB281" s="292"/>
    </row>
    <row r="282">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c r="AA282" s="292"/>
      <c r="AB282" s="292"/>
    </row>
    <row r="283">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c r="AA283" s="292"/>
      <c r="AB283" s="292"/>
    </row>
    <row r="284">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c r="AA284" s="292"/>
      <c r="AB284" s="292"/>
    </row>
    <row r="285">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c r="AA285" s="292"/>
      <c r="AB285" s="292"/>
    </row>
    <row r="286">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c r="AA286" s="292"/>
      <c r="AB286" s="292"/>
    </row>
    <row r="287">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c r="AA287" s="292"/>
      <c r="AB287" s="292"/>
    </row>
    <row r="288">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c r="AA288" s="292"/>
      <c r="AB288" s="292"/>
    </row>
    <row r="289">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c r="AA289" s="292"/>
      <c r="AB289" s="292"/>
    </row>
    <row r="290">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c r="AA290" s="292"/>
      <c r="AB290" s="292"/>
    </row>
    <row r="29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c r="AA291" s="292"/>
      <c r="AB291" s="292"/>
    </row>
    <row r="292">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c r="AA292" s="292"/>
      <c r="AB292" s="292"/>
    </row>
    <row r="293">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c r="AA293" s="292"/>
      <c r="AB293" s="292"/>
    </row>
    <row r="294">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c r="AA294" s="292"/>
      <c r="AB294" s="292"/>
    </row>
    <row r="295">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c r="AA295" s="292"/>
      <c r="AB295" s="292"/>
    </row>
    <row r="296">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c r="AA296" s="292"/>
      <c r="AB296" s="292"/>
    </row>
    <row r="297">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c r="AA297" s="292"/>
      <c r="AB297" s="292"/>
    </row>
    <row r="298">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c r="AA298" s="292"/>
      <c r="AB298" s="292"/>
    </row>
    <row r="299">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c r="AA299" s="292"/>
      <c r="AB299" s="292"/>
    </row>
    <row r="300">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c r="AA300" s="292"/>
      <c r="AB300" s="292"/>
    </row>
    <row r="30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c r="AA301" s="292"/>
      <c r="AB301" s="292"/>
    </row>
    <row r="302">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c r="AA302" s="292"/>
      <c r="AB302" s="292"/>
    </row>
    <row r="303">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c r="AA303" s="292"/>
      <c r="AB303" s="292"/>
    </row>
    <row r="304">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c r="AA304" s="292"/>
      <c r="AB304" s="292"/>
    </row>
    <row r="305">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c r="AA305" s="292"/>
      <c r="AB305" s="292"/>
    </row>
    <row r="306">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c r="AA306" s="292"/>
      <c r="AB306" s="292"/>
    </row>
    <row r="307">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c r="AA307" s="292"/>
      <c r="AB307" s="292"/>
    </row>
    <row r="308">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c r="AA308" s="292"/>
      <c r="AB308" s="292"/>
    </row>
    <row r="309">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c r="AA309" s="292"/>
      <c r="AB309" s="292"/>
    </row>
    <row r="310">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c r="AA310" s="292"/>
      <c r="AB310" s="292"/>
    </row>
    <row r="31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c r="AA311" s="292"/>
      <c r="AB311" s="292"/>
    </row>
    <row r="312">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c r="AA312" s="292"/>
      <c r="AB312" s="292"/>
    </row>
    <row r="313">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c r="AA313" s="292"/>
      <c r="AB313" s="292"/>
    </row>
    <row r="314">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c r="AA314" s="292"/>
      <c r="AB314" s="292"/>
    </row>
    <row r="315">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c r="AA315" s="292"/>
      <c r="AB315" s="292"/>
    </row>
    <row r="316">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c r="AA316" s="292"/>
      <c r="AB316" s="292"/>
    </row>
    <row r="317">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c r="AA317" s="292"/>
      <c r="AB317" s="292"/>
    </row>
    <row r="318">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c r="AA318" s="292"/>
      <c r="AB318" s="292"/>
    </row>
    <row r="319">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c r="AA319" s="292"/>
      <c r="AB319" s="292"/>
    </row>
    <row r="320">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c r="AA320" s="292"/>
      <c r="AB320" s="292"/>
    </row>
    <row r="32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c r="AA321" s="292"/>
      <c r="AB321" s="292"/>
    </row>
    <row r="322">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c r="AA322" s="292"/>
      <c r="AB322" s="292"/>
    </row>
    <row r="323">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c r="AA323" s="292"/>
      <c r="AB323" s="292"/>
    </row>
    <row r="324">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c r="AA324" s="292"/>
      <c r="AB324" s="292"/>
    </row>
    <row r="325">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c r="AA325" s="292"/>
      <c r="AB325" s="292"/>
    </row>
    <row r="326">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c r="AA326" s="292"/>
      <c r="AB326" s="292"/>
    </row>
    <row r="327">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c r="AA327" s="292"/>
      <c r="AB327" s="292"/>
    </row>
    <row r="328">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c r="AA328" s="292"/>
      <c r="AB328" s="292"/>
    </row>
    <row r="329">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c r="AA329" s="292"/>
      <c r="AB329" s="292"/>
    </row>
    <row r="330">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c r="AA330" s="292"/>
      <c r="AB330" s="292"/>
    </row>
    <row r="33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c r="AA331" s="292"/>
      <c r="AB331" s="292"/>
    </row>
    <row r="332">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c r="AA332" s="292"/>
      <c r="AB332" s="292"/>
    </row>
    <row r="333">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c r="AA333" s="292"/>
      <c r="AB333" s="292"/>
    </row>
    <row r="334">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c r="AA334" s="292"/>
      <c r="AB334" s="292"/>
    </row>
    <row r="335">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c r="AA335" s="292"/>
      <c r="AB335" s="292"/>
    </row>
    <row r="336">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c r="AA336" s="292"/>
      <c r="AB336" s="292"/>
    </row>
    <row r="337">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c r="AA337" s="292"/>
      <c r="AB337" s="292"/>
    </row>
    <row r="338">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c r="AA338" s="292"/>
      <c r="AB338" s="292"/>
    </row>
    <row r="339">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c r="AA339" s="292"/>
      <c r="AB339" s="292"/>
    </row>
    <row r="340">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c r="AB340" s="292"/>
    </row>
    <row r="34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c r="AA341" s="292"/>
      <c r="AB341" s="292"/>
    </row>
    <row r="342">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c r="AA342" s="292"/>
      <c r="AB342" s="292"/>
    </row>
    <row r="343">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c r="AA343" s="292"/>
      <c r="AB343" s="292"/>
    </row>
    <row r="344">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c r="AA344" s="292"/>
      <c r="AB344" s="292"/>
    </row>
    <row r="345">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c r="AA345" s="292"/>
      <c r="AB345" s="292"/>
    </row>
    <row r="346">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c r="AA346" s="292"/>
      <c r="AB346" s="292"/>
    </row>
    <row r="347">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c r="AA347" s="292"/>
      <c r="AB347" s="292"/>
    </row>
    <row r="348">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c r="AA348" s="292"/>
      <c r="AB348" s="292"/>
    </row>
    <row r="349">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c r="AA349" s="292"/>
      <c r="AB349" s="292"/>
    </row>
    <row r="350">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c r="AA350" s="292"/>
      <c r="AB350" s="292"/>
    </row>
    <row r="35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c r="AA351" s="292"/>
      <c r="AB351" s="292"/>
    </row>
    <row r="352">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c r="AA352" s="292"/>
      <c r="AB352" s="292"/>
    </row>
    <row r="353">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c r="AA353" s="292"/>
      <c r="AB353" s="292"/>
    </row>
    <row r="354">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c r="AA354" s="292"/>
      <c r="AB354" s="292"/>
    </row>
    <row r="355">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c r="AA355" s="292"/>
      <c r="AB355" s="292"/>
    </row>
    <row r="356">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c r="AA356" s="292"/>
      <c r="AB356" s="292"/>
    </row>
    <row r="357">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c r="AA357" s="292"/>
      <c r="AB357" s="292"/>
    </row>
    <row r="358">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c r="AA358" s="292"/>
      <c r="AB358" s="292"/>
    </row>
    <row r="359">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c r="AA359" s="292"/>
      <c r="AB359" s="292"/>
    </row>
    <row r="360">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c r="AA360" s="292"/>
      <c r="AB360" s="292"/>
    </row>
    <row r="36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c r="AA361" s="292"/>
      <c r="AB361" s="292"/>
    </row>
    <row r="362">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c r="AA362" s="292"/>
      <c r="AB362" s="292"/>
    </row>
    <row r="363">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c r="AA363" s="292"/>
      <c r="AB363" s="292"/>
    </row>
    <row r="364">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c r="AA364" s="292"/>
      <c r="AB364" s="292"/>
    </row>
    <row r="365">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c r="AA365" s="292"/>
      <c r="AB365" s="292"/>
    </row>
    <row r="366">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c r="AA366" s="292"/>
      <c r="AB366" s="292"/>
    </row>
    <row r="367">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c r="AA367" s="292"/>
      <c r="AB367" s="292"/>
    </row>
    <row r="368">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c r="AA368" s="292"/>
      <c r="AB368" s="292"/>
    </row>
    <row r="369">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c r="AA369" s="292"/>
      <c r="AB369" s="292"/>
    </row>
    <row r="370">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c r="AA370" s="292"/>
      <c r="AB370" s="292"/>
    </row>
    <row r="37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c r="AA371" s="292"/>
      <c r="AB371" s="292"/>
    </row>
    <row r="372">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c r="AA372" s="292"/>
      <c r="AB372" s="292"/>
    </row>
    <row r="373">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c r="AA373" s="292"/>
      <c r="AB373" s="292"/>
    </row>
    <row r="374">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c r="AA374" s="292"/>
      <c r="AB374" s="292"/>
    </row>
    <row r="375">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c r="AA375" s="292"/>
      <c r="AB375" s="292"/>
    </row>
    <row r="376">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c r="AA376" s="292"/>
      <c r="AB376" s="292"/>
    </row>
    <row r="377">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c r="AA377" s="292"/>
      <c r="AB377" s="292"/>
    </row>
    <row r="378">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c r="AA378" s="292"/>
      <c r="AB378" s="292"/>
    </row>
    <row r="379">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c r="AA379" s="292"/>
      <c r="AB379" s="292"/>
    </row>
    <row r="380">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c r="AA380" s="292"/>
      <c r="AB380" s="292"/>
    </row>
    <row r="38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c r="AA381" s="292"/>
      <c r="AB381" s="292"/>
    </row>
    <row r="382">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c r="AA382" s="292"/>
      <c r="AB382" s="292"/>
    </row>
    <row r="383">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c r="AA383" s="292"/>
      <c r="AB383" s="292"/>
    </row>
    <row r="384">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c r="AA384" s="292"/>
      <c r="AB384" s="292"/>
    </row>
    <row r="385">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c r="AA385" s="292"/>
      <c r="AB385" s="292"/>
    </row>
    <row r="386">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c r="AA386" s="292"/>
      <c r="AB386" s="292"/>
    </row>
    <row r="387">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c r="AA387" s="292"/>
      <c r="AB387" s="292"/>
    </row>
    <row r="388">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c r="AA388" s="292"/>
      <c r="AB388" s="292"/>
    </row>
    <row r="389">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c r="AA389" s="292"/>
      <c r="AB389" s="292"/>
    </row>
    <row r="390">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c r="AA390" s="292"/>
      <c r="AB390" s="292"/>
    </row>
    <row r="39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c r="AA391" s="292"/>
      <c r="AB391" s="292"/>
    </row>
    <row r="392">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c r="AA392" s="292"/>
      <c r="AB392" s="292"/>
    </row>
    <row r="393">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c r="AA393" s="292"/>
      <c r="AB393" s="292"/>
    </row>
    <row r="394">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c r="AA394" s="292"/>
      <c r="AB394" s="292"/>
    </row>
    <row r="395">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c r="AA395" s="292"/>
      <c r="AB395" s="292"/>
    </row>
    <row r="396">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c r="AA396" s="292"/>
      <c r="AB396" s="292"/>
    </row>
    <row r="397">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c r="AA397" s="292"/>
      <c r="AB397" s="292"/>
    </row>
    <row r="398">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c r="AA398" s="292"/>
      <c r="AB398" s="292"/>
    </row>
    <row r="399">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c r="AA399" s="292"/>
      <c r="AB399" s="292"/>
    </row>
    <row r="400">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c r="AA400" s="292"/>
      <c r="AB400" s="292"/>
    </row>
    <row r="40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c r="AA401" s="292"/>
      <c r="AB401" s="292"/>
    </row>
    <row r="402">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c r="AA402" s="292"/>
      <c r="AB402" s="292"/>
    </row>
    <row r="403">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c r="AA403" s="292"/>
      <c r="AB403" s="292"/>
    </row>
    <row r="404">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c r="AA404" s="292"/>
      <c r="AB404" s="292"/>
    </row>
    <row r="405">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c r="AA405" s="292"/>
      <c r="AB405" s="292"/>
    </row>
    <row r="406">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c r="AA406" s="292"/>
      <c r="AB406" s="292"/>
    </row>
    <row r="407">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c r="AA407" s="292"/>
      <c r="AB407" s="292"/>
    </row>
    <row r="408">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c r="AA408" s="292"/>
      <c r="AB408" s="292"/>
    </row>
    <row r="409">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c r="AA409" s="292"/>
      <c r="AB409" s="292"/>
    </row>
    <row r="410">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c r="AA410" s="292"/>
      <c r="AB410" s="292"/>
    </row>
    <row r="41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c r="AA411" s="292"/>
      <c r="AB411" s="292"/>
    </row>
    <row r="412">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c r="AA412" s="292"/>
      <c r="AB412" s="292"/>
    </row>
    <row r="413">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c r="AA413" s="292"/>
      <c r="AB413" s="292"/>
    </row>
    <row r="414">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c r="AA414" s="292"/>
      <c r="AB414" s="292"/>
    </row>
    <row r="415">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c r="AA415" s="292"/>
      <c r="AB415" s="292"/>
    </row>
    <row r="416">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c r="AA416" s="292"/>
      <c r="AB416" s="292"/>
    </row>
    <row r="417">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c r="AA417" s="292"/>
      <c r="AB417" s="292"/>
    </row>
    <row r="418">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c r="AA418" s="292"/>
      <c r="AB418" s="292"/>
    </row>
    <row r="419">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c r="AA419" s="292"/>
      <c r="AB419" s="292"/>
    </row>
    <row r="420">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c r="AA420" s="292"/>
      <c r="AB420" s="292"/>
    </row>
    <row r="42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c r="AA421" s="292"/>
      <c r="AB421" s="292"/>
    </row>
    <row r="422">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c r="AA422" s="292"/>
      <c r="AB422" s="292"/>
    </row>
    <row r="423">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c r="AA423" s="292"/>
      <c r="AB423" s="292"/>
    </row>
    <row r="424">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c r="AA424" s="292"/>
      <c r="AB424" s="292"/>
    </row>
    <row r="425">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c r="AA425" s="292"/>
      <c r="AB425" s="292"/>
    </row>
    <row r="426">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c r="AA426" s="292"/>
      <c r="AB426" s="292"/>
    </row>
    <row r="427">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c r="AA427" s="292"/>
      <c r="AB427" s="292"/>
    </row>
    <row r="428">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c r="AA428" s="292"/>
      <c r="AB428" s="292"/>
    </row>
    <row r="429">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c r="AA429" s="292"/>
      <c r="AB429" s="292"/>
    </row>
    <row r="430">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c r="AA430" s="292"/>
      <c r="AB430" s="292"/>
    </row>
    <row r="43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c r="AA431" s="292"/>
      <c r="AB431" s="292"/>
    </row>
    <row r="432">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c r="AA432" s="292"/>
      <c r="AB432" s="292"/>
    </row>
    <row r="433">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c r="AA433" s="292"/>
      <c r="AB433" s="292"/>
    </row>
    <row r="434">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c r="AA434" s="292"/>
      <c r="AB434" s="292"/>
    </row>
    <row r="435">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c r="AA435" s="292"/>
      <c r="AB435" s="292"/>
    </row>
    <row r="436">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c r="AA436" s="292"/>
      <c r="AB436" s="292"/>
    </row>
    <row r="437">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c r="AA437" s="292"/>
      <c r="AB437" s="292"/>
    </row>
    <row r="438">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c r="AA438" s="292"/>
      <c r="AB438" s="292"/>
    </row>
    <row r="439">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c r="AA439" s="292"/>
      <c r="AB439" s="292"/>
    </row>
    <row r="440">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c r="AA440" s="292"/>
      <c r="AB440" s="292"/>
    </row>
    <row r="44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c r="AA441" s="292"/>
      <c r="AB441" s="292"/>
    </row>
    <row r="442">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c r="AA442" s="292"/>
      <c r="AB442" s="292"/>
    </row>
    <row r="443">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c r="AA443" s="292"/>
      <c r="AB443" s="292"/>
    </row>
    <row r="444">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c r="AA444" s="292"/>
      <c r="AB444" s="292"/>
    </row>
    <row r="445">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c r="AA445" s="292"/>
      <c r="AB445" s="292"/>
    </row>
    <row r="446">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c r="AA446" s="292"/>
      <c r="AB446" s="292"/>
    </row>
    <row r="447">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c r="AA447" s="292"/>
      <c r="AB447" s="292"/>
    </row>
    <row r="448">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c r="AA448" s="292"/>
      <c r="AB448" s="292"/>
    </row>
    <row r="449">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c r="AA449" s="292"/>
      <c r="AB449" s="292"/>
    </row>
    <row r="450">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c r="AA450" s="292"/>
      <c r="AB450" s="292"/>
    </row>
    <row r="45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c r="AA451" s="292"/>
      <c r="AB451" s="292"/>
    </row>
    <row r="452">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c r="AA452" s="292"/>
      <c r="AB452" s="292"/>
    </row>
    <row r="453">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c r="AA453" s="292"/>
      <c r="AB453" s="292"/>
    </row>
    <row r="454">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c r="AA454" s="292"/>
      <c r="AB454" s="292"/>
    </row>
    <row r="455">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c r="AA455" s="292"/>
      <c r="AB455" s="292"/>
    </row>
    <row r="456">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c r="AA456" s="292"/>
      <c r="AB456" s="292"/>
    </row>
    <row r="457">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c r="AA457" s="292"/>
      <c r="AB457" s="292"/>
    </row>
    <row r="458">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c r="AA458" s="292"/>
      <c r="AB458" s="292"/>
    </row>
    <row r="459">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c r="AA459" s="292"/>
      <c r="AB459" s="292"/>
    </row>
    <row r="460">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c r="AA460" s="292"/>
      <c r="AB460" s="292"/>
    </row>
    <row r="46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c r="AA461" s="292"/>
      <c r="AB461" s="292"/>
    </row>
    <row r="462">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c r="AA462" s="292"/>
      <c r="AB462" s="292"/>
    </row>
    <row r="463">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c r="AA463" s="292"/>
      <c r="AB463" s="292"/>
    </row>
    <row r="464">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c r="AA464" s="292"/>
      <c r="AB464" s="292"/>
    </row>
    <row r="465">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c r="AA465" s="292"/>
      <c r="AB465" s="292"/>
    </row>
    <row r="466">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c r="AA466" s="292"/>
      <c r="AB466" s="292"/>
    </row>
    <row r="467">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c r="AA467" s="292"/>
      <c r="AB467" s="292"/>
    </row>
    <row r="468">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c r="AA468" s="292"/>
      <c r="AB468" s="292"/>
    </row>
    <row r="469">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c r="AA469" s="292"/>
      <c r="AB469" s="292"/>
    </row>
    <row r="470">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c r="AA470" s="292"/>
      <c r="AB470" s="292"/>
    </row>
    <row r="47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c r="AA471" s="292"/>
      <c r="AB471" s="292"/>
    </row>
    <row r="472">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c r="AA472" s="292"/>
      <c r="AB472" s="292"/>
    </row>
    <row r="473">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c r="AA473" s="292"/>
      <c r="AB473" s="292"/>
    </row>
    <row r="474">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c r="AA474" s="292"/>
      <c r="AB474" s="292"/>
    </row>
    <row r="475">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c r="AA475" s="292"/>
      <c r="AB475" s="292"/>
    </row>
    <row r="476">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c r="AA476" s="292"/>
      <c r="AB476" s="292"/>
    </row>
    <row r="477">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c r="AA477" s="292"/>
      <c r="AB477" s="292"/>
    </row>
    <row r="478">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c r="AA478" s="292"/>
      <c r="AB478" s="292"/>
    </row>
    <row r="479">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c r="AA479" s="292"/>
      <c r="AB479" s="292"/>
    </row>
    <row r="480">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c r="AA480" s="292"/>
      <c r="AB480" s="292"/>
    </row>
    <row r="48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c r="AA481" s="292"/>
      <c r="AB481" s="292"/>
    </row>
    <row r="482">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c r="AA482" s="292"/>
      <c r="AB482" s="292"/>
    </row>
    <row r="483">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c r="AA483" s="292"/>
      <c r="AB483" s="292"/>
    </row>
    <row r="484">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c r="AA484" s="292"/>
      <c r="AB484" s="292"/>
    </row>
    <row r="485">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c r="AA485" s="292"/>
      <c r="AB485" s="292"/>
    </row>
    <row r="486">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c r="AA486" s="292"/>
      <c r="AB486" s="292"/>
    </row>
    <row r="487">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c r="AA487" s="292"/>
      <c r="AB487" s="292"/>
    </row>
    <row r="488">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c r="AA488" s="292"/>
      <c r="AB488" s="292"/>
    </row>
    <row r="489">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c r="AA489" s="292"/>
      <c r="AB489" s="292"/>
    </row>
    <row r="490">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c r="AA490" s="292"/>
      <c r="AB490" s="292"/>
    </row>
    <row r="49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c r="AA491" s="292"/>
      <c r="AB491" s="292"/>
    </row>
    <row r="492">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c r="AA492" s="292"/>
      <c r="AB492" s="292"/>
    </row>
    <row r="493">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c r="AA493" s="292"/>
      <c r="AB493" s="292"/>
    </row>
    <row r="494">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c r="AA494" s="292"/>
      <c r="AB494" s="292"/>
    </row>
    <row r="495">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c r="AA495" s="292"/>
      <c r="AB495" s="292"/>
    </row>
    <row r="496">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c r="AA496" s="292"/>
      <c r="AB496" s="292"/>
    </row>
    <row r="497">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c r="AA497" s="292"/>
      <c r="AB497" s="292"/>
    </row>
    <row r="498">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c r="AA498" s="292"/>
      <c r="AB498" s="292"/>
    </row>
    <row r="499">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c r="AA499" s="292"/>
      <c r="AB499" s="292"/>
    </row>
    <row r="500">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c r="AA500" s="292"/>
      <c r="AB500" s="292"/>
    </row>
    <row r="50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c r="AA501" s="292"/>
      <c r="AB501" s="292"/>
    </row>
    <row r="502">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c r="AA502" s="292"/>
      <c r="AB502" s="292"/>
    </row>
    <row r="503">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c r="AA503" s="292"/>
      <c r="AB503" s="292"/>
    </row>
    <row r="504">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c r="AA504" s="292"/>
      <c r="AB504" s="292"/>
    </row>
    <row r="505">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c r="AA505" s="292"/>
      <c r="AB505" s="292"/>
    </row>
    <row r="506">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c r="AA506" s="292"/>
      <c r="AB506" s="292"/>
    </row>
    <row r="507">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c r="AA507" s="292"/>
      <c r="AB507" s="292"/>
    </row>
    <row r="508">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c r="AA508" s="292"/>
      <c r="AB508" s="292"/>
    </row>
    <row r="509">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c r="AA509" s="292"/>
      <c r="AB509" s="292"/>
    </row>
    <row r="510">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c r="AA510" s="292"/>
      <c r="AB510" s="292"/>
    </row>
    <row r="51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c r="AA511" s="292"/>
      <c r="AB511" s="292"/>
    </row>
    <row r="512">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c r="AA512" s="292"/>
      <c r="AB512" s="292"/>
    </row>
    <row r="513">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c r="AA513" s="292"/>
      <c r="AB513" s="292"/>
    </row>
    <row r="514">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c r="AA514" s="292"/>
      <c r="AB514" s="292"/>
    </row>
    <row r="515">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c r="AA515" s="292"/>
      <c r="AB515" s="292"/>
    </row>
    <row r="516">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c r="AA516" s="292"/>
      <c r="AB516" s="292"/>
    </row>
    <row r="517">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c r="AA517" s="292"/>
      <c r="AB517" s="292"/>
    </row>
    <row r="518">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c r="AA518" s="292"/>
      <c r="AB518" s="292"/>
    </row>
    <row r="519">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c r="AA519" s="292"/>
      <c r="AB519" s="292"/>
    </row>
    <row r="520">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c r="AA520" s="292"/>
      <c r="AB520" s="292"/>
    </row>
    <row r="52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c r="AA521" s="292"/>
      <c r="AB521" s="292"/>
    </row>
    <row r="522">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c r="AA522" s="292"/>
      <c r="AB522" s="292"/>
    </row>
    <row r="523">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c r="AA523" s="292"/>
      <c r="AB523" s="292"/>
    </row>
    <row r="524">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c r="AA524" s="292"/>
      <c r="AB524" s="292"/>
    </row>
    <row r="525">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c r="AA525" s="292"/>
      <c r="AB525" s="292"/>
    </row>
    <row r="526">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c r="AA526" s="292"/>
      <c r="AB526" s="292"/>
    </row>
    <row r="527">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c r="AA527" s="292"/>
      <c r="AB527" s="292"/>
    </row>
    <row r="528">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c r="AA528" s="292"/>
      <c r="AB528" s="292"/>
    </row>
    <row r="529">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c r="AA529" s="292"/>
      <c r="AB529" s="292"/>
    </row>
    <row r="530">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c r="AA530" s="292"/>
      <c r="AB530" s="292"/>
    </row>
    <row r="53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c r="AA531" s="292"/>
      <c r="AB531" s="292"/>
    </row>
    <row r="532">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c r="AA532" s="292"/>
      <c r="AB532" s="292"/>
    </row>
    <row r="533">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c r="AA533" s="292"/>
      <c r="AB533" s="292"/>
    </row>
    <row r="534">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c r="AA534" s="292"/>
      <c r="AB534" s="292"/>
    </row>
    <row r="535">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c r="AA535" s="292"/>
      <c r="AB535" s="292"/>
    </row>
    <row r="536">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c r="AA536" s="292"/>
      <c r="AB536" s="292"/>
    </row>
    <row r="537">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c r="AA537" s="292"/>
      <c r="AB537" s="292"/>
    </row>
    <row r="538">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c r="AA538" s="292"/>
      <c r="AB538" s="292"/>
    </row>
    <row r="539">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c r="AA539" s="292"/>
      <c r="AB539" s="292"/>
    </row>
    <row r="540">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c r="AA540" s="292"/>
      <c r="AB540" s="292"/>
    </row>
    <row r="54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c r="AA541" s="292"/>
      <c r="AB541" s="292"/>
    </row>
    <row r="542">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c r="AA542" s="292"/>
      <c r="AB542" s="292"/>
    </row>
    <row r="543">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c r="AA543" s="292"/>
      <c r="AB543" s="292"/>
    </row>
    <row r="544">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c r="AA544" s="292"/>
      <c r="AB544" s="292"/>
    </row>
    <row r="545">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c r="AA545" s="292"/>
      <c r="AB545" s="292"/>
    </row>
    <row r="546">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c r="AA546" s="292"/>
      <c r="AB546" s="292"/>
    </row>
    <row r="547">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c r="AA547" s="292"/>
      <c r="AB547" s="292"/>
    </row>
    <row r="548">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c r="AA548" s="292"/>
      <c r="AB548" s="292"/>
    </row>
    <row r="549">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c r="AA549" s="292"/>
      <c r="AB549" s="292"/>
    </row>
    <row r="550">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c r="AA550" s="292"/>
      <c r="AB550" s="292"/>
    </row>
    <row r="55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c r="AA551" s="292"/>
      <c r="AB551" s="292"/>
    </row>
    <row r="552">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c r="AA552" s="292"/>
      <c r="AB552" s="292"/>
    </row>
    <row r="553">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c r="AA553" s="292"/>
      <c r="AB553" s="292"/>
    </row>
    <row r="554">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c r="AA554" s="292"/>
      <c r="AB554" s="292"/>
    </row>
    <row r="555">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c r="AA555" s="292"/>
      <c r="AB555" s="292"/>
    </row>
    <row r="556">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c r="AA556" s="292"/>
      <c r="AB556" s="292"/>
    </row>
    <row r="557">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c r="AA557" s="292"/>
      <c r="AB557" s="292"/>
    </row>
    <row r="558">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c r="AA558" s="292"/>
      <c r="AB558" s="292"/>
    </row>
    <row r="559">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c r="AA559" s="292"/>
      <c r="AB559" s="292"/>
    </row>
    <row r="560">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c r="AA560" s="292"/>
      <c r="AB560" s="292"/>
    </row>
    <row r="56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c r="AA561" s="292"/>
      <c r="AB561" s="292"/>
    </row>
    <row r="562">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c r="AA562" s="292"/>
      <c r="AB562" s="292"/>
    </row>
    <row r="563">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c r="AA563" s="292"/>
      <c r="AB563" s="292"/>
    </row>
    <row r="564">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c r="AA564" s="292"/>
      <c r="AB564" s="292"/>
    </row>
    <row r="565">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c r="AA565" s="292"/>
      <c r="AB565" s="292"/>
    </row>
    <row r="566">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c r="AA566" s="292"/>
      <c r="AB566" s="292"/>
    </row>
    <row r="567">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c r="AA567" s="292"/>
      <c r="AB567" s="292"/>
    </row>
    <row r="568">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c r="AA568" s="292"/>
      <c r="AB568" s="292"/>
    </row>
    <row r="569">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c r="AA569" s="292"/>
      <c r="AB569" s="292"/>
    </row>
    <row r="570">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c r="AA570" s="292"/>
      <c r="AB570" s="292"/>
    </row>
    <row r="57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c r="AA571" s="292"/>
      <c r="AB571" s="292"/>
    </row>
    <row r="572">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c r="AA572" s="292"/>
      <c r="AB572" s="292"/>
    </row>
    <row r="573">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c r="AA573" s="292"/>
      <c r="AB573" s="292"/>
    </row>
    <row r="574">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c r="AA574" s="292"/>
      <c r="AB574" s="292"/>
    </row>
    <row r="575">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c r="AA575" s="292"/>
      <c r="AB575" s="292"/>
    </row>
    <row r="576">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c r="AA576" s="292"/>
      <c r="AB576" s="292"/>
    </row>
    <row r="577">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c r="AA577" s="292"/>
      <c r="AB577" s="292"/>
    </row>
    <row r="578">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c r="AA578" s="292"/>
      <c r="AB578" s="292"/>
    </row>
    <row r="579">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c r="AA579" s="292"/>
      <c r="AB579" s="292"/>
    </row>
    <row r="580">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c r="AA580" s="292"/>
      <c r="AB580" s="292"/>
    </row>
    <row r="58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c r="AA581" s="292"/>
      <c r="AB581" s="292"/>
    </row>
    <row r="582">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c r="AA582" s="292"/>
      <c r="AB582" s="292"/>
    </row>
    <row r="583">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c r="AA583" s="292"/>
      <c r="AB583" s="292"/>
    </row>
    <row r="584">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c r="AA584" s="292"/>
      <c r="AB584" s="292"/>
    </row>
    <row r="585">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c r="AA585" s="292"/>
      <c r="AB585" s="292"/>
    </row>
    <row r="586">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c r="AA586" s="292"/>
      <c r="AB586" s="292"/>
    </row>
    <row r="587">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c r="AA587" s="292"/>
      <c r="AB587" s="292"/>
    </row>
    <row r="588">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c r="AA588" s="292"/>
      <c r="AB588" s="292"/>
    </row>
    <row r="589">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c r="AA589" s="292"/>
      <c r="AB589" s="292"/>
    </row>
    <row r="590">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c r="AA590" s="292"/>
      <c r="AB590" s="292"/>
    </row>
    <row r="59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c r="AA591" s="292"/>
      <c r="AB591" s="292"/>
    </row>
    <row r="592">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c r="AA592" s="292"/>
      <c r="AB592" s="292"/>
    </row>
    <row r="593">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c r="AA593" s="292"/>
      <c r="AB593" s="292"/>
    </row>
    <row r="594">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c r="AA594" s="292"/>
      <c r="AB594" s="292"/>
    </row>
    <row r="595">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c r="AA595" s="292"/>
      <c r="AB595" s="292"/>
    </row>
    <row r="596">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c r="AA596" s="292"/>
      <c r="AB596" s="292"/>
    </row>
    <row r="597">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c r="AA597" s="292"/>
      <c r="AB597" s="292"/>
    </row>
    <row r="598">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c r="AA598" s="292"/>
      <c r="AB598" s="292"/>
    </row>
    <row r="599">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c r="AA599" s="292"/>
      <c r="AB599" s="292"/>
    </row>
    <row r="600">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c r="AA600" s="292"/>
      <c r="AB600" s="292"/>
    </row>
    <row r="60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c r="AA601" s="292"/>
      <c r="AB601" s="292"/>
    </row>
    <row r="602">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c r="AA602" s="292"/>
      <c r="AB602" s="292"/>
    </row>
    <row r="603">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c r="AA603" s="292"/>
      <c r="AB603" s="292"/>
    </row>
    <row r="604">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c r="AA604" s="292"/>
      <c r="AB604" s="292"/>
    </row>
    <row r="605">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c r="AA605" s="292"/>
      <c r="AB605" s="292"/>
    </row>
    <row r="606">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c r="AA606" s="292"/>
      <c r="AB606" s="292"/>
    </row>
    <row r="607">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c r="AA607" s="292"/>
      <c r="AB607" s="292"/>
    </row>
    <row r="608">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row>
    <row r="609">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c r="AA609" s="292"/>
      <c r="AB609" s="292"/>
    </row>
    <row r="610">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c r="AA610" s="292"/>
      <c r="AB610" s="292"/>
    </row>
    <row r="61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c r="AA611" s="292"/>
      <c r="AB611" s="292"/>
    </row>
    <row r="612">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c r="AA612" s="292"/>
      <c r="AB612" s="292"/>
    </row>
    <row r="613">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c r="AA613" s="292"/>
      <c r="AB613" s="292"/>
    </row>
    <row r="614">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c r="AA614" s="292"/>
      <c r="AB614" s="292"/>
    </row>
    <row r="615">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c r="AA615" s="292"/>
      <c r="AB615" s="292"/>
    </row>
    <row r="616">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c r="AA616" s="292"/>
      <c r="AB616" s="292"/>
    </row>
    <row r="617">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c r="AA617" s="292"/>
      <c r="AB617" s="292"/>
    </row>
    <row r="618">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c r="AA618" s="292"/>
      <c r="AB618" s="292"/>
    </row>
    <row r="619">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c r="AA619" s="292"/>
      <c r="AB619" s="292"/>
    </row>
    <row r="620">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c r="AA620" s="292"/>
      <c r="AB620" s="292"/>
    </row>
    <row r="62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c r="AA621" s="292"/>
      <c r="AB621" s="292"/>
    </row>
    <row r="622">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c r="AA622" s="292"/>
      <c r="AB622" s="292"/>
    </row>
    <row r="623">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c r="AA623" s="292"/>
      <c r="AB623" s="292"/>
    </row>
    <row r="624">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c r="AA624" s="292"/>
      <c r="AB624" s="292"/>
    </row>
    <row r="625">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c r="AA625" s="292"/>
      <c r="AB625" s="292"/>
    </row>
    <row r="626">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c r="AA626" s="292"/>
      <c r="AB626" s="292"/>
    </row>
    <row r="627">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c r="AA627" s="292"/>
      <c r="AB627" s="292"/>
    </row>
    <row r="628">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c r="AA628" s="292"/>
      <c r="AB628" s="292"/>
    </row>
    <row r="629">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c r="AA629" s="292"/>
      <c r="AB629" s="292"/>
    </row>
    <row r="630">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c r="AA630" s="292"/>
      <c r="AB630" s="292"/>
    </row>
    <row r="63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c r="AA631" s="292"/>
      <c r="AB631" s="292"/>
    </row>
    <row r="632">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c r="AA632" s="292"/>
      <c r="AB632" s="292"/>
    </row>
    <row r="633">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c r="AA633" s="292"/>
      <c r="AB633" s="292"/>
    </row>
    <row r="634">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c r="AA634" s="292"/>
      <c r="AB634" s="292"/>
    </row>
    <row r="635">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c r="AA635" s="292"/>
      <c r="AB635" s="292"/>
    </row>
    <row r="636">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c r="AA636" s="292"/>
      <c r="AB636" s="292"/>
    </row>
    <row r="637">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c r="AA637" s="292"/>
      <c r="AB637" s="292"/>
    </row>
    <row r="638">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c r="AA638" s="292"/>
      <c r="AB638" s="292"/>
    </row>
    <row r="639">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c r="AA639" s="292"/>
      <c r="AB639" s="292"/>
    </row>
    <row r="640">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c r="AA640" s="292"/>
      <c r="AB640" s="292"/>
    </row>
    <row r="64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c r="AA641" s="292"/>
      <c r="AB641" s="292"/>
    </row>
    <row r="642">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c r="AA642" s="292"/>
      <c r="AB642" s="292"/>
    </row>
    <row r="643">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c r="AA643" s="292"/>
      <c r="AB643" s="292"/>
    </row>
    <row r="644">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c r="AA644" s="292"/>
      <c r="AB644" s="292"/>
    </row>
    <row r="645">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c r="AA645" s="292"/>
      <c r="AB645" s="292"/>
    </row>
    <row r="646">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c r="AA646" s="292"/>
      <c r="AB646" s="292"/>
    </row>
    <row r="647">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c r="AA647" s="292"/>
      <c r="AB647" s="292"/>
    </row>
    <row r="648">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c r="AA648" s="292"/>
      <c r="AB648" s="292"/>
    </row>
    <row r="649">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c r="AA649" s="292"/>
      <c r="AB649" s="292"/>
    </row>
    <row r="650">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c r="AA650" s="292"/>
      <c r="AB650" s="292"/>
    </row>
    <row r="65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c r="AA651" s="292"/>
      <c r="AB651" s="292"/>
    </row>
    <row r="652">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c r="AA652" s="292"/>
      <c r="AB652" s="292"/>
    </row>
    <row r="653">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c r="AA653" s="292"/>
      <c r="AB653" s="292"/>
    </row>
    <row r="654">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c r="AA654" s="292"/>
      <c r="AB654" s="292"/>
    </row>
    <row r="655">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c r="AA655" s="292"/>
      <c r="AB655" s="292"/>
    </row>
    <row r="656">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c r="AA656" s="292"/>
      <c r="AB656" s="292"/>
    </row>
    <row r="657">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c r="AA657" s="292"/>
      <c r="AB657" s="292"/>
    </row>
    <row r="658">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c r="AA658" s="292"/>
      <c r="AB658" s="292"/>
    </row>
    <row r="659">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c r="AA659" s="292"/>
      <c r="AB659" s="292"/>
    </row>
    <row r="660">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c r="AA660" s="292"/>
      <c r="AB660" s="292"/>
    </row>
    <row r="66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c r="AA661" s="292"/>
      <c r="AB661" s="292"/>
    </row>
    <row r="662">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c r="AA662" s="292"/>
      <c r="AB662" s="292"/>
    </row>
    <row r="663">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c r="AA663" s="292"/>
      <c r="AB663" s="292"/>
    </row>
    <row r="664">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c r="AA664" s="292"/>
      <c r="AB664" s="292"/>
    </row>
    <row r="665">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c r="AA665" s="292"/>
      <c r="AB665" s="292"/>
    </row>
    <row r="666">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c r="AA666" s="292"/>
      <c r="AB666" s="292"/>
    </row>
    <row r="667">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c r="AA667" s="292"/>
      <c r="AB667" s="292"/>
    </row>
    <row r="668">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c r="AA668" s="292"/>
      <c r="AB668" s="292"/>
    </row>
    <row r="669">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c r="AA669" s="292"/>
      <c r="AB669" s="292"/>
    </row>
    <row r="670">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c r="AA670" s="292"/>
      <c r="AB670" s="292"/>
    </row>
    <row r="67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c r="AA671" s="292"/>
      <c r="AB671" s="292"/>
    </row>
    <row r="672">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c r="AA672" s="292"/>
      <c r="AB672" s="292"/>
    </row>
    <row r="673">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c r="AA673" s="292"/>
      <c r="AB673" s="292"/>
    </row>
    <row r="674">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c r="AA674" s="292"/>
      <c r="AB674" s="292"/>
    </row>
    <row r="675">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c r="AA675" s="292"/>
      <c r="AB675" s="292"/>
    </row>
    <row r="676">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c r="AA676" s="292"/>
      <c r="AB676" s="292"/>
    </row>
    <row r="677">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c r="AA677" s="292"/>
      <c r="AB677" s="292"/>
    </row>
    <row r="678">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c r="AA678" s="292"/>
      <c r="AB678" s="292"/>
    </row>
    <row r="679">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c r="AA679" s="292"/>
      <c r="AB679" s="292"/>
    </row>
    <row r="680">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c r="AA680" s="292"/>
      <c r="AB680" s="292"/>
    </row>
    <row r="68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c r="AA681" s="292"/>
      <c r="AB681" s="292"/>
    </row>
    <row r="682">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c r="AA682" s="292"/>
      <c r="AB682" s="292"/>
    </row>
    <row r="683">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c r="AA683" s="292"/>
      <c r="AB683" s="292"/>
    </row>
    <row r="684">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c r="AA684" s="292"/>
      <c r="AB684" s="292"/>
    </row>
    <row r="685">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c r="AA685" s="292"/>
      <c r="AB685" s="292"/>
    </row>
    <row r="686">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c r="AA686" s="292"/>
      <c r="AB686" s="292"/>
    </row>
    <row r="687">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c r="AA687" s="292"/>
      <c r="AB687" s="292"/>
    </row>
    <row r="688">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c r="AA688" s="292"/>
      <c r="AB688" s="292"/>
    </row>
    <row r="689">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c r="AA689" s="292"/>
      <c r="AB689" s="292"/>
    </row>
    <row r="690">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c r="AA690" s="292"/>
      <c r="AB690" s="292"/>
    </row>
    <row r="69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c r="AA691" s="292"/>
      <c r="AB691" s="292"/>
    </row>
    <row r="692">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c r="AA692" s="292"/>
      <c r="AB692" s="292"/>
    </row>
    <row r="693">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c r="AA693" s="292"/>
      <c r="AB693" s="292"/>
    </row>
    <row r="694">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c r="AA694" s="292"/>
      <c r="AB694" s="292"/>
    </row>
    <row r="695">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c r="AA695" s="292"/>
      <c r="AB695" s="292"/>
    </row>
    <row r="696">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c r="AA696" s="292"/>
      <c r="AB696" s="292"/>
    </row>
    <row r="697">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c r="AA697" s="292"/>
      <c r="AB697" s="292"/>
    </row>
    <row r="698">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c r="AA698" s="292"/>
      <c r="AB698" s="292"/>
    </row>
    <row r="699">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c r="AA699" s="292"/>
      <c r="AB699" s="292"/>
    </row>
    <row r="700">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c r="AA700" s="292"/>
      <c r="AB700" s="292"/>
    </row>
    <row r="70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c r="AA701" s="292"/>
      <c r="AB701" s="292"/>
    </row>
    <row r="702">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c r="AA702" s="292"/>
      <c r="AB702" s="292"/>
    </row>
    <row r="703">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c r="AA703" s="292"/>
      <c r="AB703" s="292"/>
    </row>
    <row r="704">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c r="AA704" s="292"/>
      <c r="AB704" s="292"/>
    </row>
    <row r="705">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c r="AA705" s="292"/>
      <c r="AB705" s="292"/>
    </row>
    <row r="706">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c r="AA706" s="292"/>
      <c r="AB706" s="292"/>
    </row>
    <row r="707">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c r="AA707" s="292"/>
      <c r="AB707" s="292"/>
    </row>
    <row r="708">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c r="AA708" s="292"/>
      <c r="AB708" s="292"/>
    </row>
    <row r="709">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c r="AA709" s="292"/>
      <c r="AB709" s="292"/>
    </row>
    <row r="710">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c r="AA710" s="292"/>
      <c r="AB710" s="292"/>
    </row>
    <row r="71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c r="AA711" s="292"/>
      <c r="AB711" s="292"/>
    </row>
    <row r="712">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c r="AA712" s="292"/>
      <c r="AB712" s="292"/>
    </row>
    <row r="713">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c r="AA713" s="292"/>
      <c r="AB713" s="292"/>
    </row>
    <row r="714">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c r="AA714" s="292"/>
      <c r="AB714" s="292"/>
    </row>
    <row r="715">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c r="AA715" s="292"/>
      <c r="AB715" s="292"/>
    </row>
    <row r="716">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c r="AA716" s="292"/>
      <c r="AB716" s="292"/>
    </row>
    <row r="717">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c r="AA717" s="292"/>
      <c r="AB717" s="292"/>
    </row>
    <row r="718">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c r="AA718" s="292"/>
      <c r="AB718" s="292"/>
    </row>
    <row r="719">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c r="AA719" s="292"/>
      <c r="AB719" s="292"/>
    </row>
    <row r="720">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c r="AA720" s="292"/>
      <c r="AB720" s="292"/>
    </row>
    <row r="72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c r="AA721" s="292"/>
      <c r="AB721" s="292"/>
    </row>
    <row r="722">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c r="AA722" s="292"/>
      <c r="AB722" s="292"/>
    </row>
    <row r="723">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c r="AA723" s="292"/>
      <c r="AB723" s="292"/>
    </row>
    <row r="724">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c r="AA724" s="292"/>
      <c r="AB724" s="292"/>
    </row>
    <row r="725">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c r="AA725" s="292"/>
      <c r="AB725" s="292"/>
    </row>
    <row r="726">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c r="AA726" s="292"/>
      <c r="AB726" s="292"/>
    </row>
    <row r="727">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c r="AA727" s="292"/>
      <c r="AB727" s="292"/>
    </row>
    <row r="728">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c r="AA728" s="292"/>
      <c r="AB728" s="292"/>
    </row>
    <row r="729">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c r="AA729" s="292"/>
      <c r="AB729" s="292"/>
    </row>
    <row r="730">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c r="AA730" s="292"/>
      <c r="AB730" s="292"/>
    </row>
    <row r="73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c r="AA731" s="292"/>
      <c r="AB731" s="292"/>
    </row>
    <row r="732">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c r="AA732" s="292"/>
      <c r="AB732" s="292"/>
    </row>
    <row r="733">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c r="AA733" s="292"/>
      <c r="AB733" s="292"/>
    </row>
    <row r="734">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c r="AA734" s="292"/>
      <c r="AB734" s="292"/>
    </row>
    <row r="735">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c r="AA735" s="292"/>
      <c r="AB735" s="292"/>
    </row>
    <row r="736">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c r="AA736" s="292"/>
      <c r="AB736" s="292"/>
    </row>
    <row r="737">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c r="AA737" s="292"/>
      <c r="AB737" s="292"/>
    </row>
    <row r="738">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c r="AA738" s="292"/>
      <c r="AB738" s="292"/>
    </row>
    <row r="739">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c r="AA739" s="292"/>
      <c r="AB739" s="292"/>
    </row>
    <row r="740">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c r="AA740" s="292"/>
      <c r="AB740" s="292"/>
    </row>
    <row r="74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c r="AA741" s="292"/>
      <c r="AB741" s="292"/>
    </row>
    <row r="742">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c r="AA742" s="292"/>
      <c r="AB742" s="292"/>
    </row>
    <row r="743">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c r="AA743" s="292"/>
      <c r="AB743" s="292"/>
    </row>
    <row r="744">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c r="AA744" s="292"/>
      <c r="AB744" s="292"/>
    </row>
    <row r="745">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c r="AA745" s="292"/>
      <c r="AB745" s="292"/>
    </row>
    <row r="746">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c r="AA746" s="292"/>
      <c r="AB746" s="292"/>
    </row>
    <row r="747">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c r="AA747" s="292"/>
      <c r="AB747" s="292"/>
    </row>
    <row r="748">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c r="AA748" s="292"/>
      <c r="AB748" s="292"/>
    </row>
    <row r="749">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c r="AA749" s="292"/>
      <c r="AB749" s="292"/>
    </row>
    <row r="750">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c r="AA750" s="292"/>
      <c r="AB750" s="292"/>
    </row>
    <row r="75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c r="AA751" s="292"/>
      <c r="AB751" s="292"/>
    </row>
    <row r="752">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c r="AA752" s="292"/>
      <c r="AB752" s="292"/>
    </row>
    <row r="753">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c r="AA753" s="292"/>
      <c r="AB753" s="292"/>
    </row>
    <row r="754">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c r="AA754" s="292"/>
      <c r="AB754" s="292"/>
    </row>
    <row r="755">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c r="AA755" s="292"/>
      <c r="AB755" s="292"/>
    </row>
    <row r="756">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c r="AA756" s="292"/>
      <c r="AB756" s="292"/>
    </row>
    <row r="757">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c r="AA757" s="292"/>
      <c r="AB757" s="292"/>
    </row>
    <row r="758">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c r="AA758" s="292"/>
      <c r="AB758" s="292"/>
    </row>
    <row r="759">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c r="AA759" s="292"/>
      <c r="AB759" s="292"/>
    </row>
    <row r="760">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c r="AA760" s="292"/>
      <c r="AB760" s="292"/>
    </row>
    <row r="76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c r="AA761" s="292"/>
      <c r="AB761" s="292"/>
    </row>
    <row r="762">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c r="AA762" s="292"/>
      <c r="AB762" s="292"/>
    </row>
    <row r="763">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c r="AA763" s="292"/>
      <c r="AB763" s="292"/>
    </row>
    <row r="764">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c r="AA764" s="292"/>
      <c r="AB764" s="292"/>
    </row>
    <row r="765">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c r="AA765" s="292"/>
      <c r="AB765" s="292"/>
    </row>
    <row r="766">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c r="AA766" s="292"/>
      <c r="AB766" s="292"/>
    </row>
    <row r="767">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c r="AA767" s="292"/>
      <c r="AB767" s="292"/>
    </row>
    <row r="768">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c r="AA768" s="292"/>
      <c r="AB768" s="292"/>
    </row>
    <row r="769">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c r="AA769" s="292"/>
      <c r="AB769" s="292"/>
    </row>
    <row r="770">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c r="AA770" s="292"/>
      <c r="AB770" s="292"/>
    </row>
    <row r="77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c r="AA771" s="292"/>
      <c r="AB771" s="292"/>
    </row>
    <row r="772">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c r="AA772" s="292"/>
      <c r="AB772" s="292"/>
    </row>
    <row r="773">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c r="AA773" s="292"/>
      <c r="AB773" s="292"/>
    </row>
    <row r="774">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c r="AA774" s="292"/>
      <c r="AB774" s="292"/>
    </row>
    <row r="775">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c r="AA775" s="292"/>
      <c r="AB775" s="292"/>
    </row>
    <row r="776">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c r="AA776" s="292"/>
      <c r="AB776" s="292"/>
    </row>
    <row r="777">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c r="AA777" s="292"/>
      <c r="AB777" s="292"/>
    </row>
    <row r="778">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c r="AA778" s="292"/>
      <c r="AB778" s="292"/>
    </row>
    <row r="779">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c r="AA779" s="292"/>
      <c r="AB779" s="292"/>
    </row>
    <row r="780">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c r="AA780" s="292"/>
      <c r="AB780" s="292"/>
    </row>
    <row r="78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c r="AA781" s="292"/>
      <c r="AB781" s="292"/>
    </row>
    <row r="782">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c r="AA782" s="292"/>
      <c r="AB782" s="292"/>
    </row>
    <row r="783">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c r="AA783" s="292"/>
      <c r="AB783" s="292"/>
    </row>
    <row r="784">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c r="AA784" s="292"/>
      <c r="AB784" s="292"/>
    </row>
    <row r="785">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c r="AA785" s="292"/>
      <c r="AB785" s="292"/>
    </row>
    <row r="786">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c r="AA786" s="292"/>
      <c r="AB786" s="292"/>
    </row>
    <row r="787">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c r="AA787" s="292"/>
      <c r="AB787" s="292"/>
    </row>
    <row r="788">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c r="AA788" s="292"/>
      <c r="AB788" s="292"/>
    </row>
    <row r="789">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c r="AA789" s="292"/>
      <c r="AB789" s="292"/>
    </row>
    <row r="790">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c r="AA790" s="292"/>
      <c r="AB790" s="292"/>
    </row>
    <row r="79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c r="AA791" s="292"/>
      <c r="AB791" s="292"/>
    </row>
    <row r="792">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c r="AA792" s="292"/>
      <c r="AB792" s="292"/>
    </row>
    <row r="793">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c r="AA793" s="292"/>
      <c r="AB793" s="292"/>
    </row>
    <row r="794">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c r="AA794" s="292"/>
      <c r="AB794" s="292"/>
    </row>
    <row r="795">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c r="AA795" s="292"/>
      <c r="AB795" s="292"/>
    </row>
    <row r="796">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c r="AA796" s="292"/>
      <c r="AB796" s="292"/>
    </row>
    <row r="797">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c r="AA797" s="292"/>
      <c r="AB797" s="292"/>
    </row>
    <row r="798">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c r="AA798" s="292"/>
      <c r="AB798" s="292"/>
    </row>
    <row r="799">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c r="AA799" s="292"/>
      <c r="AB799" s="292"/>
    </row>
    <row r="800">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c r="AA800" s="292"/>
      <c r="AB800" s="292"/>
    </row>
    <row r="80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c r="AA801" s="292"/>
      <c r="AB801" s="292"/>
    </row>
    <row r="802">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c r="AA802" s="292"/>
      <c r="AB802" s="292"/>
    </row>
    <row r="803">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c r="AA803" s="292"/>
      <c r="AB803" s="292"/>
    </row>
    <row r="804">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c r="AA804" s="292"/>
      <c r="AB804" s="292"/>
    </row>
    <row r="805">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c r="AA805" s="292"/>
      <c r="AB805" s="292"/>
    </row>
    <row r="806">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c r="AA806" s="292"/>
      <c r="AB806" s="292"/>
    </row>
    <row r="807">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c r="AA807" s="292"/>
      <c r="AB807" s="292"/>
    </row>
    <row r="808">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c r="AA808" s="292"/>
      <c r="AB808" s="292"/>
    </row>
    <row r="809">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c r="AA809" s="292"/>
      <c r="AB809" s="292"/>
    </row>
    <row r="810">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c r="AA810" s="292"/>
      <c r="AB810" s="292"/>
    </row>
    <row r="81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c r="AA811" s="292"/>
      <c r="AB811" s="292"/>
    </row>
    <row r="812">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c r="AA812" s="292"/>
      <c r="AB812" s="292"/>
    </row>
    <row r="813">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c r="AA813" s="292"/>
      <c r="AB813" s="292"/>
    </row>
    <row r="814">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c r="AA814" s="292"/>
      <c r="AB814" s="292"/>
    </row>
    <row r="815">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c r="AA815" s="292"/>
      <c r="AB815" s="292"/>
    </row>
    <row r="816">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c r="AA816" s="292"/>
      <c r="AB816" s="292"/>
    </row>
    <row r="817">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c r="AA817" s="292"/>
      <c r="AB817" s="292"/>
    </row>
    <row r="818">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c r="AA818" s="292"/>
      <c r="AB818" s="292"/>
    </row>
    <row r="819">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c r="AA819" s="292"/>
      <c r="AB819" s="292"/>
    </row>
    <row r="820">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c r="AA820" s="292"/>
      <c r="AB820" s="292"/>
    </row>
    <row r="82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c r="AA821" s="292"/>
      <c r="AB821" s="292"/>
    </row>
    <row r="822">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c r="AA822" s="292"/>
      <c r="AB822" s="292"/>
    </row>
    <row r="823">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c r="AA823" s="292"/>
      <c r="AB823" s="292"/>
    </row>
    <row r="824">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c r="AA824" s="292"/>
      <c r="AB824" s="292"/>
    </row>
    <row r="825">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c r="AA825" s="292"/>
      <c r="AB825" s="292"/>
    </row>
    <row r="826">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c r="AA826" s="292"/>
      <c r="AB826" s="292"/>
    </row>
    <row r="827">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c r="AA827" s="292"/>
      <c r="AB827" s="292"/>
    </row>
    <row r="828">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c r="AA828" s="292"/>
      <c r="AB828" s="292"/>
    </row>
    <row r="829">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c r="AA829" s="292"/>
      <c r="AB829" s="292"/>
    </row>
    <row r="830">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c r="AA830" s="292"/>
      <c r="AB830" s="292"/>
    </row>
    <row r="83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c r="AA831" s="292"/>
      <c r="AB831" s="292"/>
    </row>
    <row r="832">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c r="AA832" s="292"/>
      <c r="AB832" s="292"/>
    </row>
    <row r="833">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c r="AA833" s="292"/>
      <c r="AB833" s="292"/>
    </row>
    <row r="834">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c r="AA834" s="292"/>
      <c r="AB834" s="292"/>
    </row>
    <row r="835">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c r="AA835" s="292"/>
      <c r="AB835" s="292"/>
    </row>
    <row r="836">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c r="AA836" s="292"/>
      <c r="AB836" s="292"/>
    </row>
    <row r="837">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c r="AA837" s="292"/>
      <c r="AB837" s="292"/>
    </row>
    <row r="838">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c r="AA838" s="292"/>
      <c r="AB838" s="292"/>
    </row>
    <row r="839">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c r="AA839" s="292"/>
      <c r="AB839" s="292"/>
    </row>
    <row r="840">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c r="AA840" s="292"/>
      <c r="AB840" s="292"/>
    </row>
    <row r="84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c r="AA841" s="292"/>
      <c r="AB841" s="292"/>
    </row>
    <row r="842">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c r="AA842" s="292"/>
      <c r="AB842" s="292"/>
    </row>
    <row r="843">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c r="AA843" s="292"/>
      <c r="AB843" s="292"/>
    </row>
    <row r="844">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c r="AA844" s="292"/>
      <c r="AB844" s="292"/>
    </row>
    <row r="845">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c r="AA845" s="292"/>
      <c r="AB845" s="292"/>
    </row>
    <row r="846">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c r="AA846" s="292"/>
      <c r="AB846" s="292"/>
    </row>
    <row r="847">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c r="AA847" s="292"/>
      <c r="AB847" s="292"/>
    </row>
    <row r="848">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c r="AA848" s="292"/>
      <c r="AB848" s="292"/>
    </row>
    <row r="849">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c r="AA849" s="292"/>
      <c r="AB849" s="292"/>
    </row>
    <row r="850">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c r="AA850" s="292"/>
      <c r="AB850" s="292"/>
    </row>
    <row r="851">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c r="AA851" s="292"/>
      <c r="AB851" s="292"/>
    </row>
    <row r="852">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c r="AA852" s="292"/>
      <c r="AB852" s="292"/>
    </row>
    <row r="853">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c r="AA853" s="292"/>
      <c r="AB853" s="292"/>
    </row>
    <row r="854">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c r="AA854" s="292"/>
      <c r="AB854" s="292"/>
    </row>
    <row r="855">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c r="AA855" s="292"/>
      <c r="AB855" s="292"/>
    </row>
    <row r="856">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c r="AA856" s="292"/>
      <c r="AB856" s="292"/>
    </row>
    <row r="857">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c r="AA857" s="292"/>
      <c r="AB857" s="292"/>
    </row>
    <row r="858">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c r="AA858" s="292"/>
      <c r="AB858" s="292"/>
    </row>
    <row r="859">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c r="AA859" s="292"/>
      <c r="AB859" s="292"/>
    </row>
    <row r="860">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c r="AA860" s="292"/>
      <c r="AB860" s="292"/>
    </row>
    <row r="861">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c r="AA861" s="292"/>
      <c r="AB861" s="292"/>
    </row>
    <row r="862">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c r="AA862" s="292"/>
      <c r="AB862" s="292"/>
    </row>
    <row r="863">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c r="AA863" s="292"/>
      <c r="AB863" s="292"/>
    </row>
    <row r="864">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c r="AA864" s="292"/>
      <c r="AB864" s="292"/>
    </row>
    <row r="865">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c r="AA865" s="292"/>
      <c r="AB865" s="292"/>
    </row>
    <row r="866">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c r="AA866" s="292"/>
      <c r="AB866" s="292"/>
    </row>
    <row r="867">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c r="AA867" s="292"/>
      <c r="AB867" s="292"/>
    </row>
    <row r="868">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c r="AA868" s="292"/>
      <c r="AB868" s="292"/>
    </row>
    <row r="869">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c r="AA869" s="292"/>
      <c r="AB869" s="292"/>
    </row>
    <row r="870">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c r="AA870" s="292"/>
      <c r="AB870" s="292"/>
    </row>
    <row r="871">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c r="AA871" s="292"/>
      <c r="AB871" s="292"/>
    </row>
    <row r="872">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c r="AA872" s="292"/>
      <c r="AB872" s="292"/>
    </row>
    <row r="873">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c r="AA873" s="292"/>
      <c r="AB873" s="292"/>
    </row>
    <row r="874">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c r="AA874" s="292"/>
      <c r="AB874" s="292"/>
    </row>
    <row r="875">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c r="AA875" s="292"/>
      <c r="AB875" s="292"/>
    </row>
    <row r="876">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c r="AA876" s="292"/>
      <c r="AB876" s="292"/>
    </row>
    <row r="877">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c r="AA877" s="292"/>
      <c r="AB877" s="292"/>
    </row>
    <row r="878">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c r="AA878" s="292"/>
      <c r="AB878" s="292"/>
    </row>
    <row r="879">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c r="AA879" s="292"/>
      <c r="AB879" s="292"/>
    </row>
    <row r="880">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c r="AA880" s="292"/>
      <c r="AB880" s="292"/>
    </row>
    <row r="881">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c r="AA881" s="292"/>
      <c r="AB881" s="292"/>
    </row>
    <row r="882">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c r="AA882" s="292"/>
      <c r="AB882" s="292"/>
    </row>
    <row r="883">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c r="AA883" s="292"/>
      <c r="AB883" s="292"/>
    </row>
    <row r="884">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c r="AA884" s="292"/>
      <c r="AB884" s="292"/>
    </row>
    <row r="885">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c r="AA885" s="292"/>
      <c r="AB885" s="292"/>
    </row>
    <row r="886">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c r="AA886" s="292"/>
      <c r="AB886" s="292"/>
    </row>
    <row r="887">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c r="AA887" s="292"/>
      <c r="AB887" s="292"/>
    </row>
    <row r="888">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c r="AA888" s="292"/>
      <c r="AB888" s="292"/>
    </row>
    <row r="889">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c r="AA889" s="292"/>
      <c r="AB889" s="292"/>
    </row>
    <row r="890">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c r="AA890" s="292"/>
      <c r="AB890" s="292"/>
    </row>
    <row r="891">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c r="AA891" s="292"/>
      <c r="AB891" s="292"/>
    </row>
    <row r="892">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c r="AA892" s="292"/>
      <c r="AB892" s="292"/>
    </row>
    <row r="893">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c r="AA893" s="292"/>
      <c r="AB893" s="292"/>
    </row>
    <row r="894">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c r="AA894" s="292"/>
      <c r="AB894" s="292"/>
    </row>
    <row r="895">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c r="AA895" s="292"/>
      <c r="AB895" s="292"/>
    </row>
    <row r="896">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c r="AA896" s="292"/>
      <c r="AB896" s="292"/>
    </row>
    <row r="897">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c r="AA897" s="292"/>
      <c r="AB897" s="292"/>
    </row>
    <row r="898">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c r="AA898" s="292"/>
      <c r="AB898" s="292"/>
    </row>
    <row r="899">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c r="AA899" s="292"/>
      <c r="AB899" s="292"/>
    </row>
    <row r="900">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c r="AA900" s="292"/>
      <c r="AB900" s="292"/>
    </row>
    <row r="901">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c r="AA901" s="292"/>
      <c r="AB901" s="292"/>
    </row>
    <row r="902">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c r="AA902" s="292"/>
      <c r="AB902" s="292"/>
    </row>
    <row r="903">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c r="AA903" s="292"/>
      <c r="AB903" s="292"/>
    </row>
    <row r="904">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c r="AA904" s="292"/>
      <c r="AB904" s="292"/>
    </row>
    <row r="905">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c r="AA905" s="292"/>
      <c r="AB905" s="292"/>
    </row>
    <row r="906">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c r="AA906" s="292"/>
      <c r="AB906" s="292"/>
    </row>
    <row r="907">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c r="AA907" s="292"/>
      <c r="AB907" s="292"/>
    </row>
    <row r="908">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c r="AA908" s="292"/>
      <c r="AB908" s="292"/>
    </row>
    <row r="909">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c r="AA909" s="292"/>
      <c r="AB909" s="292"/>
    </row>
    <row r="910">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c r="AA910" s="292"/>
      <c r="AB910" s="292"/>
    </row>
    <row r="911">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c r="AA911" s="292"/>
      <c r="AB911" s="292"/>
    </row>
    <row r="912">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c r="AA912" s="292"/>
      <c r="AB912" s="292"/>
    </row>
    <row r="913">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c r="AA913" s="292"/>
      <c r="AB913" s="292"/>
    </row>
    <row r="914">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c r="AA914" s="292"/>
      <c r="AB914" s="292"/>
    </row>
    <row r="915">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c r="AA915" s="292"/>
      <c r="AB915" s="292"/>
    </row>
    <row r="916">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c r="AA916" s="292"/>
      <c r="AB916" s="292"/>
    </row>
    <row r="917">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c r="AA917" s="292"/>
      <c r="AB917" s="292"/>
    </row>
    <row r="918">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c r="AA918" s="292"/>
      <c r="AB918" s="292"/>
    </row>
    <row r="919">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c r="AA919" s="292"/>
      <c r="AB919" s="292"/>
    </row>
    <row r="920">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c r="AA920" s="292"/>
      <c r="AB920" s="292"/>
    </row>
    <row r="921">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c r="AA921" s="292"/>
      <c r="AB921" s="292"/>
    </row>
    <row r="922">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c r="AA922" s="292"/>
      <c r="AB922" s="292"/>
    </row>
    <row r="923">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c r="AA923" s="292"/>
      <c r="AB923" s="292"/>
    </row>
    <row r="924">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c r="AA924" s="292"/>
      <c r="AB924" s="292"/>
    </row>
    <row r="925">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c r="AA925" s="292"/>
      <c r="AB925" s="292"/>
    </row>
    <row r="926">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c r="AA926" s="292"/>
      <c r="AB926" s="292"/>
    </row>
    <row r="927">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c r="AA927" s="292"/>
      <c r="AB927" s="292"/>
    </row>
    <row r="928">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c r="AA928" s="292"/>
      <c r="AB928" s="292"/>
    </row>
    <row r="929">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c r="AA929" s="292"/>
      <c r="AB929" s="292"/>
    </row>
    <row r="930">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c r="AA930" s="292"/>
      <c r="AB930" s="292"/>
    </row>
    <row r="931">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c r="AA931" s="292"/>
      <c r="AB931" s="292"/>
    </row>
    <row r="932">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c r="AA932" s="292"/>
      <c r="AB932" s="292"/>
    </row>
    <row r="933">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c r="AA933" s="292"/>
      <c r="AB933" s="292"/>
    </row>
    <row r="934">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c r="AA934" s="292"/>
      <c r="AB934" s="292"/>
    </row>
    <row r="935">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c r="AA935" s="292"/>
      <c r="AB935" s="292"/>
    </row>
    <row r="936">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c r="AA936" s="292"/>
      <c r="AB936" s="292"/>
    </row>
    <row r="937">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c r="AA937" s="292"/>
      <c r="AB937" s="292"/>
    </row>
    <row r="938">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c r="AA938" s="292"/>
      <c r="AB938" s="292"/>
    </row>
    <row r="939">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c r="AA939" s="292"/>
      <c r="AB939" s="292"/>
    </row>
    <row r="940">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c r="AA940" s="292"/>
      <c r="AB940" s="292"/>
    </row>
    <row r="941">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c r="AA941" s="292"/>
      <c r="AB941" s="292"/>
    </row>
    <row r="942">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c r="AA942" s="292"/>
      <c r="AB942" s="292"/>
    </row>
    <row r="943">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c r="AA943" s="292"/>
      <c r="AB943" s="292"/>
    </row>
    <row r="944">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c r="AA944" s="292"/>
      <c r="AB944" s="292"/>
    </row>
    <row r="945">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c r="AA945" s="292"/>
      <c r="AB945" s="292"/>
    </row>
    <row r="946">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c r="AA946" s="292"/>
      <c r="AB946" s="292"/>
    </row>
    <row r="947">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c r="AA947" s="292"/>
      <c r="AB947" s="292"/>
    </row>
    <row r="948">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c r="AA948" s="292"/>
      <c r="AB948" s="292"/>
    </row>
    <row r="949">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c r="AA949" s="292"/>
      <c r="AB949" s="292"/>
    </row>
    <row r="950">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c r="AA950" s="292"/>
      <c r="AB950" s="292"/>
    </row>
    <row r="951">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c r="AA951" s="292"/>
      <c r="AB951" s="292"/>
    </row>
    <row r="952">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c r="AA952" s="292"/>
      <c r="AB952" s="292"/>
    </row>
    <row r="953">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c r="AA953" s="292"/>
      <c r="AB953" s="292"/>
    </row>
    <row r="954">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c r="AA954" s="292"/>
      <c r="AB954" s="292"/>
    </row>
    <row r="955">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c r="AA955" s="292"/>
      <c r="AB955" s="292"/>
    </row>
    <row r="956">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c r="AA956" s="292"/>
      <c r="AB956" s="292"/>
    </row>
    <row r="957">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c r="AA957" s="292"/>
      <c r="AB957" s="292"/>
    </row>
    <row r="958">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c r="AA958" s="292"/>
      <c r="AB958" s="292"/>
    </row>
    <row r="959">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c r="AA959" s="292"/>
      <c r="AB959" s="292"/>
    </row>
    <row r="960">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c r="AA960" s="292"/>
      <c r="AB960" s="292"/>
    </row>
    <row r="961">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c r="AA961" s="292"/>
      <c r="AB961" s="292"/>
    </row>
    <row r="962">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c r="AA962" s="292"/>
      <c r="AB962" s="292"/>
    </row>
    <row r="963">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c r="AA963" s="292"/>
      <c r="AB963" s="292"/>
    </row>
    <row r="964">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c r="AA964" s="292"/>
      <c r="AB964" s="292"/>
    </row>
    <row r="965">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c r="AA965" s="292"/>
      <c r="AB965" s="292"/>
    </row>
    <row r="966">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c r="AA966" s="292"/>
      <c r="AB966" s="292"/>
    </row>
    <row r="967">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c r="AA967" s="292"/>
      <c r="AB967" s="292"/>
    </row>
    <row r="968">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c r="AA968" s="292"/>
      <c r="AB968" s="292"/>
    </row>
    <row r="969">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c r="AA969" s="292"/>
      <c r="AB969" s="292"/>
    </row>
    <row r="970">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c r="AA970" s="292"/>
      <c r="AB970" s="292"/>
    </row>
    <row r="971">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c r="AA971" s="292"/>
      <c r="AB971" s="292"/>
    </row>
    <row r="972">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c r="AA972" s="292"/>
      <c r="AB972" s="292"/>
    </row>
    <row r="973">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c r="AA973" s="292"/>
      <c r="AB973" s="292"/>
    </row>
    <row r="974">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c r="AA974" s="292"/>
      <c r="AB974" s="292"/>
    </row>
    <row r="975">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c r="AA975" s="292"/>
      <c r="AB975" s="292"/>
    </row>
    <row r="976">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c r="AA976" s="292"/>
      <c r="AB976" s="292"/>
    </row>
    <row r="977">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c r="AA977" s="292"/>
      <c r="AB977" s="292"/>
    </row>
    <row r="978">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c r="AA978" s="292"/>
      <c r="AB978" s="292"/>
    </row>
    <row r="979">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c r="AA979" s="292"/>
      <c r="AB979" s="292"/>
    </row>
    <row r="980">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c r="AA980" s="292"/>
      <c r="AB980" s="292"/>
    </row>
    <row r="981">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c r="AA981" s="292"/>
      <c r="AB981" s="292"/>
    </row>
    <row r="982">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c r="AA982" s="292"/>
      <c r="AB982" s="292"/>
    </row>
    <row r="983">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c r="AA983" s="292"/>
      <c r="AB983" s="292"/>
    </row>
    <row r="984">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c r="AA984" s="292"/>
      <c r="AB984" s="292"/>
    </row>
    <row r="985">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c r="AA985" s="292"/>
      <c r="AB985" s="292"/>
    </row>
    <row r="986">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c r="AA986" s="292"/>
      <c r="AB986" s="292"/>
    </row>
    <row r="987">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c r="AA987" s="292"/>
      <c r="AB987" s="292"/>
    </row>
    <row r="988">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c r="AA988" s="292"/>
      <c r="AB988" s="292"/>
    </row>
    <row r="989">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c r="AA989" s="292"/>
      <c r="AB989" s="292"/>
    </row>
    <row r="990">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c r="AA990" s="292"/>
      <c r="AB990" s="292"/>
    </row>
    <row r="991">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c r="AA991" s="292"/>
      <c r="AB991" s="292"/>
    </row>
    <row r="992">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c r="AA992" s="292"/>
      <c r="AB992" s="292"/>
    </row>
    <row r="993">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c r="AA993" s="292"/>
      <c r="AB993" s="292"/>
    </row>
    <row r="994">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c r="AA994" s="292"/>
      <c r="AB994" s="292"/>
    </row>
    <row r="995">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c r="AA995" s="292"/>
      <c r="AB995" s="292"/>
    </row>
    <row r="996">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c r="AA996" s="292"/>
      <c r="AB996" s="292"/>
    </row>
    <row r="997">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c r="AA997" s="292"/>
      <c r="AB997" s="292"/>
    </row>
    <row r="998">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c r="AA998" s="292"/>
      <c r="AB998" s="292"/>
    </row>
    <row r="999">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c r="AA999" s="292"/>
      <c r="AB999" s="292"/>
    </row>
    <row r="1000">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c r="AA1000" s="292"/>
      <c r="AB1000" s="292"/>
    </row>
    <row r="1001">
      <c r="A1001" s="292"/>
      <c r="B1001" s="292"/>
      <c r="C1001" s="292"/>
      <c r="D1001" s="292"/>
      <c r="E1001" s="292"/>
      <c r="F1001" s="292"/>
      <c r="G1001" s="292"/>
      <c r="H1001" s="292"/>
      <c r="I1001" s="292"/>
      <c r="J1001" s="292"/>
      <c r="K1001" s="292"/>
      <c r="L1001" s="292"/>
      <c r="M1001" s="292"/>
      <c r="N1001" s="292"/>
      <c r="O1001" s="292"/>
      <c r="P1001" s="292"/>
      <c r="Q1001" s="292"/>
      <c r="R1001" s="292"/>
      <c r="S1001" s="292"/>
      <c r="T1001" s="292"/>
      <c r="U1001" s="292"/>
      <c r="V1001" s="292"/>
      <c r="W1001" s="292"/>
      <c r="X1001" s="292"/>
      <c r="Y1001" s="292"/>
      <c r="Z1001" s="292"/>
      <c r="AA1001" s="292"/>
      <c r="AB1001" s="292"/>
    </row>
    <row r="1002">
      <c r="A1002" s="292"/>
      <c r="B1002" s="292"/>
      <c r="C1002" s="292"/>
      <c r="D1002" s="292"/>
      <c r="E1002" s="292"/>
      <c r="F1002" s="292"/>
      <c r="G1002" s="292"/>
      <c r="H1002" s="292"/>
      <c r="I1002" s="292"/>
      <c r="J1002" s="292"/>
      <c r="K1002" s="292"/>
      <c r="L1002" s="292"/>
      <c r="M1002" s="292"/>
      <c r="N1002" s="292"/>
      <c r="O1002" s="292"/>
      <c r="P1002" s="292"/>
      <c r="Q1002" s="292"/>
      <c r="R1002" s="292"/>
      <c r="S1002" s="292"/>
      <c r="T1002" s="292"/>
      <c r="U1002" s="292"/>
      <c r="V1002" s="292"/>
      <c r="W1002" s="292"/>
      <c r="X1002" s="292"/>
      <c r="Y1002" s="292"/>
      <c r="Z1002" s="292"/>
      <c r="AA1002" s="292"/>
      <c r="AB1002" s="292"/>
    </row>
    <row r="1003">
      <c r="A1003" s="292"/>
      <c r="B1003" s="292"/>
      <c r="C1003" s="292"/>
      <c r="D1003" s="292"/>
      <c r="E1003" s="292"/>
      <c r="F1003" s="292"/>
      <c r="G1003" s="292"/>
      <c r="H1003" s="292"/>
      <c r="I1003" s="292"/>
      <c r="J1003" s="292"/>
      <c r="K1003" s="292"/>
      <c r="L1003" s="292"/>
      <c r="M1003" s="292"/>
      <c r="N1003" s="292"/>
      <c r="O1003" s="292"/>
      <c r="P1003" s="292"/>
      <c r="Q1003" s="292"/>
      <c r="R1003" s="292"/>
      <c r="S1003" s="292"/>
      <c r="T1003" s="292"/>
      <c r="U1003" s="292"/>
      <c r="V1003" s="292"/>
      <c r="W1003" s="292"/>
      <c r="X1003" s="292"/>
      <c r="Y1003" s="292"/>
      <c r="Z1003" s="292"/>
      <c r="AA1003" s="292"/>
      <c r="AB1003" s="292"/>
    </row>
    <row r="1004">
      <c r="A1004" s="292"/>
      <c r="B1004" s="292"/>
      <c r="C1004" s="292"/>
      <c r="D1004" s="292"/>
      <c r="E1004" s="292"/>
      <c r="F1004" s="292"/>
      <c r="G1004" s="292"/>
      <c r="H1004" s="292"/>
      <c r="I1004" s="292"/>
      <c r="J1004" s="292"/>
      <c r="K1004" s="292"/>
      <c r="L1004" s="292"/>
      <c r="M1004" s="292"/>
      <c r="N1004" s="292"/>
      <c r="O1004" s="292"/>
      <c r="P1004" s="292"/>
      <c r="Q1004" s="292"/>
      <c r="R1004" s="292"/>
      <c r="S1004" s="292"/>
      <c r="T1004" s="292"/>
      <c r="U1004" s="292"/>
      <c r="V1004" s="292"/>
      <c r="W1004" s="292"/>
      <c r="X1004" s="292"/>
      <c r="Y1004" s="292"/>
      <c r="Z1004" s="292"/>
      <c r="AA1004" s="292"/>
      <c r="AB1004" s="29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4.13"/>
    <col customWidth="1" min="3" max="3" width="7.0"/>
  </cols>
  <sheetData>
    <row r="1">
      <c r="A1" s="314"/>
      <c r="B1" s="314"/>
      <c r="C1" s="314"/>
      <c r="D1" s="314"/>
      <c r="E1" s="314"/>
      <c r="F1" s="314"/>
      <c r="G1" s="315"/>
      <c r="H1" s="315"/>
      <c r="I1" s="315"/>
      <c r="J1" s="315"/>
      <c r="K1" s="315"/>
      <c r="L1" s="315"/>
      <c r="M1" s="315"/>
      <c r="N1" s="315"/>
      <c r="O1" s="315"/>
      <c r="P1" s="315"/>
      <c r="Q1" s="315"/>
      <c r="R1" s="315"/>
      <c r="S1" s="315"/>
      <c r="T1" s="315"/>
      <c r="U1" s="315"/>
      <c r="V1" s="315"/>
      <c r="W1" s="315"/>
      <c r="X1" s="315"/>
      <c r="Y1" s="315"/>
      <c r="Z1" s="315"/>
    </row>
    <row r="2">
      <c r="A2" s="316" t="s">
        <v>276</v>
      </c>
      <c r="B2" s="314"/>
      <c r="C2" s="314"/>
      <c r="D2" s="317"/>
      <c r="E2" s="314"/>
      <c r="F2" s="314"/>
      <c r="G2" s="315"/>
      <c r="H2" s="315"/>
      <c r="I2" s="315"/>
      <c r="J2" s="315"/>
      <c r="K2" s="315"/>
      <c r="L2" s="315"/>
      <c r="M2" s="315"/>
      <c r="N2" s="315"/>
      <c r="O2" s="315"/>
      <c r="P2" s="315"/>
      <c r="Q2" s="315"/>
      <c r="R2" s="315"/>
      <c r="S2" s="315"/>
      <c r="T2" s="315"/>
      <c r="U2" s="315"/>
      <c r="V2" s="315"/>
      <c r="W2" s="315"/>
      <c r="X2" s="315"/>
      <c r="Y2" s="315"/>
      <c r="Z2" s="315"/>
    </row>
    <row r="3">
      <c r="A3" s="318" t="s">
        <v>263</v>
      </c>
      <c r="B3" s="318" t="s">
        <v>266</v>
      </c>
      <c r="C3" s="318" t="s">
        <v>9</v>
      </c>
      <c r="D3" s="317"/>
      <c r="E3" s="317"/>
      <c r="F3" s="317"/>
      <c r="G3" s="315"/>
      <c r="H3" s="315"/>
      <c r="I3" s="315"/>
      <c r="J3" s="315"/>
      <c r="K3" s="315"/>
      <c r="L3" s="315"/>
      <c r="M3" s="315"/>
      <c r="N3" s="315"/>
      <c r="O3" s="315"/>
      <c r="P3" s="315"/>
      <c r="Q3" s="315"/>
      <c r="R3" s="315"/>
      <c r="S3" s="315"/>
      <c r="T3" s="315"/>
      <c r="U3" s="315"/>
      <c r="V3" s="315"/>
      <c r="W3" s="315"/>
      <c r="X3" s="315"/>
      <c r="Y3" s="315"/>
      <c r="Z3" s="315"/>
    </row>
    <row r="4">
      <c r="A4" s="319" t="s">
        <v>34</v>
      </c>
      <c r="B4" s="320" t="s">
        <v>277</v>
      </c>
      <c r="C4" s="321">
        <v>-1.0</v>
      </c>
      <c r="D4" s="317"/>
      <c r="E4" s="317"/>
      <c r="F4" s="322"/>
      <c r="G4" s="315"/>
      <c r="H4" s="315"/>
      <c r="I4" s="315"/>
      <c r="J4" s="315"/>
      <c r="K4" s="315"/>
      <c r="L4" s="315"/>
      <c r="M4" s="315"/>
      <c r="N4" s="315"/>
      <c r="O4" s="315"/>
      <c r="P4" s="315"/>
      <c r="Q4" s="315"/>
      <c r="R4" s="315"/>
      <c r="S4" s="315"/>
      <c r="T4" s="315"/>
      <c r="U4" s="315"/>
      <c r="V4" s="315"/>
      <c r="W4" s="315"/>
      <c r="X4" s="315"/>
      <c r="Y4" s="315"/>
      <c r="Z4" s="315"/>
    </row>
    <row r="5">
      <c r="A5" s="319" t="s">
        <v>27</v>
      </c>
      <c r="B5" s="320" t="s">
        <v>278</v>
      </c>
      <c r="C5" s="321">
        <v>-1.0</v>
      </c>
      <c r="D5" s="317"/>
      <c r="E5" s="317"/>
      <c r="F5" s="322"/>
      <c r="G5" s="315"/>
      <c r="H5" s="315"/>
      <c r="I5" s="315"/>
      <c r="J5" s="315"/>
      <c r="K5" s="315"/>
      <c r="L5" s="315"/>
      <c r="M5" s="315"/>
      <c r="N5" s="315"/>
      <c r="O5" s="315"/>
      <c r="P5" s="315"/>
      <c r="Q5" s="315"/>
      <c r="R5" s="315"/>
      <c r="S5" s="315"/>
      <c r="T5" s="315"/>
      <c r="U5" s="315"/>
      <c r="V5" s="315"/>
      <c r="W5" s="315"/>
      <c r="X5" s="315"/>
      <c r="Y5" s="315"/>
      <c r="Z5" s="315"/>
    </row>
    <row r="6">
      <c r="A6" s="319" t="s">
        <v>233</v>
      </c>
      <c r="B6" s="320" t="s">
        <v>279</v>
      </c>
      <c r="C6" s="321">
        <v>-1.0</v>
      </c>
      <c r="D6" s="317"/>
      <c r="E6" s="317"/>
      <c r="F6" s="322"/>
      <c r="G6" s="315"/>
      <c r="H6" s="315"/>
      <c r="I6" s="315"/>
      <c r="J6" s="315"/>
      <c r="K6" s="315"/>
      <c r="L6" s="315"/>
      <c r="M6" s="315"/>
      <c r="N6" s="315"/>
      <c r="O6" s="315"/>
      <c r="P6" s="315"/>
      <c r="Q6" s="315"/>
      <c r="R6" s="315"/>
      <c r="S6" s="315"/>
      <c r="T6" s="315"/>
      <c r="U6" s="315"/>
      <c r="V6" s="315"/>
      <c r="W6" s="315"/>
      <c r="X6" s="315"/>
      <c r="Y6" s="315"/>
      <c r="Z6" s="315"/>
    </row>
    <row r="7">
      <c r="A7" s="319" t="s">
        <v>280</v>
      </c>
      <c r="B7" s="320" t="s">
        <v>281</v>
      </c>
      <c r="C7" s="321">
        <v>-1.0</v>
      </c>
      <c r="D7" s="317"/>
      <c r="E7" s="317"/>
      <c r="F7" s="322"/>
      <c r="G7" s="315"/>
      <c r="H7" s="315"/>
      <c r="I7" s="315"/>
      <c r="J7" s="315"/>
      <c r="K7" s="315"/>
      <c r="L7" s="315"/>
      <c r="M7" s="315"/>
      <c r="N7" s="315"/>
      <c r="O7" s="315"/>
      <c r="P7" s="315"/>
      <c r="Q7" s="315"/>
      <c r="R7" s="315"/>
      <c r="S7" s="315"/>
      <c r="T7" s="315"/>
      <c r="U7" s="315"/>
      <c r="V7" s="315"/>
      <c r="W7" s="315"/>
      <c r="X7" s="315"/>
      <c r="Y7" s="315"/>
      <c r="Z7" s="315"/>
    </row>
    <row r="8">
      <c r="A8" s="316" t="s">
        <v>282</v>
      </c>
      <c r="B8" s="314"/>
      <c r="C8" s="323">
        <v>1.0</v>
      </c>
      <c r="D8" s="314"/>
      <c r="E8" s="314"/>
      <c r="F8" s="314"/>
      <c r="G8" s="315"/>
      <c r="H8" s="315"/>
      <c r="I8" s="315"/>
      <c r="J8" s="315"/>
      <c r="K8" s="315"/>
      <c r="L8" s="315"/>
      <c r="M8" s="315"/>
      <c r="N8" s="315"/>
      <c r="O8" s="315"/>
      <c r="P8" s="315"/>
      <c r="Q8" s="315"/>
      <c r="R8" s="315"/>
      <c r="S8" s="315"/>
      <c r="T8" s="315"/>
      <c r="U8" s="315"/>
      <c r="V8" s="315"/>
      <c r="W8" s="315"/>
      <c r="X8" s="315"/>
      <c r="Y8" s="315"/>
      <c r="Z8" s="315"/>
    </row>
    <row r="9">
      <c r="A9" s="315"/>
      <c r="B9" s="315"/>
      <c r="C9" s="315"/>
      <c r="D9" s="315"/>
      <c r="E9" s="315"/>
      <c r="F9" s="315"/>
      <c r="G9" s="315"/>
      <c r="H9" s="315"/>
      <c r="I9" s="315"/>
      <c r="J9" s="315"/>
      <c r="K9" s="315"/>
      <c r="L9" s="315"/>
      <c r="M9" s="315"/>
      <c r="N9" s="315"/>
      <c r="O9" s="315"/>
      <c r="P9" s="315"/>
      <c r="Q9" s="315"/>
      <c r="R9" s="315"/>
      <c r="S9" s="315"/>
      <c r="T9" s="315"/>
      <c r="U9" s="315"/>
      <c r="V9" s="315"/>
      <c r="W9" s="315"/>
      <c r="X9" s="315"/>
      <c r="Y9" s="315"/>
      <c r="Z9" s="315"/>
    </row>
    <row r="10">
      <c r="A10" s="324" t="s">
        <v>59</v>
      </c>
      <c r="B10" s="325"/>
      <c r="C10" s="326">
        <f>AVERAGE(C2:C8)</f>
        <v>-0.6</v>
      </c>
      <c r="D10" s="315"/>
      <c r="E10" s="315"/>
      <c r="F10" s="315"/>
      <c r="G10" s="315"/>
      <c r="H10" s="315"/>
      <c r="I10" s="315"/>
      <c r="J10" s="315"/>
      <c r="K10" s="315"/>
      <c r="L10" s="315"/>
      <c r="M10" s="315"/>
      <c r="N10" s="315"/>
      <c r="O10" s="315"/>
      <c r="P10" s="315"/>
      <c r="Q10" s="315"/>
      <c r="R10" s="315"/>
      <c r="S10" s="315"/>
      <c r="T10" s="315"/>
      <c r="U10" s="315"/>
      <c r="V10" s="315"/>
      <c r="W10" s="315"/>
      <c r="X10" s="315"/>
      <c r="Y10" s="315"/>
      <c r="Z10" s="315"/>
    </row>
    <row r="11">
      <c r="A11" s="315"/>
      <c r="B11" s="315"/>
      <c r="C11" s="315"/>
      <c r="D11" s="315"/>
      <c r="E11" s="315"/>
      <c r="F11" s="315"/>
      <c r="G11" s="315"/>
      <c r="H11" s="315"/>
      <c r="I11" s="315"/>
      <c r="J11" s="315"/>
      <c r="K11" s="315"/>
      <c r="L11" s="315"/>
      <c r="M11" s="315"/>
      <c r="N11" s="315"/>
      <c r="O11" s="315"/>
      <c r="P11" s="315"/>
      <c r="Q11" s="315"/>
      <c r="R11" s="315"/>
      <c r="S11" s="315"/>
      <c r="T11" s="315"/>
      <c r="U11" s="315"/>
      <c r="V11" s="315"/>
      <c r="W11" s="315"/>
      <c r="X11" s="315"/>
      <c r="Y11" s="315"/>
      <c r="Z11" s="315"/>
    </row>
    <row r="12">
      <c r="A12" s="315"/>
      <c r="B12" s="315"/>
      <c r="C12" s="315"/>
      <c r="D12" s="315"/>
      <c r="E12" s="315"/>
      <c r="F12" s="315"/>
      <c r="G12" s="315"/>
      <c r="H12" s="315"/>
      <c r="I12" s="315"/>
      <c r="J12" s="315"/>
      <c r="K12" s="315"/>
      <c r="L12" s="315"/>
      <c r="M12" s="315"/>
      <c r="N12" s="315"/>
      <c r="O12" s="315"/>
      <c r="P12" s="315"/>
      <c r="Q12" s="315"/>
      <c r="R12" s="315"/>
      <c r="S12" s="315"/>
      <c r="T12" s="315"/>
      <c r="U12" s="315"/>
      <c r="V12" s="315"/>
      <c r="W12" s="315"/>
      <c r="X12" s="315"/>
      <c r="Y12" s="315"/>
      <c r="Z12" s="315"/>
    </row>
    <row r="13">
      <c r="A13" s="315"/>
      <c r="B13" s="315"/>
      <c r="C13" s="315"/>
      <c r="D13" s="315"/>
      <c r="E13" s="315"/>
      <c r="F13" s="315"/>
      <c r="G13" s="315"/>
      <c r="H13" s="315"/>
      <c r="I13" s="315"/>
      <c r="J13" s="315"/>
      <c r="K13" s="315"/>
      <c r="L13" s="315"/>
      <c r="M13" s="315"/>
      <c r="N13" s="315"/>
      <c r="O13" s="315"/>
      <c r="P13" s="315"/>
      <c r="Q13" s="315"/>
      <c r="R13" s="315"/>
      <c r="S13" s="315"/>
      <c r="T13" s="315"/>
      <c r="U13" s="315"/>
      <c r="V13" s="315"/>
      <c r="W13" s="315"/>
      <c r="X13" s="315"/>
      <c r="Y13" s="315"/>
      <c r="Z13" s="315"/>
    </row>
    <row r="14">
      <c r="A14" s="315"/>
      <c r="B14" s="315"/>
      <c r="C14" s="315"/>
      <c r="D14" s="315"/>
      <c r="E14" s="315"/>
      <c r="F14" s="315"/>
      <c r="G14" s="315"/>
      <c r="H14" s="315"/>
      <c r="I14" s="315"/>
      <c r="J14" s="315"/>
      <c r="K14" s="315"/>
      <c r="L14" s="315"/>
      <c r="M14" s="315"/>
      <c r="N14" s="315"/>
      <c r="O14" s="315"/>
      <c r="P14" s="315"/>
      <c r="Q14" s="315"/>
      <c r="R14" s="315"/>
      <c r="S14" s="315"/>
      <c r="T14" s="315"/>
      <c r="U14" s="315"/>
      <c r="V14" s="315"/>
      <c r="W14" s="315"/>
      <c r="X14" s="315"/>
      <c r="Y14" s="315"/>
      <c r="Z14" s="315"/>
    </row>
    <row r="15">
      <c r="A15" s="315"/>
      <c r="B15" s="315"/>
      <c r="C15" s="315"/>
      <c r="D15" s="315"/>
      <c r="E15" s="315"/>
      <c r="F15" s="315"/>
      <c r="G15" s="315"/>
      <c r="H15" s="315"/>
      <c r="I15" s="315"/>
      <c r="J15" s="315"/>
      <c r="K15" s="315"/>
      <c r="L15" s="315"/>
      <c r="M15" s="315"/>
      <c r="N15" s="315"/>
      <c r="O15" s="315"/>
      <c r="P15" s="315"/>
      <c r="Q15" s="315"/>
      <c r="R15" s="315"/>
      <c r="S15" s="315"/>
      <c r="T15" s="315"/>
      <c r="U15" s="315"/>
      <c r="V15" s="315"/>
      <c r="W15" s="315"/>
      <c r="X15" s="315"/>
      <c r="Y15" s="315"/>
      <c r="Z15" s="315"/>
    </row>
    <row r="16">
      <c r="A16" s="315"/>
      <c r="B16" s="315"/>
      <c r="C16" s="315"/>
      <c r="D16" s="315"/>
      <c r="E16" s="315"/>
      <c r="F16" s="315"/>
      <c r="G16" s="315"/>
      <c r="H16" s="315"/>
      <c r="I16" s="315"/>
      <c r="J16" s="315"/>
      <c r="K16" s="315"/>
      <c r="L16" s="315"/>
      <c r="M16" s="315"/>
      <c r="N16" s="315"/>
      <c r="O16" s="315"/>
      <c r="P16" s="315"/>
      <c r="Q16" s="315"/>
      <c r="R16" s="315"/>
      <c r="S16" s="315"/>
      <c r="T16" s="315"/>
      <c r="U16" s="315"/>
      <c r="V16" s="315"/>
      <c r="W16" s="315"/>
      <c r="X16" s="315"/>
      <c r="Y16" s="315"/>
      <c r="Z16" s="315"/>
    </row>
    <row r="17">
      <c r="A17" s="315"/>
      <c r="B17" s="315"/>
      <c r="C17" s="315"/>
      <c r="D17" s="315"/>
      <c r="E17" s="315"/>
      <c r="F17" s="315"/>
      <c r="G17" s="315"/>
      <c r="H17" s="315"/>
      <c r="I17" s="315"/>
      <c r="J17" s="315"/>
      <c r="K17" s="315"/>
      <c r="L17" s="315"/>
      <c r="M17" s="315"/>
      <c r="N17" s="315"/>
      <c r="O17" s="315"/>
      <c r="P17" s="315"/>
      <c r="Q17" s="315"/>
      <c r="R17" s="315"/>
      <c r="S17" s="315"/>
      <c r="T17" s="315"/>
      <c r="U17" s="315"/>
      <c r="V17" s="315"/>
      <c r="W17" s="315"/>
      <c r="X17" s="315"/>
      <c r="Y17" s="315"/>
      <c r="Z17" s="315"/>
    </row>
    <row r="18">
      <c r="A18" s="315"/>
      <c r="B18" s="315"/>
      <c r="C18" s="315"/>
      <c r="D18" s="315"/>
      <c r="E18" s="315"/>
      <c r="F18" s="315"/>
      <c r="G18" s="315"/>
      <c r="H18" s="315"/>
      <c r="I18" s="315"/>
      <c r="J18" s="315"/>
      <c r="K18" s="315"/>
      <c r="L18" s="315"/>
      <c r="M18" s="315"/>
      <c r="N18" s="315"/>
      <c r="O18" s="315"/>
      <c r="P18" s="315"/>
      <c r="Q18" s="315"/>
      <c r="R18" s="315"/>
      <c r="S18" s="315"/>
      <c r="T18" s="315"/>
      <c r="U18" s="315"/>
      <c r="V18" s="315"/>
      <c r="W18" s="315"/>
      <c r="X18" s="315"/>
      <c r="Y18" s="315"/>
      <c r="Z18" s="315"/>
    </row>
    <row r="19">
      <c r="A19" s="315"/>
      <c r="B19" s="315"/>
      <c r="C19" s="315"/>
      <c r="D19" s="315"/>
      <c r="E19" s="315"/>
      <c r="F19" s="315"/>
      <c r="G19" s="315"/>
      <c r="H19" s="315"/>
      <c r="I19" s="315"/>
      <c r="J19" s="315"/>
      <c r="K19" s="315"/>
      <c r="L19" s="315"/>
      <c r="M19" s="315"/>
      <c r="N19" s="315"/>
      <c r="O19" s="315"/>
      <c r="P19" s="315"/>
      <c r="Q19" s="315"/>
      <c r="R19" s="315"/>
      <c r="S19" s="315"/>
      <c r="T19" s="315"/>
      <c r="U19" s="315"/>
      <c r="V19" s="315"/>
      <c r="W19" s="315"/>
      <c r="X19" s="315"/>
      <c r="Y19" s="315"/>
      <c r="Z19" s="315"/>
    </row>
    <row r="20">
      <c r="A20" s="315"/>
      <c r="B20" s="315"/>
      <c r="C20" s="315"/>
      <c r="D20" s="315"/>
      <c r="E20" s="315"/>
      <c r="F20" s="315"/>
      <c r="G20" s="315"/>
      <c r="H20" s="315"/>
      <c r="I20" s="315"/>
      <c r="J20" s="315"/>
      <c r="K20" s="315"/>
      <c r="L20" s="315"/>
      <c r="M20" s="315"/>
      <c r="N20" s="315"/>
      <c r="O20" s="315"/>
      <c r="P20" s="315"/>
      <c r="Q20" s="315"/>
      <c r="R20" s="315"/>
      <c r="S20" s="315"/>
      <c r="T20" s="315"/>
      <c r="U20" s="315"/>
      <c r="V20" s="315"/>
      <c r="W20" s="315"/>
      <c r="X20" s="315"/>
      <c r="Y20" s="315"/>
      <c r="Z20" s="315"/>
    </row>
    <row r="21">
      <c r="A21" s="315"/>
      <c r="B21" s="315"/>
      <c r="C21" s="315"/>
      <c r="D21" s="315"/>
      <c r="E21" s="315"/>
      <c r="F21" s="315"/>
      <c r="G21" s="315"/>
      <c r="H21" s="315"/>
      <c r="I21" s="315"/>
      <c r="J21" s="315"/>
      <c r="K21" s="315"/>
      <c r="L21" s="315"/>
      <c r="M21" s="315"/>
      <c r="N21" s="315"/>
      <c r="O21" s="315"/>
      <c r="P21" s="315"/>
      <c r="Q21" s="315"/>
      <c r="R21" s="315"/>
      <c r="S21" s="315"/>
      <c r="T21" s="315"/>
      <c r="U21" s="315"/>
      <c r="V21" s="315"/>
      <c r="W21" s="315"/>
      <c r="X21" s="315"/>
      <c r="Y21" s="315"/>
      <c r="Z21" s="315"/>
    </row>
    <row r="22">
      <c r="A22" s="315"/>
      <c r="B22" s="315"/>
      <c r="C22" s="315"/>
      <c r="D22" s="315"/>
      <c r="E22" s="315"/>
      <c r="F22" s="315"/>
      <c r="G22" s="315"/>
      <c r="H22" s="315"/>
      <c r="I22" s="315"/>
      <c r="J22" s="315"/>
      <c r="K22" s="315"/>
      <c r="L22" s="315"/>
      <c r="M22" s="315"/>
      <c r="N22" s="315"/>
      <c r="O22" s="315"/>
      <c r="P22" s="315"/>
      <c r="Q22" s="315"/>
      <c r="R22" s="315"/>
      <c r="S22" s="315"/>
      <c r="T22" s="315"/>
      <c r="U22" s="315"/>
      <c r="V22" s="315"/>
      <c r="W22" s="315"/>
      <c r="X22" s="315"/>
      <c r="Y22" s="315"/>
      <c r="Z22" s="315"/>
    </row>
    <row r="23">
      <c r="A23" s="315"/>
      <c r="B23" s="315"/>
      <c r="C23" s="315"/>
      <c r="D23" s="315"/>
      <c r="E23" s="315"/>
      <c r="F23" s="315"/>
      <c r="G23" s="315"/>
      <c r="H23" s="315"/>
      <c r="I23" s="315"/>
      <c r="J23" s="315"/>
      <c r="K23" s="315"/>
      <c r="L23" s="315"/>
      <c r="M23" s="315"/>
      <c r="N23" s="315"/>
      <c r="O23" s="315"/>
      <c r="P23" s="315"/>
      <c r="Q23" s="315"/>
      <c r="R23" s="315"/>
      <c r="S23" s="315"/>
      <c r="T23" s="315"/>
      <c r="U23" s="315"/>
      <c r="V23" s="315"/>
      <c r="W23" s="315"/>
      <c r="X23" s="315"/>
      <c r="Y23" s="315"/>
      <c r="Z23" s="315"/>
    </row>
    <row r="24">
      <c r="A24" s="315"/>
      <c r="B24" s="315"/>
      <c r="C24" s="315"/>
      <c r="D24" s="315"/>
      <c r="E24" s="315"/>
      <c r="F24" s="315"/>
      <c r="G24" s="315"/>
      <c r="H24" s="315"/>
      <c r="I24" s="315"/>
      <c r="J24" s="315"/>
      <c r="K24" s="315"/>
      <c r="L24" s="315"/>
      <c r="M24" s="315"/>
      <c r="N24" s="315"/>
      <c r="O24" s="315"/>
      <c r="P24" s="315"/>
      <c r="Q24" s="315"/>
      <c r="R24" s="315"/>
      <c r="S24" s="315"/>
      <c r="T24" s="315"/>
      <c r="U24" s="315"/>
      <c r="V24" s="315"/>
      <c r="W24" s="315"/>
      <c r="X24" s="315"/>
      <c r="Y24" s="315"/>
      <c r="Z24" s="315"/>
    </row>
    <row r="25">
      <c r="A25" s="315"/>
      <c r="B25" s="315"/>
      <c r="C25" s="315"/>
      <c r="D25" s="315"/>
      <c r="E25" s="315"/>
      <c r="F25" s="315"/>
      <c r="G25" s="315"/>
      <c r="H25" s="315"/>
      <c r="I25" s="315"/>
      <c r="J25" s="315"/>
      <c r="K25" s="315"/>
      <c r="L25" s="315"/>
      <c r="M25" s="315"/>
      <c r="N25" s="315"/>
      <c r="O25" s="315"/>
      <c r="P25" s="315"/>
      <c r="Q25" s="315"/>
      <c r="R25" s="315"/>
      <c r="S25" s="315"/>
      <c r="T25" s="315"/>
      <c r="U25" s="315"/>
      <c r="V25" s="315"/>
      <c r="W25" s="315"/>
      <c r="X25" s="315"/>
      <c r="Y25" s="315"/>
      <c r="Z25" s="315"/>
    </row>
    <row r="26">
      <c r="A26" s="315"/>
      <c r="B26" s="315"/>
      <c r="C26" s="315"/>
      <c r="D26" s="315"/>
      <c r="E26" s="315"/>
      <c r="F26" s="315"/>
      <c r="G26" s="315"/>
      <c r="H26" s="315"/>
      <c r="I26" s="315"/>
      <c r="J26" s="315"/>
      <c r="K26" s="315"/>
      <c r="L26" s="315"/>
      <c r="M26" s="315"/>
      <c r="N26" s="315"/>
      <c r="O26" s="315"/>
      <c r="P26" s="315"/>
      <c r="Q26" s="315"/>
      <c r="R26" s="315"/>
      <c r="S26" s="315"/>
      <c r="T26" s="315"/>
      <c r="U26" s="315"/>
      <c r="V26" s="315"/>
      <c r="W26" s="315"/>
      <c r="X26" s="315"/>
      <c r="Y26" s="315"/>
      <c r="Z26" s="315"/>
    </row>
    <row r="27">
      <c r="A27" s="315"/>
      <c r="B27" s="315"/>
      <c r="C27" s="315"/>
      <c r="D27" s="315"/>
      <c r="E27" s="315"/>
      <c r="F27" s="315"/>
      <c r="G27" s="315"/>
      <c r="H27" s="315"/>
      <c r="I27" s="315"/>
      <c r="J27" s="315"/>
      <c r="K27" s="315"/>
      <c r="L27" s="315"/>
      <c r="M27" s="315"/>
      <c r="N27" s="315"/>
      <c r="O27" s="315"/>
      <c r="P27" s="315"/>
      <c r="Q27" s="315"/>
      <c r="R27" s="315"/>
      <c r="S27" s="315"/>
      <c r="T27" s="315"/>
      <c r="U27" s="315"/>
      <c r="V27" s="315"/>
      <c r="W27" s="315"/>
      <c r="X27" s="315"/>
      <c r="Y27" s="315"/>
      <c r="Z27" s="315"/>
    </row>
    <row r="28">
      <c r="A28" s="315"/>
      <c r="B28" s="315"/>
      <c r="C28" s="315"/>
      <c r="D28" s="315"/>
      <c r="E28" s="315"/>
      <c r="F28" s="315"/>
      <c r="G28" s="315"/>
      <c r="H28" s="315"/>
      <c r="I28" s="315"/>
      <c r="J28" s="315"/>
      <c r="K28" s="315"/>
      <c r="L28" s="315"/>
      <c r="M28" s="315"/>
      <c r="N28" s="315"/>
      <c r="O28" s="315"/>
      <c r="P28" s="315"/>
      <c r="Q28" s="315"/>
      <c r="R28" s="315"/>
      <c r="S28" s="315"/>
      <c r="T28" s="315"/>
      <c r="U28" s="315"/>
      <c r="V28" s="315"/>
      <c r="W28" s="315"/>
      <c r="X28" s="315"/>
      <c r="Y28" s="315"/>
      <c r="Z28" s="315"/>
    </row>
    <row r="29">
      <c r="A29" s="315"/>
      <c r="B29" s="315"/>
      <c r="C29" s="315"/>
      <c r="D29" s="315"/>
      <c r="E29" s="315"/>
      <c r="F29" s="315"/>
      <c r="G29" s="315"/>
      <c r="H29" s="315"/>
      <c r="I29" s="315"/>
      <c r="J29" s="315"/>
      <c r="K29" s="315"/>
      <c r="L29" s="315"/>
      <c r="M29" s="315"/>
      <c r="N29" s="315"/>
      <c r="O29" s="315"/>
      <c r="P29" s="315"/>
      <c r="Q29" s="315"/>
      <c r="R29" s="315"/>
      <c r="S29" s="315"/>
      <c r="T29" s="315"/>
      <c r="U29" s="315"/>
      <c r="V29" s="315"/>
      <c r="W29" s="315"/>
      <c r="X29" s="315"/>
      <c r="Y29" s="315"/>
      <c r="Z29" s="315"/>
    </row>
    <row r="30">
      <c r="A30" s="315"/>
      <c r="B30" s="315"/>
      <c r="C30" s="315"/>
      <c r="D30" s="315"/>
      <c r="E30" s="315"/>
      <c r="F30" s="315"/>
      <c r="G30" s="315"/>
      <c r="H30" s="315"/>
      <c r="I30" s="315"/>
      <c r="J30" s="315"/>
      <c r="K30" s="315"/>
      <c r="L30" s="315"/>
      <c r="M30" s="315"/>
      <c r="N30" s="315"/>
      <c r="O30" s="315"/>
      <c r="P30" s="315"/>
      <c r="Q30" s="315"/>
      <c r="R30" s="315"/>
      <c r="S30" s="315"/>
      <c r="T30" s="315"/>
      <c r="U30" s="315"/>
      <c r="V30" s="315"/>
      <c r="W30" s="315"/>
      <c r="X30" s="315"/>
      <c r="Y30" s="315"/>
      <c r="Z30" s="315"/>
    </row>
    <row r="31">
      <c r="A31" s="315"/>
      <c r="B31" s="315"/>
      <c r="C31" s="315"/>
      <c r="D31" s="315"/>
      <c r="E31" s="315"/>
      <c r="F31" s="315"/>
      <c r="G31" s="315"/>
      <c r="H31" s="315"/>
      <c r="I31" s="315"/>
      <c r="J31" s="315"/>
      <c r="K31" s="315"/>
      <c r="L31" s="315"/>
      <c r="M31" s="315"/>
      <c r="N31" s="315"/>
      <c r="O31" s="315"/>
      <c r="P31" s="315"/>
      <c r="Q31" s="315"/>
      <c r="R31" s="315"/>
      <c r="S31" s="315"/>
      <c r="T31" s="315"/>
      <c r="U31" s="315"/>
      <c r="V31" s="315"/>
      <c r="W31" s="315"/>
      <c r="X31" s="315"/>
      <c r="Y31" s="315"/>
      <c r="Z31" s="315"/>
    </row>
    <row r="32">
      <c r="A32" s="315"/>
      <c r="B32" s="315"/>
      <c r="C32" s="315"/>
      <c r="D32" s="315"/>
      <c r="E32" s="315"/>
      <c r="F32" s="315"/>
      <c r="G32" s="315"/>
      <c r="H32" s="315"/>
      <c r="I32" s="315"/>
      <c r="J32" s="315"/>
      <c r="K32" s="315"/>
      <c r="L32" s="315"/>
      <c r="M32" s="315"/>
      <c r="N32" s="315"/>
      <c r="O32" s="315"/>
      <c r="P32" s="315"/>
      <c r="Q32" s="315"/>
      <c r="R32" s="315"/>
      <c r="S32" s="315"/>
      <c r="T32" s="315"/>
      <c r="U32" s="315"/>
      <c r="V32" s="315"/>
      <c r="W32" s="315"/>
      <c r="X32" s="315"/>
      <c r="Y32" s="315"/>
      <c r="Z32" s="315"/>
    </row>
    <row r="33">
      <c r="A33" s="315"/>
      <c r="B33" s="315"/>
      <c r="C33" s="315"/>
      <c r="D33" s="315"/>
      <c r="E33" s="315"/>
      <c r="F33" s="315"/>
      <c r="G33" s="315"/>
      <c r="H33" s="315"/>
      <c r="I33" s="315"/>
      <c r="J33" s="315"/>
      <c r="K33" s="315"/>
      <c r="L33" s="315"/>
      <c r="M33" s="315"/>
      <c r="N33" s="315"/>
      <c r="O33" s="315"/>
      <c r="P33" s="315"/>
      <c r="Q33" s="315"/>
      <c r="R33" s="315"/>
      <c r="S33" s="315"/>
      <c r="T33" s="315"/>
      <c r="U33" s="315"/>
      <c r="V33" s="315"/>
      <c r="W33" s="315"/>
      <c r="X33" s="315"/>
      <c r="Y33" s="315"/>
      <c r="Z33" s="315"/>
    </row>
    <row r="34">
      <c r="A34" s="315"/>
      <c r="B34" s="315"/>
      <c r="C34" s="315"/>
      <c r="D34" s="315"/>
      <c r="E34" s="315"/>
      <c r="F34" s="315"/>
      <c r="G34" s="315"/>
      <c r="H34" s="315"/>
      <c r="I34" s="315"/>
      <c r="J34" s="315"/>
      <c r="K34" s="315"/>
      <c r="L34" s="315"/>
      <c r="M34" s="315"/>
      <c r="N34" s="315"/>
      <c r="O34" s="315"/>
      <c r="P34" s="315"/>
      <c r="Q34" s="315"/>
      <c r="R34" s="315"/>
      <c r="S34" s="315"/>
      <c r="T34" s="315"/>
      <c r="U34" s="315"/>
      <c r="V34" s="315"/>
      <c r="W34" s="315"/>
      <c r="X34" s="315"/>
      <c r="Y34" s="315"/>
      <c r="Z34" s="315"/>
    </row>
    <row r="35">
      <c r="A35" s="315"/>
      <c r="B35" s="315"/>
      <c r="C35" s="315"/>
      <c r="D35" s="315"/>
      <c r="E35" s="315"/>
      <c r="F35" s="315"/>
      <c r="G35" s="315"/>
      <c r="H35" s="315"/>
      <c r="I35" s="315"/>
      <c r="J35" s="315"/>
      <c r="K35" s="315"/>
      <c r="L35" s="315"/>
      <c r="M35" s="315"/>
      <c r="N35" s="315"/>
      <c r="O35" s="315"/>
      <c r="P35" s="315"/>
      <c r="Q35" s="315"/>
      <c r="R35" s="315"/>
      <c r="S35" s="315"/>
      <c r="T35" s="315"/>
      <c r="U35" s="315"/>
      <c r="V35" s="315"/>
      <c r="W35" s="315"/>
      <c r="X35" s="315"/>
      <c r="Y35" s="315"/>
      <c r="Z35" s="315"/>
    </row>
    <row r="36">
      <c r="A36" s="315"/>
      <c r="B36" s="315"/>
      <c r="C36" s="315"/>
      <c r="D36" s="315"/>
      <c r="E36" s="315"/>
      <c r="F36" s="315"/>
      <c r="G36" s="315"/>
      <c r="H36" s="315"/>
      <c r="I36" s="315"/>
      <c r="J36" s="315"/>
      <c r="K36" s="315"/>
      <c r="L36" s="315"/>
      <c r="M36" s="315"/>
      <c r="N36" s="315"/>
      <c r="O36" s="315"/>
      <c r="P36" s="315"/>
      <c r="Q36" s="315"/>
      <c r="R36" s="315"/>
      <c r="S36" s="315"/>
      <c r="T36" s="315"/>
      <c r="U36" s="315"/>
      <c r="V36" s="315"/>
      <c r="W36" s="315"/>
      <c r="X36" s="315"/>
      <c r="Y36" s="315"/>
      <c r="Z36" s="315"/>
    </row>
    <row r="37">
      <c r="A37" s="315"/>
      <c r="B37" s="315"/>
      <c r="C37" s="315"/>
      <c r="D37" s="315"/>
      <c r="E37" s="315"/>
      <c r="F37" s="315"/>
      <c r="G37" s="315"/>
      <c r="H37" s="315"/>
      <c r="I37" s="315"/>
      <c r="J37" s="315"/>
      <c r="K37" s="315"/>
      <c r="L37" s="315"/>
      <c r="M37" s="315"/>
      <c r="N37" s="315"/>
      <c r="O37" s="315"/>
      <c r="P37" s="315"/>
      <c r="Q37" s="315"/>
      <c r="R37" s="315"/>
      <c r="S37" s="315"/>
      <c r="T37" s="315"/>
      <c r="U37" s="315"/>
      <c r="V37" s="315"/>
      <c r="W37" s="315"/>
      <c r="X37" s="315"/>
      <c r="Y37" s="315"/>
      <c r="Z37" s="315"/>
    </row>
    <row r="38">
      <c r="A38" s="315"/>
      <c r="B38" s="315"/>
      <c r="C38" s="315"/>
      <c r="D38" s="315"/>
      <c r="E38" s="315"/>
      <c r="F38" s="315"/>
      <c r="G38" s="315"/>
      <c r="H38" s="315"/>
      <c r="I38" s="315"/>
      <c r="J38" s="315"/>
      <c r="K38" s="315"/>
      <c r="L38" s="315"/>
      <c r="M38" s="315"/>
      <c r="N38" s="315"/>
      <c r="O38" s="315"/>
      <c r="P38" s="315"/>
      <c r="Q38" s="315"/>
      <c r="R38" s="315"/>
      <c r="S38" s="315"/>
      <c r="T38" s="315"/>
      <c r="U38" s="315"/>
      <c r="V38" s="315"/>
      <c r="W38" s="315"/>
      <c r="X38" s="315"/>
      <c r="Y38" s="315"/>
      <c r="Z38" s="315"/>
    </row>
    <row r="39">
      <c r="A39" s="315"/>
      <c r="B39" s="315"/>
      <c r="C39" s="315"/>
      <c r="D39" s="315"/>
      <c r="E39" s="315"/>
      <c r="F39" s="315"/>
      <c r="G39" s="315"/>
      <c r="H39" s="315"/>
      <c r="I39" s="315"/>
      <c r="J39" s="315"/>
      <c r="K39" s="315"/>
      <c r="L39" s="315"/>
      <c r="M39" s="315"/>
      <c r="N39" s="315"/>
      <c r="O39" s="315"/>
      <c r="P39" s="315"/>
      <c r="Q39" s="315"/>
      <c r="R39" s="315"/>
      <c r="S39" s="315"/>
      <c r="T39" s="315"/>
      <c r="U39" s="315"/>
      <c r="V39" s="315"/>
      <c r="W39" s="315"/>
      <c r="X39" s="315"/>
      <c r="Y39" s="315"/>
      <c r="Z39" s="315"/>
    </row>
    <row r="40">
      <c r="A40" s="315"/>
      <c r="B40" s="315"/>
      <c r="C40" s="315"/>
      <c r="D40" s="315"/>
      <c r="E40" s="315"/>
      <c r="F40" s="315"/>
      <c r="G40" s="315"/>
      <c r="H40" s="315"/>
      <c r="I40" s="315"/>
      <c r="J40" s="315"/>
      <c r="K40" s="315"/>
      <c r="L40" s="315"/>
      <c r="M40" s="315"/>
      <c r="N40" s="315"/>
      <c r="O40" s="315"/>
      <c r="P40" s="315"/>
      <c r="Q40" s="315"/>
      <c r="R40" s="315"/>
      <c r="S40" s="315"/>
      <c r="T40" s="315"/>
      <c r="U40" s="315"/>
      <c r="V40" s="315"/>
      <c r="W40" s="315"/>
      <c r="X40" s="315"/>
      <c r="Y40" s="315"/>
      <c r="Z40" s="315"/>
    </row>
    <row r="41">
      <c r="A41" s="315"/>
      <c r="B41" s="315"/>
      <c r="C41" s="315"/>
      <c r="D41" s="315"/>
      <c r="E41" s="315"/>
      <c r="F41" s="315"/>
      <c r="G41" s="315"/>
      <c r="H41" s="315"/>
      <c r="I41" s="315"/>
      <c r="J41" s="315"/>
      <c r="K41" s="315"/>
      <c r="L41" s="315"/>
      <c r="M41" s="315"/>
      <c r="N41" s="315"/>
      <c r="O41" s="315"/>
      <c r="P41" s="315"/>
      <c r="Q41" s="315"/>
      <c r="R41" s="315"/>
      <c r="S41" s="315"/>
      <c r="T41" s="315"/>
      <c r="U41" s="315"/>
      <c r="V41" s="315"/>
      <c r="W41" s="315"/>
      <c r="X41" s="315"/>
      <c r="Y41" s="315"/>
      <c r="Z41" s="315"/>
    </row>
    <row r="42">
      <c r="A42" s="315"/>
      <c r="B42" s="315"/>
      <c r="C42" s="315"/>
      <c r="D42" s="315"/>
      <c r="E42" s="315"/>
      <c r="F42" s="315"/>
      <c r="G42" s="315"/>
      <c r="H42" s="315"/>
      <c r="I42" s="315"/>
      <c r="J42" s="315"/>
      <c r="K42" s="315"/>
      <c r="L42" s="315"/>
      <c r="M42" s="315"/>
      <c r="N42" s="315"/>
      <c r="O42" s="315"/>
      <c r="P42" s="315"/>
      <c r="Q42" s="315"/>
      <c r="R42" s="315"/>
      <c r="S42" s="315"/>
      <c r="T42" s="315"/>
      <c r="U42" s="315"/>
      <c r="V42" s="315"/>
      <c r="W42" s="315"/>
      <c r="X42" s="315"/>
      <c r="Y42" s="315"/>
      <c r="Z42" s="315"/>
    </row>
    <row r="43">
      <c r="A43" s="315"/>
      <c r="B43" s="315"/>
      <c r="C43" s="315"/>
      <c r="D43" s="315"/>
      <c r="E43" s="315"/>
      <c r="F43" s="315"/>
      <c r="G43" s="315"/>
      <c r="H43" s="315"/>
      <c r="I43" s="315"/>
      <c r="J43" s="315"/>
      <c r="K43" s="315"/>
      <c r="L43" s="315"/>
      <c r="M43" s="315"/>
      <c r="N43" s="315"/>
      <c r="O43" s="315"/>
      <c r="P43" s="315"/>
      <c r="Q43" s="315"/>
      <c r="R43" s="315"/>
      <c r="S43" s="315"/>
      <c r="T43" s="315"/>
      <c r="U43" s="315"/>
      <c r="V43" s="315"/>
      <c r="W43" s="315"/>
      <c r="X43" s="315"/>
      <c r="Y43" s="315"/>
      <c r="Z43" s="315"/>
    </row>
    <row r="44">
      <c r="A44" s="315"/>
      <c r="B44" s="315"/>
      <c r="C44" s="315"/>
      <c r="D44" s="315"/>
      <c r="E44" s="315"/>
      <c r="F44" s="315"/>
      <c r="G44" s="315"/>
      <c r="H44" s="315"/>
      <c r="I44" s="315"/>
      <c r="J44" s="315"/>
      <c r="K44" s="315"/>
      <c r="L44" s="315"/>
      <c r="M44" s="315"/>
      <c r="N44" s="315"/>
      <c r="O44" s="315"/>
      <c r="P44" s="315"/>
      <c r="Q44" s="315"/>
      <c r="R44" s="315"/>
      <c r="S44" s="315"/>
      <c r="T44" s="315"/>
      <c r="U44" s="315"/>
      <c r="V44" s="315"/>
      <c r="W44" s="315"/>
      <c r="X44" s="315"/>
      <c r="Y44" s="315"/>
      <c r="Z44" s="315"/>
    </row>
    <row r="45">
      <c r="A45" s="315"/>
      <c r="B45" s="315"/>
      <c r="C45" s="315"/>
      <c r="D45" s="315"/>
      <c r="E45" s="315"/>
      <c r="F45" s="315"/>
      <c r="G45" s="315"/>
      <c r="H45" s="315"/>
      <c r="I45" s="315"/>
      <c r="J45" s="315"/>
      <c r="K45" s="315"/>
      <c r="L45" s="315"/>
      <c r="M45" s="315"/>
      <c r="N45" s="315"/>
      <c r="O45" s="315"/>
      <c r="P45" s="315"/>
      <c r="Q45" s="315"/>
      <c r="R45" s="315"/>
      <c r="S45" s="315"/>
      <c r="T45" s="315"/>
      <c r="U45" s="315"/>
      <c r="V45" s="315"/>
      <c r="W45" s="315"/>
      <c r="X45" s="315"/>
      <c r="Y45" s="315"/>
      <c r="Z45" s="315"/>
    </row>
    <row r="46">
      <c r="A46" s="315"/>
      <c r="B46" s="315"/>
      <c r="C46" s="315"/>
      <c r="D46" s="315"/>
      <c r="E46" s="315"/>
      <c r="F46" s="315"/>
      <c r="G46" s="315"/>
      <c r="H46" s="315"/>
      <c r="I46" s="315"/>
      <c r="J46" s="315"/>
      <c r="K46" s="315"/>
      <c r="L46" s="315"/>
      <c r="M46" s="315"/>
      <c r="N46" s="315"/>
      <c r="O46" s="315"/>
      <c r="P46" s="315"/>
      <c r="Q46" s="315"/>
      <c r="R46" s="315"/>
      <c r="S46" s="315"/>
      <c r="T46" s="315"/>
      <c r="U46" s="315"/>
      <c r="V46" s="315"/>
      <c r="W46" s="315"/>
      <c r="X46" s="315"/>
      <c r="Y46" s="315"/>
      <c r="Z46" s="315"/>
    </row>
    <row r="47">
      <c r="A47" s="315"/>
      <c r="B47" s="315"/>
      <c r="C47" s="315"/>
      <c r="D47" s="315"/>
      <c r="E47" s="315"/>
      <c r="F47" s="315"/>
      <c r="G47" s="315"/>
      <c r="H47" s="315"/>
      <c r="I47" s="315"/>
      <c r="J47" s="315"/>
      <c r="K47" s="315"/>
      <c r="L47" s="315"/>
      <c r="M47" s="315"/>
      <c r="N47" s="315"/>
      <c r="O47" s="315"/>
      <c r="P47" s="315"/>
      <c r="Q47" s="315"/>
      <c r="R47" s="315"/>
      <c r="S47" s="315"/>
      <c r="T47" s="315"/>
      <c r="U47" s="315"/>
      <c r="V47" s="315"/>
      <c r="W47" s="315"/>
      <c r="X47" s="315"/>
      <c r="Y47" s="315"/>
      <c r="Z47" s="315"/>
    </row>
    <row r="48">
      <c r="A48" s="315"/>
      <c r="B48" s="315"/>
      <c r="C48" s="315"/>
      <c r="D48" s="315"/>
      <c r="E48" s="315"/>
      <c r="F48" s="315"/>
      <c r="G48" s="315"/>
      <c r="H48" s="315"/>
      <c r="I48" s="315"/>
      <c r="J48" s="315"/>
      <c r="K48" s="315"/>
      <c r="L48" s="315"/>
      <c r="M48" s="315"/>
      <c r="N48" s="315"/>
      <c r="O48" s="315"/>
      <c r="P48" s="315"/>
      <c r="Q48" s="315"/>
      <c r="R48" s="315"/>
      <c r="S48" s="315"/>
      <c r="T48" s="315"/>
      <c r="U48" s="315"/>
      <c r="V48" s="315"/>
      <c r="W48" s="315"/>
      <c r="X48" s="315"/>
      <c r="Y48" s="315"/>
      <c r="Z48" s="315"/>
    </row>
    <row r="49">
      <c r="A49" s="315"/>
      <c r="B49" s="315"/>
      <c r="C49" s="315"/>
      <c r="D49" s="315"/>
      <c r="E49" s="315"/>
      <c r="F49" s="315"/>
      <c r="G49" s="315"/>
      <c r="H49" s="315"/>
      <c r="I49" s="315"/>
      <c r="J49" s="315"/>
      <c r="K49" s="315"/>
      <c r="L49" s="315"/>
      <c r="M49" s="315"/>
      <c r="N49" s="315"/>
      <c r="O49" s="315"/>
      <c r="P49" s="315"/>
      <c r="Q49" s="315"/>
      <c r="R49" s="315"/>
      <c r="S49" s="315"/>
      <c r="T49" s="315"/>
      <c r="U49" s="315"/>
      <c r="V49" s="315"/>
      <c r="W49" s="315"/>
      <c r="X49" s="315"/>
      <c r="Y49" s="315"/>
      <c r="Z49" s="315"/>
    </row>
    <row r="50">
      <c r="A50" s="315"/>
      <c r="B50" s="315"/>
      <c r="C50" s="315"/>
      <c r="D50" s="315"/>
      <c r="E50" s="315"/>
      <c r="F50" s="315"/>
      <c r="G50" s="315"/>
      <c r="H50" s="315"/>
      <c r="I50" s="315"/>
      <c r="J50" s="315"/>
      <c r="K50" s="315"/>
      <c r="L50" s="315"/>
      <c r="M50" s="315"/>
      <c r="N50" s="315"/>
      <c r="O50" s="315"/>
      <c r="P50" s="315"/>
      <c r="Q50" s="315"/>
      <c r="R50" s="315"/>
      <c r="S50" s="315"/>
      <c r="T50" s="315"/>
      <c r="U50" s="315"/>
      <c r="V50" s="315"/>
      <c r="W50" s="315"/>
      <c r="X50" s="315"/>
      <c r="Y50" s="315"/>
      <c r="Z50" s="315"/>
    </row>
    <row r="51">
      <c r="A51" s="315"/>
      <c r="B51" s="315"/>
      <c r="C51" s="315"/>
      <c r="D51" s="315"/>
      <c r="E51" s="315"/>
      <c r="F51" s="315"/>
      <c r="G51" s="315"/>
      <c r="H51" s="315"/>
      <c r="I51" s="315"/>
      <c r="J51" s="315"/>
      <c r="K51" s="315"/>
      <c r="L51" s="315"/>
      <c r="M51" s="315"/>
      <c r="N51" s="315"/>
      <c r="O51" s="315"/>
      <c r="P51" s="315"/>
      <c r="Q51" s="315"/>
      <c r="R51" s="315"/>
      <c r="S51" s="315"/>
      <c r="T51" s="315"/>
      <c r="U51" s="315"/>
      <c r="V51" s="315"/>
      <c r="W51" s="315"/>
      <c r="X51" s="315"/>
      <c r="Y51" s="315"/>
      <c r="Z51" s="315"/>
    </row>
    <row r="52">
      <c r="A52" s="315"/>
      <c r="B52" s="315"/>
      <c r="C52" s="315"/>
      <c r="D52" s="315"/>
      <c r="E52" s="315"/>
      <c r="F52" s="315"/>
      <c r="G52" s="315"/>
      <c r="H52" s="315"/>
      <c r="I52" s="315"/>
      <c r="J52" s="315"/>
      <c r="K52" s="315"/>
      <c r="L52" s="315"/>
      <c r="M52" s="315"/>
      <c r="N52" s="315"/>
      <c r="O52" s="315"/>
      <c r="P52" s="315"/>
      <c r="Q52" s="315"/>
      <c r="R52" s="315"/>
      <c r="S52" s="315"/>
      <c r="T52" s="315"/>
      <c r="U52" s="315"/>
      <c r="V52" s="315"/>
      <c r="W52" s="315"/>
      <c r="X52" s="315"/>
      <c r="Y52" s="315"/>
      <c r="Z52" s="315"/>
    </row>
    <row r="53">
      <c r="A53" s="315"/>
      <c r="B53" s="315"/>
      <c r="C53" s="315"/>
      <c r="D53" s="315"/>
      <c r="E53" s="315"/>
      <c r="F53" s="315"/>
      <c r="G53" s="315"/>
      <c r="H53" s="315"/>
      <c r="I53" s="315"/>
      <c r="J53" s="315"/>
      <c r="K53" s="315"/>
      <c r="L53" s="315"/>
      <c r="M53" s="315"/>
      <c r="N53" s="315"/>
      <c r="O53" s="315"/>
      <c r="P53" s="315"/>
      <c r="Q53" s="315"/>
      <c r="R53" s="315"/>
      <c r="S53" s="315"/>
      <c r="T53" s="315"/>
      <c r="U53" s="315"/>
      <c r="V53" s="315"/>
      <c r="W53" s="315"/>
      <c r="X53" s="315"/>
      <c r="Y53" s="315"/>
      <c r="Z53" s="315"/>
    </row>
    <row r="54">
      <c r="A54" s="315"/>
      <c r="B54" s="315"/>
      <c r="C54" s="315"/>
      <c r="D54" s="315"/>
      <c r="E54" s="315"/>
      <c r="F54" s="315"/>
      <c r="G54" s="315"/>
      <c r="H54" s="315"/>
      <c r="I54" s="315"/>
      <c r="J54" s="315"/>
      <c r="K54" s="315"/>
      <c r="L54" s="315"/>
      <c r="M54" s="315"/>
      <c r="N54" s="315"/>
      <c r="O54" s="315"/>
      <c r="P54" s="315"/>
      <c r="Q54" s="315"/>
      <c r="R54" s="315"/>
      <c r="S54" s="315"/>
      <c r="T54" s="315"/>
      <c r="U54" s="315"/>
      <c r="V54" s="315"/>
      <c r="W54" s="315"/>
      <c r="X54" s="315"/>
      <c r="Y54" s="315"/>
      <c r="Z54" s="315"/>
    </row>
    <row r="55">
      <c r="A55" s="315"/>
      <c r="B55" s="315"/>
      <c r="C55" s="315"/>
      <c r="D55" s="315"/>
      <c r="E55" s="315"/>
      <c r="F55" s="315"/>
      <c r="G55" s="315"/>
      <c r="H55" s="315"/>
      <c r="I55" s="315"/>
      <c r="J55" s="315"/>
      <c r="K55" s="315"/>
      <c r="L55" s="315"/>
      <c r="M55" s="315"/>
      <c r="N55" s="315"/>
      <c r="O55" s="315"/>
      <c r="P55" s="315"/>
      <c r="Q55" s="315"/>
      <c r="R55" s="315"/>
      <c r="S55" s="315"/>
      <c r="T55" s="315"/>
      <c r="U55" s="315"/>
      <c r="V55" s="315"/>
      <c r="W55" s="315"/>
      <c r="X55" s="315"/>
      <c r="Y55" s="315"/>
      <c r="Z55" s="315"/>
    </row>
    <row r="56">
      <c r="A56" s="315"/>
      <c r="B56" s="315"/>
      <c r="C56" s="315"/>
      <c r="D56" s="315"/>
      <c r="E56" s="315"/>
      <c r="F56" s="315"/>
      <c r="G56" s="315"/>
      <c r="H56" s="315"/>
      <c r="I56" s="315"/>
      <c r="J56" s="315"/>
      <c r="K56" s="315"/>
      <c r="L56" s="315"/>
      <c r="M56" s="315"/>
      <c r="N56" s="315"/>
      <c r="O56" s="315"/>
      <c r="P56" s="315"/>
      <c r="Q56" s="315"/>
      <c r="R56" s="315"/>
      <c r="S56" s="315"/>
      <c r="T56" s="315"/>
      <c r="U56" s="315"/>
      <c r="V56" s="315"/>
      <c r="W56" s="315"/>
      <c r="X56" s="315"/>
      <c r="Y56" s="315"/>
      <c r="Z56" s="315"/>
    </row>
    <row r="57">
      <c r="A57" s="315"/>
      <c r="B57" s="315"/>
      <c r="C57" s="315"/>
      <c r="D57" s="315"/>
      <c r="E57" s="315"/>
      <c r="F57" s="315"/>
      <c r="G57" s="315"/>
      <c r="H57" s="315"/>
      <c r="I57" s="315"/>
      <c r="J57" s="315"/>
      <c r="K57" s="315"/>
      <c r="L57" s="315"/>
      <c r="M57" s="315"/>
      <c r="N57" s="315"/>
      <c r="O57" s="315"/>
      <c r="P57" s="315"/>
      <c r="Q57" s="315"/>
      <c r="R57" s="315"/>
      <c r="S57" s="315"/>
      <c r="T57" s="315"/>
      <c r="U57" s="315"/>
      <c r="V57" s="315"/>
      <c r="W57" s="315"/>
      <c r="X57" s="315"/>
      <c r="Y57" s="315"/>
      <c r="Z57" s="315"/>
    </row>
    <row r="58">
      <c r="A58" s="315"/>
      <c r="B58" s="315"/>
      <c r="C58" s="315"/>
      <c r="D58" s="315"/>
      <c r="E58" s="315"/>
      <c r="F58" s="315"/>
      <c r="G58" s="315"/>
      <c r="H58" s="315"/>
      <c r="I58" s="315"/>
      <c r="J58" s="315"/>
      <c r="K58" s="315"/>
      <c r="L58" s="315"/>
      <c r="M58" s="315"/>
      <c r="N58" s="315"/>
      <c r="O58" s="315"/>
      <c r="P58" s="315"/>
      <c r="Q58" s="315"/>
      <c r="R58" s="315"/>
      <c r="S58" s="315"/>
      <c r="T58" s="315"/>
      <c r="U58" s="315"/>
      <c r="V58" s="315"/>
      <c r="W58" s="315"/>
      <c r="X58" s="315"/>
      <c r="Y58" s="315"/>
      <c r="Z58" s="315"/>
    </row>
    <row r="59">
      <c r="A59" s="315"/>
      <c r="B59" s="315"/>
      <c r="C59" s="315"/>
      <c r="D59" s="315"/>
      <c r="E59" s="315"/>
      <c r="F59" s="315"/>
      <c r="G59" s="315"/>
      <c r="H59" s="315"/>
      <c r="I59" s="315"/>
      <c r="J59" s="315"/>
      <c r="K59" s="315"/>
      <c r="L59" s="315"/>
      <c r="M59" s="315"/>
      <c r="N59" s="315"/>
      <c r="O59" s="315"/>
      <c r="P59" s="315"/>
      <c r="Q59" s="315"/>
      <c r="R59" s="315"/>
      <c r="S59" s="315"/>
      <c r="T59" s="315"/>
      <c r="U59" s="315"/>
      <c r="V59" s="315"/>
      <c r="W59" s="315"/>
      <c r="X59" s="315"/>
      <c r="Y59" s="315"/>
      <c r="Z59" s="315"/>
    </row>
    <row r="60">
      <c r="A60" s="315"/>
      <c r="B60" s="315"/>
      <c r="C60" s="315"/>
      <c r="D60" s="315"/>
      <c r="E60" s="315"/>
      <c r="F60" s="315"/>
      <c r="G60" s="315"/>
      <c r="H60" s="315"/>
      <c r="I60" s="315"/>
      <c r="J60" s="315"/>
      <c r="K60" s="315"/>
      <c r="L60" s="315"/>
      <c r="M60" s="315"/>
      <c r="N60" s="315"/>
      <c r="O60" s="315"/>
      <c r="P60" s="315"/>
      <c r="Q60" s="315"/>
      <c r="R60" s="315"/>
      <c r="S60" s="315"/>
      <c r="T60" s="315"/>
      <c r="U60" s="315"/>
      <c r="V60" s="315"/>
      <c r="W60" s="315"/>
      <c r="X60" s="315"/>
      <c r="Y60" s="315"/>
      <c r="Z60" s="315"/>
    </row>
    <row r="61">
      <c r="A61" s="315"/>
      <c r="B61" s="315"/>
      <c r="C61" s="315"/>
      <c r="D61" s="315"/>
      <c r="E61" s="315"/>
      <c r="F61" s="315"/>
      <c r="G61" s="315"/>
      <c r="H61" s="315"/>
      <c r="I61" s="315"/>
      <c r="J61" s="315"/>
      <c r="K61" s="315"/>
      <c r="L61" s="315"/>
      <c r="M61" s="315"/>
      <c r="N61" s="315"/>
      <c r="O61" s="315"/>
      <c r="P61" s="315"/>
      <c r="Q61" s="315"/>
      <c r="R61" s="315"/>
      <c r="S61" s="315"/>
      <c r="T61" s="315"/>
      <c r="U61" s="315"/>
      <c r="V61" s="315"/>
      <c r="W61" s="315"/>
      <c r="X61" s="315"/>
      <c r="Y61" s="315"/>
      <c r="Z61" s="315"/>
    </row>
    <row r="62">
      <c r="A62" s="315"/>
      <c r="B62" s="315"/>
      <c r="C62" s="315"/>
      <c r="D62" s="315"/>
      <c r="E62" s="315"/>
      <c r="F62" s="315"/>
      <c r="G62" s="315"/>
      <c r="H62" s="315"/>
      <c r="I62" s="315"/>
      <c r="J62" s="315"/>
      <c r="K62" s="315"/>
      <c r="L62" s="315"/>
      <c r="M62" s="315"/>
      <c r="N62" s="315"/>
      <c r="O62" s="315"/>
      <c r="P62" s="315"/>
      <c r="Q62" s="315"/>
      <c r="R62" s="315"/>
      <c r="S62" s="315"/>
      <c r="T62" s="315"/>
      <c r="U62" s="315"/>
      <c r="V62" s="315"/>
      <c r="W62" s="315"/>
      <c r="X62" s="315"/>
      <c r="Y62" s="315"/>
      <c r="Z62" s="315"/>
    </row>
    <row r="63">
      <c r="A63" s="315"/>
      <c r="B63" s="315"/>
      <c r="C63" s="315"/>
      <c r="D63" s="315"/>
      <c r="E63" s="315"/>
      <c r="F63" s="315"/>
      <c r="G63" s="315"/>
      <c r="H63" s="315"/>
      <c r="I63" s="315"/>
      <c r="J63" s="315"/>
      <c r="K63" s="315"/>
      <c r="L63" s="315"/>
      <c r="M63" s="315"/>
      <c r="N63" s="315"/>
      <c r="O63" s="315"/>
      <c r="P63" s="315"/>
      <c r="Q63" s="315"/>
      <c r="R63" s="315"/>
      <c r="S63" s="315"/>
      <c r="T63" s="315"/>
      <c r="U63" s="315"/>
      <c r="V63" s="315"/>
      <c r="W63" s="315"/>
      <c r="X63" s="315"/>
      <c r="Y63" s="315"/>
      <c r="Z63" s="315"/>
    </row>
    <row r="64">
      <c r="A64" s="315"/>
      <c r="B64" s="315"/>
      <c r="C64" s="315"/>
      <c r="D64" s="315"/>
      <c r="E64" s="315"/>
      <c r="F64" s="315"/>
      <c r="G64" s="315"/>
      <c r="H64" s="315"/>
      <c r="I64" s="315"/>
      <c r="J64" s="315"/>
      <c r="K64" s="315"/>
      <c r="L64" s="315"/>
      <c r="M64" s="315"/>
      <c r="N64" s="315"/>
      <c r="O64" s="315"/>
      <c r="P64" s="315"/>
      <c r="Q64" s="315"/>
      <c r="R64" s="315"/>
      <c r="S64" s="315"/>
      <c r="T64" s="315"/>
      <c r="U64" s="315"/>
      <c r="V64" s="315"/>
      <c r="W64" s="315"/>
      <c r="X64" s="315"/>
      <c r="Y64" s="315"/>
      <c r="Z64" s="315"/>
    </row>
    <row r="65">
      <c r="A65" s="315"/>
      <c r="B65" s="315"/>
      <c r="C65" s="315"/>
      <c r="D65" s="315"/>
      <c r="E65" s="315"/>
      <c r="F65" s="315"/>
      <c r="G65" s="315"/>
      <c r="H65" s="315"/>
      <c r="I65" s="315"/>
      <c r="J65" s="315"/>
      <c r="K65" s="315"/>
      <c r="L65" s="315"/>
      <c r="M65" s="315"/>
      <c r="N65" s="315"/>
      <c r="O65" s="315"/>
      <c r="P65" s="315"/>
      <c r="Q65" s="315"/>
      <c r="R65" s="315"/>
      <c r="S65" s="315"/>
      <c r="T65" s="315"/>
      <c r="U65" s="315"/>
      <c r="V65" s="315"/>
      <c r="W65" s="315"/>
      <c r="X65" s="315"/>
      <c r="Y65" s="315"/>
      <c r="Z65" s="315"/>
    </row>
    <row r="66">
      <c r="A66" s="315"/>
      <c r="B66" s="315"/>
      <c r="C66" s="315"/>
      <c r="D66" s="315"/>
      <c r="E66" s="315"/>
      <c r="F66" s="315"/>
      <c r="G66" s="315"/>
      <c r="H66" s="315"/>
      <c r="I66" s="315"/>
      <c r="J66" s="315"/>
      <c r="K66" s="315"/>
      <c r="L66" s="315"/>
      <c r="M66" s="315"/>
      <c r="N66" s="315"/>
      <c r="O66" s="315"/>
      <c r="P66" s="315"/>
      <c r="Q66" s="315"/>
      <c r="R66" s="315"/>
      <c r="S66" s="315"/>
      <c r="T66" s="315"/>
      <c r="U66" s="315"/>
      <c r="V66" s="315"/>
      <c r="W66" s="315"/>
      <c r="X66" s="315"/>
      <c r="Y66" s="315"/>
      <c r="Z66" s="315"/>
    </row>
    <row r="67">
      <c r="A67" s="315"/>
      <c r="B67" s="315"/>
      <c r="C67" s="315"/>
      <c r="D67" s="315"/>
      <c r="E67" s="315"/>
      <c r="F67" s="315"/>
      <c r="G67" s="315"/>
      <c r="H67" s="315"/>
      <c r="I67" s="315"/>
      <c r="J67" s="315"/>
      <c r="K67" s="315"/>
      <c r="L67" s="315"/>
      <c r="M67" s="315"/>
      <c r="N67" s="315"/>
      <c r="O67" s="315"/>
      <c r="P67" s="315"/>
      <c r="Q67" s="315"/>
      <c r="R67" s="315"/>
      <c r="S67" s="315"/>
      <c r="T67" s="315"/>
      <c r="U67" s="315"/>
      <c r="V67" s="315"/>
      <c r="W67" s="315"/>
      <c r="X67" s="315"/>
      <c r="Y67" s="315"/>
      <c r="Z67" s="315"/>
    </row>
    <row r="68">
      <c r="A68" s="315"/>
      <c r="B68" s="315"/>
      <c r="C68" s="315"/>
      <c r="D68" s="315"/>
      <c r="E68" s="315"/>
      <c r="F68" s="315"/>
      <c r="G68" s="315"/>
      <c r="H68" s="315"/>
      <c r="I68" s="315"/>
      <c r="J68" s="315"/>
      <c r="K68" s="315"/>
      <c r="L68" s="315"/>
      <c r="M68" s="315"/>
      <c r="N68" s="315"/>
      <c r="O68" s="315"/>
      <c r="P68" s="315"/>
      <c r="Q68" s="315"/>
      <c r="R68" s="315"/>
      <c r="S68" s="315"/>
      <c r="T68" s="315"/>
      <c r="U68" s="315"/>
      <c r="V68" s="315"/>
      <c r="W68" s="315"/>
      <c r="X68" s="315"/>
      <c r="Y68" s="315"/>
      <c r="Z68" s="315"/>
    </row>
    <row r="69">
      <c r="A69" s="315"/>
      <c r="B69" s="315"/>
      <c r="C69" s="315"/>
      <c r="D69" s="315"/>
      <c r="E69" s="315"/>
      <c r="F69" s="315"/>
      <c r="G69" s="315"/>
      <c r="H69" s="315"/>
      <c r="I69" s="315"/>
      <c r="J69" s="315"/>
      <c r="K69" s="315"/>
      <c r="L69" s="315"/>
      <c r="M69" s="315"/>
      <c r="N69" s="315"/>
      <c r="O69" s="315"/>
      <c r="P69" s="315"/>
      <c r="Q69" s="315"/>
      <c r="R69" s="315"/>
      <c r="S69" s="315"/>
      <c r="T69" s="315"/>
      <c r="U69" s="315"/>
      <c r="V69" s="315"/>
      <c r="W69" s="315"/>
      <c r="X69" s="315"/>
      <c r="Y69" s="315"/>
      <c r="Z69" s="315"/>
    </row>
    <row r="70">
      <c r="A70" s="315"/>
      <c r="B70" s="315"/>
      <c r="C70" s="315"/>
      <c r="D70" s="315"/>
      <c r="E70" s="315"/>
      <c r="F70" s="315"/>
      <c r="G70" s="315"/>
      <c r="H70" s="315"/>
      <c r="I70" s="315"/>
      <c r="J70" s="315"/>
      <c r="K70" s="315"/>
      <c r="L70" s="315"/>
      <c r="M70" s="315"/>
      <c r="N70" s="315"/>
      <c r="O70" s="315"/>
      <c r="P70" s="315"/>
      <c r="Q70" s="315"/>
      <c r="R70" s="315"/>
      <c r="S70" s="315"/>
      <c r="T70" s="315"/>
      <c r="U70" s="315"/>
      <c r="V70" s="315"/>
      <c r="W70" s="315"/>
      <c r="X70" s="315"/>
      <c r="Y70" s="315"/>
      <c r="Z70" s="315"/>
    </row>
    <row r="71">
      <c r="A71" s="315"/>
      <c r="B71" s="315"/>
      <c r="C71" s="315"/>
      <c r="D71" s="315"/>
      <c r="E71" s="315"/>
      <c r="F71" s="315"/>
      <c r="G71" s="315"/>
      <c r="H71" s="315"/>
      <c r="I71" s="315"/>
      <c r="J71" s="315"/>
      <c r="K71" s="315"/>
      <c r="L71" s="315"/>
      <c r="M71" s="315"/>
      <c r="N71" s="315"/>
      <c r="O71" s="315"/>
      <c r="P71" s="315"/>
      <c r="Q71" s="315"/>
      <c r="R71" s="315"/>
      <c r="S71" s="315"/>
      <c r="T71" s="315"/>
      <c r="U71" s="315"/>
      <c r="V71" s="315"/>
      <c r="W71" s="315"/>
      <c r="X71" s="315"/>
      <c r="Y71" s="315"/>
      <c r="Z71" s="315"/>
    </row>
    <row r="72">
      <c r="A72" s="315"/>
      <c r="B72" s="315"/>
      <c r="C72" s="315"/>
      <c r="D72" s="315"/>
      <c r="E72" s="315"/>
      <c r="F72" s="315"/>
      <c r="G72" s="315"/>
      <c r="H72" s="315"/>
      <c r="I72" s="315"/>
      <c r="J72" s="315"/>
      <c r="K72" s="315"/>
      <c r="L72" s="315"/>
      <c r="M72" s="315"/>
      <c r="N72" s="315"/>
      <c r="O72" s="315"/>
      <c r="P72" s="315"/>
      <c r="Q72" s="315"/>
      <c r="R72" s="315"/>
      <c r="S72" s="315"/>
      <c r="T72" s="315"/>
      <c r="U72" s="315"/>
      <c r="V72" s="315"/>
      <c r="W72" s="315"/>
      <c r="X72" s="315"/>
      <c r="Y72" s="315"/>
      <c r="Z72" s="315"/>
    </row>
    <row r="73">
      <c r="A73" s="315"/>
      <c r="B73" s="315"/>
      <c r="C73" s="315"/>
      <c r="D73" s="315"/>
      <c r="E73" s="315"/>
      <c r="F73" s="315"/>
      <c r="G73" s="315"/>
      <c r="H73" s="315"/>
      <c r="I73" s="315"/>
      <c r="J73" s="315"/>
      <c r="K73" s="315"/>
      <c r="L73" s="315"/>
      <c r="M73" s="315"/>
      <c r="N73" s="315"/>
      <c r="O73" s="315"/>
      <c r="P73" s="315"/>
      <c r="Q73" s="315"/>
      <c r="R73" s="315"/>
      <c r="S73" s="315"/>
      <c r="T73" s="315"/>
      <c r="U73" s="315"/>
      <c r="V73" s="315"/>
      <c r="W73" s="315"/>
      <c r="X73" s="315"/>
      <c r="Y73" s="315"/>
      <c r="Z73" s="315"/>
    </row>
    <row r="74">
      <c r="A74" s="315"/>
      <c r="B74" s="315"/>
      <c r="C74" s="315"/>
      <c r="D74" s="315"/>
      <c r="E74" s="315"/>
      <c r="F74" s="315"/>
      <c r="G74" s="315"/>
      <c r="H74" s="315"/>
      <c r="I74" s="315"/>
      <c r="J74" s="315"/>
      <c r="K74" s="315"/>
      <c r="L74" s="315"/>
      <c r="M74" s="315"/>
      <c r="N74" s="315"/>
      <c r="O74" s="315"/>
      <c r="P74" s="315"/>
      <c r="Q74" s="315"/>
      <c r="R74" s="315"/>
      <c r="S74" s="315"/>
      <c r="T74" s="315"/>
      <c r="U74" s="315"/>
      <c r="V74" s="315"/>
      <c r="W74" s="315"/>
      <c r="X74" s="315"/>
      <c r="Y74" s="315"/>
      <c r="Z74" s="315"/>
    </row>
    <row r="75">
      <c r="A75" s="315"/>
      <c r="B75" s="315"/>
      <c r="C75" s="315"/>
      <c r="D75" s="315"/>
      <c r="E75" s="315"/>
      <c r="F75" s="315"/>
      <c r="G75" s="315"/>
      <c r="H75" s="315"/>
      <c r="I75" s="315"/>
      <c r="J75" s="315"/>
      <c r="K75" s="315"/>
      <c r="L75" s="315"/>
      <c r="M75" s="315"/>
      <c r="N75" s="315"/>
      <c r="O75" s="315"/>
      <c r="P75" s="315"/>
      <c r="Q75" s="315"/>
      <c r="R75" s="315"/>
      <c r="S75" s="315"/>
      <c r="T75" s="315"/>
      <c r="U75" s="315"/>
      <c r="V75" s="315"/>
      <c r="W75" s="315"/>
      <c r="X75" s="315"/>
      <c r="Y75" s="315"/>
      <c r="Z75" s="315"/>
    </row>
    <row r="76">
      <c r="A76" s="315"/>
      <c r="B76" s="315"/>
      <c r="C76" s="315"/>
      <c r="D76" s="315"/>
      <c r="E76" s="315"/>
      <c r="F76" s="315"/>
      <c r="G76" s="315"/>
      <c r="H76" s="315"/>
      <c r="I76" s="315"/>
      <c r="J76" s="315"/>
      <c r="K76" s="315"/>
      <c r="L76" s="315"/>
      <c r="M76" s="315"/>
      <c r="N76" s="315"/>
      <c r="O76" s="315"/>
      <c r="P76" s="315"/>
      <c r="Q76" s="315"/>
      <c r="R76" s="315"/>
      <c r="S76" s="315"/>
      <c r="T76" s="315"/>
      <c r="U76" s="315"/>
      <c r="V76" s="315"/>
      <c r="W76" s="315"/>
      <c r="X76" s="315"/>
      <c r="Y76" s="315"/>
      <c r="Z76" s="315"/>
    </row>
    <row r="77">
      <c r="A77" s="315"/>
      <c r="B77" s="315"/>
      <c r="C77" s="315"/>
      <c r="D77" s="315"/>
      <c r="E77" s="315"/>
      <c r="F77" s="315"/>
      <c r="G77" s="315"/>
      <c r="H77" s="315"/>
      <c r="I77" s="315"/>
      <c r="J77" s="315"/>
      <c r="K77" s="315"/>
      <c r="L77" s="315"/>
      <c r="M77" s="315"/>
      <c r="N77" s="315"/>
      <c r="O77" s="315"/>
      <c r="P77" s="315"/>
      <c r="Q77" s="315"/>
      <c r="R77" s="315"/>
      <c r="S77" s="315"/>
      <c r="T77" s="315"/>
      <c r="U77" s="315"/>
      <c r="V77" s="315"/>
      <c r="W77" s="315"/>
      <c r="X77" s="315"/>
      <c r="Y77" s="315"/>
      <c r="Z77" s="315"/>
    </row>
    <row r="78">
      <c r="A78" s="315"/>
      <c r="B78" s="315"/>
      <c r="C78" s="315"/>
      <c r="D78" s="315"/>
      <c r="E78" s="315"/>
      <c r="F78" s="315"/>
      <c r="G78" s="315"/>
      <c r="H78" s="315"/>
      <c r="I78" s="315"/>
      <c r="J78" s="315"/>
      <c r="K78" s="315"/>
      <c r="L78" s="315"/>
      <c r="M78" s="315"/>
      <c r="N78" s="315"/>
      <c r="O78" s="315"/>
      <c r="P78" s="315"/>
      <c r="Q78" s="315"/>
      <c r="R78" s="315"/>
      <c r="S78" s="315"/>
      <c r="T78" s="315"/>
      <c r="U78" s="315"/>
      <c r="V78" s="315"/>
      <c r="W78" s="315"/>
      <c r="X78" s="315"/>
      <c r="Y78" s="315"/>
      <c r="Z78" s="315"/>
    </row>
    <row r="79">
      <c r="A79" s="315"/>
      <c r="B79" s="315"/>
      <c r="C79" s="315"/>
      <c r="D79" s="315"/>
      <c r="E79" s="315"/>
      <c r="F79" s="315"/>
      <c r="G79" s="315"/>
      <c r="H79" s="315"/>
      <c r="I79" s="315"/>
      <c r="J79" s="315"/>
      <c r="K79" s="315"/>
      <c r="L79" s="315"/>
      <c r="M79" s="315"/>
      <c r="N79" s="315"/>
      <c r="O79" s="315"/>
      <c r="P79" s="315"/>
      <c r="Q79" s="315"/>
      <c r="R79" s="315"/>
      <c r="S79" s="315"/>
      <c r="T79" s="315"/>
      <c r="U79" s="315"/>
      <c r="V79" s="315"/>
      <c r="W79" s="315"/>
      <c r="X79" s="315"/>
      <c r="Y79" s="315"/>
      <c r="Z79" s="315"/>
    </row>
    <row r="80">
      <c r="A80" s="315"/>
      <c r="B80" s="315"/>
      <c r="C80" s="315"/>
      <c r="D80" s="315"/>
      <c r="E80" s="315"/>
      <c r="F80" s="315"/>
      <c r="G80" s="315"/>
      <c r="H80" s="315"/>
      <c r="I80" s="315"/>
      <c r="J80" s="315"/>
      <c r="K80" s="315"/>
      <c r="L80" s="315"/>
      <c r="M80" s="315"/>
      <c r="N80" s="315"/>
      <c r="O80" s="315"/>
      <c r="P80" s="315"/>
      <c r="Q80" s="315"/>
      <c r="R80" s="315"/>
      <c r="S80" s="315"/>
      <c r="T80" s="315"/>
      <c r="U80" s="315"/>
      <c r="V80" s="315"/>
      <c r="W80" s="315"/>
      <c r="X80" s="315"/>
      <c r="Y80" s="315"/>
      <c r="Z80" s="315"/>
    </row>
    <row r="81">
      <c r="A81" s="315"/>
      <c r="B81" s="315"/>
      <c r="C81" s="315"/>
      <c r="D81" s="315"/>
      <c r="E81" s="315"/>
      <c r="F81" s="315"/>
      <c r="G81" s="315"/>
      <c r="H81" s="315"/>
      <c r="I81" s="315"/>
      <c r="J81" s="315"/>
      <c r="K81" s="315"/>
      <c r="L81" s="315"/>
      <c r="M81" s="315"/>
      <c r="N81" s="315"/>
      <c r="O81" s="315"/>
      <c r="P81" s="315"/>
      <c r="Q81" s="315"/>
      <c r="R81" s="315"/>
      <c r="S81" s="315"/>
      <c r="T81" s="315"/>
      <c r="U81" s="315"/>
      <c r="V81" s="315"/>
      <c r="W81" s="315"/>
      <c r="X81" s="315"/>
      <c r="Y81" s="315"/>
      <c r="Z81" s="315"/>
    </row>
    <row r="82">
      <c r="A82" s="315"/>
      <c r="B82" s="315"/>
      <c r="C82" s="315"/>
      <c r="D82" s="315"/>
      <c r="E82" s="315"/>
      <c r="F82" s="315"/>
      <c r="G82" s="315"/>
      <c r="H82" s="315"/>
      <c r="I82" s="315"/>
      <c r="J82" s="315"/>
      <c r="K82" s="315"/>
      <c r="L82" s="315"/>
      <c r="M82" s="315"/>
      <c r="N82" s="315"/>
      <c r="O82" s="315"/>
      <c r="P82" s="315"/>
      <c r="Q82" s="315"/>
      <c r="R82" s="315"/>
      <c r="S82" s="315"/>
      <c r="T82" s="315"/>
      <c r="U82" s="315"/>
      <c r="V82" s="315"/>
      <c r="W82" s="315"/>
      <c r="X82" s="315"/>
      <c r="Y82" s="315"/>
      <c r="Z82" s="315"/>
    </row>
    <row r="83">
      <c r="A83" s="315"/>
      <c r="B83" s="315"/>
      <c r="C83" s="315"/>
      <c r="D83" s="315"/>
      <c r="E83" s="315"/>
      <c r="F83" s="315"/>
      <c r="G83" s="315"/>
      <c r="H83" s="315"/>
      <c r="I83" s="315"/>
      <c r="J83" s="315"/>
      <c r="K83" s="315"/>
      <c r="L83" s="315"/>
      <c r="M83" s="315"/>
      <c r="N83" s="315"/>
      <c r="O83" s="315"/>
      <c r="P83" s="315"/>
      <c r="Q83" s="315"/>
      <c r="R83" s="315"/>
      <c r="S83" s="315"/>
      <c r="T83" s="315"/>
      <c r="U83" s="315"/>
      <c r="V83" s="315"/>
      <c r="W83" s="315"/>
      <c r="X83" s="315"/>
      <c r="Y83" s="315"/>
      <c r="Z83" s="315"/>
    </row>
    <row r="84">
      <c r="A84" s="315"/>
      <c r="B84" s="315"/>
      <c r="C84" s="315"/>
      <c r="D84" s="315"/>
      <c r="E84" s="315"/>
      <c r="F84" s="315"/>
      <c r="G84" s="315"/>
      <c r="H84" s="315"/>
      <c r="I84" s="315"/>
      <c r="J84" s="315"/>
      <c r="K84" s="315"/>
      <c r="L84" s="315"/>
      <c r="M84" s="315"/>
      <c r="N84" s="315"/>
      <c r="O84" s="315"/>
      <c r="P84" s="315"/>
      <c r="Q84" s="315"/>
      <c r="R84" s="315"/>
      <c r="S84" s="315"/>
      <c r="T84" s="315"/>
      <c r="U84" s="315"/>
      <c r="V84" s="315"/>
      <c r="W84" s="315"/>
      <c r="X84" s="315"/>
      <c r="Y84" s="315"/>
      <c r="Z84" s="315"/>
    </row>
    <row r="85">
      <c r="A85" s="315"/>
      <c r="B85" s="315"/>
      <c r="C85" s="315"/>
      <c r="D85" s="315"/>
      <c r="E85" s="315"/>
      <c r="F85" s="315"/>
      <c r="G85" s="315"/>
      <c r="H85" s="315"/>
      <c r="I85" s="315"/>
      <c r="J85" s="315"/>
      <c r="K85" s="315"/>
      <c r="L85" s="315"/>
      <c r="M85" s="315"/>
      <c r="N85" s="315"/>
      <c r="O85" s="315"/>
      <c r="P85" s="315"/>
      <c r="Q85" s="315"/>
      <c r="R85" s="315"/>
      <c r="S85" s="315"/>
      <c r="T85" s="315"/>
      <c r="U85" s="315"/>
      <c r="V85" s="315"/>
      <c r="W85" s="315"/>
      <c r="X85" s="315"/>
      <c r="Y85" s="315"/>
      <c r="Z85" s="315"/>
    </row>
    <row r="86">
      <c r="A86" s="315"/>
      <c r="B86" s="315"/>
      <c r="C86" s="315"/>
      <c r="D86" s="315"/>
      <c r="E86" s="315"/>
      <c r="F86" s="315"/>
      <c r="G86" s="315"/>
      <c r="H86" s="315"/>
      <c r="I86" s="315"/>
      <c r="J86" s="315"/>
      <c r="K86" s="315"/>
      <c r="L86" s="315"/>
      <c r="M86" s="315"/>
      <c r="N86" s="315"/>
      <c r="O86" s="315"/>
      <c r="P86" s="315"/>
      <c r="Q86" s="315"/>
      <c r="R86" s="315"/>
      <c r="S86" s="315"/>
      <c r="T86" s="315"/>
      <c r="U86" s="315"/>
      <c r="V86" s="315"/>
      <c r="W86" s="315"/>
      <c r="X86" s="315"/>
      <c r="Y86" s="315"/>
      <c r="Z86" s="315"/>
    </row>
    <row r="87">
      <c r="A87" s="315"/>
      <c r="B87" s="315"/>
      <c r="C87" s="315"/>
      <c r="D87" s="315"/>
      <c r="E87" s="315"/>
      <c r="F87" s="315"/>
      <c r="G87" s="315"/>
      <c r="H87" s="315"/>
      <c r="I87" s="315"/>
      <c r="J87" s="315"/>
      <c r="K87" s="315"/>
      <c r="L87" s="315"/>
      <c r="M87" s="315"/>
      <c r="N87" s="315"/>
      <c r="O87" s="315"/>
      <c r="P87" s="315"/>
      <c r="Q87" s="315"/>
      <c r="R87" s="315"/>
      <c r="S87" s="315"/>
      <c r="T87" s="315"/>
      <c r="U87" s="315"/>
      <c r="V87" s="315"/>
      <c r="W87" s="315"/>
      <c r="X87" s="315"/>
      <c r="Y87" s="315"/>
      <c r="Z87" s="315"/>
    </row>
    <row r="88">
      <c r="A88" s="315"/>
      <c r="B88" s="315"/>
      <c r="C88" s="315"/>
      <c r="D88" s="315"/>
      <c r="E88" s="315"/>
      <c r="F88" s="315"/>
      <c r="G88" s="315"/>
      <c r="H88" s="315"/>
      <c r="I88" s="315"/>
      <c r="J88" s="315"/>
      <c r="K88" s="315"/>
      <c r="L88" s="315"/>
      <c r="M88" s="315"/>
      <c r="N88" s="315"/>
      <c r="O88" s="315"/>
      <c r="P88" s="315"/>
      <c r="Q88" s="315"/>
      <c r="R88" s="315"/>
      <c r="S88" s="315"/>
      <c r="T88" s="315"/>
      <c r="U88" s="315"/>
      <c r="V88" s="315"/>
      <c r="W88" s="315"/>
      <c r="X88" s="315"/>
      <c r="Y88" s="315"/>
      <c r="Z88" s="315"/>
    </row>
    <row r="89">
      <c r="A89" s="315"/>
      <c r="B89" s="315"/>
      <c r="C89" s="315"/>
      <c r="D89" s="315"/>
      <c r="E89" s="315"/>
      <c r="F89" s="315"/>
      <c r="G89" s="315"/>
      <c r="H89" s="315"/>
      <c r="I89" s="315"/>
      <c r="J89" s="315"/>
      <c r="K89" s="315"/>
      <c r="L89" s="315"/>
      <c r="M89" s="315"/>
      <c r="N89" s="315"/>
      <c r="O89" s="315"/>
      <c r="P89" s="315"/>
      <c r="Q89" s="315"/>
      <c r="R89" s="315"/>
      <c r="S89" s="315"/>
      <c r="T89" s="315"/>
      <c r="U89" s="315"/>
      <c r="V89" s="315"/>
      <c r="W89" s="315"/>
      <c r="X89" s="315"/>
      <c r="Y89" s="315"/>
      <c r="Z89" s="315"/>
    </row>
    <row r="90">
      <c r="A90" s="315"/>
      <c r="B90" s="315"/>
      <c r="C90" s="315"/>
      <c r="D90" s="315"/>
      <c r="E90" s="315"/>
      <c r="F90" s="315"/>
      <c r="G90" s="315"/>
      <c r="H90" s="315"/>
      <c r="I90" s="315"/>
      <c r="J90" s="315"/>
      <c r="K90" s="315"/>
      <c r="L90" s="315"/>
      <c r="M90" s="315"/>
      <c r="N90" s="315"/>
      <c r="O90" s="315"/>
      <c r="P90" s="315"/>
      <c r="Q90" s="315"/>
      <c r="R90" s="315"/>
      <c r="S90" s="315"/>
      <c r="T90" s="315"/>
      <c r="U90" s="315"/>
      <c r="V90" s="315"/>
      <c r="W90" s="315"/>
      <c r="X90" s="315"/>
      <c r="Y90" s="315"/>
      <c r="Z90" s="315"/>
    </row>
    <row r="91">
      <c r="A91" s="315"/>
      <c r="B91" s="315"/>
      <c r="C91" s="315"/>
      <c r="D91" s="315"/>
      <c r="E91" s="315"/>
      <c r="F91" s="315"/>
      <c r="G91" s="315"/>
      <c r="H91" s="315"/>
      <c r="I91" s="315"/>
      <c r="J91" s="315"/>
      <c r="K91" s="315"/>
      <c r="L91" s="315"/>
      <c r="M91" s="315"/>
      <c r="N91" s="315"/>
      <c r="O91" s="315"/>
      <c r="P91" s="315"/>
      <c r="Q91" s="315"/>
      <c r="R91" s="315"/>
      <c r="S91" s="315"/>
      <c r="T91" s="315"/>
      <c r="U91" s="315"/>
      <c r="V91" s="315"/>
      <c r="W91" s="315"/>
      <c r="X91" s="315"/>
      <c r="Y91" s="315"/>
      <c r="Z91" s="315"/>
    </row>
    <row r="92">
      <c r="A92" s="315"/>
      <c r="B92" s="315"/>
      <c r="C92" s="315"/>
      <c r="D92" s="315"/>
      <c r="E92" s="315"/>
      <c r="F92" s="315"/>
      <c r="G92" s="315"/>
      <c r="H92" s="315"/>
      <c r="I92" s="315"/>
      <c r="J92" s="315"/>
      <c r="K92" s="315"/>
      <c r="L92" s="315"/>
      <c r="M92" s="315"/>
      <c r="N92" s="315"/>
      <c r="O92" s="315"/>
      <c r="P92" s="315"/>
      <c r="Q92" s="315"/>
      <c r="R92" s="315"/>
      <c r="S92" s="315"/>
      <c r="T92" s="315"/>
      <c r="U92" s="315"/>
      <c r="V92" s="315"/>
      <c r="W92" s="315"/>
      <c r="X92" s="315"/>
      <c r="Y92" s="315"/>
      <c r="Z92" s="315"/>
    </row>
    <row r="93">
      <c r="A93" s="315"/>
      <c r="B93" s="315"/>
      <c r="C93" s="315"/>
      <c r="D93" s="315"/>
      <c r="E93" s="315"/>
      <c r="F93" s="315"/>
      <c r="G93" s="315"/>
      <c r="H93" s="315"/>
      <c r="I93" s="315"/>
      <c r="J93" s="315"/>
      <c r="K93" s="315"/>
      <c r="L93" s="315"/>
      <c r="M93" s="315"/>
      <c r="N93" s="315"/>
      <c r="O93" s="315"/>
      <c r="P93" s="315"/>
      <c r="Q93" s="315"/>
      <c r="R93" s="315"/>
      <c r="S93" s="315"/>
      <c r="T93" s="315"/>
      <c r="U93" s="315"/>
      <c r="V93" s="315"/>
      <c r="W93" s="315"/>
      <c r="X93" s="315"/>
      <c r="Y93" s="315"/>
      <c r="Z93" s="315"/>
    </row>
    <row r="94">
      <c r="A94" s="315"/>
      <c r="B94" s="315"/>
      <c r="C94" s="315"/>
      <c r="D94" s="315"/>
      <c r="E94" s="315"/>
      <c r="F94" s="315"/>
      <c r="G94" s="315"/>
      <c r="H94" s="315"/>
      <c r="I94" s="315"/>
      <c r="J94" s="315"/>
      <c r="K94" s="315"/>
      <c r="L94" s="315"/>
      <c r="M94" s="315"/>
      <c r="N94" s="315"/>
      <c r="O94" s="315"/>
      <c r="P94" s="315"/>
      <c r="Q94" s="315"/>
      <c r="R94" s="315"/>
      <c r="S94" s="315"/>
      <c r="T94" s="315"/>
      <c r="U94" s="315"/>
      <c r="V94" s="315"/>
      <c r="W94" s="315"/>
      <c r="X94" s="315"/>
      <c r="Y94" s="315"/>
      <c r="Z94" s="315"/>
    </row>
    <row r="95">
      <c r="A95" s="315"/>
      <c r="B95" s="315"/>
      <c r="C95" s="315"/>
      <c r="D95" s="315"/>
      <c r="E95" s="315"/>
      <c r="F95" s="315"/>
      <c r="G95" s="315"/>
      <c r="H95" s="315"/>
      <c r="I95" s="315"/>
      <c r="J95" s="315"/>
      <c r="K95" s="315"/>
      <c r="L95" s="315"/>
      <c r="M95" s="315"/>
      <c r="N95" s="315"/>
      <c r="O95" s="315"/>
      <c r="P95" s="315"/>
      <c r="Q95" s="315"/>
      <c r="R95" s="315"/>
      <c r="S95" s="315"/>
      <c r="T95" s="315"/>
      <c r="U95" s="315"/>
      <c r="V95" s="315"/>
      <c r="W95" s="315"/>
      <c r="X95" s="315"/>
      <c r="Y95" s="315"/>
      <c r="Z95" s="315"/>
    </row>
    <row r="96">
      <c r="A96" s="315"/>
      <c r="B96" s="315"/>
      <c r="C96" s="315"/>
      <c r="D96" s="315"/>
      <c r="E96" s="315"/>
      <c r="F96" s="315"/>
      <c r="G96" s="315"/>
      <c r="H96" s="315"/>
      <c r="I96" s="315"/>
      <c r="J96" s="315"/>
      <c r="K96" s="315"/>
      <c r="L96" s="315"/>
      <c r="M96" s="315"/>
      <c r="N96" s="315"/>
      <c r="O96" s="315"/>
      <c r="P96" s="315"/>
      <c r="Q96" s="315"/>
      <c r="R96" s="315"/>
      <c r="S96" s="315"/>
      <c r="T96" s="315"/>
      <c r="U96" s="315"/>
      <c r="V96" s="315"/>
      <c r="W96" s="315"/>
      <c r="X96" s="315"/>
      <c r="Y96" s="315"/>
      <c r="Z96" s="315"/>
    </row>
    <row r="97">
      <c r="A97" s="315"/>
      <c r="B97" s="315"/>
      <c r="C97" s="315"/>
      <c r="D97" s="315"/>
      <c r="E97" s="315"/>
      <c r="F97" s="315"/>
      <c r="G97" s="315"/>
      <c r="H97" s="315"/>
      <c r="I97" s="315"/>
      <c r="J97" s="315"/>
      <c r="K97" s="315"/>
      <c r="L97" s="315"/>
      <c r="M97" s="315"/>
      <c r="N97" s="315"/>
      <c r="O97" s="315"/>
      <c r="P97" s="315"/>
      <c r="Q97" s="315"/>
      <c r="R97" s="315"/>
      <c r="S97" s="315"/>
      <c r="T97" s="315"/>
      <c r="U97" s="315"/>
      <c r="V97" s="315"/>
      <c r="W97" s="315"/>
      <c r="X97" s="315"/>
      <c r="Y97" s="315"/>
      <c r="Z97" s="315"/>
    </row>
    <row r="98">
      <c r="A98" s="315"/>
      <c r="B98" s="315"/>
      <c r="C98" s="315"/>
      <c r="D98" s="315"/>
      <c r="E98" s="315"/>
      <c r="F98" s="315"/>
      <c r="G98" s="315"/>
      <c r="H98" s="315"/>
      <c r="I98" s="315"/>
      <c r="J98" s="315"/>
      <c r="K98" s="315"/>
      <c r="L98" s="315"/>
      <c r="M98" s="315"/>
      <c r="N98" s="315"/>
      <c r="O98" s="315"/>
      <c r="P98" s="315"/>
      <c r="Q98" s="315"/>
      <c r="R98" s="315"/>
      <c r="S98" s="315"/>
      <c r="T98" s="315"/>
      <c r="U98" s="315"/>
      <c r="V98" s="315"/>
      <c r="W98" s="315"/>
      <c r="X98" s="315"/>
      <c r="Y98" s="315"/>
      <c r="Z98" s="315"/>
    </row>
    <row r="99">
      <c r="A99" s="315"/>
      <c r="B99" s="315"/>
      <c r="C99" s="315"/>
      <c r="D99" s="315"/>
      <c r="E99" s="315"/>
      <c r="F99" s="315"/>
      <c r="G99" s="315"/>
      <c r="H99" s="315"/>
      <c r="I99" s="315"/>
      <c r="J99" s="315"/>
      <c r="K99" s="315"/>
      <c r="L99" s="315"/>
      <c r="M99" s="315"/>
      <c r="N99" s="315"/>
      <c r="O99" s="315"/>
      <c r="P99" s="315"/>
      <c r="Q99" s="315"/>
      <c r="R99" s="315"/>
      <c r="S99" s="315"/>
      <c r="T99" s="315"/>
      <c r="U99" s="315"/>
      <c r="V99" s="315"/>
      <c r="W99" s="315"/>
      <c r="X99" s="315"/>
      <c r="Y99" s="315"/>
      <c r="Z99" s="315"/>
    </row>
    <row r="100">
      <c r="A100" s="315"/>
      <c r="B100" s="315"/>
      <c r="C100" s="315"/>
      <c r="D100" s="315"/>
      <c r="E100" s="315"/>
      <c r="F100" s="315"/>
      <c r="G100" s="315"/>
      <c r="H100" s="315"/>
      <c r="I100" s="315"/>
      <c r="J100" s="315"/>
      <c r="K100" s="315"/>
      <c r="L100" s="315"/>
      <c r="M100" s="315"/>
      <c r="N100" s="315"/>
      <c r="O100" s="315"/>
      <c r="P100" s="315"/>
      <c r="Q100" s="315"/>
      <c r="R100" s="315"/>
      <c r="S100" s="315"/>
      <c r="T100" s="315"/>
      <c r="U100" s="315"/>
      <c r="V100" s="315"/>
      <c r="W100" s="315"/>
      <c r="X100" s="315"/>
      <c r="Y100" s="315"/>
      <c r="Z100" s="315"/>
    </row>
    <row r="101">
      <c r="A101" s="315"/>
      <c r="B101" s="315"/>
      <c r="C101" s="315"/>
      <c r="D101" s="315"/>
      <c r="E101" s="315"/>
      <c r="F101" s="315"/>
      <c r="G101" s="315"/>
      <c r="H101" s="315"/>
      <c r="I101" s="315"/>
      <c r="J101" s="315"/>
      <c r="K101" s="315"/>
      <c r="L101" s="315"/>
      <c r="M101" s="315"/>
      <c r="N101" s="315"/>
      <c r="O101" s="315"/>
      <c r="P101" s="315"/>
      <c r="Q101" s="315"/>
      <c r="R101" s="315"/>
      <c r="S101" s="315"/>
      <c r="T101" s="315"/>
      <c r="U101" s="315"/>
      <c r="V101" s="315"/>
      <c r="W101" s="315"/>
      <c r="X101" s="315"/>
      <c r="Y101" s="315"/>
      <c r="Z101" s="315"/>
    </row>
    <row r="102">
      <c r="A102" s="315"/>
      <c r="B102" s="315"/>
      <c r="C102" s="315"/>
      <c r="D102" s="315"/>
      <c r="E102" s="315"/>
      <c r="F102" s="315"/>
      <c r="G102" s="315"/>
      <c r="H102" s="315"/>
      <c r="I102" s="315"/>
      <c r="J102" s="315"/>
      <c r="K102" s="315"/>
      <c r="L102" s="315"/>
      <c r="M102" s="315"/>
      <c r="N102" s="315"/>
      <c r="O102" s="315"/>
      <c r="P102" s="315"/>
      <c r="Q102" s="315"/>
      <c r="R102" s="315"/>
      <c r="S102" s="315"/>
      <c r="T102" s="315"/>
      <c r="U102" s="315"/>
      <c r="V102" s="315"/>
      <c r="W102" s="315"/>
      <c r="X102" s="315"/>
      <c r="Y102" s="315"/>
      <c r="Z102" s="315"/>
    </row>
    <row r="103">
      <c r="A103" s="315"/>
      <c r="B103" s="315"/>
      <c r="C103" s="315"/>
      <c r="D103" s="315"/>
      <c r="E103" s="315"/>
      <c r="F103" s="315"/>
      <c r="G103" s="315"/>
      <c r="H103" s="315"/>
      <c r="I103" s="315"/>
      <c r="J103" s="315"/>
      <c r="K103" s="315"/>
      <c r="L103" s="315"/>
      <c r="M103" s="315"/>
      <c r="N103" s="315"/>
      <c r="O103" s="315"/>
      <c r="P103" s="315"/>
      <c r="Q103" s="315"/>
      <c r="R103" s="315"/>
      <c r="S103" s="315"/>
      <c r="T103" s="315"/>
      <c r="U103" s="315"/>
      <c r="V103" s="315"/>
      <c r="W103" s="315"/>
      <c r="X103" s="315"/>
      <c r="Y103" s="315"/>
      <c r="Z103" s="315"/>
    </row>
    <row r="104">
      <c r="A104" s="315"/>
      <c r="B104" s="315"/>
      <c r="C104" s="315"/>
      <c r="D104" s="315"/>
      <c r="E104" s="315"/>
      <c r="F104" s="315"/>
      <c r="G104" s="315"/>
      <c r="H104" s="315"/>
      <c r="I104" s="315"/>
      <c r="J104" s="315"/>
      <c r="K104" s="315"/>
      <c r="L104" s="315"/>
      <c r="M104" s="315"/>
      <c r="N104" s="315"/>
      <c r="O104" s="315"/>
      <c r="P104" s="315"/>
      <c r="Q104" s="315"/>
      <c r="R104" s="315"/>
      <c r="S104" s="315"/>
      <c r="T104" s="315"/>
      <c r="U104" s="315"/>
      <c r="V104" s="315"/>
      <c r="W104" s="315"/>
      <c r="X104" s="315"/>
      <c r="Y104" s="315"/>
      <c r="Z104" s="315"/>
    </row>
    <row r="105">
      <c r="A105" s="315"/>
      <c r="B105" s="315"/>
      <c r="C105" s="315"/>
      <c r="D105" s="315"/>
      <c r="E105" s="315"/>
      <c r="F105" s="315"/>
      <c r="G105" s="315"/>
      <c r="H105" s="315"/>
      <c r="I105" s="315"/>
      <c r="J105" s="315"/>
      <c r="K105" s="315"/>
      <c r="L105" s="315"/>
      <c r="M105" s="315"/>
      <c r="N105" s="315"/>
      <c r="O105" s="315"/>
      <c r="P105" s="315"/>
      <c r="Q105" s="315"/>
      <c r="R105" s="315"/>
      <c r="S105" s="315"/>
      <c r="T105" s="315"/>
      <c r="U105" s="315"/>
      <c r="V105" s="315"/>
      <c r="W105" s="315"/>
      <c r="X105" s="315"/>
      <c r="Y105" s="315"/>
      <c r="Z105" s="315"/>
    </row>
    <row r="106">
      <c r="A106" s="315"/>
      <c r="B106" s="315"/>
      <c r="C106" s="315"/>
      <c r="D106" s="315"/>
      <c r="E106" s="315"/>
      <c r="F106" s="315"/>
      <c r="G106" s="315"/>
      <c r="H106" s="315"/>
      <c r="I106" s="315"/>
      <c r="J106" s="315"/>
      <c r="K106" s="315"/>
      <c r="L106" s="315"/>
      <c r="M106" s="315"/>
      <c r="N106" s="315"/>
      <c r="O106" s="315"/>
      <c r="P106" s="315"/>
      <c r="Q106" s="315"/>
      <c r="R106" s="315"/>
      <c r="S106" s="315"/>
      <c r="T106" s="315"/>
      <c r="U106" s="315"/>
      <c r="V106" s="315"/>
      <c r="W106" s="315"/>
      <c r="X106" s="315"/>
      <c r="Y106" s="315"/>
      <c r="Z106" s="315"/>
    </row>
    <row r="107">
      <c r="A107" s="315"/>
      <c r="B107" s="315"/>
      <c r="C107" s="315"/>
      <c r="D107" s="315"/>
      <c r="E107" s="315"/>
      <c r="F107" s="315"/>
      <c r="G107" s="315"/>
      <c r="H107" s="315"/>
      <c r="I107" s="315"/>
      <c r="J107" s="315"/>
      <c r="K107" s="315"/>
      <c r="L107" s="315"/>
      <c r="M107" s="315"/>
      <c r="N107" s="315"/>
      <c r="O107" s="315"/>
      <c r="P107" s="315"/>
      <c r="Q107" s="315"/>
      <c r="R107" s="315"/>
      <c r="S107" s="315"/>
      <c r="T107" s="315"/>
      <c r="U107" s="315"/>
      <c r="V107" s="315"/>
      <c r="W107" s="315"/>
      <c r="X107" s="315"/>
      <c r="Y107" s="315"/>
      <c r="Z107" s="315"/>
    </row>
    <row r="108">
      <c r="A108" s="315"/>
      <c r="B108" s="315"/>
      <c r="C108" s="315"/>
      <c r="D108" s="315"/>
      <c r="E108" s="315"/>
      <c r="F108" s="315"/>
      <c r="G108" s="315"/>
      <c r="H108" s="315"/>
      <c r="I108" s="315"/>
      <c r="J108" s="315"/>
      <c r="K108" s="315"/>
      <c r="L108" s="315"/>
      <c r="M108" s="315"/>
      <c r="N108" s="315"/>
      <c r="O108" s="315"/>
      <c r="P108" s="315"/>
      <c r="Q108" s="315"/>
      <c r="R108" s="315"/>
      <c r="S108" s="315"/>
      <c r="T108" s="315"/>
      <c r="U108" s="315"/>
      <c r="V108" s="315"/>
      <c r="W108" s="315"/>
      <c r="X108" s="315"/>
      <c r="Y108" s="315"/>
      <c r="Z108" s="315"/>
    </row>
    <row r="109">
      <c r="A109" s="315"/>
      <c r="B109" s="315"/>
      <c r="C109" s="315"/>
      <c r="D109" s="315"/>
      <c r="E109" s="315"/>
      <c r="F109" s="315"/>
      <c r="G109" s="315"/>
      <c r="H109" s="315"/>
      <c r="I109" s="315"/>
      <c r="J109" s="315"/>
      <c r="K109" s="315"/>
      <c r="L109" s="315"/>
      <c r="M109" s="315"/>
      <c r="N109" s="315"/>
      <c r="O109" s="315"/>
      <c r="P109" s="315"/>
      <c r="Q109" s="315"/>
      <c r="R109" s="315"/>
      <c r="S109" s="315"/>
      <c r="T109" s="315"/>
      <c r="U109" s="315"/>
      <c r="V109" s="315"/>
      <c r="W109" s="315"/>
      <c r="X109" s="315"/>
      <c r="Y109" s="315"/>
      <c r="Z109" s="315"/>
    </row>
    <row r="110">
      <c r="A110" s="315"/>
      <c r="B110" s="315"/>
      <c r="C110" s="315"/>
      <c r="D110" s="315"/>
      <c r="E110" s="315"/>
      <c r="F110" s="315"/>
      <c r="G110" s="315"/>
      <c r="H110" s="315"/>
      <c r="I110" s="315"/>
      <c r="J110" s="315"/>
      <c r="K110" s="315"/>
      <c r="L110" s="315"/>
      <c r="M110" s="315"/>
      <c r="N110" s="315"/>
      <c r="O110" s="315"/>
      <c r="P110" s="315"/>
      <c r="Q110" s="315"/>
      <c r="R110" s="315"/>
      <c r="S110" s="315"/>
      <c r="T110" s="315"/>
      <c r="U110" s="315"/>
      <c r="V110" s="315"/>
      <c r="W110" s="315"/>
      <c r="X110" s="315"/>
      <c r="Y110" s="315"/>
      <c r="Z110" s="315"/>
    </row>
    <row r="111">
      <c r="A111" s="315"/>
      <c r="B111" s="315"/>
      <c r="C111" s="315"/>
      <c r="D111" s="315"/>
      <c r="E111" s="315"/>
      <c r="F111" s="315"/>
      <c r="G111" s="315"/>
      <c r="H111" s="315"/>
      <c r="I111" s="315"/>
      <c r="J111" s="315"/>
      <c r="K111" s="315"/>
      <c r="L111" s="315"/>
      <c r="M111" s="315"/>
      <c r="N111" s="315"/>
      <c r="O111" s="315"/>
      <c r="P111" s="315"/>
      <c r="Q111" s="315"/>
      <c r="R111" s="315"/>
      <c r="S111" s="315"/>
      <c r="T111" s="315"/>
      <c r="U111" s="315"/>
      <c r="V111" s="315"/>
      <c r="W111" s="315"/>
      <c r="X111" s="315"/>
      <c r="Y111" s="315"/>
      <c r="Z111" s="315"/>
    </row>
    <row r="112">
      <c r="A112" s="315"/>
      <c r="B112" s="315"/>
      <c r="C112" s="315"/>
      <c r="D112" s="315"/>
      <c r="E112" s="315"/>
      <c r="F112" s="315"/>
      <c r="G112" s="315"/>
      <c r="H112" s="315"/>
      <c r="I112" s="315"/>
      <c r="J112" s="315"/>
      <c r="K112" s="315"/>
      <c r="L112" s="315"/>
      <c r="M112" s="315"/>
      <c r="N112" s="315"/>
      <c r="O112" s="315"/>
      <c r="P112" s="315"/>
      <c r="Q112" s="315"/>
      <c r="R112" s="315"/>
      <c r="S112" s="315"/>
      <c r="T112" s="315"/>
      <c r="U112" s="315"/>
      <c r="V112" s="315"/>
      <c r="W112" s="315"/>
      <c r="X112" s="315"/>
      <c r="Y112" s="315"/>
      <c r="Z112" s="315"/>
    </row>
    <row r="113">
      <c r="A113" s="315"/>
      <c r="B113" s="315"/>
      <c r="C113" s="315"/>
      <c r="D113" s="315"/>
      <c r="E113" s="315"/>
      <c r="F113" s="315"/>
      <c r="G113" s="315"/>
      <c r="H113" s="315"/>
      <c r="I113" s="315"/>
      <c r="J113" s="315"/>
      <c r="K113" s="315"/>
      <c r="L113" s="315"/>
      <c r="M113" s="315"/>
      <c r="N113" s="315"/>
      <c r="O113" s="315"/>
      <c r="P113" s="315"/>
      <c r="Q113" s="315"/>
      <c r="R113" s="315"/>
      <c r="S113" s="315"/>
      <c r="T113" s="315"/>
      <c r="U113" s="315"/>
      <c r="V113" s="315"/>
      <c r="W113" s="315"/>
      <c r="X113" s="315"/>
      <c r="Y113" s="315"/>
      <c r="Z113" s="315"/>
    </row>
    <row r="114">
      <c r="A114" s="315"/>
      <c r="B114" s="315"/>
      <c r="C114" s="315"/>
      <c r="D114" s="315"/>
      <c r="E114" s="315"/>
      <c r="F114" s="315"/>
      <c r="G114" s="315"/>
      <c r="H114" s="315"/>
      <c r="I114" s="315"/>
      <c r="J114" s="315"/>
      <c r="K114" s="315"/>
      <c r="L114" s="315"/>
      <c r="M114" s="315"/>
      <c r="N114" s="315"/>
      <c r="O114" s="315"/>
      <c r="P114" s="315"/>
      <c r="Q114" s="315"/>
      <c r="R114" s="315"/>
      <c r="S114" s="315"/>
      <c r="T114" s="315"/>
      <c r="U114" s="315"/>
      <c r="V114" s="315"/>
      <c r="W114" s="315"/>
      <c r="X114" s="315"/>
      <c r="Y114" s="315"/>
      <c r="Z114" s="315"/>
    </row>
    <row r="115">
      <c r="A115" s="315"/>
      <c r="B115" s="315"/>
      <c r="C115" s="315"/>
      <c r="D115" s="315"/>
      <c r="E115" s="315"/>
      <c r="F115" s="315"/>
      <c r="G115" s="315"/>
      <c r="H115" s="315"/>
      <c r="I115" s="315"/>
      <c r="J115" s="315"/>
      <c r="K115" s="315"/>
      <c r="L115" s="315"/>
      <c r="M115" s="315"/>
      <c r="N115" s="315"/>
      <c r="O115" s="315"/>
      <c r="P115" s="315"/>
      <c r="Q115" s="315"/>
      <c r="R115" s="315"/>
      <c r="S115" s="315"/>
      <c r="T115" s="315"/>
      <c r="U115" s="315"/>
      <c r="V115" s="315"/>
      <c r="W115" s="315"/>
      <c r="X115" s="315"/>
      <c r="Y115" s="315"/>
      <c r="Z115" s="315"/>
    </row>
    <row r="116">
      <c r="A116" s="315"/>
      <c r="B116" s="315"/>
      <c r="C116" s="315"/>
      <c r="D116" s="315"/>
      <c r="E116" s="315"/>
      <c r="F116" s="315"/>
      <c r="G116" s="315"/>
      <c r="H116" s="315"/>
      <c r="I116" s="315"/>
      <c r="J116" s="315"/>
      <c r="K116" s="315"/>
      <c r="L116" s="315"/>
      <c r="M116" s="315"/>
      <c r="N116" s="315"/>
      <c r="O116" s="315"/>
      <c r="P116" s="315"/>
      <c r="Q116" s="315"/>
      <c r="R116" s="315"/>
      <c r="S116" s="315"/>
      <c r="T116" s="315"/>
      <c r="U116" s="315"/>
      <c r="V116" s="315"/>
      <c r="W116" s="315"/>
      <c r="X116" s="315"/>
      <c r="Y116" s="315"/>
      <c r="Z116" s="315"/>
    </row>
    <row r="117">
      <c r="A117" s="315"/>
      <c r="B117" s="315"/>
      <c r="C117" s="315"/>
      <c r="D117" s="315"/>
      <c r="E117" s="315"/>
      <c r="F117" s="315"/>
      <c r="G117" s="315"/>
      <c r="H117" s="315"/>
      <c r="I117" s="315"/>
      <c r="J117" s="315"/>
      <c r="K117" s="315"/>
      <c r="L117" s="315"/>
      <c r="M117" s="315"/>
      <c r="N117" s="315"/>
      <c r="O117" s="315"/>
      <c r="P117" s="315"/>
      <c r="Q117" s="315"/>
      <c r="R117" s="315"/>
      <c r="S117" s="315"/>
      <c r="T117" s="315"/>
      <c r="U117" s="315"/>
      <c r="V117" s="315"/>
      <c r="W117" s="315"/>
      <c r="X117" s="315"/>
      <c r="Y117" s="315"/>
      <c r="Z117" s="315"/>
    </row>
    <row r="118">
      <c r="A118" s="315"/>
      <c r="B118" s="315"/>
      <c r="C118" s="315"/>
      <c r="D118" s="315"/>
      <c r="E118" s="315"/>
      <c r="F118" s="315"/>
      <c r="G118" s="315"/>
      <c r="H118" s="315"/>
      <c r="I118" s="315"/>
      <c r="J118" s="315"/>
      <c r="K118" s="315"/>
      <c r="L118" s="315"/>
      <c r="M118" s="315"/>
      <c r="N118" s="315"/>
      <c r="O118" s="315"/>
      <c r="P118" s="315"/>
      <c r="Q118" s="315"/>
      <c r="R118" s="315"/>
      <c r="S118" s="315"/>
      <c r="T118" s="315"/>
      <c r="U118" s="315"/>
      <c r="V118" s="315"/>
      <c r="W118" s="315"/>
      <c r="X118" s="315"/>
      <c r="Y118" s="315"/>
      <c r="Z118" s="315"/>
    </row>
    <row r="119">
      <c r="A119" s="315"/>
      <c r="B119" s="315"/>
      <c r="C119" s="315"/>
      <c r="D119" s="315"/>
      <c r="E119" s="315"/>
      <c r="F119" s="315"/>
      <c r="G119" s="315"/>
      <c r="H119" s="315"/>
      <c r="I119" s="315"/>
      <c r="J119" s="315"/>
      <c r="K119" s="315"/>
      <c r="L119" s="315"/>
      <c r="M119" s="315"/>
      <c r="N119" s="315"/>
      <c r="O119" s="315"/>
      <c r="P119" s="315"/>
      <c r="Q119" s="315"/>
      <c r="R119" s="315"/>
      <c r="S119" s="315"/>
      <c r="T119" s="315"/>
      <c r="U119" s="315"/>
      <c r="V119" s="315"/>
      <c r="W119" s="315"/>
      <c r="X119" s="315"/>
      <c r="Y119" s="315"/>
      <c r="Z119" s="315"/>
    </row>
    <row r="120">
      <c r="A120" s="315"/>
      <c r="B120" s="315"/>
      <c r="C120" s="315"/>
      <c r="D120" s="315"/>
      <c r="E120" s="315"/>
      <c r="F120" s="315"/>
      <c r="G120" s="315"/>
      <c r="H120" s="315"/>
      <c r="I120" s="315"/>
      <c r="J120" s="315"/>
      <c r="K120" s="315"/>
      <c r="L120" s="315"/>
      <c r="M120" s="315"/>
      <c r="N120" s="315"/>
      <c r="O120" s="315"/>
      <c r="P120" s="315"/>
      <c r="Q120" s="315"/>
      <c r="R120" s="315"/>
      <c r="S120" s="315"/>
      <c r="T120" s="315"/>
      <c r="U120" s="315"/>
      <c r="V120" s="315"/>
      <c r="W120" s="315"/>
      <c r="X120" s="315"/>
      <c r="Y120" s="315"/>
      <c r="Z120" s="315"/>
    </row>
    <row r="121">
      <c r="A121" s="315"/>
      <c r="B121" s="315"/>
      <c r="C121" s="315"/>
      <c r="D121" s="315"/>
      <c r="E121" s="315"/>
      <c r="F121" s="315"/>
      <c r="G121" s="315"/>
      <c r="H121" s="315"/>
      <c r="I121" s="315"/>
      <c r="J121" s="315"/>
      <c r="K121" s="315"/>
      <c r="L121" s="315"/>
      <c r="M121" s="315"/>
      <c r="N121" s="315"/>
      <c r="O121" s="315"/>
      <c r="P121" s="315"/>
      <c r="Q121" s="315"/>
      <c r="R121" s="315"/>
      <c r="S121" s="315"/>
      <c r="T121" s="315"/>
      <c r="U121" s="315"/>
      <c r="V121" s="315"/>
      <c r="W121" s="315"/>
      <c r="X121" s="315"/>
      <c r="Y121" s="315"/>
      <c r="Z121" s="315"/>
    </row>
    <row r="122">
      <c r="A122" s="315"/>
      <c r="B122" s="315"/>
      <c r="C122" s="315"/>
      <c r="D122" s="315"/>
      <c r="E122" s="315"/>
      <c r="F122" s="315"/>
      <c r="G122" s="315"/>
      <c r="H122" s="315"/>
      <c r="I122" s="315"/>
      <c r="J122" s="315"/>
      <c r="K122" s="315"/>
      <c r="L122" s="315"/>
      <c r="M122" s="315"/>
      <c r="N122" s="315"/>
      <c r="O122" s="315"/>
      <c r="P122" s="315"/>
      <c r="Q122" s="315"/>
      <c r="R122" s="315"/>
      <c r="S122" s="315"/>
      <c r="T122" s="315"/>
      <c r="U122" s="315"/>
      <c r="V122" s="315"/>
      <c r="W122" s="315"/>
      <c r="X122" s="315"/>
      <c r="Y122" s="315"/>
      <c r="Z122" s="315"/>
    </row>
    <row r="123">
      <c r="A123" s="315"/>
      <c r="B123" s="315"/>
      <c r="C123" s="315"/>
      <c r="D123" s="315"/>
      <c r="E123" s="315"/>
      <c r="F123" s="315"/>
      <c r="G123" s="315"/>
      <c r="H123" s="315"/>
      <c r="I123" s="315"/>
      <c r="J123" s="315"/>
      <c r="K123" s="315"/>
      <c r="L123" s="315"/>
      <c r="M123" s="315"/>
      <c r="N123" s="315"/>
      <c r="O123" s="315"/>
      <c r="P123" s="315"/>
      <c r="Q123" s="315"/>
      <c r="R123" s="315"/>
      <c r="S123" s="315"/>
      <c r="T123" s="315"/>
      <c r="U123" s="315"/>
      <c r="V123" s="315"/>
      <c r="W123" s="315"/>
      <c r="X123" s="315"/>
      <c r="Y123" s="315"/>
      <c r="Z123" s="315"/>
    </row>
    <row r="124">
      <c r="A124" s="315"/>
      <c r="B124" s="315"/>
      <c r="C124" s="315"/>
      <c r="D124" s="315"/>
      <c r="E124" s="315"/>
      <c r="F124" s="315"/>
      <c r="G124" s="315"/>
      <c r="H124" s="315"/>
      <c r="I124" s="315"/>
      <c r="J124" s="315"/>
      <c r="K124" s="315"/>
      <c r="L124" s="315"/>
      <c r="M124" s="315"/>
      <c r="N124" s="315"/>
      <c r="O124" s="315"/>
      <c r="P124" s="315"/>
      <c r="Q124" s="315"/>
      <c r="R124" s="315"/>
      <c r="S124" s="315"/>
      <c r="T124" s="315"/>
      <c r="U124" s="315"/>
      <c r="V124" s="315"/>
      <c r="W124" s="315"/>
      <c r="X124" s="315"/>
      <c r="Y124" s="315"/>
      <c r="Z124" s="315"/>
    </row>
    <row r="125">
      <c r="A125" s="315"/>
      <c r="B125" s="315"/>
      <c r="C125" s="315"/>
      <c r="D125" s="315"/>
      <c r="E125" s="315"/>
      <c r="F125" s="315"/>
      <c r="G125" s="315"/>
      <c r="H125" s="315"/>
      <c r="I125" s="315"/>
      <c r="J125" s="315"/>
      <c r="K125" s="315"/>
      <c r="L125" s="315"/>
      <c r="M125" s="315"/>
      <c r="N125" s="315"/>
      <c r="O125" s="315"/>
      <c r="P125" s="315"/>
      <c r="Q125" s="315"/>
      <c r="R125" s="315"/>
      <c r="S125" s="315"/>
      <c r="T125" s="315"/>
      <c r="U125" s="315"/>
      <c r="V125" s="315"/>
      <c r="W125" s="315"/>
      <c r="X125" s="315"/>
      <c r="Y125" s="315"/>
      <c r="Z125" s="315"/>
    </row>
    <row r="126">
      <c r="A126" s="315"/>
      <c r="B126" s="315"/>
      <c r="C126" s="315"/>
      <c r="D126" s="315"/>
      <c r="E126" s="315"/>
      <c r="F126" s="315"/>
      <c r="G126" s="315"/>
      <c r="H126" s="315"/>
      <c r="I126" s="315"/>
      <c r="J126" s="315"/>
      <c r="K126" s="315"/>
      <c r="L126" s="315"/>
      <c r="M126" s="315"/>
      <c r="N126" s="315"/>
      <c r="O126" s="315"/>
      <c r="P126" s="315"/>
      <c r="Q126" s="315"/>
      <c r="R126" s="315"/>
      <c r="S126" s="315"/>
      <c r="T126" s="315"/>
      <c r="U126" s="315"/>
      <c r="V126" s="315"/>
      <c r="W126" s="315"/>
      <c r="X126" s="315"/>
      <c r="Y126" s="315"/>
      <c r="Z126" s="315"/>
    </row>
    <row r="127">
      <c r="A127" s="315"/>
      <c r="B127" s="315"/>
      <c r="C127" s="315"/>
      <c r="D127" s="315"/>
      <c r="E127" s="315"/>
      <c r="F127" s="315"/>
      <c r="G127" s="315"/>
      <c r="H127" s="315"/>
      <c r="I127" s="315"/>
      <c r="J127" s="315"/>
      <c r="K127" s="315"/>
      <c r="L127" s="315"/>
      <c r="M127" s="315"/>
      <c r="N127" s="315"/>
      <c r="O127" s="315"/>
      <c r="P127" s="315"/>
      <c r="Q127" s="315"/>
      <c r="R127" s="315"/>
      <c r="S127" s="315"/>
      <c r="T127" s="315"/>
      <c r="U127" s="315"/>
      <c r="V127" s="315"/>
      <c r="W127" s="315"/>
      <c r="X127" s="315"/>
      <c r="Y127" s="315"/>
      <c r="Z127" s="315"/>
    </row>
    <row r="128">
      <c r="A128" s="315"/>
      <c r="B128" s="315"/>
      <c r="C128" s="315"/>
      <c r="D128" s="315"/>
      <c r="E128" s="315"/>
      <c r="F128" s="315"/>
      <c r="G128" s="315"/>
      <c r="H128" s="315"/>
      <c r="I128" s="315"/>
      <c r="J128" s="315"/>
      <c r="K128" s="315"/>
      <c r="L128" s="315"/>
      <c r="M128" s="315"/>
      <c r="N128" s="315"/>
      <c r="O128" s="315"/>
      <c r="P128" s="315"/>
      <c r="Q128" s="315"/>
      <c r="R128" s="315"/>
      <c r="S128" s="315"/>
      <c r="T128" s="315"/>
      <c r="U128" s="315"/>
      <c r="V128" s="315"/>
      <c r="W128" s="315"/>
      <c r="X128" s="315"/>
      <c r="Y128" s="315"/>
      <c r="Z128" s="315"/>
    </row>
    <row r="129">
      <c r="A129" s="315"/>
      <c r="B129" s="315"/>
      <c r="C129" s="315"/>
      <c r="D129" s="315"/>
      <c r="E129" s="315"/>
      <c r="F129" s="315"/>
      <c r="G129" s="315"/>
      <c r="H129" s="315"/>
      <c r="I129" s="315"/>
      <c r="J129" s="315"/>
      <c r="K129" s="315"/>
      <c r="L129" s="315"/>
      <c r="M129" s="315"/>
      <c r="N129" s="315"/>
      <c r="O129" s="315"/>
      <c r="P129" s="315"/>
      <c r="Q129" s="315"/>
      <c r="R129" s="315"/>
      <c r="S129" s="315"/>
      <c r="T129" s="315"/>
      <c r="U129" s="315"/>
      <c r="V129" s="315"/>
      <c r="W129" s="315"/>
      <c r="X129" s="315"/>
      <c r="Y129" s="315"/>
      <c r="Z129" s="315"/>
    </row>
    <row r="130">
      <c r="A130" s="315"/>
      <c r="B130" s="315"/>
      <c r="C130" s="315"/>
      <c r="D130" s="315"/>
      <c r="E130" s="315"/>
      <c r="F130" s="315"/>
      <c r="G130" s="315"/>
      <c r="H130" s="315"/>
      <c r="I130" s="315"/>
      <c r="J130" s="315"/>
      <c r="K130" s="315"/>
      <c r="L130" s="315"/>
      <c r="M130" s="315"/>
      <c r="N130" s="315"/>
      <c r="O130" s="315"/>
      <c r="P130" s="315"/>
      <c r="Q130" s="315"/>
      <c r="R130" s="315"/>
      <c r="S130" s="315"/>
      <c r="T130" s="315"/>
      <c r="U130" s="315"/>
      <c r="V130" s="315"/>
      <c r="W130" s="315"/>
      <c r="X130" s="315"/>
      <c r="Y130" s="315"/>
      <c r="Z130" s="315"/>
    </row>
    <row r="131">
      <c r="A131" s="315"/>
      <c r="B131" s="315"/>
      <c r="C131" s="315"/>
      <c r="D131" s="315"/>
      <c r="E131" s="315"/>
      <c r="F131" s="315"/>
      <c r="G131" s="315"/>
      <c r="H131" s="315"/>
      <c r="I131" s="315"/>
      <c r="J131" s="315"/>
      <c r="K131" s="315"/>
      <c r="L131" s="315"/>
      <c r="M131" s="315"/>
      <c r="N131" s="315"/>
      <c r="O131" s="315"/>
      <c r="P131" s="315"/>
      <c r="Q131" s="315"/>
      <c r="R131" s="315"/>
      <c r="S131" s="315"/>
      <c r="T131" s="315"/>
      <c r="U131" s="315"/>
      <c r="V131" s="315"/>
      <c r="W131" s="315"/>
      <c r="X131" s="315"/>
      <c r="Y131" s="315"/>
      <c r="Z131" s="315"/>
    </row>
    <row r="132">
      <c r="A132" s="315"/>
      <c r="B132" s="315"/>
      <c r="C132" s="315"/>
      <c r="D132" s="315"/>
      <c r="E132" s="315"/>
      <c r="F132" s="315"/>
      <c r="G132" s="315"/>
      <c r="H132" s="315"/>
      <c r="I132" s="315"/>
      <c r="J132" s="315"/>
      <c r="K132" s="315"/>
      <c r="L132" s="315"/>
      <c r="M132" s="315"/>
      <c r="N132" s="315"/>
      <c r="O132" s="315"/>
      <c r="P132" s="315"/>
      <c r="Q132" s="315"/>
      <c r="R132" s="315"/>
      <c r="S132" s="315"/>
      <c r="T132" s="315"/>
      <c r="U132" s="315"/>
      <c r="V132" s="315"/>
      <c r="W132" s="315"/>
      <c r="X132" s="315"/>
      <c r="Y132" s="315"/>
      <c r="Z132" s="315"/>
    </row>
    <row r="133">
      <c r="A133" s="315"/>
      <c r="B133" s="315"/>
      <c r="C133" s="315"/>
      <c r="D133" s="315"/>
      <c r="E133" s="315"/>
      <c r="F133" s="315"/>
      <c r="G133" s="315"/>
      <c r="H133" s="315"/>
      <c r="I133" s="315"/>
      <c r="J133" s="315"/>
      <c r="K133" s="315"/>
      <c r="L133" s="315"/>
      <c r="M133" s="315"/>
      <c r="N133" s="315"/>
      <c r="O133" s="315"/>
      <c r="P133" s="315"/>
      <c r="Q133" s="315"/>
      <c r="R133" s="315"/>
      <c r="S133" s="315"/>
      <c r="T133" s="315"/>
      <c r="U133" s="315"/>
      <c r="V133" s="315"/>
      <c r="W133" s="315"/>
      <c r="X133" s="315"/>
      <c r="Y133" s="315"/>
      <c r="Z133" s="315"/>
    </row>
    <row r="134">
      <c r="A134" s="315"/>
      <c r="B134" s="315"/>
      <c r="C134" s="315"/>
      <c r="D134" s="315"/>
      <c r="E134" s="315"/>
      <c r="F134" s="315"/>
      <c r="G134" s="315"/>
      <c r="H134" s="315"/>
      <c r="I134" s="315"/>
      <c r="J134" s="315"/>
      <c r="K134" s="315"/>
      <c r="L134" s="315"/>
      <c r="M134" s="315"/>
      <c r="N134" s="315"/>
      <c r="O134" s="315"/>
      <c r="P134" s="315"/>
      <c r="Q134" s="315"/>
      <c r="R134" s="315"/>
      <c r="S134" s="315"/>
      <c r="T134" s="315"/>
      <c r="U134" s="315"/>
      <c r="V134" s="315"/>
      <c r="W134" s="315"/>
      <c r="X134" s="315"/>
      <c r="Y134" s="315"/>
      <c r="Z134" s="315"/>
    </row>
    <row r="135">
      <c r="A135" s="315"/>
      <c r="B135" s="315"/>
      <c r="C135" s="315"/>
      <c r="D135" s="315"/>
      <c r="E135" s="315"/>
      <c r="F135" s="315"/>
      <c r="G135" s="315"/>
      <c r="H135" s="315"/>
      <c r="I135" s="315"/>
      <c r="J135" s="315"/>
      <c r="K135" s="315"/>
      <c r="L135" s="315"/>
      <c r="M135" s="315"/>
      <c r="N135" s="315"/>
      <c r="O135" s="315"/>
      <c r="P135" s="315"/>
      <c r="Q135" s="315"/>
      <c r="R135" s="315"/>
      <c r="S135" s="315"/>
      <c r="T135" s="315"/>
      <c r="U135" s="315"/>
      <c r="V135" s="315"/>
      <c r="W135" s="315"/>
      <c r="X135" s="315"/>
      <c r="Y135" s="315"/>
      <c r="Z135" s="315"/>
    </row>
    <row r="136">
      <c r="A136" s="315"/>
      <c r="B136" s="315"/>
      <c r="C136" s="315"/>
      <c r="D136" s="315"/>
      <c r="E136" s="315"/>
      <c r="F136" s="315"/>
      <c r="G136" s="315"/>
      <c r="H136" s="315"/>
      <c r="I136" s="315"/>
      <c r="J136" s="315"/>
      <c r="K136" s="315"/>
      <c r="L136" s="315"/>
      <c r="M136" s="315"/>
      <c r="N136" s="315"/>
      <c r="O136" s="315"/>
      <c r="P136" s="315"/>
      <c r="Q136" s="315"/>
      <c r="R136" s="315"/>
      <c r="S136" s="315"/>
      <c r="T136" s="315"/>
      <c r="U136" s="315"/>
      <c r="V136" s="315"/>
      <c r="W136" s="315"/>
      <c r="X136" s="315"/>
      <c r="Y136" s="315"/>
      <c r="Z136" s="315"/>
    </row>
    <row r="137">
      <c r="A137" s="315"/>
      <c r="B137" s="315"/>
      <c r="C137" s="315"/>
      <c r="D137" s="315"/>
      <c r="E137" s="315"/>
      <c r="F137" s="315"/>
      <c r="G137" s="315"/>
      <c r="H137" s="315"/>
      <c r="I137" s="315"/>
      <c r="J137" s="315"/>
      <c r="K137" s="315"/>
      <c r="L137" s="315"/>
      <c r="M137" s="315"/>
      <c r="N137" s="315"/>
      <c r="O137" s="315"/>
      <c r="P137" s="315"/>
      <c r="Q137" s="315"/>
      <c r="R137" s="315"/>
      <c r="S137" s="315"/>
      <c r="T137" s="315"/>
      <c r="U137" s="315"/>
      <c r="V137" s="315"/>
      <c r="W137" s="315"/>
      <c r="X137" s="315"/>
      <c r="Y137" s="315"/>
      <c r="Z137" s="315"/>
    </row>
    <row r="138">
      <c r="A138" s="315"/>
      <c r="B138" s="315"/>
      <c r="C138" s="315"/>
      <c r="D138" s="315"/>
      <c r="E138" s="315"/>
      <c r="F138" s="315"/>
      <c r="G138" s="315"/>
      <c r="H138" s="315"/>
      <c r="I138" s="315"/>
      <c r="J138" s="315"/>
      <c r="K138" s="315"/>
      <c r="L138" s="315"/>
      <c r="M138" s="315"/>
      <c r="N138" s="315"/>
      <c r="O138" s="315"/>
      <c r="P138" s="315"/>
      <c r="Q138" s="315"/>
      <c r="R138" s="315"/>
      <c r="S138" s="315"/>
      <c r="T138" s="315"/>
      <c r="U138" s="315"/>
      <c r="V138" s="315"/>
      <c r="W138" s="315"/>
      <c r="X138" s="315"/>
      <c r="Y138" s="315"/>
      <c r="Z138" s="315"/>
    </row>
    <row r="139">
      <c r="A139" s="315"/>
      <c r="B139" s="315"/>
      <c r="C139" s="315"/>
      <c r="D139" s="315"/>
      <c r="E139" s="315"/>
      <c r="F139" s="315"/>
      <c r="G139" s="315"/>
      <c r="H139" s="315"/>
      <c r="I139" s="315"/>
      <c r="J139" s="315"/>
      <c r="K139" s="315"/>
      <c r="L139" s="315"/>
      <c r="M139" s="315"/>
      <c r="N139" s="315"/>
      <c r="O139" s="315"/>
      <c r="P139" s="315"/>
      <c r="Q139" s="315"/>
      <c r="R139" s="315"/>
      <c r="S139" s="315"/>
      <c r="T139" s="315"/>
      <c r="U139" s="315"/>
      <c r="V139" s="315"/>
      <c r="W139" s="315"/>
      <c r="X139" s="315"/>
      <c r="Y139" s="315"/>
      <c r="Z139" s="315"/>
    </row>
    <row r="140">
      <c r="A140" s="315"/>
      <c r="B140" s="315"/>
      <c r="C140" s="315"/>
      <c r="D140" s="315"/>
      <c r="E140" s="315"/>
      <c r="F140" s="315"/>
      <c r="G140" s="315"/>
      <c r="H140" s="315"/>
      <c r="I140" s="315"/>
      <c r="J140" s="315"/>
      <c r="K140" s="315"/>
      <c r="L140" s="315"/>
      <c r="M140" s="315"/>
      <c r="N140" s="315"/>
      <c r="O140" s="315"/>
      <c r="P140" s="315"/>
      <c r="Q140" s="315"/>
      <c r="R140" s="315"/>
      <c r="S140" s="315"/>
      <c r="T140" s="315"/>
      <c r="U140" s="315"/>
      <c r="V140" s="315"/>
      <c r="W140" s="315"/>
      <c r="X140" s="315"/>
      <c r="Y140" s="315"/>
      <c r="Z140" s="315"/>
    </row>
    <row r="141">
      <c r="A141" s="315"/>
      <c r="B141" s="315"/>
      <c r="C141" s="315"/>
      <c r="D141" s="315"/>
      <c r="E141" s="315"/>
      <c r="F141" s="315"/>
      <c r="G141" s="315"/>
      <c r="H141" s="315"/>
      <c r="I141" s="315"/>
      <c r="J141" s="315"/>
      <c r="K141" s="315"/>
      <c r="L141" s="315"/>
      <c r="M141" s="315"/>
      <c r="N141" s="315"/>
      <c r="O141" s="315"/>
      <c r="P141" s="315"/>
      <c r="Q141" s="315"/>
      <c r="R141" s="315"/>
      <c r="S141" s="315"/>
      <c r="T141" s="315"/>
      <c r="U141" s="315"/>
      <c r="V141" s="315"/>
      <c r="W141" s="315"/>
      <c r="X141" s="315"/>
      <c r="Y141" s="315"/>
      <c r="Z141" s="315"/>
    </row>
    <row r="142">
      <c r="A142" s="315"/>
      <c r="B142" s="315"/>
      <c r="C142" s="315"/>
      <c r="D142" s="315"/>
      <c r="E142" s="315"/>
      <c r="F142" s="315"/>
      <c r="G142" s="315"/>
      <c r="H142" s="315"/>
      <c r="I142" s="315"/>
      <c r="J142" s="315"/>
      <c r="K142" s="315"/>
      <c r="L142" s="315"/>
      <c r="M142" s="315"/>
      <c r="N142" s="315"/>
      <c r="O142" s="315"/>
      <c r="P142" s="315"/>
      <c r="Q142" s="315"/>
      <c r="R142" s="315"/>
      <c r="S142" s="315"/>
      <c r="T142" s="315"/>
      <c r="U142" s="315"/>
      <c r="V142" s="315"/>
      <c r="W142" s="315"/>
      <c r="X142" s="315"/>
      <c r="Y142" s="315"/>
      <c r="Z142" s="315"/>
    </row>
    <row r="143">
      <c r="A143" s="315"/>
      <c r="B143" s="315"/>
      <c r="C143" s="315"/>
      <c r="D143" s="315"/>
      <c r="E143" s="315"/>
      <c r="F143" s="315"/>
      <c r="G143" s="315"/>
      <c r="H143" s="315"/>
      <c r="I143" s="315"/>
      <c r="J143" s="315"/>
      <c r="K143" s="315"/>
      <c r="L143" s="315"/>
      <c r="M143" s="315"/>
      <c r="N143" s="315"/>
      <c r="O143" s="315"/>
      <c r="P143" s="315"/>
      <c r="Q143" s="315"/>
      <c r="R143" s="315"/>
      <c r="S143" s="315"/>
      <c r="T143" s="315"/>
      <c r="U143" s="315"/>
      <c r="V143" s="315"/>
      <c r="W143" s="315"/>
      <c r="X143" s="315"/>
      <c r="Y143" s="315"/>
      <c r="Z143" s="315"/>
    </row>
    <row r="144">
      <c r="A144" s="315"/>
      <c r="B144" s="315"/>
      <c r="C144" s="315"/>
      <c r="D144" s="315"/>
      <c r="E144" s="315"/>
      <c r="F144" s="315"/>
      <c r="G144" s="315"/>
      <c r="H144" s="315"/>
      <c r="I144" s="315"/>
      <c r="J144" s="315"/>
      <c r="K144" s="315"/>
      <c r="L144" s="315"/>
      <c r="M144" s="315"/>
      <c r="N144" s="315"/>
      <c r="O144" s="315"/>
      <c r="P144" s="315"/>
      <c r="Q144" s="315"/>
      <c r="R144" s="315"/>
      <c r="S144" s="315"/>
      <c r="T144" s="315"/>
      <c r="U144" s="315"/>
      <c r="V144" s="315"/>
      <c r="W144" s="315"/>
      <c r="X144" s="315"/>
      <c r="Y144" s="315"/>
      <c r="Z144" s="315"/>
    </row>
    <row r="145">
      <c r="A145" s="315"/>
      <c r="B145" s="315"/>
      <c r="C145" s="315"/>
      <c r="D145" s="315"/>
      <c r="E145" s="315"/>
      <c r="F145" s="315"/>
      <c r="G145" s="315"/>
      <c r="H145" s="315"/>
      <c r="I145" s="315"/>
      <c r="J145" s="315"/>
      <c r="K145" s="315"/>
      <c r="L145" s="315"/>
      <c r="M145" s="315"/>
      <c r="N145" s="315"/>
      <c r="O145" s="315"/>
      <c r="P145" s="315"/>
      <c r="Q145" s="315"/>
      <c r="R145" s="315"/>
      <c r="S145" s="315"/>
      <c r="T145" s="315"/>
      <c r="U145" s="315"/>
      <c r="V145" s="315"/>
      <c r="W145" s="315"/>
      <c r="X145" s="315"/>
      <c r="Y145" s="315"/>
      <c r="Z145" s="315"/>
    </row>
    <row r="146">
      <c r="A146" s="315"/>
      <c r="B146" s="315"/>
      <c r="C146" s="315"/>
      <c r="D146" s="315"/>
      <c r="E146" s="315"/>
      <c r="F146" s="315"/>
      <c r="G146" s="315"/>
      <c r="H146" s="315"/>
      <c r="I146" s="315"/>
      <c r="J146" s="315"/>
      <c r="K146" s="315"/>
      <c r="L146" s="315"/>
      <c r="M146" s="315"/>
      <c r="N146" s="315"/>
      <c r="O146" s="315"/>
      <c r="P146" s="315"/>
      <c r="Q146" s="315"/>
      <c r="R146" s="315"/>
      <c r="S146" s="315"/>
      <c r="T146" s="315"/>
      <c r="U146" s="315"/>
      <c r="V146" s="315"/>
      <c r="W146" s="315"/>
      <c r="X146" s="315"/>
      <c r="Y146" s="315"/>
      <c r="Z146" s="315"/>
    </row>
    <row r="147">
      <c r="A147" s="315"/>
      <c r="B147" s="315"/>
      <c r="C147" s="315"/>
      <c r="D147" s="315"/>
      <c r="E147" s="315"/>
      <c r="F147" s="315"/>
      <c r="G147" s="315"/>
      <c r="H147" s="315"/>
      <c r="I147" s="315"/>
      <c r="J147" s="315"/>
      <c r="K147" s="315"/>
      <c r="L147" s="315"/>
      <c r="M147" s="315"/>
      <c r="N147" s="315"/>
      <c r="O147" s="315"/>
      <c r="P147" s="315"/>
      <c r="Q147" s="315"/>
      <c r="R147" s="315"/>
      <c r="S147" s="315"/>
      <c r="T147" s="315"/>
      <c r="U147" s="315"/>
      <c r="V147" s="315"/>
      <c r="W147" s="315"/>
      <c r="X147" s="315"/>
      <c r="Y147" s="315"/>
      <c r="Z147" s="315"/>
    </row>
    <row r="148">
      <c r="A148" s="315"/>
      <c r="B148" s="315"/>
      <c r="C148" s="315"/>
      <c r="D148" s="315"/>
      <c r="E148" s="315"/>
      <c r="F148" s="315"/>
      <c r="G148" s="315"/>
      <c r="H148" s="315"/>
      <c r="I148" s="315"/>
      <c r="J148" s="315"/>
      <c r="K148" s="315"/>
      <c r="L148" s="315"/>
      <c r="M148" s="315"/>
      <c r="N148" s="315"/>
      <c r="O148" s="315"/>
      <c r="P148" s="315"/>
      <c r="Q148" s="315"/>
      <c r="R148" s="315"/>
      <c r="S148" s="315"/>
      <c r="T148" s="315"/>
      <c r="U148" s="315"/>
      <c r="V148" s="315"/>
      <c r="W148" s="315"/>
      <c r="X148" s="315"/>
      <c r="Y148" s="315"/>
      <c r="Z148" s="315"/>
    </row>
    <row r="149">
      <c r="A149" s="315"/>
      <c r="B149" s="315"/>
      <c r="C149" s="315"/>
      <c r="D149" s="315"/>
      <c r="E149" s="315"/>
      <c r="F149" s="315"/>
      <c r="G149" s="315"/>
      <c r="H149" s="315"/>
      <c r="I149" s="315"/>
      <c r="J149" s="315"/>
      <c r="K149" s="315"/>
      <c r="L149" s="315"/>
      <c r="M149" s="315"/>
      <c r="N149" s="315"/>
      <c r="O149" s="315"/>
      <c r="P149" s="315"/>
      <c r="Q149" s="315"/>
      <c r="R149" s="315"/>
      <c r="S149" s="315"/>
      <c r="T149" s="315"/>
      <c r="U149" s="315"/>
      <c r="V149" s="315"/>
      <c r="W149" s="315"/>
      <c r="X149" s="315"/>
      <c r="Y149" s="315"/>
      <c r="Z149" s="315"/>
    </row>
    <row r="150">
      <c r="A150" s="315"/>
      <c r="B150" s="315"/>
      <c r="C150" s="315"/>
      <c r="D150" s="315"/>
      <c r="E150" s="315"/>
      <c r="F150" s="315"/>
      <c r="G150" s="315"/>
      <c r="H150" s="315"/>
      <c r="I150" s="315"/>
      <c r="J150" s="315"/>
      <c r="K150" s="315"/>
      <c r="L150" s="315"/>
      <c r="M150" s="315"/>
      <c r="N150" s="315"/>
      <c r="O150" s="315"/>
      <c r="P150" s="315"/>
      <c r="Q150" s="315"/>
      <c r="R150" s="315"/>
      <c r="S150" s="315"/>
      <c r="T150" s="315"/>
      <c r="U150" s="315"/>
      <c r="V150" s="315"/>
      <c r="W150" s="315"/>
      <c r="X150" s="315"/>
      <c r="Y150" s="315"/>
      <c r="Z150" s="315"/>
    </row>
    <row r="151">
      <c r="A151" s="315"/>
      <c r="B151" s="315"/>
      <c r="C151" s="315"/>
      <c r="D151" s="315"/>
      <c r="E151" s="315"/>
      <c r="F151" s="315"/>
      <c r="G151" s="315"/>
      <c r="H151" s="315"/>
      <c r="I151" s="315"/>
      <c r="J151" s="315"/>
      <c r="K151" s="315"/>
      <c r="L151" s="315"/>
      <c r="M151" s="315"/>
      <c r="N151" s="315"/>
      <c r="O151" s="315"/>
      <c r="P151" s="315"/>
      <c r="Q151" s="315"/>
      <c r="R151" s="315"/>
      <c r="S151" s="315"/>
      <c r="T151" s="315"/>
      <c r="U151" s="315"/>
      <c r="V151" s="315"/>
      <c r="W151" s="315"/>
      <c r="X151" s="315"/>
      <c r="Y151" s="315"/>
      <c r="Z151" s="315"/>
    </row>
    <row r="152">
      <c r="A152" s="315"/>
      <c r="B152" s="315"/>
      <c r="C152" s="315"/>
      <c r="D152" s="315"/>
      <c r="E152" s="315"/>
      <c r="F152" s="315"/>
      <c r="G152" s="315"/>
      <c r="H152" s="315"/>
      <c r="I152" s="315"/>
      <c r="J152" s="315"/>
      <c r="K152" s="315"/>
      <c r="L152" s="315"/>
      <c r="M152" s="315"/>
      <c r="N152" s="315"/>
      <c r="O152" s="315"/>
      <c r="P152" s="315"/>
      <c r="Q152" s="315"/>
      <c r="R152" s="315"/>
      <c r="S152" s="315"/>
      <c r="T152" s="315"/>
      <c r="U152" s="315"/>
      <c r="V152" s="315"/>
      <c r="W152" s="315"/>
      <c r="X152" s="315"/>
      <c r="Y152" s="315"/>
      <c r="Z152" s="315"/>
    </row>
    <row r="153">
      <c r="A153" s="315"/>
      <c r="B153" s="315"/>
      <c r="C153" s="315"/>
      <c r="D153" s="315"/>
      <c r="E153" s="315"/>
      <c r="F153" s="315"/>
      <c r="G153" s="315"/>
      <c r="H153" s="315"/>
      <c r="I153" s="315"/>
      <c r="J153" s="315"/>
      <c r="K153" s="315"/>
      <c r="L153" s="315"/>
      <c r="M153" s="315"/>
      <c r="N153" s="315"/>
      <c r="O153" s="315"/>
      <c r="P153" s="315"/>
      <c r="Q153" s="315"/>
      <c r="R153" s="315"/>
      <c r="S153" s="315"/>
      <c r="T153" s="315"/>
      <c r="U153" s="315"/>
      <c r="V153" s="315"/>
      <c r="W153" s="315"/>
      <c r="X153" s="315"/>
      <c r="Y153" s="315"/>
      <c r="Z153" s="315"/>
    </row>
    <row r="154">
      <c r="A154" s="315"/>
      <c r="B154" s="315"/>
      <c r="C154" s="315"/>
      <c r="D154" s="315"/>
      <c r="E154" s="315"/>
      <c r="F154" s="315"/>
      <c r="G154" s="315"/>
      <c r="H154" s="315"/>
      <c r="I154" s="315"/>
      <c r="J154" s="315"/>
      <c r="K154" s="315"/>
      <c r="L154" s="315"/>
      <c r="M154" s="315"/>
      <c r="N154" s="315"/>
      <c r="O154" s="315"/>
      <c r="P154" s="315"/>
      <c r="Q154" s="315"/>
      <c r="R154" s="315"/>
      <c r="S154" s="315"/>
      <c r="T154" s="315"/>
      <c r="U154" s="315"/>
      <c r="V154" s="315"/>
      <c r="W154" s="315"/>
      <c r="X154" s="315"/>
      <c r="Y154" s="315"/>
      <c r="Z154" s="315"/>
    </row>
    <row r="155">
      <c r="A155" s="315"/>
      <c r="B155" s="315"/>
      <c r="C155" s="315"/>
      <c r="D155" s="315"/>
      <c r="E155" s="315"/>
      <c r="F155" s="315"/>
      <c r="G155" s="315"/>
      <c r="H155" s="315"/>
      <c r="I155" s="315"/>
      <c r="J155" s="315"/>
      <c r="K155" s="315"/>
      <c r="L155" s="315"/>
      <c r="M155" s="315"/>
      <c r="N155" s="315"/>
      <c r="O155" s="315"/>
      <c r="P155" s="315"/>
      <c r="Q155" s="315"/>
      <c r="R155" s="315"/>
      <c r="S155" s="315"/>
      <c r="T155" s="315"/>
      <c r="U155" s="315"/>
      <c r="V155" s="315"/>
      <c r="W155" s="315"/>
      <c r="X155" s="315"/>
      <c r="Y155" s="315"/>
      <c r="Z155" s="315"/>
    </row>
    <row r="156">
      <c r="A156" s="315"/>
      <c r="B156" s="315"/>
      <c r="C156" s="315"/>
      <c r="D156" s="315"/>
      <c r="E156" s="315"/>
      <c r="F156" s="315"/>
      <c r="G156" s="315"/>
      <c r="H156" s="315"/>
      <c r="I156" s="315"/>
      <c r="J156" s="315"/>
      <c r="K156" s="315"/>
      <c r="L156" s="315"/>
      <c r="M156" s="315"/>
      <c r="N156" s="315"/>
      <c r="O156" s="315"/>
      <c r="P156" s="315"/>
      <c r="Q156" s="315"/>
      <c r="R156" s="315"/>
      <c r="S156" s="315"/>
      <c r="T156" s="315"/>
      <c r="U156" s="315"/>
      <c r="V156" s="315"/>
      <c r="W156" s="315"/>
      <c r="X156" s="315"/>
      <c r="Y156" s="315"/>
      <c r="Z156" s="315"/>
    </row>
    <row r="157">
      <c r="A157" s="315"/>
      <c r="B157" s="315"/>
      <c r="C157" s="315"/>
      <c r="D157" s="315"/>
      <c r="E157" s="315"/>
      <c r="F157" s="315"/>
      <c r="G157" s="315"/>
      <c r="H157" s="315"/>
      <c r="I157" s="315"/>
      <c r="J157" s="315"/>
      <c r="K157" s="315"/>
      <c r="L157" s="315"/>
      <c r="M157" s="315"/>
      <c r="N157" s="315"/>
      <c r="O157" s="315"/>
      <c r="P157" s="315"/>
      <c r="Q157" s="315"/>
      <c r="R157" s="315"/>
      <c r="S157" s="315"/>
      <c r="T157" s="315"/>
      <c r="U157" s="315"/>
      <c r="V157" s="315"/>
      <c r="W157" s="315"/>
      <c r="X157" s="315"/>
      <c r="Y157" s="315"/>
      <c r="Z157" s="315"/>
    </row>
    <row r="158">
      <c r="A158" s="315"/>
      <c r="B158" s="315"/>
      <c r="C158" s="315"/>
      <c r="D158" s="315"/>
      <c r="E158" s="315"/>
      <c r="F158" s="315"/>
      <c r="G158" s="315"/>
      <c r="H158" s="315"/>
      <c r="I158" s="315"/>
      <c r="J158" s="315"/>
      <c r="K158" s="315"/>
      <c r="L158" s="315"/>
      <c r="M158" s="315"/>
      <c r="N158" s="315"/>
      <c r="O158" s="315"/>
      <c r="P158" s="315"/>
      <c r="Q158" s="315"/>
      <c r="R158" s="315"/>
      <c r="S158" s="315"/>
      <c r="T158" s="315"/>
      <c r="U158" s="315"/>
      <c r="V158" s="315"/>
      <c r="W158" s="315"/>
      <c r="X158" s="315"/>
      <c r="Y158" s="315"/>
      <c r="Z158" s="315"/>
    </row>
    <row r="159">
      <c r="A159" s="315"/>
      <c r="B159" s="315"/>
      <c r="C159" s="315"/>
      <c r="D159" s="315"/>
      <c r="E159" s="315"/>
      <c r="F159" s="315"/>
      <c r="G159" s="315"/>
      <c r="H159" s="315"/>
      <c r="I159" s="315"/>
      <c r="J159" s="315"/>
      <c r="K159" s="315"/>
      <c r="L159" s="315"/>
      <c r="M159" s="315"/>
      <c r="N159" s="315"/>
      <c r="O159" s="315"/>
      <c r="P159" s="315"/>
      <c r="Q159" s="315"/>
      <c r="R159" s="315"/>
      <c r="S159" s="315"/>
      <c r="T159" s="315"/>
      <c r="U159" s="315"/>
      <c r="V159" s="315"/>
      <c r="W159" s="315"/>
      <c r="X159" s="315"/>
      <c r="Y159" s="315"/>
      <c r="Z159" s="315"/>
    </row>
    <row r="160">
      <c r="A160" s="315"/>
      <c r="B160" s="315"/>
      <c r="C160" s="315"/>
      <c r="D160" s="315"/>
      <c r="E160" s="315"/>
      <c r="F160" s="315"/>
      <c r="G160" s="315"/>
      <c r="H160" s="315"/>
      <c r="I160" s="315"/>
      <c r="J160" s="315"/>
      <c r="K160" s="315"/>
      <c r="L160" s="315"/>
      <c r="M160" s="315"/>
      <c r="N160" s="315"/>
      <c r="O160" s="315"/>
      <c r="P160" s="315"/>
      <c r="Q160" s="315"/>
      <c r="R160" s="315"/>
      <c r="S160" s="315"/>
      <c r="T160" s="315"/>
      <c r="U160" s="315"/>
      <c r="V160" s="315"/>
      <c r="W160" s="315"/>
      <c r="X160" s="315"/>
      <c r="Y160" s="315"/>
      <c r="Z160" s="315"/>
    </row>
    <row r="161">
      <c r="A161" s="315"/>
      <c r="B161" s="315"/>
      <c r="C161" s="315"/>
      <c r="D161" s="315"/>
      <c r="E161" s="315"/>
      <c r="F161" s="315"/>
      <c r="G161" s="315"/>
      <c r="H161" s="315"/>
      <c r="I161" s="315"/>
      <c r="J161" s="315"/>
      <c r="K161" s="315"/>
      <c r="L161" s="315"/>
      <c r="M161" s="315"/>
      <c r="N161" s="315"/>
      <c r="O161" s="315"/>
      <c r="P161" s="315"/>
      <c r="Q161" s="315"/>
      <c r="R161" s="315"/>
      <c r="S161" s="315"/>
      <c r="T161" s="315"/>
      <c r="U161" s="315"/>
      <c r="V161" s="315"/>
      <c r="W161" s="315"/>
      <c r="X161" s="315"/>
      <c r="Y161" s="315"/>
      <c r="Z161" s="315"/>
    </row>
    <row r="162">
      <c r="A162" s="315"/>
      <c r="B162" s="315"/>
      <c r="C162" s="315"/>
      <c r="D162" s="315"/>
      <c r="E162" s="315"/>
      <c r="F162" s="315"/>
      <c r="G162" s="315"/>
      <c r="H162" s="315"/>
      <c r="I162" s="315"/>
      <c r="J162" s="315"/>
      <c r="K162" s="315"/>
      <c r="L162" s="315"/>
      <c r="M162" s="315"/>
      <c r="N162" s="315"/>
      <c r="O162" s="315"/>
      <c r="P162" s="315"/>
      <c r="Q162" s="315"/>
      <c r="R162" s="315"/>
      <c r="S162" s="315"/>
      <c r="T162" s="315"/>
      <c r="U162" s="315"/>
      <c r="V162" s="315"/>
      <c r="W162" s="315"/>
      <c r="X162" s="315"/>
      <c r="Y162" s="315"/>
      <c r="Z162" s="315"/>
    </row>
    <row r="163">
      <c r="A163" s="315"/>
      <c r="B163" s="315"/>
      <c r="C163" s="315"/>
      <c r="D163" s="315"/>
      <c r="E163" s="315"/>
      <c r="F163" s="315"/>
      <c r="G163" s="315"/>
      <c r="H163" s="315"/>
      <c r="I163" s="315"/>
      <c r="J163" s="315"/>
      <c r="K163" s="315"/>
      <c r="L163" s="315"/>
      <c r="M163" s="315"/>
      <c r="N163" s="315"/>
      <c r="O163" s="315"/>
      <c r="P163" s="315"/>
      <c r="Q163" s="315"/>
      <c r="R163" s="315"/>
      <c r="S163" s="315"/>
      <c r="T163" s="315"/>
      <c r="U163" s="315"/>
      <c r="V163" s="315"/>
      <c r="W163" s="315"/>
      <c r="X163" s="315"/>
      <c r="Y163" s="315"/>
      <c r="Z163" s="315"/>
    </row>
    <row r="164">
      <c r="A164" s="315"/>
      <c r="B164" s="315"/>
      <c r="C164" s="315"/>
      <c r="D164" s="315"/>
      <c r="E164" s="315"/>
      <c r="F164" s="315"/>
      <c r="G164" s="315"/>
      <c r="H164" s="315"/>
      <c r="I164" s="315"/>
      <c r="J164" s="315"/>
      <c r="K164" s="315"/>
      <c r="L164" s="315"/>
      <c r="M164" s="315"/>
      <c r="N164" s="315"/>
      <c r="O164" s="315"/>
      <c r="P164" s="315"/>
      <c r="Q164" s="315"/>
      <c r="R164" s="315"/>
      <c r="S164" s="315"/>
      <c r="T164" s="315"/>
      <c r="U164" s="315"/>
      <c r="V164" s="315"/>
      <c r="W164" s="315"/>
      <c r="X164" s="315"/>
      <c r="Y164" s="315"/>
      <c r="Z164" s="315"/>
    </row>
    <row r="165">
      <c r="A165" s="315"/>
      <c r="B165" s="315"/>
      <c r="C165" s="315"/>
      <c r="D165" s="315"/>
      <c r="E165" s="315"/>
      <c r="F165" s="315"/>
      <c r="G165" s="315"/>
      <c r="H165" s="315"/>
      <c r="I165" s="315"/>
      <c r="J165" s="315"/>
      <c r="K165" s="315"/>
      <c r="L165" s="315"/>
      <c r="M165" s="315"/>
      <c r="N165" s="315"/>
      <c r="O165" s="315"/>
      <c r="P165" s="315"/>
      <c r="Q165" s="315"/>
      <c r="R165" s="315"/>
      <c r="S165" s="315"/>
      <c r="T165" s="315"/>
      <c r="U165" s="315"/>
      <c r="V165" s="315"/>
      <c r="W165" s="315"/>
      <c r="X165" s="315"/>
      <c r="Y165" s="315"/>
      <c r="Z165" s="315"/>
    </row>
    <row r="166">
      <c r="A166" s="315"/>
      <c r="B166" s="315"/>
      <c r="C166" s="315"/>
      <c r="D166" s="315"/>
      <c r="E166" s="315"/>
      <c r="F166" s="315"/>
      <c r="G166" s="315"/>
      <c r="H166" s="315"/>
      <c r="I166" s="315"/>
      <c r="J166" s="315"/>
      <c r="K166" s="315"/>
      <c r="L166" s="315"/>
      <c r="M166" s="315"/>
      <c r="N166" s="315"/>
      <c r="O166" s="315"/>
      <c r="P166" s="315"/>
      <c r="Q166" s="315"/>
      <c r="R166" s="315"/>
      <c r="S166" s="315"/>
      <c r="T166" s="315"/>
      <c r="U166" s="315"/>
      <c r="V166" s="315"/>
      <c r="W166" s="315"/>
      <c r="X166" s="315"/>
      <c r="Y166" s="315"/>
      <c r="Z166" s="315"/>
    </row>
    <row r="167">
      <c r="A167" s="315"/>
      <c r="B167" s="315"/>
      <c r="C167" s="315"/>
      <c r="D167" s="315"/>
      <c r="E167" s="315"/>
      <c r="F167" s="315"/>
      <c r="G167" s="315"/>
      <c r="H167" s="315"/>
      <c r="I167" s="315"/>
      <c r="J167" s="315"/>
      <c r="K167" s="315"/>
      <c r="L167" s="315"/>
      <c r="M167" s="315"/>
      <c r="N167" s="315"/>
      <c r="O167" s="315"/>
      <c r="P167" s="315"/>
      <c r="Q167" s="315"/>
      <c r="R167" s="315"/>
      <c r="S167" s="315"/>
      <c r="T167" s="315"/>
      <c r="U167" s="315"/>
      <c r="V167" s="315"/>
      <c r="W167" s="315"/>
      <c r="X167" s="315"/>
      <c r="Y167" s="315"/>
      <c r="Z167" s="315"/>
    </row>
    <row r="168">
      <c r="A168" s="315"/>
      <c r="B168" s="315"/>
      <c r="C168" s="315"/>
      <c r="D168" s="315"/>
      <c r="E168" s="315"/>
      <c r="F168" s="315"/>
      <c r="G168" s="315"/>
      <c r="H168" s="315"/>
      <c r="I168" s="315"/>
      <c r="J168" s="315"/>
      <c r="K168" s="315"/>
      <c r="L168" s="315"/>
      <c r="M168" s="315"/>
      <c r="N168" s="315"/>
      <c r="O168" s="315"/>
      <c r="P168" s="315"/>
      <c r="Q168" s="315"/>
      <c r="R168" s="315"/>
      <c r="S168" s="315"/>
      <c r="T168" s="315"/>
      <c r="U168" s="315"/>
      <c r="V168" s="315"/>
      <c r="W168" s="315"/>
      <c r="X168" s="315"/>
      <c r="Y168" s="315"/>
      <c r="Z168" s="315"/>
    </row>
    <row r="169">
      <c r="A169" s="315"/>
      <c r="B169" s="315"/>
      <c r="C169" s="315"/>
      <c r="D169" s="315"/>
      <c r="E169" s="315"/>
      <c r="F169" s="315"/>
      <c r="G169" s="315"/>
      <c r="H169" s="315"/>
      <c r="I169" s="315"/>
      <c r="J169" s="315"/>
      <c r="K169" s="315"/>
      <c r="L169" s="315"/>
      <c r="M169" s="315"/>
      <c r="N169" s="315"/>
      <c r="O169" s="315"/>
      <c r="P169" s="315"/>
      <c r="Q169" s="315"/>
      <c r="R169" s="315"/>
      <c r="S169" s="315"/>
      <c r="T169" s="315"/>
      <c r="U169" s="315"/>
      <c r="V169" s="315"/>
      <c r="W169" s="315"/>
      <c r="X169" s="315"/>
      <c r="Y169" s="315"/>
      <c r="Z169" s="315"/>
    </row>
    <row r="170">
      <c r="A170" s="315"/>
      <c r="B170" s="315"/>
      <c r="C170" s="315"/>
      <c r="D170" s="315"/>
      <c r="E170" s="315"/>
      <c r="F170" s="315"/>
      <c r="G170" s="315"/>
      <c r="H170" s="315"/>
      <c r="I170" s="315"/>
      <c r="J170" s="315"/>
      <c r="K170" s="315"/>
      <c r="L170" s="315"/>
      <c r="M170" s="315"/>
      <c r="N170" s="315"/>
      <c r="O170" s="315"/>
      <c r="P170" s="315"/>
      <c r="Q170" s="315"/>
      <c r="R170" s="315"/>
      <c r="S170" s="315"/>
      <c r="T170" s="315"/>
      <c r="U170" s="315"/>
      <c r="V170" s="315"/>
      <c r="W170" s="315"/>
      <c r="X170" s="315"/>
      <c r="Y170" s="315"/>
      <c r="Z170" s="315"/>
    </row>
    <row r="171">
      <c r="A171" s="315"/>
      <c r="B171" s="315"/>
      <c r="C171" s="315"/>
      <c r="D171" s="315"/>
      <c r="E171" s="315"/>
      <c r="F171" s="315"/>
      <c r="G171" s="315"/>
      <c r="H171" s="315"/>
      <c r="I171" s="315"/>
      <c r="J171" s="315"/>
      <c r="K171" s="315"/>
      <c r="L171" s="315"/>
      <c r="M171" s="315"/>
      <c r="N171" s="315"/>
      <c r="O171" s="315"/>
      <c r="P171" s="315"/>
      <c r="Q171" s="315"/>
      <c r="R171" s="315"/>
      <c r="S171" s="315"/>
      <c r="T171" s="315"/>
      <c r="U171" s="315"/>
      <c r="V171" s="315"/>
      <c r="W171" s="315"/>
      <c r="X171" s="315"/>
      <c r="Y171" s="315"/>
      <c r="Z171" s="315"/>
    </row>
    <row r="172">
      <c r="A172" s="315"/>
      <c r="B172" s="315"/>
      <c r="C172" s="315"/>
      <c r="D172" s="315"/>
      <c r="E172" s="315"/>
      <c r="F172" s="315"/>
      <c r="G172" s="315"/>
      <c r="H172" s="315"/>
      <c r="I172" s="315"/>
      <c r="J172" s="315"/>
      <c r="K172" s="315"/>
      <c r="L172" s="315"/>
      <c r="M172" s="315"/>
      <c r="N172" s="315"/>
      <c r="O172" s="315"/>
      <c r="P172" s="315"/>
      <c r="Q172" s="315"/>
      <c r="R172" s="315"/>
      <c r="S172" s="315"/>
      <c r="T172" s="315"/>
      <c r="U172" s="315"/>
      <c r="V172" s="315"/>
      <c r="W172" s="315"/>
      <c r="X172" s="315"/>
      <c r="Y172" s="315"/>
      <c r="Z172" s="315"/>
    </row>
    <row r="173">
      <c r="A173" s="315"/>
      <c r="B173" s="315"/>
      <c r="C173" s="315"/>
      <c r="D173" s="315"/>
      <c r="E173" s="315"/>
      <c r="F173" s="315"/>
      <c r="G173" s="315"/>
      <c r="H173" s="315"/>
      <c r="I173" s="315"/>
      <c r="J173" s="315"/>
      <c r="K173" s="315"/>
      <c r="L173" s="315"/>
      <c r="M173" s="315"/>
      <c r="N173" s="315"/>
      <c r="O173" s="315"/>
      <c r="P173" s="315"/>
      <c r="Q173" s="315"/>
      <c r="R173" s="315"/>
      <c r="S173" s="315"/>
      <c r="T173" s="315"/>
      <c r="U173" s="315"/>
      <c r="V173" s="315"/>
      <c r="W173" s="315"/>
      <c r="X173" s="315"/>
      <c r="Y173" s="315"/>
      <c r="Z173" s="315"/>
    </row>
    <row r="174">
      <c r="A174" s="315"/>
      <c r="B174" s="315"/>
      <c r="C174" s="315"/>
      <c r="D174" s="315"/>
      <c r="E174" s="315"/>
      <c r="F174" s="315"/>
      <c r="G174" s="315"/>
      <c r="H174" s="315"/>
      <c r="I174" s="315"/>
      <c r="J174" s="315"/>
      <c r="K174" s="315"/>
      <c r="L174" s="315"/>
      <c r="M174" s="315"/>
      <c r="N174" s="315"/>
      <c r="O174" s="315"/>
      <c r="P174" s="315"/>
      <c r="Q174" s="315"/>
      <c r="R174" s="315"/>
      <c r="S174" s="315"/>
      <c r="T174" s="315"/>
      <c r="U174" s="315"/>
      <c r="V174" s="315"/>
      <c r="W174" s="315"/>
      <c r="X174" s="315"/>
      <c r="Y174" s="315"/>
      <c r="Z174" s="315"/>
    </row>
    <row r="175">
      <c r="A175" s="315"/>
      <c r="B175" s="315"/>
      <c r="C175" s="315"/>
      <c r="D175" s="315"/>
      <c r="E175" s="315"/>
      <c r="F175" s="315"/>
      <c r="G175" s="315"/>
      <c r="H175" s="315"/>
      <c r="I175" s="315"/>
      <c r="J175" s="315"/>
      <c r="K175" s="315"/>
      <c r="L175" s="315"/>
      <c r="M175" s="315"/>
      <c r="N175" s="315"/>
      <c r="O175" s="315"/>
      <c r="P175" s="315"/>
      <c r="Q175" s="315"/>
      <c r="R175" s="315"/>
      <c r="S175" s="315"/>
      <c r="T175" s="315"/>
      <c r="U175" s="315"/>
      <c r="V175" s="315"/>
      <c r="W175" s="315"/>
      <c r="X175" s="315"/>
      <c r="Y175" s="315"/>
      <c r="Z175" s="315"/>
    </row>
    <row r="176">
      <c r="A176" s="315"/>
      <c r="B176" s="315"/>
      <c r="C176" s="315"/>
      <c r="D176" s="315"/>
      <c r="E176" s="315"/>
      <c r="F176" s="315"/>
      <c r="G176" s="315"/>
      <c r="H176" s="315"/>
      <c r="I176" s="315"/>
      <c r="J176" s="315"/>
      <c r="K176" s="315"/>
      <c r="L176" s="315"/>
      <c r="M176" s="315"/>
      <c r="N176" s="315"/>
      <c r="O176" s="315"/>
      <c r="P176" s="315"/>
      <c r="Q176" s="315"/>
      <c r="R176" s="315"/>
      <c r="S176" s="315"/>
      <c r="T176" s="315"/>
      <c r="U176" s="315"/>
      <c r="V176" s="315"/>
      <c r="W176" s="315"/>
      <c r="X176" s="315"/>
      <c r="Y176" s="315"/>
      <c r="Z176" s="315"/>
    </row>
    <row r="177">
      <c r="A177" s="315"/>
      <c r="B177" s="315"/>
      <c r="C177" s="315"/>
      <c r="D177" s="315"/>
      <c r="E177" s="315"/>
      <c r="F177" s="315"/>
      <c r="G177" s="315"/>
      <c r="H177" s="315"/>
      <c r="I177" s="315"/>
      <c r="J177" s="315"/>
      <c r="K177" s="315"/>
      <c r="L177" s="315"/>
      <c r="M177" s="315"/>
      <c r="N177" s="315"/>
      <c r="O177" s="315"/>
      <c r="P177" s="315"/>
      <c r="Q177" s="315"/>
      <c r="R177" s="315"/>
      <c r="S177" s="315"/>
      <c r="T177" s="315"/>
      <c r="U177" s="315"/>
      <c r="V177" s="315"/>
      <c r="W177" s="315"/>
      <c r="X177" s="315"/>
      <c r="Y177" s="315"/>
      <c r="Z177" s="315"/>
    </row>
    <row r="178">
      <c r="A178" s="315"/>
      <c r="B178" s="315"/>
      <c r="C178" s="315"/>
      <c r="D178" s="315"/>
      <c r="E178" s="315"/>
      <c r="F178" s="315"/>
      <c r="G178" s="315"/>
      <c r="H178" s="315"/>
      <c r="I178" s="315"/>
      <c r="J178" s="315"/>
      <c r="K178" s="315"/>
      <c r="L178" s="315"/>
      <c r="M178" s="315"/>
      <c r="N178" s="315"/>
      <c r="O178" s="315"/>
      <c r="P178" s="315"/>
      <c r="Q178" s="315"/>
      <c r="R178" s="315"/>
      <c r="S178" s="315"/>
      <c r="T178" s="315"/>
      <c r="U178" s="315"/>
      <c r="V178" s="315"/>
      <c r="W178" s="315"/>
      <c r="X178" s="315"/>
      <c r="Y178" s="315"/>
      <c r="Z178" s="315"/>
    </row>
    <row r="179">
      <c r="A179" s="315"/>
      <c r="B179" s="315"/>
      <c r="C179" s="315"/>
      <c r="D179" s="315"/>
      <c r="E179" s="315"/>
      <c r="F179" s="315"/>
      <c r="G179" s="315"/>
      <c r="H179" s="315"/>
      <c r="I179" s="315"/>
      <c r="J179" s="315"/>
      <c r="K179" s="315"/>
      <c r="L179" s="315"/>
      <c r="M179" s="315"/>
      <c r="N179" s="315"/>
      <c r="O179" s="315"/>
      <c r="P179" s="315"/>
      <c r="Q179" s="315"/>
      <c r="R179" s="315"/>
      <c r="S179" s="315"/>
      <c r="T179" s="315"/>
      <c r="U179" s="315"/>
      <c r="V179" s="315"/>
      <c r="W179" s="315"/>
      <c r="X179" s="315"/>
      <c r="Y179" s="315"/>
      <c r="Z179" s="315"/>
    </row>
    <row r="180">
      <c r="A180" s="315"/>
      <c r="B180" s="315"/>
      <c r="C180" s="315"/>
      <c r="D180" s="315"/>
      <c r="E180" s="315"/>
      <c r="F180" s="315"/>
      <c r="G180" s="315"/>
      <c r="H180" s="315"/>
      <c r="I180" s="315"/>
      <c r="J180" s="315"/>
      <c r="K180" s="315"/>
      <c r="L180" s="315"/>
      <c r="M180" s="315"/>
      <c r="N180" s="315"/>
      <c r="O180" s="315"/>
      <c r="P180" s="315"/>
      <c r="Q180" s="315"/>
      <c r="R180" s="315"/>
      <c r="S180" s="315"/>
      <c r="T180" s="315"/>
      <c r="U180" s="315"/>
      <c r="V180" s="315"/>
      <c r="W180" s="315"/>
      <c r="X180" s="315"/>
      <c r="Y180" s="315"/>
      <c r="Z180" s="315"/>
    </row>
    <row r="181">
      <c r="A181" s="315"/>
      <c r="B181" s="315"/>
      <c r="C181" s="315"/>
      <c r="D181" s="315"/>
      <c r="E181" s="315"/>
      <c r="F181" s="315"/>
      <c r="G181" s="315"/>
      <c r="H181" s="315"/>
      <c r="I181" s="315"/>
      <c r="J181" s="315"/>
      <c r="K181" s="315"/>
      <c r="L181" s="315"/>
      <c r="M181" s="315"/>
      <c r="N181" s="315"/>
      <c r="O181" s="315"/>
      <c r="P181" s="315"/>
      <c r="Q181" s="315"/>
      <c r="R181" s="315"/>
      <c r="S181" s="315"/>
      <c r="T181" s="315"/>
      <c r="U181" s="315"/>
      <c r="V181" s="315"/>
      <c r="W181" s="315"/>
      <c r="X181" s="315"/>
      <c r="Y181" s="315"/>
      <c r="Z181" s="315"/>
    </row>
    <row r="182">
      <c r="A182" s="315"/>
      <c r="B182" s="315"/>
      <c r="C182" s="315"/>
      <c r="D182" s="315"/>
      <c r="E182" s="315"/>
      <c r="F182" s="315"/>
      <c r="G182" s="315"/>
      <c r="H182" s="315"/>
      <c r="I182" s="315"/>
      <c r="J182" s="315"/>
      <c r="K182" s="315"/>
      <c r="L182" s="315"/>
      <c r="M182" s="315"/>
      <c r="N182" s="315"/>
      <c r="O182" s="315"/>
      <c r="P182" s="315"/>
      <c r="Q182" s="315"/>
      <c r="R182" s="315"/>
      <c r="S182" s="315"/>
      <c r="T182" s="315"/>
      <c r="U182" s="315"/>
      <c r="V182" s="315"/>
      <c r="W182" s="315"/>
      <c r="X182" s="315"/>
      <c r="Y182" s="315"/>
      <c r="Z182" s="315"/>
    </row>
    <row r="183">
      <c r="A183" s="315"/>
      <c r="B183" s="315"/>
      <c r="C183" s="315"/>
      <c r="D183" s="315"/>
      <c r="E183" s="315"/>
      <c r="F183" s="315"/>
      <c r="G183" s="315"/>
      <c r="H183" s="315"/>
      <c r="I183" s="315"/>
      <c r="J183" s="315"/>
      <c r="K183" s="315"/>
      <c r="L183" s="315"/>
      <c r="M183" s="315"/>
      <c r="N183" s="315"/>
      <c r="O183" s="315"/>
      <c r="P183" s="315"/>
      <c r="Q183" s="315"/>
      <c r="R183" s="315"/>
      <c r="S183" s="315"/>
      <c r="T183" s="315"/>
      <c r="U183" s="315"/>
      <c r="V183" s="315"/>
      <c r="W183" s="315"/>
      <c r="X183" s="315"/>
      <c r="Y183" s="315"/>
      <c r="Z183" s="315"/>
    </row>
    <row r="184">
      <c r="A184" s="315"/>
      <c r="B184" s="315"/>
      <c r="C184" s="315"/>
      <c r="D184" s="315"/>
      <c r="E184" s="315"/>
      <c r="F184" s="315"/>
      <c r="G184" s="315"/>
      <c r="H184" s="315"/>
      <c r="I184" s="315"/>
      <c r="J184" s="315"/>
      <c r="K184" s="315"/>
      <c r="L184" s="315"/>
      <c r="M184" s="315"/>
      <c r="N184" s="315"/>
      <c r="O184" s="315"/>
      <c r="P184" s="315"/>
      <c r="Q184" s="315"/>
      <c r="R184" s="315"/>
      <c r="S184" s="315"/>
      <c r="T184" s="315"/>
      <c r="U184" s="315"/>
      <c r="V184" s="315"/>
      <c r="W184" s="315"/>
      <c r="X184" s="315"/>
      <c r="Y184" s="315"/>
      <c r="Z184" s="315"/>
    </row>
    <row r="185">
      <c r="A185" s="315"/>
      <c r="B185" s="315"/>
      <c r="C185" s="315"/>
      <c r="D185" s="315"/>
      <c r="E185" s="315"/>
      <c r="F185" s="315"/>
      <c r="G185" s="315"/>
      <c r="H185" s="315"/>
      <c r="I185" s="315"/>
      <c r="J185" s="315"/>
      <c r="K185" s="315"/>
      <c r="L185" s="315"/>
      <c r="M185" s="315"/>
      <c r="N185" s="315"/>
      <c r="O185" s="315"/>
      <c r="P185" s="315"/>
      <c r="Q185" s="315"/>
      <c r="R185" s="315"/>
      <c r="S185" s="315"/>
      <c r="T185" s="315"/>
      <c r="U185" s="315"/>
      <c r="V185" s="315"/>
      <c r="W185" s="315"/>
      <c r="X185" s="315"/>
      <c r="Y185" s="315"/>
      <c r="Z185" s="315"/>
    </row>
    <row r="186">
      <c r="A186" s="315"/>
      <c r="B186" s="315"/>
      <c r="C186" s="315"/>
      <c r="D186" s="315"/>
      <c r="E186" s="315"/>
      <c r="F186" s="315"/>
      <c r="G186" s="315"/>
      <c r="H186" s="315"/>
      <c r="I186" s="315"/>
      <c r="J186" s="315"/>
      <c r="K186" s="315"/>
      <c r="L186" s="315"/>
      <c r="M186" s="315"/>
      <c r="N186" s="315"/>
      <c r="O186" s="315"/>
      <c r="P186" s="315"/>
      <c r="Q186" s="315"/>
      <c r="R186" s="315"/>
      <c r="S186" s="315"/>
      <c r="T186" s="315"/>
      <c r="U186" s="315"/>
      <c r="V186" s="315"/>
      <c r="W186" s="315"/>
      <c r="X186" s="315"/>
      <c r="Y186" s="315"/>
      <c r="Z186" s="315"/>
    </row>
    <row r="187">
      <c r="A187" s="315"/>
      <c r="B187" s="315"/>
      <c r="C187" s="315"/>
      <c r="D187" s="315"/>
      <c r="E187" s="315"/>
      <c r="F187" s="315"/>
      <c r="G187" s="315"/>
      <c r="H187" s="315"/>
      <c r="I187" s="315"/>
      <c r="J187" s="315"/>
      <c r="K187" s="315"/>
      <c r="L187" s="315"/>
      <c r="M187" s="315"/>
      <c r="N187" s="315"/>
      <c r="O187" s="315"/>
      <c r="P187" s="315"/>
      <c r="Q187" s="315"/>
      <c r="R187" s="315"/>
      <c r="S187" s="315"/>
      <c r="T187" s="315"/>
      <c r="U187" s="315"/>
      <c r="V187" s="315"/>
      <c r="W187" s="315"/>
      <c r="X187" s="315"/>
      <c r="Y187" s="315"/>
      <c r="Z187" s="315"/>
    </row>
    <row r="188">
      <c r="A188" s="315"/>
      <c r="B188" s="315"/>
      <c r="C188" s="315"/>
      <c r="D188" s="315"/>
      <c r="E188" s="315"/>
      <c r="F188" s="315"/>
      <c r="G188" s="315"/>
      <c r="H188" s="315"/>
      <c r="I188" s="315"/>
      <c r="J188" s="315"/>
      <c r="K188" s="315"/>
      <c r="L188" s="315"/>
      <c r="M188" s="315"/>
      <c r="N188" s="315"/>
      <c r="O188" s="315"/>
      <c r="P188" s="315"/>
      <c r="Q188" s="315"/>
      <c r="R188" s="315"/>
      <c r="S188" s="315"/>
      <c r="T188" s="315"/>
      <c r="U188" s="315"/>
      <c r="V188" s="315"/>
      <c r="W188" s="315"/>
      <c r="X188" s="315"/>
      <c r="Y188" s="315"/>
      <c r="Z188" s="315"/>
    </row>
    <row r="189">
      <c r="A189" s="315"/>
      <c r="B189" s="315"/>
      <c r="C189" s="315"/>
      <c r="D189" s="315"/>
      <c r="E189" s="315"/>
      <c r="F189" s="315"/>
      <c r="G189" s="315"/>
      <c r="H189" s="315"/>
      <c r="I189" s="315"/>
      <c r="J189" s="315"/>
      <c r="K189" s="315"/>
      <c r="L189" s="315"/>
      <c r="M189" s="315"/>
      <c r="N189" s="315"/>
      <c r="O189" s="315"/>
      <c r="P189" s="315"/>
      <c r="Q189" s="315"/>
      <c r="R189" s="315"/>
      <c r="S189" s="315"/>
      <c r="T189" s="315"/>
      <c r="U189" s="315"/>
      <c r="V189" s="315"/>
      <c r="W189" s="315"/>
      <c r="X189" s="315"/>
      <c r="Y189" s="315"/>
      <c r="Z189" s="315"/>
    </row>
    <row r="190">
      <c r="A190" s="315"/>
      <c r="B190" s="315"/>
      <c r="C190" s="315"/>
      <c r="D190" s="315"/>
      <c r="E190" s="315"/>
      <c r="F190" s="315"/>
      <c r="G190" s="315"/>
      <c r="H190" s="315"/>
      <c r="I190" s="315"/>
      <c r="J190" s="315"/>
      <c r="K190" s="315"/>
      <c r="L190" s="315"/>
      <c r="M190" s="315"/>
      <c r="N190" s="315"/>
      <c r="O190" s="315"/>
      <c r="P190" s="315"/>
      <c r="Q190" s="315"/>
      <c r="R190" s="315"/>
      <c r="S190" s="315"/>
      <c r="T190" s="315"/>
      <c r="U190" s="315"/>
      <c r="V190" s="315"/>
      <c r="W190" s="315"/>
      <c r="X190" s="315"/>
      <c r="Y190" s="315"/>
      <c r="Z190" s="315"/>
    </row>
    <row r="191">
      <c r="A191" s="315"/>
      <c r="B191" s="315"/>
      <c r="C191" s="315"/>
      <c r="D191" s="315"/>
      <c r="E191" s="315"/>
      <c r="F191" s="315"/>
      <c r="G191" s="315"/>
      <c r="H191" s="315"/>
      <c r="I191" s="315"/>
      <c r="J191" s="315"/>
      <c r="K191" s="315"/>
      <c r="L191" s="315"/>
      <c r="M191" s="315"/>
      <c r="N191" s="315"/>
      <c r="O191" s="315"/>
      <c r="P191" s="315"/>
      <c r="Q191" s="315"/>
      <c r="R191" s="315"/>
      <c r="S191" s="315"/>
      <c r="T191" s="315"/>
      <c r="U191" s="315"/>
      <c r="V191" s="315"/>
      <c r="W191" s="315"/>
      <c r="X191" s="315"/>
      <c r="Y191" s="315"/>
      <c r="Z191" s="315"/>
    </row>
    <row r="192">
      <c r="A192" s="315"/>
      <c r="B192" s="315"/>
      <c r="C192" s="315"/>
      <c r="D192" s="315"/>
      <c r="E192" s="315"/>
      <c r="F192" s="315"/>
      <c r="G192" s="315"/>
      <c r="H192" s="315"/>
      <c r="I192" s="315"/>
      <c r="J192" s="315"/>
      <c r="K192" s="315"/>
      <c r="L192" s="315"/>
      <c r="M192" s="315"/>
      <c r="N192" s="315"/>
      <c r="O192" s="315"/>
      <c r="P192" s="315"/>
      <c r="Q192" s="315"/>
      <c r="R192" s="315"/>
      <c r="S192" s="315"/>
      <c r="T192" s="315"/>
      <c r="U192" s="315"/>
      <c r="V192" s="315"/>
      <c r="W192" s="315"/>
      <c r="X192" s="315"/>
      <c r="Y192" s="315"/>
      <c r="Z192" s="315"/>
    </row>
    <row r="193">
      <c r="A193" s="315"/>
      <c r="B193" s="315"/>
      <c r="C193" s="315"/>
      <c r="D193" s="315"/>
      <c r="E193" s="315"/>
      <c r="F193" s="315"/>
      <c r="G193" s="315"/>
      <c r="H193" s="315"/>
      <c r="I193" s="315"/>
      <c r="J193" s="315"/>
      <c r="K193" s="315"/>
      <c r="L193" s="315"/>
      <c r="M193" s="315"/>
      <c r="N193" s="315"/>
      <c r="O193" s="315"/>
      <c r="P193" s="315"/>
      <c r="Q193" s="315"/>
      <c r="R193" s="315"/>
      <c r="S193" s="315"/>
      <c r="T193" s="315"/>
      <c r="U193" s="315"/>
      <c r="V193" s="315"/>
      <c r="W193" s="315"/>
      <c r="X193" s="315"/>
      <c r="Y193" s="315"/>
      <c r="Z193" s="315"/>
    </row>
    <row r="194">
      <c r="A194" s="315"/>
      <c r="B194" s="315"/>
      <c r="C194" s="315"/>
      <c r="D194" s="315"/>
      <c r="E194" s="315"/>
      <c r="F194" s="315"/>
      <c r="G194" s="315"/>
      <c r="H194" s="315"/>
      <c r="I194" s="315"/>
      <c r="J194" s="315"/>
      <c r="K194" s="315"/>
      <c r="L194" s="315"/>
      <c r="M194" s="315"/>
      <c r="N194" s="315"/>
      <c r="O194" s="315"/>
      <c r="P194" s="315"/>
      <c r="Q194" s="315"/>
      <c r="R194" s="315"/>
      <c r="S194" s="315"/>
      <c r="T194" s="315"/>
      <c r="U194" s="315"/>
      <c r="V194" s="315"/>
      <c r="W194" s="315"/>
      <c r="X194" s="315"/>
      <c r="Y194" s="315"/>
      <c r="Z194" s="315"/>
    </row>
    <row r="195">
      <c r="A195" s="315"/>
      <c r="B195" s="315"/>
      <c r="C195" s="315"/>
      <c r="D195" s="315"/>
      <c r="E195" s="315"/>
      <c r="F195" s="315"/>
      <c r="G195" s="315"/>
      <c r="H195" s="315"/>
      <c r="I195" s="315"/>
      <c r="J195" s="315"/>
      <c r="K195" s="315"/>
      <c r="L195" s="315"/>
      <c r="M195" s="315"/>
      <c r="N195" s="315"/>
      <c r="O195" s="315"/>
      <c r="P195" s="315"/>
      <c r="Q195" s="315"/>
      <c r="R195" s="315"/>
      <c r="S195" s="315"/>
      <c r="T195" s="315"/>
      <c r="U195" s="315"/>
      <c r="V195" s="315"/>
      <c r="W195" s="315"/>
      <c r="X195" s="315"/>
      <c r="Y195" s="315"/>
      <c r="Z195" s="315"/>
    </row>
    <row r="196">
      <c r="A196" s="315"/>
      <c r="B196" s="315"/>
      <c r="C196" s="315"/>
      <c r="D196" s="315"/>
      <c r="E196" s="315"/>
      <c r="F196" s="315"/>
      <c r="G196" s="315"/>
      <c r="H196" s="315"/>
      <c r="I196" s="315"/>
      <c r="J196" s="315"/>
      <c r="K196" s="315"/>
      <c r="L196" s="315"/>
      <c r="M196" s="315"/>
      <c r="N196" s="315"/>
      <c r="O196" s="315"/>
      <c r="P196" s="315"/>
      <c r="Q196" s="315"/>
      <c r="R196" s="315"/>
      <c r="S196" s="315"/>
      <c r="T196" s="315"/>
      <c r="U196" s="315"/>
      <c r="V196" s="315"/>
      <c r="W196" s="315"/>
      <c r="X196" s="315"/>
      <c r="Y196" s="315"/>
      <c r="Z196" s="315"/>
    </row>
    <row r="197">
      <c r="A197" s="315"/>
      <c r="B197" s="315"/>
      <c r="C197" s="315"/>
      <c r="D197" s="315"/>
      <c r="E197" s="315"/>
      <c r="F197" s="315"/>
      <c r="G197" s="315"/>
      <c r="H197" s="315"/>
      <c r="I197" s="315"/>
      <c r="J197" s="315"/>
      <c r="K197" s="315"/>
      <c r="L197" s="315"/>
      <c r="M197" s="315"/>
      <c r="N197" s="315"/>
      <c r="O197" s="315"/>
      <c r="P197" s="315"/>
      <c r="Q197" s="315"/>
      <c r="R197" s="315"/>
      <c r="S197" s="315"/>
      <c r="T197" s="315"/>
      <c r="U197" s="315"/>
      <c r="V197" s="315"/>
      <c r="W197" s="315"/>
      <c r="X197" s="315"/>
      <c r="Y197" s="315"/>
      <c r="Z197" s="315"/>
    </row>
    <row r="198">
      <c r="A198" s="315"/>
      <c r="B198" s="315"/>
      <c r="C198" s="315"/>
      <c r="D198" s="315"/>
      <c r="E198" s="315"/>
      <c r="F198" s="315"/>
      <c r="G198" s="315"/>
      <c r="H198" s="315"/>
      <c r="I198" s="315"/>
      <c r="J198" s="315"/>
      <c r="K198" s="315"/>
      <c r="L198" s="315"/>
      <c r="M198" s="315"/>
      <c r="N198" s="315"/>
      <c r="O198" s="315"/>
      <c r="P198" s="315"/>
      <c r="Q198" s="315"/>
      <c r="R198" s="315"/>
      <c r="S198" s="315"/>
      <c r="T198" s="315"/>
      <c r="U198" s="315"/>
      <c r="V198" s="315"/>
      <c r="W198" s="315"/>
      <c r="X198" s="315"/>
      <c r="Y198" s="315"/>
      <c r="Z198" s="315"/>
    </row>
    <row r="199">
      <c r="A199" s="315"/>
      <c r="B199" s="315"/>
      <c r="C199" s="315"/>
      <c r="D199" s="315"/>
      <c r="E199" s="315"/>
      <c r="F199" s="315"/>
      <c r="G199" s="315"/>
      <c r="H199" s="315"/>
      <c r="I199" s="315"/>
      <c r="J199" s="315"/>
      <c r="K199" s="315"/>
      <c r="L199" s="315"/>
      <c r="M199" s="315"/>
      <c r="N199" s="315"/>
      <c r="O199" s="315"/>
      <c r="P199" s="315"/>
      <c r="Q199" s="315"/>
      <c r="R199" s="315"/>
      <c r="S199" s="315"/>
      <c r="T199" s="315"/>
      <c r="U199" s="315"/>
      <c r="V199" s="315"/>
      <c r="W199" s="315"/>
      <c r="X199" s="315"/>
      <c r="Y199" s="315"/>
      <c r="Z199" s="315"/>
    </row>
    <row r="200">
      <c r="A200" s="315"/>
      <c r="B200" s="315"/>
      <c r="C200" s="315"/>
      <c r="D200" s="315"/>
      <c r="E200" s="315"/>
      <c r="F200" s="315"/>
      <c r="G200" s="315"/>
      <c r="H200" s="315"/>
      <c r="I200" s="315"/>
      <c r="J200" s="315"/>
      <c r="K200" s="315"/>
      <c r="L200" s="315"/>
      <c r="M200" s="315"/>
      <c r="N200" s="315"/>
      <c r="O200" s="315"/>
      <c r="P200" s="315"/>
      <c r="Q200" s="315"/>
      <c r="R200" s="315"/>
      <c r="S200" s="315"/>
      <c r="T200" s="315"/>
      <c r="U200" s="315"/>
      <c r="V200" s="315"/>
      <c r="W200" s="315"/>
      <c r="X200" s="315"/>
      <c r="Y200" s="315"/>
      <c r="Z200" s="315"/>
    </row>
    <row r="201">
      <c r="A201" s="315"/>
      <c r="B201" s="315"/>
      <c r="C201" s="315"/>
      <c r="D201" s="315"/>
      <c r="E201" s="315"/>
      <c r="F201" s="315"/>
      <c r="G201" s="315"/>
      <c r="H201" s="315"/>
      <c r="I201" s="315"/>
      <c r="J201" s="315"/>
      <c r="K201" s="315"/>
      <c r="L201" s="315"/>
      <c r="M201" s="315"/>
      <c r="N201" s="315"/>
      <c r="O201" s="315"/>
      <c r="P201" s="315"/>
      <c r="Q201" s="315"/>
      <c r="R201" s="315"/>
      <c r="S201" s="315"/>
      <c r="T201" s="315"/>
      <c r="U201" s="315"/>
      <c r="V201" s="315"/>
      <c r="W201" s="315"/>
      <c r="X201" s="315"/>
      <c r="Y201" s="315"/>
      <c r="Z201" s="315"/>
    </row>
    <row r="202">
      <c r="A202" s="315"/>
      <c r="B202" s="315"/>
      <c r="C202" s="315"/>
      <c r="D202" s="315"/>
      <c r="E202" s="315"/>
      <c r="F202" s="315"/>
      <c r="G202" s="315"/>
      <c r="H202" s="315"/>
      <c r="I202" s="315"/>
      <c r="J202" s="315"/>
      <c r="K202" s="315"/>
      <c r="L202" s="315"/>
      <c r="M202" s="315"/>
      <c r="N202" s="315"/>
      <c r="O202" s="315"/>
      <c r="P202" s="315"/>
      <c r="Q202" s="315"/>
      <c r="R202" s="315"/>
      <c r="S202" s="315"/>
      <c r="T202" s="315"/>
      <c r="U202" s="315"/>
      <c r="V202" s="315"/>
      <c r="W202" s="315"/>
      <c r="X202" s="315"/>
      <c r="Y202" s="315"/>
      <c r="Z202" s="315"/>
    </row>
    <row r="203">
      <c r="A203" s="315"/>
      <c r="B203" s="315"/>
      <c r="C203" s="315"/>
      <c r="D203" s="315"/>
      <c r="E203" s="315"/>
      <c r="F203" s="315"/>
      <c r="G203" s="315"/>
      <c r="H203" s="315"/>
      <c r="I203" s="315"/>
      <c r="J203" s="315"/>
      <c r="K203" s="315"/>
      <c r="L203" s="315"/>
      <c r="M203" s="315"/>
      <c r="N203" s="315"/>
      <c r="O203" s="315"/>
      <c r="P203" s="315"/>
      <c r="Q203" s="315"/>
      <c r="R203" s="315"/>
      <c r="S203" s="315"/>
      <c r="T203" s="315"/>
      <c r="U203" s="315"/>
      <c r="V203" s="315"/>
      <c r="W203" s="315"/>
      <c r="X203" s="315"/>
      <c r="Y203" s="315"/>
      <c r="Z203" s="315"/>
    </row>
    <row r="204">
      <c r="A204" s="315"/>
      <c r="B204" s="315"/>
      <c r="C204" s="315"/>
      <c r="D204" s="315"/>
      <c r="E204" s="315"/>
      <c r="F204" s="315"/>
      <c r="G204" s="315"/>
      <c r="H204" s="315"/>
      <c r="I204" s="315"/>
      <c r="J204" s="315"/>
      <c r="K204" s="315"/>
      <c r="L204" s="315"/>
      <c r="M204" s="315"/>
      <c r="N204" s="315"/>
      <c r="O204" s="315"/>
      <c r="P204" s="315"/>
      <c r="Q204" s="315"/>
      <c r="R204" s="315"/>
      <c r="S204" s="315"/>
      <c r="T204" s="315"/>
      <c r="U204" s="315"/>
      <c r="V204" s="315"/>
      <c r="W204" s="315"/>
      <c r="X204" s="315"/>
      <c r="Y204" s="315"/>
      <c r="Z204" s="315"/>
    </row>
    <row r="205">
      <c r="A205" s="315"/>
      <c r="B205" s="315"/>
      <c r="C205" s="315"/>
      <c r="D205" s="315"/>
      <c r="E205" s="315"/>
      <c r="F205" s="315"/>
      <c r="G205" s="315"/>
      <c r="H205" s="315"/>
      <c r="I205" s="315"/>
      <c r="J205" s="315"/>
      <c r="K205" s="315"/>
      <c r="L205" s="315"/>
      <c r="M205" s="315"/>
      <c r="N205" s="315"/>
      <c r="O205" s="315"/>
      <c r="P205" s="315"/>
      <c r="Q205" s="315"/>
      <c r="R205" s="315"/>
      <c r="S205" s="315"/>
      <c r="T205" s="315"/>
      <c r="U205" s="315"/>
      <c r="V205" s="315"/>
      <c r="W205" s="315"/>
      <c r="X205" s="315"/>
      <c r="Y205" s="315"/>
      <c r="Z205" s="315"/>
    </row>
    <row r="206">
      <c r="A206" s="315"/>
      <c r="B206" s="315"/>
      <c r="C206" s="315"/>
      <c r="D206" s="315"/>
      <c r="E206" s="315"/>
      <c r="F206" s="315"/>
      <c r="G206" s="315"/>
      <c r="H206" s="315"/>
      <c r="I206" s="315"/>
      <c r="J206" s="315"/>
      <c r="K206" s="315"/>
      <c r="L206" s="315"/>
      <c r="M206" s="315"/>
      <c r="N206" s="315"/>
      <c r="O206" s="315"/>
      <c r="P206" s="315"/>
      <c r="Q206" s="315"/>
      <c r="R206" s="315"/>
      <c r="S206" s="315"/>
      <c r="T206" s="315"/>
      <c r="U206" s="315"/>
      <c r="V206" s="315"/>
      <c r="W206" s="315"/>
      <c r="X206" s="315"/>
      <c r="Y206" s="315"/>
      <c r="Z206" s="315"/>
    </row>
    <row r="207">
      <c r="A207" s="315"/>
      <c r="B207" s="315"/>
      <c r="C207" s="315"/>
      <c r="D207" s="315"/>
      <c r="E207" s="315"/>
      <c r="F207" s="315"/>
      <c r="G207" s="315"/>
      <c r="H207" s="315"/>
      <c r="I207" s="315"/>
      <c r="J207" s="315"/>
      <c r="K207" s="315"/>
      <c r="L207" s="315"/>
      <c r="M207" s="315"/>
      <c r="N207" s="315"/>
      <c r="O207" s="315"/>
      <c r="P207" s="315"/>
      <c r="Q207" s="315"/>
      <c r="R207" s="315"/>
      <c r="S207" s="315"/>
      <c r="T207" s="315"/>
      <c r="U207" s="315"/>
      <c r="V207" s="315"/>
      <c r="W207" s="315"/>
      <c r="X207" s="315"/>
      <c r="Y207" s="315"/>
      <c r="Z207" s="315"/>
    </row>
    <row r="208">
      <c r="A208" s="315"/>
      <c r="B208" s="315"/>
      <c r="C208" s="315"/>
      <c r="D208" s="315"/>
      <c r="E208" s="315"/>
      <c r="F208" s="315"/>
      <c r="G208" s="315"/>
      <c r="H208" s="315"/>
      <c r="I208" s="315"/>
      <c r="J208" s="315"/>
      <c r="K208" s="315"/>
      <c r="L208" s="315"/>
      <c r="M208" s="315"/>
      <c r="N208" s="315"/>
      <c r="O208" s="315"/>
      <c r="P208" s="315"/>
      <c r="Q208" s="315"/>
      <c r="R208" s="315"/>
      <c r="S208" s="315"/>
      <c r="T208" s="315"/>
      <c r="U208" s="315"/>
      <c r="V208" s="315"/>
      <c r="W208" s="315"/>
      <c r="X208" s="315"/>
      <c r="Y208" s="315"/>
      <c r="Z208" s="315"/>
    </row>
    <row r="209">
      <c r="A209" s="315"/>
      <c r="B209" s="315"/>
      <c r="C209" s="315"/>
      <c r="D209" s="315"/>
      <c r="E209" s="315"/>
      <c r="F209" s="315"/>
      <c r="G209" s="315"/>
      <c r="H209" s="315"/>
      <c r="I209" s="315"/>
      <c r="J209" s="315"/>
      <c r="K209" s="315"/>
      <c r="L209" s="315"/>
      <c r="M209" s="315"/>
      <c r="N209" s="315"/>
      <c r="O209" s="315"/>
      <c r="P209" s="315"/>
      <c r="Q209" s="315"/>
      <c r="R209" s="315"/>
      <c r="S209" s="315"/>
      <c r="T209" s="315"/>
      <c r="U209" s="315"/>
      <c r="V209" s="315"/>
      <c r="W209" s="315"/>
      <c r="X209" s="315"/>
      <c r="Y209" s="315"/>
      <c r="Z209" s="315"/>
    </row>
    <row r="210">
      <c r="A210" s="315"/>
      <c r="B210" s="315"/>
      <c r="C210" s="315"/>
      <c r="D210" s="315"/>
      <c r="E210" s="315"/>
      <c r="F210" s="315"/>
      <c r="G210" s="315"/>
      <c r="H210" s="315"/>
      <c r="I210" s="315"/>
      <c r="J210" s="315"/>
      <c r="K210" s="315"/>
      <c r="L210" s="315"/>
      <c r="M210" s="315"/>
      <c r="N210" s="315"/>
      <c r="O210" s="315"/>
      <c r="P210" s="315"/>
      <c r="Q210" s="315"/>
      <c r="R210" s="315"/>
      <c r="S210" s="315"/>
      <c r="T210" s="315"/>
      <c r="U210" s="315"/>
      <c r="V210" s="315"/>
      <c r="W210" s="315"/>
      <c r="X210" s="315"/>
      <c r="Y210" s="315"/>
      <c r="Z210" s="315"/>
    </row>
    <row r="211">
      <c r="A211" s="315"/>
      <c r="B211" s="315"/>
      <c r="C211" s="315"/>
      <c r="D211" s="315"/>
      <c r="E211" s="315"/>
      <c r="F211" s="315"/>
      <c r="G211" s="315"/>
      <c r="H211" s="315"/>
      <c r="I211" s="315"/>
      <c r="J211" s="315"/>
      <c r="K211" s="315"/>
      <c r="L211" s="315"/>
      <c r="M211" s="315"/>
      <c r="N211" s="315"/>
      <c r="O211" s="315"/>
      <c r="P211" s="315"/>
      <c r="Q211" s="315"/>
      <c r="R211" s="315"/>
      <c r="S211" s="315"/>
      <c r="T211" s="315"/>
      <c r="U211" s="315"/>
      <c r="V211" s="315"/>
      <c r="W211" s="315"/>
      <c r="X211" s="315"/>
      <c r="Y211" s="315"/>
      <c r="Z211" s="315"/>
    </row>
    <row r="212">
      <c r="A212" s="315"/>
      <c r="B212" s="315"/>
      <c r="C212" s="315"/>
      <c r="D212" s="315"/>
      <c r="E212" s="315"/>
      <c r="F212" s="315"/>
      <c r="G212" s="315"/>
      <c r="H212" s="315"/>
      <c r="I212" s="315"/>
      <c r="J212" s="315"/>
      <c r="K212" s="315"/>
      <c r="L212" s="315"/>
      <c r="M212" s="315"/>
      <c r="N212" s="315"/>
      <c r="O212" s="315"/>
      <c r="P212" s="315"/>
      <c r="Q212" s="315"/>
      <c r="R212" s="315"/>
      <c r="S212" s="315"/>
      <c r="T212" s="315"/>
      <c r="U212" s="315"/>
      <c r="V212" s="315"/>
      <c r="W212" s="315"/>
      <c r="X212" s="315"/>
      <c r="Y212" s="315"/>
      <c r="Z212" s="315"/>
    </row>
    <row r="213">
      <c r="A213" s="315"/>
      <c r="B213" s="315"/>
      <c r="C213" s="315"/>
      <c r="D213" s="315"/>
      <c r="E213" s="315"/>
      <c r="F213" s="315"/>
      <c r="G213" s="315"/>
      <c r="H213" s="315"/>
      <c r="I213" s="315"/>
      <c r="J213" s="315"/>
      <c r="K213" s="315"/>
      <c r="L213" s="315"/>
      <c r="M213" s="315"/>
      <c r="N213" s="315"/>
      <c r="O213" s="315"/>
      <c r="P213" s="315"/>
      <c r="Q213" s="315"/>
      <c r="R213" s="315"/>
      <c r="S213" s="315"/>
      <c r="T213" s="315"/>
      <c r="U213" s="315"/>
      <c r="V213" s="315"/>
      <c r="W213" s="315"/>
      <c r="X213" s="315"/>
      <c r="Y213" s="315"/>
      <c r="Z213" s="315"/>
    </row>
    <row r="214">
      <c r="A214" s="315"/>
      <c r="B214" s="315"/>
      <c r="C214" s="315"/>
      <c r="D214" s="315"/>
      <c r="E214" s="315"/>
      <c r="F214" s="315"/>
      <c r="G214" s="315"/>
      <c r="H214" s="315"/>
      <c r="I214" s="315"/>
      <c r="J214" s="315"/>
      <c r="K214" s="315"/>
      <c r="L214" s="315"/>
      <c r="M214" s="315"/>
      <c r="N214" s="315"/>
      <c r="O214" s="315"/>
      <c r="P214" s="315"/>
      <c r="Q214" s="315"/>
      <c r="R214" s="315"/>
      <c r="S214" s="315"/>
      <c r="T214" s="315"/>
      <c r="U214" s="315"/>
      <c r="V214" s="315"/>
      <c r="W214" s="315"/>
      <c r="X214" s="315"/>
      <c r="Y214" s="315"/>
      <c r="Z214" s="315"/>
    </row>
    <row r="215">
      <c r="A215" s="315"/>
      <c r="B215" s="315"/>
      <c r="C215" s="315"/>
      <c r="D215" s="315"/>
      <c r="E215" s="315"/>
      <c r="F215" s="315"/>
      <c r="G215" s="315"/>
      <c r="H215" s="315"/>
      <c r="I215" s="315"/>
      <c r="J215" s="315"/>
      <c r="K215" s="315"/>
      <c r="L215" s="315"/>
      <c r="M215" s="315"/>
      <c r="N215" s="315"/>
      <c r="O215" s="315"/>
      <c r="P215" s="315"/>
      <c r="Q215" s="315"/>
      <c r="R215" s="315"/>
      <c r="S215" s="315"/>
      <c r="T215" s="315"/>
      <c r="U215" s="315"/>
      <c r="V215" s="315"/>
      <c r="W215" s="315"/>
      <c r="X215" s="315"/>
      <c r="Y215" s="315"/>
      <c r="Z215" s="315"/>
    </row>
    <row r="216">
      <c r="A216" s="315"/>
      <c r="B216" s="315"/>
      <c r="C216" s="315"/>
      <c r="D216" s="315"/>
      <c r="E216" s="315"/>
      <c r="F216" s="315"/>
      <c r="G216" s="315"/>
      <c r="H216" s="315"/>
      <c r="I216" s="315"/>
      <c r="J216" s="315"/>
      <c r="K216" s="315"/>
      <c r="L216" s="315"/>
      <c r="M216" s="315"/>
      <c r="N216" s="315"/>
      <c r="O216" s="315"/>
      <c r="P216" s="315"/>
      <c r="Q216" s="315"/>
      <c r="R216" s="315"/>
      <c r="S216" s="315"/>
      <c r="T216" s="315"/>
      <c r="U216" s="315"/>
      <c r="V216" s="315"/>
      <c r="W216" s="315"/>
      <c r="X216" s="315"/>
      <c r="Y216" s="315"/>
      <c r="Z216" s="315"/>
    </row>
    <row r="217">
      <c r="A217" s="315"/>
      <c r="B217" s="315"/>
      <c r="C217" s="315"/>
      <c r="D217" s="315"/>
      <c r="E217" s="315"/>
      <c r="F217" s="315"/>
      <c r="G217" s="315"/>
      <c r="H217" s="315"/>
      <c r="I217" s="315"/>
      <c r="J217" s="315"/>
      <c r="K217" s="315"/>
      <c r="L217" s="315"/>
      <c r="M217" s="315"/>
      <c r="N217" s="315"/>
      <c r="O217" s="315"/>
      <c r="P217" s="315"/>
      <c r="Q217" s="315"/>
      <c r="R217" s="315"/>
      <c r="S217" s="315"/>
      <c r="T217" s="315"/>
      <c r="U217" s="315"/>
      <c r="V217" s="315"/>
      <c r="W217" s="315"/>
      <c r="X217" s="315"/>
      <c r="Y217" s="315"/>
      <c r="Z217" s="315"/>
    </row>
    <row r="218">
      <c r="A218" s="315"/>
      <c r="B218" s="315"/>
      <c r="C218" s="315"/>
      <c r="D218" s="315"/>
      <c r="E218" s="315"/>
      <c r="F218" s="315"/>
      <c r="G218" s="315"/>
      <c r="H218" s="315"/>
      <c r="I218" s="315"/>
      <c r="J218" s="315"/>
      <c r="K218" s="315"/>
      <c r="L218" s="315"/>
      <c r="M218" s="315"/>
      <c r="N218" s="315"/>
      <c r="O218" s="315"/>
      <c r="P218" s="315"/>
      <c r="Q218" s="315"/>
      <c r="R218" s="315"/>
      <c r="S218" s="315"/>
      <c r="T218" s="315"/>
      <c r="U218" s="315"/>
      <c r="V218" s="315"/>
      <c r="W218" s="315"/>
      <c r="X218" s="315"/>
      <c r="Y218" s="315"/>
      <c r="Z218" s="315"/>
    </row>
    <row r="219">
      <c r="A219" s="315"/>
      <c r="B219" s="315"/>
      <c r="C219" s="315"/>
      <c r="D219" s="315"/>
      <c r="E219" s="315"/>
      <c r="F219" s="315"/>
      <c r="G219" s="315"/>
      <c r="H219" s="315"/>
      <c r="I219" s="315"/>
      <c r="J219" s="315"/>
      <c r="K219" s="315"/>
      <c r="L219" s="315"/>
      <c r="M219" s="315"/>
      <c r="N219" s="315"/>
      <c r="O219" s="315"/>
      <c r="P219" s="315"/>
      <c r="Q219" s="315"/>
      <c r="R219" s="315"/>
      <c r="S219" s="315"/>
      <c r="T219" s="315"/>
      <c r="U219" s="315"/>
      <c r="V219" s="315"/>
      <c r="W219" s="315"/>
      <c r="X219" s="315"/>
      <c r="Y219" s="315"/>
      <c r="Z219" s="315"/>
    </row>
    <row r="220">
      <c r="A220" s="315"/>
      <c r="B220" s="315"/>
      <c r="C220" s="315"/>
      <c r="D220" s="315"/>
      <c r="E220" s="315"/>
      <c r="F220" s="315"/>
      <c r="G220" s="315"/>
      <c r="H220" s="315"/>
      <c r="I220" s="315"/>
      <c r="J220" s="315"/>
      <c r="K220" s="315"/>
      <c r="L220" s="315"/>
      <c r="M220" s="315"/>
      <c r="N220" s="315"/>
      <c r="O220" s="315"/>
      <c r="P220" s="315"/>
      <c r="Q220" s="315"/>
      <c r="R220" s="315"/>
      <c r="S220" s="315"/>
      <c r="T220" s="315"/>
      <c r="U220" s="315"/>
      <c r="V220" s="315"/>
      <c r="W220" s="315"/>
      <c r="X220" s="315"/>
      <c r="Y220" s="315"/>
      <c r="Z220" s="315"/>
    </row>
    <row r="221">
      <c r="A221" s="315"/>
      <c r="B221" s="315"/>
      <c r="C221" s="315"/>
      <c r="D221" s="315"/>
      <c r="E221" s="315"/>
      <c r="F221" s="315"/>
      <c r="G221" s="315"/>
      <c r="H221" s="315"/>
      <c r="I221" s="315"/>
      <c r="J221" s="315"/>
      <c r="K221" s="315"/>
      <c r="L221" s="315"/>
      <c r="M221" s="315"/>
      <c r="N221" s="315"/>
      <c r="O221" s="315"/>
      <c r="P221" s="315"/>
      <c r="Q221" s="315"/>
      <c r="R221" s="315"/>
      <c r="S221" s="315"/>
      <c r="T221" s="315"/>
      <c r="U221" s="315"/>
      <c r="V221" s="315"/>
      <c r="W221" s="315"/>
      <c r="X221" s="315"/>
      <c r="Y221" s="315"/>
      <c r="Z221" s="315"/>
    </row>
    <row r="222">
      <c r="A222" s="315"/>
      <c r="B222" s="315"/>
      <c r="C222" s="315"/>
      <c r="D222" s="315"/>
      <c r="E222" s="315"/>
      <c r="F222" s="315"/>
      <c r="G222" s="315"/>
      <c r="H222" s="315"/>
      <c r="I222" s="315"/>
      <c r="J222" s="315"/>
      <c r="K222" s="315"/>
      <c r="L222" s="315"/>
      <c r="M222" s="315"/>
      <c r="N222" s="315"/>
      <c r="O222" s="315"/>
      <c r="P222" s="315"/>
      <c r="Q222" s="315"/>
      <c r="R222" s="315"/>
      <c r="S222" s="315"/>
      <c r="T222" s="315"/>
      <c r="U222" s="315"/>
      <c r="V222" s="315"/>
      <c r="W222" s="315"/>
      <c r="X222" s="315"/>
      <c r="Y222" s="315"/>
      <c r="Z222" s="315"/>
    </row>
    <row r="223">
      <c r="A223" s="315"/>
      <c r="B223" s="315"/>
      <c r="C223" s="315"/>
      <c r="D223" s="315"/>
      <c r="E223" s="315"/>
      <c r="F223" s="315"/>
      <c r="G223" s="315"/>
      <c r="H223" s="315"/>
      <c r="I223" s="315"/>
      <c r="J223" s="315"/>
      <c r="K223" s="315"/>
      <c r="L223" s="315"/>
      <c r="M223" s="315"/>
      <c r="N223" s="315"/>
      <c r="O223" s="315"/>
      <c r="P223" s="315"/>
      <c r="Q223" s="315"/>
      <c r="R223" s="315"/>
      <c r="S223" s="315"/>
      <c r="T223" s="315"/>
      <c r="U223" s="315"/>
      <c r="V223" s="315"/>
      <c r="W223" s="315"/>
      <c r="X223" s="315"/>
      <c r="Y223" s="315"/>
      <c r="Z223" s="315"/>
    </row>
    <row r="224">
      <c r="A224" s="315"/>
      <c r="B224" s="315"/>
      <c r="C224" s="315"/>
      <c r="D224" s="315"/>
      <c r="E224" s="315"/>
      <c r="F224" s="315"/>
      <c r="G224" s="315"/>
      <c r="H224" s="315"/>
      <c r="I224" s="315"/>
      <c r="J224" s="315"/>
      <c r="K224" s="315"/>
      <c r="L224" s="315"/>
      <c r="M224" s="315"/>
      <c r="N224" s="315"/>
      <c r="O224" s="315"/>
      <c r="P224" s="315"/>
      <c r="Q224" s="315"/>
      <c r="R224" s="315"/>
      <c r="S224" s="315"/>
      <c r="T224" s="315"/>
      <c r="U224" s="315"/>
      <c r="V224" s="315"/>
      <c r="W224" s="315"/>
      <c r="X224" s="315"/>
      <c r="Y224" s="315"/>
      <c r="Z224" s="315"/>
    </row>
    <row r="225">
      <c r="A225" s="315"/>
      <c r="B225" s="315"/>
      <c r="C225" s="315"/>
      <c r="D225" s="315"/>
      <c r="E225" s="315"/>
      <c r="F225" s="315"/>
      <c r="G225" s="315"/>
      <c r="H225" s="315"/>
      <c r="I225" s="315"/>
      <c r="J225" s="315"/>
      <c r="K225" s="315"/>
      <c r="L225" s="315"/>
      <c r="M225" s="315"/>
      <c r="N225" s="315"/>
      <c r="O225" s="315"/>
      <c r="P225" s="315"/>
      <c r="Q225" s="315"/>
      <c r="R225" s="315"/>
      <c r="S225" s="315"/>
      <c r="T225" s="315"/>
      <c r="U225" s="315"/>
      <c r="V225" s="315"/>
      <c r="W225" s="315"/>
      <c r="X225" s="315"/>
      <c r="Y225" s="315"/>
      <c r="Z225" s="315"/>
    </row>
    <row r="226">
      <c r="A226" s="315"/>
      <c r="B226" s="315"/>
      <c r="C226" s="315"/>
      <c r="D226" s="315"/>
      <c r="E226" s="315"/>
      <c r="F226" s="315"/>
      <c r="G226" s="315"/>
      <c r="H226" s="315"/>
      <c r="I226" s="315"/>
      <c r="J226" s="315"/>
      <c r="K226" s="315"/>
      <c r="L226" s="315"/>
      <c r="M226" s="315"/>
      <c r="N226" s="315"/>
      <c r="O226" s="315"/>
      <c r="P226" s="315"/>
      <c r="Q226" s="315"/>
      <c r="R226" s="315"/>
      <c r="S226" s="315"/>
      <c r="T226" s="315"/>
      <c r="U226" s="315"/>
      <c r="V226" s="315"/>
      <c r="W226" s="315"/>
      <c r="X226" s="315"/>
      <c r="Y226" s="315"/>
      <c r="Z226" s="315"/>
    </row>
    <row r="227">
      <c r="A227" s="315"/>
      <c r="B227" s="315"/>
      <c r="C227" s="315"/>
      <c r="D227" s="315"/>
      <c r="E227" s="315"/>
      <c r="F227" s="315"/>
      <c r="G227" s="315"/>
      <c r="H227" s="315"/>
      <c r="I227" s="315"/>
      <c r="J227" s="315"/>
      <c r="K227" s="315"/>
      <c r="L227" s="315"/>
      <c r="M227" s="315"/>
      <c r="N227" s="315"/>
      <c r="O227" s="315"/>
      <c r="P227" s="315"/>
      <c r="Q227" s="315"/>
      <c r="R227" s="315"/>
      <c r="S227" s="315"/>
      <c r="T227" s="315"/>
      <c r="U227" s="315"/>
      <c r="V227" s="315"/>
      <c r="W227" s="315"/>
      <c r="X227" s="315"/>
      <c r="Y227" s="315"/>
      <c r="Z227" s="315"/>
    </row>
    <row r="228">
      <c r="A228" s="315"/>
      <c r="B228" s="315"/>
      <c r="C228" s="315"/>
      <c r="D228" s="315"/>
      <c r="E228" s="315"/>
      <c r="F228" s="315"/>
      <c r="G228" s="315"/>
      <c r="H228" s="315"/>
      <c r="I228" s="315"/>
      <c r="J228" s="315"/>
      <c r="K228" s="315"/>
      <c r="L228" s="315"/>
      <c r="M228" s="315"/>
      <c r="N228" s="315"/>
      <c r="O228" s="315"/>
      <c r="P228" s="315"/>
      <c r="Q228" s="315"/>
      <c r="R228" s="315"/>
      <c r="S228" s="315"/>
      <c r="T228" s="315"/>
      <c r="U228" s="315"/>
      <c r="V228" s="315"/>
      <c r="W228" s="315"/>
      <c r="X228" s="315"/>
      <c r="Y228" s="315"/>
      <c r="Z228" s="315"/>
    </row>
    <row r="229">
      <c r="A229" s="315"/>
      <c r="B229" s="315"/>
      <c r="C229" s="315"/>
      <c r="D229" s="315"/>
      <c r="E229" s="315"/>
      <c r="F229" s="315"/>
      <c r="G229" s="315"/>
      <c r="H229" s="315"/>
      <c r="I229" s="315"/>
      <c r="J229" s="315"/>
      <c r="K229" s="315"/>
      <c r="L229" s="315"/>
      <c r="M229" s="315"/>
      <c r="N229" s="315"/>
      <c r="O229" s="315"/>
      <c r="P229" s="315"/>
      <c r="Q229" s="315"/>
      <c r="R229" s="315"/>
      <c r="S229" s="315"/>
      <c r="T229" s="315"/>
      <c r="U229" s="315"/>
      <c r="V229" s="315"/>
      <c r="W229" s="315"/>
      <c r="X229" s="315"/>
      <c r="Y229" s="315"/>
      <c r="Z229" s="315"/>
    </row>
    <row r="230">
      <c r="A230" s="315"/>
      <c r="B230" s="315"/>
      <c r="C230" s="315"/>
      <c r="D230" s="315"/>
      <c r="E230" s="315"/>
      <c r="F230" s="315"/>
      <c r="G230" s="315"/>
      <c r="H230" s="315"/>
      <c r="I230" s="315"/>
      <c r="J230" s="315"/>
      <c r="K230" s="315"/>
      <c r="L230" s="315"/>
      <c r="M230" s="315"/>
      <c r="N230" s="315"/>
      <c r="O230" s="315"/>
      <c r="P230" s="315"/>
      <c r="Q230" s="315"/>
      <c r="R230" s="315"/>
      <c r="S230" s="315"/>
      <c r="T230" s="315"/>
      <c r="U230" s="315"/>
      <c r="V230" s="315"/>
      <c r="W230" s="315"/>
      <c r="X230" s="315"/>
      <c r="Y230" s="315"/>
      <c r="Z230" s="315"/>
    </row>
    <row r="231">
      <c r="A231" s="315"/>
      <c r="B231" s="315"/>
      <c r="C231" s="315"/>
      <c r="D231" s="315"/>
      <c r="E231" s="315"/>
      <c r="F231" s="315"/>
      <c r="G231" s="315"/>
      <c r="H231" s="315"/>
      <c r="I231" s="315"/>
      <c r="J231" s="315"/>
      <c r="K231" s="315"/>
      <c r="L231" s="315"/>
      <c r="M231" s="315"/>
      <c r="N231" s="315"/>
      <c r="O231" s="315"/>
      <c r="P231" s="315"/>
      <c r="Q231" s="315"/>
      <c r="R231" s="315"/>
      <c r="S231" s="315"/>
      <c r="T231" s="315"/>
      <c r="U231" s="315"/>
      <c r="V231" s="315"/>
      <c r="W231" s="315"/>
      <c r="X231" s="315"/>
      <c r="Y231" s="315"/>
      <c r="Z231" s="315"/>
    </row>
    <row r="232">
      <c r="A232" s="315"/>
      <c r="B232" s="315"/>
      <c r="C232" s="315"/>
      <c r="D232" s="315"/>
      <c r="E232" s="315"/>
      <c r="F232" s="315"/>
      <c r="G232" s="315"/>
      <c r="H232" s="315"/>
      <c r="I232" s="315"/>
      <c r="J232" s="315"/>
      <c r="K232" s="315"/>
      <c r="L232" s="315"/>
      <c r="M232" s="315"/>
      <c r="N232" s="315"/>
      <c r="O232" s="315"/>
      <c r="P232" s="315"/>
      <c r="Q232" s="315"/>
      <c r="R232" s="315"/>
      <c r="S232" s="315"/>
      <c r="T232" s="315"/>
      <c r="U232" s="315"/>
      <c r="V232" s="315"/>
      <c r="W232" s="315"/>
      <c r="X232" s="315"/>
      <c r="Y232" s="315"/>
      <c r="Z232" s="315"/>
    </row>
    <row r="233">
      <c r="A233" s="315"/>
      <c r="B233" s="315"/>
      <c r="C233" s="315"/>
      <c r="D233" s="315"/>
      <c r="E233" s="315"/>
      <c r="F233" s="315"/>
      <c r="G233" s="315"/>
      <c r="H233" s="315"/>
      <c r="I233" s="315"/>
      <c r="J233" s="315"/>
      <c r="K233" s="315"/>
      <c r="L233" s="315"/>
      <c r="M233" s="315"/>
      <c r="N233" s="315"/>
      <c r="O233" s="315"/>
      <c r="P233" s="315"/>
      <c r="Q233" s="315"/>
      <c r="R233" s="315"/>
      <c r="S233" s="315"/>
      <c r="T233" s="315"/>
      <c r="U233" s="315"/>
      <c r="V233" s="315"/>
      <c r="W233" s="315"/>
      <c r="X233" s="315"/>
      <c r="Y233" s="315"/>
      <c r="Z233" s="315"/>
    </row>
    <row r="234">
      <c r="A234" s="315"/>
      <c r="B234" s="315"/>
      <c r="C234" s="315"/>
      <c r="D234" s="315"/>
      <c r="E234" s="315"/>
      <c r="F234" s="315"/>
      <c r="G234" s="315"/>
      <c r="H234" s="315"/>
      <c r="I234" s="315"/>
      <c r="J234" s="315"/>
      <c r="K234" s="315"/>
      <c r="L234" s="315"/>
      <c r="M234" s="315"/>
      <c r="N234" s="315"/>
      <c r="O234" s="315"/>
      <c r="P234" s="315"/>
      <c r="Q234" s="315"/>
      <c r="R234" s="315"/>
      <c r="S234" s="315"/>
      <c r="T234" s="315"/>
      <c r="U234" s="315"/>
      <c r="V234" s="315"/>
      <c r="W234" s="315"/>
      <c r="X234" s="315"/>
      <c r="Y234" s="315"/>
      <c r="Z234" s="315"/>
    </row>
    <row r="235">
      <c r="A235" s="315"/>
      <c r="B235" s="315"/>
      <c r="C235" s="315"/>
      <c r="D235" s="315"/>
      <c r="E235" s="315"/>
      <c r="F235" s="315"/>
      <c r="G235" s="315"/>
      <c r="H235" s="315"/>
      <c r="I235" s="315"/>
      <c r="J235" s="315"/>
      <c r="K235" s="315"/>
      <c r="L235" s="315"/>
      <c r="M235" s="315"/>
      <c r="N235" s="315"/>
      <c r="O235" s="315"/>
      <c r="P235" s="315"/>
      <c r="Q235" s="315"/>
      <c r="R235" s="315"/>
      <c r="S235" s="315"/>
      <c r="T235" s="315"/>
      <c r="U235" s="315"/>
      <c r="V235" s="315"/>
      <c r="W235" s="315"/>
      <c r="X235" s="315"/>
      <c r="Y235" s="315"/>
      <c r="Z235" s="315"/>
    </row>
    <row r="236">
      <c r="A236" s="315"/>
      <c r="B236" s="315"/>
      <c r="C236" s="315"/>
      <c r="D236" s="315"/>
      <c r="E236" s="315"/>
      <c r="F236" s="315"/>
      <c r="G236" s="315"/>
      <c r="H236" s="315"/>
      <c r="I236" s="315"/>
      <c r="J236" s="315"/>
      <c r="K236" s="315"/>
      <c r="L236" s="315"/>
      <c r="M236" s="315"/>
      <c r="N236" s="315"/>
      <c r="O236" s="315"/>
      <c r="P236" s="315"/>
      <c r="Q236" s="315"/>
      <c r="R236" s="315"/>
      <c r="S236" s="315"/>
      <c r="T236" s="315"/>
      <c r="U236" s="315"/>
      <c r="V236" s="315"/>
      <c r="W236" s="315"/>
      <c r="X236" s="315"/>
      <c r="Y236" s="315"/>
      <c r="Z236" s="315"/>
    </row>
    <row r="237">
      <c r="A237" s="315"/>
      <c r="B237" s="315"/>
      <c r="C237" s="315"/>
      <c r="D237" s="315"/>
      <c r="E237" s="315"/>
      <c r="F237" s="315"/>
      <c r="G237" s="315"/>
      <c r="H237" s="315"/>
      <c r="I237" s="315"/>
      <c r="J237" s="315"/>
      <c r="K237" s="315"/>
      <c r="L237" s="315"/>
      <c r="M237" s="315"/>
      <c r="N237" s="315"/>
      <c r="O237" s="315"/>
      <c r="P237" s="315"/>
      <c r="Q237" s="315"/>
      <c r="R237" s="315"/>
      <c r="S237" s="315"/>
      <c r="T237" s="315"/>
      <c r="U237" s="315"/>
      <c r="V237" s="315"/>
      <c r="W237" s="315"/>
      <c r="X237" s="315"/>
      <c r="Y237" s="315"/>
      <c r="Z237" s="315"/>
    </row>
    <row r="238">
      <c r="A238" s="315"/>
      <c r="B238" s="315"/>
      <c r="C238" s="315"/>
      <c r="D238" s="315"/>
      <c r="E238" s="315"/>
      <c r="F238" s="315"/>
      <c r="G238" s="315"/>
      <c r="H238" s="315"/>
      <c r="I238" s="315"/>
      <c r="J238" s="315"/>
      <c r="K238" s="315"/>
      <c r="L238" s="315"/>
      <c r="M238" s="315"/>
      <c r="N238" s="315"/>
      <c r="O238" s="315"/>
      <c r="P238" s="315"/>
      <c r="Q238" s="315"/>
      <c r="R238" s="315"/>
      <c r="S238" s="315"/>
      <c r="T238" s="315"/>
      <c r="U238" s="315"/>
      <c r="V238" s="315"/>
      <c r="W238" s="315"/>
      <c r="X238" s="315"/>
      <c r="Y238" s="315"/>
      <c r="Z238" s="315"/>
    </row>
    <row r="239">
      <c r="A239" s="315"/>
      <c r="B239" s="315"/>
      <c r="C239" s="315"/>
      <c r="D239" s="315"/>
      <c r="E239" s="315"/>
      <c r="F239" s="315"/>
      <c r="G239" s="315"/>
      <c r="H239" s="315"/>
      <c r="I239" s="315"/>
      <c r="J239" s="315"/>
      <c r="K239" s="315"/>
      <c r="L239" s="315"/>
      <c r="M239" s="315"/>
      <c r="N239" s="315"/>
      <c r="O239" s="315"/>
      <c r="P239" s="315"/>
      <c r="Q239" s="315"/>
      <c r="R239" s="315"/>
      <c r="S239" s="315"/>
      <c r="T239" s="315"/>
      <c r="U239" s="315"/>
      <c r="V239" s="315"/>
      <c r="W239" s="315"/>
      <c r="X239" s="315"/>
      <c r="Y239" s="315"/>
      <c r="Z239" s="315"/>
    </row>
    <row r="240">
      <c r="A240" s="315"/>
      <c r="B240" s="315"/>
      <c r="C240" s="315"/>
      <c r="D240" s="315"/>
      <c r="E240" s="315"/>
      <c r="F240" s="315"/>
      <c r="G240" s="315"/>
      <c r="H240" s="315"/>
      <c r="I240" s="315"/>
      <c r="J240" s="315"/>
      <c r="K240" s="315"/>
      <c r="L240" s="315"/>
      <c r="M240" s="315"/>
      <c r="N240" s="315"/>
      <c r="O240" s="315"/>
      <c r="P240" s="315"/>
      <c r="Q240" s="315"/>
      <c r="R240" s="315"/>
      <c r="S240" s="315"/>
      <c r="T240" s="315"/>
      <c r="U240" s="315"/>
      <c r="V240" s="315"/>
      <c r="W240" s="315"/>
      <c r="X240" s="315"/>
      <c r="Y240" s="315"/>
      <c r="Z240" s="315"/>
    </row>
    <row r="241">
      <c r="A241" s="315"/>
      <c r="B241" s="315"/>
      <c r="C241" s="315"/>
      <c r="D241" s="315"/>
      <c r="E241" s="315"/>
      <c r="F241" s="315"/>
      <c r="G241" s="315"/>
      <c r="H241" s="315"/>
      <c r="I241" s="315"/>
      <c r="J241" s="315"/>
      <c r="K241" s="315"/>
      <c r="L241" s="315"/>
      <c r="M241" s="315"/>
      <c r="N241" s="315"/>
      <c r="O241" s="315"/>
      <c r="P241" s="315"/>
      <c r="Q241" s="315"/>
      <c r="R241" s="315"/>
      <c r="S241" s="315"/>
      <c r="T241" s="315"/>
      <c r="U241" s="315"/>
      <c r="V241" s="315"/>
      <c r="W241" s="315"/>
      <c r="X241" s="315"/>
      <c r="Y241" s="315"/>
      <c r="Z241" s="315"/>
    </row>
    <row r="242">
      <c r="A242" s="315"/>
      <c r="B242" s="315"/>
      <c r="C242" s="315"/>
      <c r="D242" s="315"/>
      <c r="E242" s="315"/>
      <c r="F242" s="315"/>
      <c r="G242" s="315"/>
      <c r="H242" s="315"/>
      <c r="I242" s="315"/>
      <c r="J242" s="315"/>
      <c r="K242" s="315"/>
      <c r="L242" s="315"/>
      <c r="M242" s="315"/>
      <c r="N242" s="315"/>
      <c r="O242" s="315"/>
      <c r="P242" s="315"/>
      <c r="Q242" s="315"/>
      <c r="R242" s="315"/>
      <c r="S242" s="315"/>
      <c r="T242" s="315"/>
      <c r="U242" s="315"/>
      <c r="V242" s="315"/>
      <c r="W242" s="315"/>
      <c r="X242" s="315"/>
      <c r="Y242" s="315"/>
      <c r="Z242" s="315"/>
    </row>
    <row r="243">
      <c r="A243" s="315"/>
      <c r="B243" s="315"/>
      <c r="C243" s="315"/>
      <c r="D243" s="315"/>
      <c r="E243" s="315"/>
      <c r="F243" s="315"/>
      <c r="G243" s="315"/>
      <c r="H243" s="315"/>
      <c r="I243" s="315"/>
      <c r="J243" s="315"/>
      <c r="K243" s="315"/>
      <c r="L243" s="315"/>
      <c r="M243" s="315"/>
      <c r="N243" s="315"/>
      <c r="O243" s="315"/>
      <c r="P243" s="315"/>
      <c r="Q243" s="315"/>
      <c r="R243" s="315"/>
      <c r="S243" s="315"/>
      <c r="T243" s="315"/>
      <c r="U243" s="315"/>
      <c r="V243" s="315"/>
      <c r="W243" s="315"/>
      <c r="X243" s="315"/>
      <c r="Y243" s="315"/>
      <c r="Z243" s="315"/>
    </row>
    <row r="244">
      <c r="A244" s="315"/>
      <c r="B244" s="315"/>
      <c r="C244" s="315"/>
      <c r="D244" s="315"/>
      <c r="E244" s="315"/>
      <c r="F244" s="315"/>
      <c r="G244" s="315"/>
      <c r="H244" s="315"/>
      <c r="I244" s="315"/>
      <c r="J244" s="315"/>
      <c r="K244" s="315"/>
      <c r="L244" s="315"/>
      <c r="M244" s="315"/>
      <c r="N244" s="315"/>
      <c r="O244" s="315"/>
      <c r="P244" s="315"/>
      <c r="Q244" s="315"/>
      <c r="R244" s="315"/>
      <c r="S244" s="315"/>
      <c r="T244" s="315"/>
      <c r="U244" s="315"/>
      <c r="V244" s="315"/>
      <c r="W244" s="315"/>
      <c r="X244" s="315"/>
      <c r="Y244" s="315"/>
      <c r="Z244" s="315"/>
    </row>
    <row r="245">
      <c r="A245" s="315"/>
      <c r="B245" s="315"/>
      <c r="C245" s="315"/>
      <c r="D245" s="315"/>
      <c r="E245" s="315"/>
      <c r="F245" s="315"/>
      <c r="G245" s="315"/>
      <c r="H245" s="315"/>
      <c r="I245" s="315"/>
      <c r="J245" s="315"/>
      <c r="K245" s="315"/>
      <c r="L245" s="315"/>
      <c r="M245" s="315"/>
      <c r="N245" s="315"/>
      <c r="O245" s="315"/>
      <c r="P245" s="315"/>
      <c r="Q245" s="315"/>
      <c r="R245" s="315"/>
      <c r="S245" s="315"/>
      <c r="T245" s="315"/>
      <c r="U245" s="315"/>
      <c r="V245" s="315"/>
      <c r="W245" s="315"/>
      <c r="X245" s="315"/>
      <c r="Y245" s="315"/>
      <c r="Z245" s="315"/>
    </row>
    <row r="246">
      <c r="A246" s="315"/>
      <c r="B246" s="315"/>
      <c r="C246" s="315"/>
      <c r="D246" s="315"/>
      <c r="E246" s="315"/>
      <c r="F246" s="315"/>
      <c r="G246" s="315"/>
      <c r="H246" s="315"/>
      <c r="I246" s="315"/>
      <c r="J246" s="315"/>
      <c r="K246" s="315"/>
      <c r="L246" s="315"/>
      <c r="M246" s="315"/>
      <c r="N246" s="315"/>
      <c r="O246" s="315"/>
      <c r="P246" s="315"/>
      <c r="Q246" s="315"/>
      <c r="R246" s="315"/>
      <c r="S246" s="315"/>
      <c r="T246" s="315"/>
      <c r="U246" s="315"/>
      <c r="V246" s="315"/>
      <c r="W246" s="315"/>
      <c r="X246" s="315"/>
      <c r="Y246" s="315"/>
      <c r="Z246" s="315"/>
    </row>
    <row r="247">
      <c r="A247" s="315"/>
      <c r="B247" s="315"/>
      <c r="C247" s="315"/>
      <c r="D247" s="315"/>
      <c r="E247" s="315"/>
      <c r="F247" s="315"/>
      <c r="G247" s="315"/>
      <c r="H247" s="315"/>
      <c r="I247" s="315"/>
      <c r="J247" s="315"/>
      <c r="K247" s="315"/>
      <c r="L247" s="315"/>
      <c r="M247" s="315"/>
      <c r="N247" s="315"/>
      <c r="O247" s="315"/>
      <c r="P247" s="315"/>
      <c r="Q247" s="315"/>
      <c r="R247" s="315"/>
      <c r="S247" s="315"/>
      <c r="T247" s="315"/>
      <c r="U247" s="315"/>
      <c r="V247" s="315"/>
      <c r="W247" s="315"/>
      <c r="X247" s="315"/>
      <c r="Y247" s="315"/>
      <c r="Z247" s="315"/>
    </row>
    <row r="248">
      <c r="A248" s="315"/>
      <c r="B248" s="315"/>
      <c r="C248" s="315"/>
      <c r="D248" s="315"/>
      <c r="E248" s="315"/>
      <c r="F248" s="315"/>
      <c r="G248" s="315"/>
      <c r="H248" s="315"/>
      <c r="I248" s="315"/>
      <c r="J248" s="315"/>
      <c r="K248" s="315"/>
      <c r="L248" s="315"/>
      <c r="M248" s="315"/>
      <c r="N248" s="315"/>
      <c r="O248" s="315"/>
      <c r="P248" s="315"/>
      <c r="Q248" s="315"/>
      <c r="R248" s="315"/>
      <c r="S248" s="315"/>
      <c r="T248" s="315"/>
      <c r="U248" s="315"/>
      <c r="V248" s="315"/>
      <c r="W248" s="315"/>
      <c r="X248" s="315"/>
      <c r="Y248" s="315"/>
      <c r="Z248" s="315"/>
    </row>
    <row r="249">
      <c r="A249" s="315"/>
      <c r="B249" s="315"/>
      <c r="C249" s="315"/>
      <c r="D249" s="315"/>
      <c r="E249" s="315"/>
      <c r="F249" s="315"/>
      <c r="G249" s="315"/>
      <c r="H249" s="315"/>
      <c r="I249" s="315"/>
      <c r="J249" s="315"/>
      <c r="K249" s="315"/>
      <c r="L249" s="315"/>
      <c r="M249" s="315"/>
      <c r="N249" s="315"/>
      <c r="O249" s="315"/>
      <c r="P249" s="315"/>
      <c r="Q249" s="315"/>
      <c r="R249" s="315"/>
      <c r="S249" s="315"/>
      <c r="T249" s="315"/>
      <c r="U249" s="315"/>
      <c r="V249" s="315"/>
      <c r="W249" s="315"/>
      <c r="X249" s="315"/>
      <c r="Y249" s="315"/>
      <c r="Z249" s="315"/>
    </row>
    <row r="250">
      <c r="A250" s="315"/>
      <c r="B250" s="315"/>
      <c r="C250" s="315"/>
      <c r="D250" s="315"/>
      <c r="E250" s="315"/>
      <c r="F250" s="315"/>
      <c r="G250" s="315"/>
      <c r="H250" s="315"/>
      <c r="I250" s="315"/>
      <c r="J250" s="315"/>
      <c r="K250" s="315"/>
      <c r="L250" s="315"/>
      <c r="M250" s="315"/>
      <c r="N250" s="315"/>
      <c r="O250" s="315"/>
      <c r="P250" s="315"/>
      <c r="Q250" s="315"/>
      <c r="R250" s="315"/>
      <c r="S250" s="315"/>
      <c r="T250" s="315"/>
      <c r="U250" s="315"/>
      <c r="V250" s="315"/>
      <c r="W250" s="315"/>
      <c r="X250" s="315"/>
      <c r="Y250" s="315"/>
      <c r="Z250" s="315"/>
    </row>
    <row r="251">
      <c r="A251" s="315"/>
      <c r="B251" s="315"/>
      <c r="C251" s="315"/>
      <c r="D251" s="315"/>
      <c r="E251" s="315"/>
      <c r="F251" s="315"/>
      <c r="G251" s="315"/>
      <c r="H251" s="315"/>
      <c r="I251" s="315"/>
      <c r="J251" s="315"/>
      <c r="K251" s="315"/>
      <c r="L251" s="315"/>
      <c r="M251" s="315"/>
      <c r="N251" s="315"/>
      <c r="O251" s="315"/>
      <c r="P251" s="315"/>
      <c r="Q251" s="315"/>
      <c r="R251" s="315"/>
      <c r="S251" s="315"/>
      <c r="T251" s="315"/>
      <c r="U251" s="315"/>
      <c r="V251" s="315"/>
      <c r="W251" s="315"/>
      <c r="X251" s="315"/>
      <c r="Y251" s="315"/>
      <c r="Z251" s="315"/>
    </row>
    <row r="252">
      <c r="A252" s="315"/>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c r="Y252" s="315"/>
      <c r="Z252" s="315"/>
    </row>
    <row r="253">
      <c r="A253" s="315"/>
      <c r="B253" s="315"/>
      <c r="C253" s="315"/>
      <c r="D253" s="315"/>
      <c r="E253" s="315"/>
      <c r="F253" s="315"/>
      <c r="G253" s="315"/>
      <c r="H253" s="315"/>
      <c r="I253" s="315"/>
      <c r="J253" s="315"/>
      <c r="K253" s="315"/>
      <c r="L253" s="315"/>
      <c r="M253" s="315"/>
      <c r="N253" s="315"/>
      <c r="O253" s="315"/>
      <c r="P253" s="315"/>
      <c r="Q253" s="315"/>
      <c r="R253" s="315"/>
      <c r="S253" s="315"/>
      <c r="T253" s="315"/>
      <c r="U253" s="315"/>
      <c r="V253" s="315"/>
      <c r="W253" s="315"/>
      <c r="X253" s="315"/>
      <c r="Y253" s="315"/>
      <c r="Z253" s="315"/>
    </row>
    <row r="254">
      <c r="A254" s="315"/>
      <c r="B254" s="315"/>
      <c r="C254" s="315"/>
      <c r="D254" s="315"/>
      <c r="E254" s="315"/>
      <c r="F254" s="315"/>
      <c r="G254" s="315"/>
      <c r="H254" s="315"/>
      <c r="I254" s="315"/>
      <c r="J254" s="315"/>
      <c r="K254" s="315"/>
      <c r="L254" s="315"/>
      <c r="M254" s="315"/>
      <c r="N254" s="315"/>
      <c r="O254" s="315"/>
      <c r="P254" s="315"/>
      <c r="Q254" s="315"/>
      <c r="R254" s="315"/>
      <c r="S254" s="315"/>
      <c r="T254" s="315"/>
      <c r="U254" s="315"/>
      <c r="V254" s="315"/>
      <c r="W254" s="315"/>
      <c r="X254" s="315"/>
      <c r="Y254" s="315"/>
      <c r="Z254" s="315"/>
    </row>
    <row r="255">
      <c r="A255" s="315"/>
      <c r="B255" s="315"/>
      <c r="C255" s="315"/>
      <c r="D255" s="315"/>
      <c r="E255" s="315"/>
      <c r="F255" s="315"/>
      <c r="G255" s="315"/>
      <c r="H255" s="315"/>
      <c r="I255" s="315"/>
      <c r="J255" s="315"/>
      <c r="K255" s="315"/>
      <c r="L255" s="315"/>
      <c r="M255" s="315"/>
      <c r="N255" s="315"/>
      <c r="O255" s="315"/>
      <c r="P255" s="315"/>
      <c r="Q255" s="315"/>
      <c r="R255" s="315"/>
      <c r="S255" s="315"/>
      <c r="T255" s="315"/>
      <c r="U255" s="315"/>
      <c r="V255" s="315"/>
      <c r="W255" s="315"/>
      <c r="X255" s="315"/>
      <c r="Y255" s="315"/>
      <c r="Z255" s="315"/>
    </row>
    <row r="256">
      <c r="A256" s="315"/>
      <c r="B256" s="315"/>
      <c r="C256" s="315"/>
      <c r="D256" s="315"/>
      <c r="E256" s="315"/>
      <c r="F256" s="315"/>
      <c r="G256" s="315"/>
      <c r="H256" s="315"/>
      <c r="I256" s="315"/>
      <c r="J256" s="315"/>
      <c r="K256" s="315"/>
      <c r="L256" s="315"/>
      <c r="M256" s="315"/>
      <c r="N256" s="315"/>
      <c r="O256" s="315"/>
      <c r="P256" s="315"/>
      <c r="Q256" s="315"/>
      <c r="R256" s="315"/>
      <c r="S256" s="315"/>
      <c r="T256" s="315"/>
      <c r="U256" s="315"/>
      <c r="V256" s="315"/>
      <c r="W256" s="315"/>
      <c r="X256" s="315"/>
      <c r="Y256" s="315"/>
      <c r="Z256" s="315"/>
    </row>
    <row r="257">
      <c r="A257" s="315"/>
      <c r="B257" s="315"/>
      <c r="C257" s="315"/>
      <c r="D257" s="315"/>
      <c r="E257" s="315"/>
      <c r="F257" s="315"/>
      <c r="G257" s="315"/>
      <c r="H257" s="315"/>
      <c r="I257" s="315"/>
      <c r="J257" s="315"/>
      <c r="K257" s="315"/>
      <c r="L257" s="315"/>
      <c r="M257" s="315"/>
      <c r="N257" s="315"/>
      <c r="O257" s="315"/>
      <c r="P257" s="315"/>
      <c r="Q257" s="315"/>
      <c r="R257" s="315"/>
      <c r="S257" s="315"/>
      <c r="T257" s="315"/>
      <c r="U257" s="315"/>
      <c r="V257" s="315"/>
      <c r="W257" s="315"/>
      <c r="X257" s="315"/>
      <c r="Y257" s="315"/>
      <c r="Z257" s="315"/>
    </row>
    <row r="258">
      <c r="A258" s="315"/>
      <c r="B258" s="315"/>
      <c r="C258" s="315"/>
      <c r="D258" s="315"/>
      <c r="E258" s="315"/>
      <c r="F258" s="315"/>
      <c r="G258" s="315"/>
      <c r="H258" s="315"/>
      <c r="I258" s="315"/>
      <c r="J258" s="315"/>
      <c r="K258" s="315"/>
      <c r="L258" s="315"/>
      <c r="M258" s="315"/>
      <c r="N258" s="315"/>
      <c r="O258" s="315"/>
      <c r="P258" s="315"/>
      <c r="Q258" s="315"/>
      <c r="R258" s="315"/>
      <c r="S258" s="315"/>
      <c r="T258" s="315"/>
      <c r="U258" s="315"/>
      <c r="V258" s="315"/>
      <c r="W258" s="315"/>
      <c r="X258" s="315"/>
      <c r="Y258" s="315"/>
      <c r="Z258" s="315"/>
    </row>
    <row r="259">
      <c r="A259" s="315"/>
      <c r="B259" s="315"/>
      <c r="C259" s="315"/>
      <c r="D259" s="315"/>
      <c r="E259" s="315"/>
      <c r="F259" s="315"/>
      <c r="G259" s="315"/>
      <c r="H259" s="315"/>
      <c r="I259" s="315"/>
      <c r="J259" s="315"/>
      <c r="K259" s="315"/>
      <c r="L259" s="315"/>
      <c r="M259" s="315"/>
      <c r="N259" s="315"/>
      <c r="O259" s="315"/>
      <c r="P259" s="315"/>
      <c r="Q259" s="315"/>
      <c r="R259" s="315"/>
      <c r="S259" s="315"/>
      <c r="T259" s="315"/>
      <c r="U259" s="315"/>
      <c r="V259" s="315"/>
      <c r="W259" s="315"/>
      <c r="X259" s="315"/>
      <c r="Y259" s="315"/>
      <c r="Z259" s="315"/>
    </row>
    <row r="260">
      <c r="A260" s="315"/>
      <c r="B260" s="315"/>
      <c r="C260" s="315"/>
      <c r="D260" s="315"/>
      <c r="E260" s="315"/>
      <c r="F260" s="315"/>
      <c r="G260" s="315"/>
      <c r="H260" s="315"/>
      <c r="I260" s="315"/>
      <c r="J260" s="315"/>
      <c r="K260" s="315"/>
      <c r="L260" s="315"/>
      <c r="M260" s="315"/>
      <c r="N260" s="315"/>
      <c r="O260" s="315"/>
      <c r="P260" s="315"/>
      <c r="Q260" s="315"/>
      <c r="R260" s="315"/>
      <c r="S260" s="315"/>
      <c r="T260" s="315"/>
      <c r="U260" s="315"/>
      <c r="V260" s="315"/>
      <c r="W260" s="315"/>
      <c r="X260" s="315"/>
      <c r="Y260" s="315"/>
      <c r="Z260" s="315"/>
    </row>
    <row r="261">
      <c r="A261" s="315"/>
      <c r="B261" s="315"/>
      <c r="C261" s="315"/>
      <c r="D261" s="315"/>
      <c r="E261" s="315"/>
      <c r="F261" s="315"/>
      <c r="G261" s="315"/>
      <c r="H261" s="315"/>
      <c r="I261" s="315"/>
      <c r="J261" s="315"/>
      <c r="K261" s="315"/>
      <c r="L261" s="315"/>
      <c r="M261" s="315"/>
      <c r="N261" s="315"/>
      <c r="O261" s="315"/>
      <c r="P261" s="315"/>
      <c r="Q261" s="315"/>
      <c r="R261" s="315"/>
      <c r="S261" s="315"/>
      <c r="T261" s="315"/>
      <c r="U261" s="315"/>
      <c r="V261" s="315"/>
      <c r="W261" s="315"/>
      <c r="X261" s="315"/>
      <c r="Y261" s="315"/>
      <c r="Z261" s="315"/>
    </row>
    <row r="262">
      <c r="A262" s="315"/>
      <c r="B262" s="315"/>
      <c r="C262" s="315"/>
      <c r="D262" s="315"/>
      <c r="E262" s="315"/>
      <c r="F262" s="315"/>
      <c r="G262" s="315"/>
      <c r="H262" s="315"/>
      <c r="I262" s="315"/>
      <c r="J262" s="315"/>
      <c r="K262" s="315"/>
      <c r="L262" s="315"/>
      <c r="M262" s="315"/>
      <c r="N262" s="315"/>
      <c r="O262" s="315"/>
      <c r="P262" s="315"/>
      <c r="Q262" s="315"/>
      <c r="R262" s="315"/>
      <c r="S262" s="315"/>
      <c r="T262" s="315"/>
      <c r="U262" s="315"/>
      <c r="V262" s="315"/>
      <c r="W262" s="315"/>
      <c r="X262" s="315"/>
      <c r="Y262" s="315"/>
      <c r="Z262" s="315"/>
    </row>
    <row r="263">
      <c r="A263" s="315"/>
      <c r="B263" s="315"/>
      <c r="C263" s="315"/>
      <c r="D263" s="315"/>
      <c r="E263" s="315"/>
      <c r="F263" s="315"/>
      <c r="G263" s="315"/>
      <c r="H263" s="315"/>
      <c r="I263" s="315"/>
      <c r="J263" s="315"/>
      <c r="K263" s="315"/>
      <c r="L263" s="315"/>
      <c r="M263" s="315"/>
      <c r="N263" s="315"/>
      <c r="O263" s="315"/>
      <c r="P263" s="315"/>
      <c r="Q263" s="315"/>
      <c r="R263" s="315"/>
      <c r="S263" s="315"/>
      <c r="T263" s="315"/>
      <c r="U263" s="315"/>
      <c r="V263" s="315"/>
      <c r="W263" s="315"/>
      <c r="X263" s="315"/>
      <c r="Y263" s="315"/>
      <c r="Z263" s="315"/>
    </row>
    <row r="264">
      <c r="A264" s="315"/>
      <c r="B264" s="315"/>
      <c r="C264" s="315"/>
      <c r="D264" s="315"/>
      <c r="E264" s="315"/>
      <c r="F264" s="315"/>
      <c r="G264" s="315"/>
      <c r="H264" s="315"/>
      <c r="I264" s="315"/>
      <c r="J264" s="315"/>
      <c r="K264" s="315"/>
      <c r="L264" s="315"/>
      <c r="M264" s="315"/>
      <c r="N264" s="315"/>
      <c r="O264" s="315"/>
      <c r="P264" s="315"/>
      <c r="Q264" s="315"/>
      <c r="R264" s="315"/>
      <c r="S264" s="315"/>
      <c r="T264" s="315"/>
      <c r="U264" s="315"/>
      <c r="V264" s="315"/>
      <c r="W264" s="315"/>
      <c r="X264" s="315"/>
      <c r="Y264" s="315"/>
      <c r="Z264" s="315"/>
    </row>
    <row r="265">
      <c r="A265" s="315"/>
      <c r="B265" s="315"/>
      <c r="C265" s="315"/>
      <c r="D265" s="315"/>
      <c r="E265" s="315"/>
      <c r="F265" s="315"/>
      <c r="G265" s="315"/>
      <c r="H265" s="315"/>
      <c r="I265" s="315"/>
      <c r="J265" s="315"/>
      <c r="K265" s="315"/>
      <c r="L265" s="315"/>
      <c r="M265" s="315"/>
      <c r="N265" s="315"/>
      <c r="O265" s="315"/>
      <c r="P265" s="315"/>
      <c r="Q265" s="315"/>
      <c r="R265" s="315"/>
      <c r="S265" s="315"/>
      <c r="T265" s="315"/>
      <c r="U265" s="315"/>
      <c r="V265" s="315"/>
      <c r="W265" s="315"/>
      <c r="X265" s="315"/>
      <c r="Y265" s="315"/>
      <c r="Z265" s="315"/>
    </row>
    <row r="266">
      <c r="A266" s="315"/>
      <c r="B266" s="315"/>
      <c r="C266" s="315"/>
      <c r="D266" s="315"/>
      <c r="E266" s="315"/>
      <c r="F266" s="315"/>
      <c r="G266" s="315"/>
      <c r="H266" s="315"/>
      <c r="I266" s="315"/>
      <c r="J266" s="315"/>
      <c r="K266" s="315"/>
      <c r="L266" s="315"/>
      <c r="M266" s="315"/>
      <c r="N266" s="315"/>
      <c r="O266" s="315"/>
      <c r="P266" s="315"/>
      <c r="Q266" s="315"/>
      <c r="R266" s="315"/>
      <c r="S266" s="315"/>
      <c r="T266" s="315"/>
      <c r="U266" s="315"/>
      <c r="V266" s="315"/>
      <c r="W266" s="315"/>
      <c r="X266" s="315"/>
      <c r="Y266" s="315"/>
      <c r="Z266" s="315"/>
    </row>
    <row r="267">
      <c r="A267" s="315"/>
      <c r="B267" s="315"/>
      <c r="C267" s="315"/>
      <c r="D267" s="315"/>
      <c r="E267" s="315"/>
      <c r="F267" s="315"/>
      <c r="G267" s="315"/>
      <c r="H267" s="315"/>
      <c r="I267" s="315"/>
      <c r="J267" s="315"/>
      <c r="K267" s="315"/>
      <c r="L267" s="315"/>
      <c r="M267" s="315"/>
      <c r="N267" s="315"/>
      <c r="O267" s="315"/>
      <c r="P267" s="315"/>
      <c r="Q267" s="315"/>
      <c r="R267" s="315"/>
      <c r="S267" s="315"/>
      <c r="T267" s="315"/>
      <c r="U267" s="315"/>
      <c r="V267" s="315"/>
      <c r="W267" s="315"/>
      <c r="X267" s="315"/>
      <c r="Y267" s="315"/>
      <c r="Z267" s="315"/>
    </row>
    <row r="268">
      <c r="A268" s="315"/>
      <c r="B268" s="315"/>
      <c r="C268" s="315"/>
      <c r="D268" s="315"/>
      <c r="E268" s="315"/>
      <c r="F268" s="315"/>
      <c r="G268" s="315"/>
      <c r="H268" s="315"/>
      <c r="I268" s="315"/>
      <c r="J268" s="315"/>
      <c r="K268" s="315"/>
      <c r="L268" s="315"/>
      <c r="M268" s="315"/>
      <c r="N268" s="315"/>
      <c r="O268" s="315"/>
      <c r="P268" s="315"/>
      <c r="Q268" s="315"/>
      <c r="R268" s="315"/>
      <c r="S268" s="315"/>
      <c r="T268" s="315"/>
      <c r="U268" s="315"/>
      <c r="V268" s="315"/>
      <c r="W268" s="315"/>
      <c r="X268" s="315"/>
      <c r="Y268" s="315"/>
      <c r="Z268" s="315"/>
    </row>
    <row r="269">
      <c r="A269" s="315"/>
      <c r="B269" s="315"/>
      <c r="C269" s="315"/>
      <c r="D269" s="315"/>
      <c r="E269" s="315"/>
      <c r="F269" s="315"/>
      <c r="G269" s="315"/>
      <c r="H269" s="315"/>
      <c r="I269" s="315"/>
      <c r="J269" s="315"/>
      <c r="K269" s="315"/>
      <c r="L269" s="315"/>
      <c r="M269" s="315"/>
      <c r="N269" s="315"/>
      <c r="O269" s="315"/>
      <c r="P269" s="315"/>
      <c r="Q269" s="315"/>
      <c r="R269" s="315"/>
      <c r="S269" s="315"/>
      <c r="T269" s="315"/>
      <c r="U269" s="315"/>
      <c r="V269" s="315"/>
      <c r="W269" s="315"/>
      <c r="X269" s="315"/>
      <c r="Y269" s="315"/>
      <c r="Z269" s="315"/>
    </row>
    <row r="270">
      <c r="A270" s="315"/>
      <c r="B270" s="315"/>
      <c r="C270" s="315"/>
      <c r="D270" s="315"/>
      <c r="E270" s="315"/>
      <c r="F270" s="315"/>
      <c r="G270" s="315"/>
      <c r="H270" s="315"/>
      <c r="I270" s="315"/>
      <c r="J270" s="315"/>
      <c r="K270" s="315"/>
      <c r="L270" s="315"/>
      <c r="M270" s="315"/>
      <c r="N270" s="315"/>
      <c r="O270" s="315"/>
      <c r="P270" s="315"/>
      <c r="Q270" s="315"/>
      <c r="R270" s="315"/>
      <c r="S270" s="315"/>
      <c r="T270" s="315"/>
      <c r="U270" s="315"/>
      <c r="V270" s="315"/>
      <c r="W270" s="315"/>
      <c r="X270" s="315"/>
      <c r="Y270" s="315"/>
      <c r="Z270" s="315"/>
    </row>
    <row r="271">
      <c r="A271" s="315"/>
      <c r="B271" s="315"/>
      <c r="C271" s="315"/>
      <c r="D271" s="315"/>
      <c r="E271" s="315"/>
      <c r="F271" s="315"/>
      <c r="G271" s="315"/>
      <c r="H271" s="315"/>
      <c r="I271" s="315"/>
      <c r="J271" s="315"/>
      <c r="K271" s="315"/>
      <c r="L271" s="315"/>
      <c r="M271" s="315"/>
      <c r="N271" s="315"/>
      <c r="O271" s="315"/>
      <c r="P271" s="315"/>
      <c r="Q271" s="315"/>
      <c r="R271" s="315"/>
      <c r="S271" s="315"/>
      <c r="T271" s="315"/>
      <c r="U271" s="315"/>
      <c r="V271" s="315"/>
      <c r="W271" s="315"/>
      <c r="X271" s="315"/>
      <c r="Y271" s="315"/>
      <c r="Z271" s="315"/>
    </row>
    <row r="272">
      <c r="A272" s="315"/>
      <c r="B272" s="315"/>
      <c r="C272" s="315"/>
      <c r="D272" s="315"/>
      <c r="E272" s="315"/>
      <c r="F272" s="315"/>
      <c r="G272" s="315"/>
      <c r="H272" s="315"/>
      <c r="I272" s="315"/>
      <c r="J272" s="315"/>
      <c r="K272" s="315"/>
      <c r="L272" s="315"/>
      <c r="M272" s="315"/>
      <c r="N272" s="315"/>
      <c r="O272" s="315"/>
      <c r="P272" s="315"/>
      <c r="Q272" s="315"/>
      <c r="R272" s="315"/>
      <c r="S272" s="315"/>
      <c r="T272" s="315"/>
      <c r="U272" s="315"/>
      <c r="V272" s="315"/>
      <c r="W272" s="315"/>
      <c r="X272" s="315"/>
      <c r="Y272" s="315"/>
      <c r="Z272" s="315"/>
    </row>
    <row r="273">
      <c r="A273" s="315"/>
      <c r="B273" s="315"/>
      <c r="C273" s="315"/>
      <c r="D273" s="315"/>
      <c r="E273" s="315"/>
      <c r="F273" s="315"/>
      <c r="G273" s="315"/>
      <c r="H273" s="315"/>
      <c r="I273" s="315"/>
      <c r="J273" s="315"/>
      <c r="K273" s="315"/>
      <c r="L273" s="315"/>
      <c r="M273" s="315"/>
      <c r="N273" s="315"/>
      <c r="O273" s="315"/>
      <c r="P273" s="315"/>
      <c r="Q273" s="315"/>
      <c r="R273" s="315"/>
      <c r="S273" s="315"/>
      <c r="T273" s="315"/>
      <c r="U273" s="315"/>
      <c r="V273" s="315"/>
      <c r="W273" s="315"/>
      <c r="X273" s="315"/>
      <c r="Y273" s="315"/>
      <c r="Z273" s="315"/>
    </row>
    <row r="274">
      <c r="A274" s="315"/>
      <c r="B274" s="315"/>
      <c r="C274" s="315"/>
      <c r="D274" s="315"/>
      <c r="E274" s="315"/>
      <c r="F274" s="315"/>
      <c r="G274" s="315"/>
      <c r="H274" s="315"/>
      <c r="I274" s="315"/>
      <c r="J274" s="315"/>
      <c r="K274" s="315"/>
      <c r="L274" s="315"/>
      <c r="M274" s="315"/>
      <c r="N274" s="315"/>
      <c r="O274" s="315"/>
      <c r="P274" s="315"/>
      <c r="Q274" s="315"/>
      <c r="R274" s="315"/>
      <c r="S274" s="315"/>
      <c r="T274" s="315"/>
      <c r="U274" s="315"/>
      <c r="V274" s="315"/>
      <c r="W274" s="315"/>
      <c r="X274" s="315"/>
      <c r="Y274" s="315"/>
      <c r="Z274" s="315"/>
    </row>
    <row r="275">
      <c r="A275" s="315"/>
      <c r="B275" s="315"/>
      <c r="C275" s="315"/>
      <c r="D275" s="315"/>
      <c r="E275" s="315"/>
      <c r="F275" s="315"/>
      <c r="G275" s="315"/>
      <c r="H275" s="315"/>
      <c r="I275" s="315"/>
      <c r="J275" s="315"/>
      <c r="K275" s="315"/>
      <c r="L275" s="315"/>
      <c r="M275" s="315"/>
      <c r="N275" s="315"/>
      <c r="O275" s="315"/>
      <c r="P275" s="315"/>
      <c r="Q275" s="315"/>
      <c r="R275" s="315"/>
      <c r="S275" s="315"/>
      <c r="T275" s="315"/>
      <c r="U275" s="315"/>
      <c r="V275" s="315"/>
      <c r="W275" s="315"/>
      <c r="X275" s="315"/>
      <c r="Y275" s="315"/>
      <c r="Z275" s="315"/>
    </row>
    <row r="276">
      <c r="A276" s="315"/>
      <c r="B276" s="315"/>
      <c r="C276" s="315"/>
      <c r="D276" s="315"/>
      <c r="E276" s="315"/>
      <c r="F276" s="315"/>
      <c r="G276" s="315"/>
      <c r="H276" s="315"/>
      <c r="I276" s="315"/>
      <c r="J276" s="315"/>
      <c r="K276" s="315"/>
      <c r="L276" s="315"/>
      <c r="M276" s="315"/>
      <c r="N276" s="315"/>
      <c r="O276" s="315"/>
      <c r="P276" s="315"/>
      <c r="Q276" s="315"/>
      <c r="R276" s="315"/>
      <c r="S276" s="315"/>
      <c r="T276" s="315"/>
      <c r="U276" s="315"/>
      <c r="V276" s="315"/>
      <c r="W276" s="315"/>
      <c r="X276" s="315"/>
      <c r="Y276" s="315"/>
      <c r="Z276" s="315"/>
    </row>
    <row r="277">
      <c r="A277" s="315"/>
      <c r="B277" s="315"/>
      <c r="C277" s="315"/>
      <c r="D277" s="315"/>
      <c r="E277" s="315"/>
      <c r="F277" s="315"/>
      <c r="G277" s="315"/>
      <c r="H277" s="315"/>
      <c r="I277" s="315"/>
      <c r="J277" s="315"/>
      <c r="K277" s="315"/>
      <c r="L277" s="315"/>
      <c r="M277" s="315"/>
      <c r="N277" s="315"/>
      <c r="O277" s="315"/>
      <c r="P277" s="315"/>
      <c r="Q277" s="315"/>
      <c r="R277" s="315"/>
      <c r="S277" s="315"/>
      <c r="T277" s="315"/>
      <c r="U277" s="315"/>
      <c r="V277" s="315"/>
      <c r="W277" s="315"/>
      <c r="X277" s="315"/>
      <c r="Y277" s="315"/>
      <c r="Z277" s="315"/>
    </row>
    <row r="278">
      <c r="A278" s="315"/>
      <c r="B278" s="315"/>
      <c r="C278" s="315"/>
      <c r="D278" s="315"/>
      <c r="E278" s="315"/>
      <c r="F278" s="315"/>
      <c r="G278" s="315"/>
      <c r="H278" s="315"/>
      <c r="I278" s="315"/>
      <c r="J278" s="315"/>
      <c r="K278" s="315"/>
      <c r="L278" s="315"/>
      <c r="M278" s="315"/>
      <c r="N278" s="315"/>
      <c r="O278" s="315"/>
      <c r="P278" s="315"/>
      <c r="Q278" s="315"/>
      <c r="R278" s="315"/>
      <c r="S278" s="315"/>
      <c r="T278" s="315"/>
      <c r="U278" s="315"/>
      <c r="V278" s="315"/>
      <c r="W278" s="315"/>
      <c r="X278" s="315"/>
      <c r="Y278" s="315"/>
      <c r="Z278" s="315"/>
    </row>
    <row r="279">
      <c r="A279" s="315"/>
      <c r="B279" s="315"/>
      <c r="C279" s="315"/>
      <c r="D279" s="315"/>
      <c r="E279" s="315"/>
      <c r="F279" s="315"/>
      <c r="G279" s="315"/>
      <c r="H279" s="315"/>
      <c r="I279" s="315"/>
      <c r="J279" s="315"/>
      <c r="K279" s="315"/>
      <c r="L279" s="315"/>
      <c r="M279" s="315"/>
      <c r="N279" s="315"/>
      <c r="O279" s="315"/>
      <c r="P279" s="315"/>
      <c r="Q279" s="315"/>
      <c r="R279" s="315"/>
      <c r="S279" s="315"/>
      <c r="T279" s="315"/>
      <c r="U279" s="315"/>
      <c r="V279" s="315"/>
      <c r="W279" s="315"/>
      <c r="X279" s="315"/>
      <c r="Y279" s="315"/>
      <c r="Z279" s="315"/>
    </row>
    <row r="280">
      <c r="A280" s="315"/>
      <c r="B280" s="315"/>
      <c r="C280" s="315"/>
      <c r="D280" s="315"/>
      <c r="E280" s="315"/>
      <c r="F280" s="315"/>
      <c r="G280" s="315"/>
      <c r="H280" s="315"/>
      <c r="I280" s="315"/>
      <c r="J280" s="315"/>
      <c r="K280" s="315"/>
      <c r="L280" s="315"/>
      <c r="M280" s="315"/>
      <c r="N280" s="315"/>
      <c r="O280" s="315"/>
      <c r="P280" s="315"/>
      <c r="Q280" s="315"/>
      <c r="R280" s="315"/>
      <c r="S280" s="315"/>
      <c r="T280" s="315"/>
      <c r="U280" s="315"/>
      <c r="V280" s="315"/>
      <c r="W280" s="315"/>
      <c r="X280" s="315"/>
      <c r="Y280" s="315"/>
      <c r="Z280" s="315"/>
    </row>
    <row r="281">
      <c r="A281" s="315"/>
      <c r="B281" s="315"/>
      <c r="C281" s="315"/>
      <c r="D281" s="315"/>
      <c r="E281" s="315"/>
      <c r="F281" s="315"/>
      <c r="G281" s="315"/>
      <c r="H281" s="315"/>
      <c r="I281" s="315"/>
      <c r="J281" s="315"/>
      <c r="K281" s="315"/>
      <c r="L281" s="315"/>
      <c r="M281" s="315"/>
      <c r="N281" s="315"/>
      <c r="O281" s="315"/>
      <c r="P281" s="315"/>
      <c r="Q281" s="315"/>
      <c r="R281" s="315"/>
      <c r="S281" s="315"/>
      <c r="T281" s="315"/>
      <c r="U281" s="315"/>
      <c r="V281" s="315"/>
      <c r="W281" s="315"/>
      <c r="X281" s="315"/>
      <c r="Y281" s="315"/>
      <c r="Z281" s="315"/>
    </row>
    <row r="282">
      <c r="A282" s="315"/>
      <c r="B282" s="315"/>
      <c r="C282" s="315"/>
      <c r="D282" s="315"/>
      <c r="E282" s="315"/>
      <c r="F282" s="315"/>
      <c r="G282" s="315"/>
      <c r="H282" s="315"/>
      <c r="I282" s="315"/>
      <c r="J282" s="315"/>
      <c r="K282" s="315"/>
      <c r="L282" s="315"/>
      <c r="M282" s="315"/>
      <c r="N282" s="315"/>
      <c r="O282" s="315"/>
      <c r="P282" s="315"/>
      <c r="Q282" s="315"/>
      <c r="R282" s="315"/>
      <c r="S282" s="315"/>
      <c r="T282" s="315"/>
      <c r="U282" s="315"/>
      <c r="V282" s="315"/>
      <c r="W282" s="315"/>
      <c r="X282" s="315"/>
      <c r="Y282" s="315"/>
      <c r="Z282" s="315"/>
    </row>
    <row r="283">
      <c r="A283" s="315"/>
      <c r="B283" s="315"/>
      <c r="C283" s="315"/>
      <c r="D283" s="315"/>
      <c r="E283" s="315"/>
      <c r="F283" s="315"/>
      <c r="G283" s="315"/>
      <c r="H283" s="315"/>
      <c r="I283" s="315"/>
      <c r="J283" s="315"/>
      <c r="K283" s="315"/>
      <c r="L283" s="315"/>
      <c r="M283" s="315"/>
      <c r="N283" s="315"/>
      <c r="O283" s="315"/>
      <c r="P283" s="315"/>
      <c r="Q283" s="315"/>
      <c r="R283" s="315"/>
      <c r="S283" s="315"/>
      <c r="T283" s="315"/>
      <c r="U283" s="315"/>
      <c r="V283" s="315"/>
      <c r="W283" s="315"/>
      <c r="X283" s="315"/>
      <c r="Y283" s="315"/>
      <c r="Z283" s="315"/>
    </row>
    <row r="284">
      <c r="A284" s="315"/>
      <c r="B284" s="315"/>
      <c r="C284" s="315"/>
      <c r="D284" s="315"/>
      <c r="E284" s="315"/>
      <c r="F284" s="315"/>
      <c r="G284" s="315"/>
      <c r="H284" s="315"/>
      <c r="I284" s="315"/>
      <c r="J284" s="315"/>
      <c r="K284" s="315"/>
      <c r="L284" s="315"/>
      <c r="M284" s="315"/>
      <c r="N284" s="315"/>
      <c r="O284" s="315"/>
      <c r="P284" s="315"/>
      <c r="Q284" s="315"/>
      <c r="R284" s="315"/>
      <c r="S284" s="315"/>
      <c r="T284" s="315"/>
      <c r="U284" s="315"/>
      <c r="V284" s="315"/>
      <c r="W284" s="315"/>
      <c r="X284" s="315"/>
      <c r="Y284" s="315"/>
      <c r="Z284" s="315"/>
    </row>
    <row r="285">
      <c r="A285" s="315"/>
      <c r="B285" s="315"/>
      <c r="C285" s="315"/>
      <c r="D285" s="315"/>
      <c r="E285" s="315"/>
      <c r="F285" s="315"/>
      <c r="G285" s="315"/>
      <c r="H285" s="315"/>
      <c r="I285" s="315"/>
      <c r="J285" s="315"/>
      <c r="K285" s="315"/>
      <c r="L285" s="315"/>
      <c r="M285" s="315"/>
      <c r="N285" s="315"/>
      <c r="O285" s="315"/>
      <c r="P285" s="315"/>
      <c r="Q285" s="315"/>
      <c r="R285" s="315"/>
      <c r="S285" s="315"/>
      <c r="T285" s="315"/>
      <c r="U285" s="315"/>
      <c r="V285" s="315"/>
      <c r="W285" s="315"/>
      <c r="X285" s="315"/>
      <c r="Y285" s="315"/>
      <c r="Z285" s="315"/>
    </row>
    <row r="286">
      <c r="A286" s="315"/>
      <c r="B286" s="315"/>
      <c r="C286" s="315"/>
      <c r="D286" s="315"/>
      <c r="E286" s="315"/>
      <c r="F286" s="315"/>
      <c r="G286" s="315"/>
      <c r="H286" s="315"/>
      <c r="I286" s="315"/>
      <c r="J286" s="315"/>
      <c r="K286" s="315"/>
      <c r="L286" s="315"/>
      <c r="M286" s="315"/>
      <c r="N286" s="315"/>
      <c r="O286" s="315"/>
      <c r="P286" s="315"/>
      <c r="Q286" s="315"/>
      <c r="R286" s="315"/>
      <c r="S286" s="315"/>
      <c r="T286" s="315"/>
      <c r="U286" s="315"/>
      <c r="V286" s="315"/>
      <c r="W286" s="315"/>
      <c r="X286" s="315"/>
      <c r="Y286" s="315"/>
      <c r="Z286" s="315"/>
    </row>
    <row r="287">
      <c r="A287" s="315"/>
      <c r="B287" s="315"/>
      <c r="C287" s="315"/>
      <c r="D287" s="315"/>
      <c r="E287" s="315"/>
      <c r="F287" s="315"/>
      <c r="G287" s="315"/>
      <c r="H287" s="315"/>
      <c r="I287" s="315"/>
      <c r="J287" s="315"/>
      <c r="K287" s="315"/>
      <c r="L287" s="315"/>
      <c r="M287" s="315"/>
      <c r="N287" s="315"/>
      <c r="O287" s="315"/>
      <c r="P287" s="315"/>
      <c r="Q287" s="315"/>
      <c r="R287" s="315"/>
      <c r="S287" s="315"/>
      <c r="T287" s="315"/>
      <c r="U287" s="315"/>
      <c r="V287" s="315"/>
      <c r="W287" s="315"/>
      <c r="X287" s="315"/>
      <c r="Y287" s="315"/>
      <c r="Z287" s="315"/>
    </row>
    <row r="288">
      <c r="A288" s="315"/>
      <c r="B288" s="315"/>
      <c r="C288" s="315"/>
      <c r="D288" s="315"/>
      <c r="E288" s="315"/>
      <c r="F288" s="315"/>
      <c r="G288" s="315"/>
      <c r="H288" s="315"/>
      <c r="I288" s="315"/>
      <c r="J288" s="315"/>
      <c r="K288" s="315"/>
      <c r="L288" s="315"/>
      <c r="M288" s="315"/>
      <c r="N288" s="315"/>
      <c r="O288" s="315"/>
      <c r="P288" s="315"/>
      <c r="Q288" s="315"/>
      <c r="R288" s="315"/>
      <c r="S288" s="315"/>
      <c r="T288" s="315"/>
      <c r="U288" s="315"/>
      <c r="V288" s="315"/>
      <c r="W288" s="315"/>
      <c r="X288" s="315"/>
      <c r="Y288" s="315"/>
      <c r="Z288" s="315"/>
    </row>
    <row r="289">
      <c r="A289" s="315"/>
      <c r="B289" s="315"/>
      <c r="C289" s="315"/>
      <c r="D289" s="315"/>
      <c r="E289" s="315"/>
      <c r="F289" s="315"/>
      <c r="G289" s="315"/>
      <c r="H289" s="315"/>
      <c r="I289" s="315"/>
      <c r="J289" s="315"/>
      <c r="K289" s="315"/>
      <c r="L289" s="315"/>
      <c r="M289" s="315"/>
      <c r="N289" s="315"/>
      <c r="O289" s="315"/>
      <c r="P289" s="315"/>
      <c r="Q289" s="315"/>
      <c r="R289" s="315"/>
      <c r="S289" s="315"/>
      <c r="T289" s="315"/>
      <c r="U289" s="315"/>
      <c r="V289" s="315"/>
      <c r="W289" s="315"/>
      <c r="X289" s="315"/>
      <c r="Y289" s="315"/>
      <c r="Z289" s="315"/>
    </row>
    <row r="290">
      <c r="A290" s="315"/>
      <c r="B290" s="315"/>
      <c r="C290" s="315"/>
      <c r="D290" s="315"/>
      <c r="E290" s="315"/>
      <c r="F290" s="315"/>
      <c r="G290" s="315"/>
      <c r="H290" s="315"/>
      <c r="I290" s="315"/>
      <c r="J290" s="315"/>
      <c r="K290" s="315"/>
      <c r="L290" s="315"/>
      <c r="M290" s="315"/>
      <c r="N290" s="315"/>
      <c r="O290" s="315"/>
      <c r="P290" s="315"/>
      <c r="Q290" s="315"/>
      <c r="R290" s="315"/>
      <c r="S290" s="315"/>
      <c r="T290" s="315"/>
      <c r="U290" s="315"/>
      <c r="V290" s="315"/>
      <c r="W290" s="315"/>
      <c r="X290" s="315"/>
      <c r="Y290" s="315"/>
      <c r="Z290" s="315"/>
    </row>
    <row r="291">
      <c r="A291" s="315"/>
      <c r="B291" s="315"/>
      <c r="C291" s="315"/>
      <c r="D291" s="315"/>
      <c r="E291" s="315"/>
      <c r="F291" s="315"/>
      <c r="G291" s="315"/>
      <c r="H291" s="315"/>
      <c r="I291" s="315"/>
      <c r="J291" s="315"/>
      <c r="K291" s="315"/>
      <c r="L291" s="315"/>
      <c r="M291" s="315"/>
      <c r="N291" s="315"/>
      <c r="O291" s="315"/>
      <c r="P291" s="315"/>
      <c r="Q291" s="315"/>
      <c r="R291" s="315"/>
      <c r="S291" s="315"/>
      <c r="T291" s="315"/>
      <c r="U291" s="315"/>
      <c r="V291" s="315"/>
      <c r="W291" s="315"/>
      <c r="X291" s="315"/>
      <c r="Y291" s="315"/>
      <c r="Z291" s="315"/>
    </row>
    <row r="292">
      <c r="A292" s="315"/>
      <c r="B292" s="315"/>
      <c r="C292" s="315"/>
      <c r="D292" s="315"/>
      <c r="E292" s="315"/>
      <c r="F292" s="315"/>
      <c r="G292" s="315"/>
      <c r="H292" s="315"/>
      <c r="I292" s="315"/>
      <c r="J292" s="315"/>
      <c r="K292" s="315"/>
      <c r="L292" s="315"/>
      <c r="M292" s="315"/>
      <c r="N292" s="315"/>
      <c r="O292" s="315"/>
      <c r="P292" s="315"/>
      <c r="Q292" s="315"/>
      <c r="R292" s="315"/>
      <c r="S292" s="315"/>
      <c r="T292" s="315"/>
      <c r="U292" s="315"/>
      <c r="V292" s="315"/>
      <c r="W292" s="315"/>
      <c r="X292" s="315"/>
      <c r="Y292" s="315"/>
      <c r="Z292" s="315"/>
    </row>
    <row r="293">
      <c r="A293" s="315"/>
      <c r="B293" s="315"/>
      <c r="C293" s="315"/>
      <c r="D293" s="315"/>
      <c r="E293" s="315"/>
      <c r="F293" s="315"/>
      <c r="G293" s="315"/>
      <c r="H293" s="315"/>
      <c r="I293" s="315"/>
      <c r="J293" s="315"/>
      <c r="K293" s="315"/>
      <c r="L293" s="315"/>
      <c r="M293" s="315"/>
      <c r="N293" s="315"/>
      <c r="O293" s="315"/>
      <c r="P293" s="315"/>
      <c r="Q293" s="315"/>
      <c r="R293" s="315"/>
      <c r="S293" s="315"/>
      <c r="T293" s="315"/>
      <c r="U293" s="315"/>
      <c r="V293" s="315"/>
      <c r="W293" s="315"/>
      <c r="X293" s="315"/>
      <c r="Y293" s="315"/>
      <c r="Z293" s="315"/>
    </row>
    <row r="294">
      <c r="A294" s="315"/>
      <c r="B294" s="315"/>
      <c r="C294" s="315"/>
      <c r="D294" s="315"/>
      <c r="E294" s="315"/>
      <c r="F294" s="315"/>
      <c r="G294" s="315"/>
      <c r="H294" s="315"/>
      <c r="I294" s="315"/>
      <c r="J294" s="315"/>
      <c r="K294" s="315"/>
      <c r="L294" s="315"/>
      <c r="M294" s="315"/>
      <c r="N294" s="315"/>
      <c r="O294" s="315"/>
      <c r="P294" s="315"/>
      <c r="Q294" s="315"/>
      <c r="R294" s="315"/>
      <c r="S294" s="315"/>
      <c r="T294" s="315"/>
      <c r="U294" s="315"/>
      <c r="V294" s="315"/>
      <c r="W294" s="315"/>
      <c r="X294" s="315"/>
      <c r="Y294" s="315"/>
      <c r="Z294" s="315"/>
    </row>
    <row r="295">
      <c r="A295" s="315"/>
      <c r="B295" s="315"/>
      <c r="C295" s="315"/>
      <c r="D295" s="315"/>
      <c r="E295" s="315"/>
      <c r="F295" s="315"/>
      <c r="G295" s="315"/>
      <c r="H295" s="315"/>
      <c r="I295" s="315"/>
      <c r="J295" s="315"/>
      <c r="K295" s="315"/>
      <c r="L295" s="315"/>
      <c r="M295" s="315"/>
      <c r="N295" s="315"/>
      <c r="O295" s="315"/>
      <c r="P295" s="315"/>
      <c r="Q295" s="315"/>
      <c r="R295" s="315"/>
      <c r="S295" s="315"/>
      <c r="T295" s="315"/>
      <c r="U295" s="315"/>
      <c r="V295" s="315"/>
      <c r="W295" s="315"/>
      <c r="X295" s="315"/>
      <c r="Y295" s="315"/>
      <c r="Z295" s="315"/>
    </row>
    <row r="296">
      <c r="A296" s="315"/>
      <c r="B296" s="315"/>
      <c r="C296" s="315"/>
      <c r="D296" s="315"/>
      <c r="E296" s="315"/>
      <c r="F296" s="315"/>
      <c r="G296" s="315"/>
      <c r="H296" s="315"/>
      <c r="I296" s="315"/>
      <c r="J296" s="315"/>
      <c r="K296" s="315"/>
      <c r="L296" s="315"/>
      <c r="M296" s="315"/>
      <c r="N296" s="315"/>
      <c r="O296" s="315"/>
      <c r="P296" s="315"/>
      <c r="Q296" s="315"/>
      <c r="R296" s="315"/>
      <c r="S296" s="315"/>
      <c r="T296" s="315"/>
      <c r="U296" s="315"/>
      <c r="V296" s="315"/>
      <c r="W296" s="315"/>
      <c r="X296" s="315"/>
      <c r="Y296" s="315"/>
      <c r="Z296" s="315"/>
    </row>
    <row r="297">
      <c r="A297" s="315"/>
      <c r="B297" s="315"/>
      <c r="C297" s="315"/>
      <c r="D297" s="315"/>
      <c r="E297" s="315"/>
      <c r="F297" s="315"/>
      <c r="G297" s="315"/>
      <c r="H297" s="315"/>
      <c r="I297" s="315"/>
      <c r="J297" s="315"/>
      <c r="K297" s="315"/>
      <c r="L297" s="315"/>
      <c r="M297" s="315"/>
      <c r="N297" s="315"/>
      <c r="O297" s="315"/>
      <c r="P297" s="315"/>
      <c r="Q297" s="315"/>
      <c r="R297" s="315"/>
      <c r="S297" s="315"/>
      <c r="T297" s="315"/>
      <c r="U297" s="315"/>
      <c r="V297" s="315"/>
      <c r="W297" s="315"/>
      <c r="X297" s="315"/>
      <c r="Y297" s="315"/>
      <c r="Z297" s="315"/>
    </row>
    <row r="298">
      <c r="A298" s="315"/>
      <c r="B298" s="315"/>
      <c r="C298" s="315"/>
      <c r="D298" s="315"/>
      <c r="E298" s="315"/>
      <c r="F298" s="315"/>
      <c r="G298" s="315"/>
      <c r="H298" s="315"/>
      <c r="I298" s="315"/>
      <c r="J298" s="315"/>
      <c r="K298" s="315"/>
      <c r="L298" s="315"/>
      <c r="M298" s="315"/>
      <c r="N298" s="315"/>
      <c r="O298" s="315"/>
      <c r="P298" s="315"/>
      <c r="Q298" s="315"/>
      <c r="R298" s="315"/>
      <c r="S298" s="315"/>
      <c r="T298" s="315"/>
      <c r="U298" s="315"/>
      <c r="V298" s="315"/>
      <c r="W298" s="315"/>
      <c r="X298" s="315"/>
      <c r="Y298" s="315"/>
      <c r="Z298" s="315"/>
    </row>
    <row r="299">
      <c r="A299" s="315"/>
      <c r="B299" s="315"/>
      <c r="C299" s="315"/>
      <c r="D299" s="315"/>
      <c r="E299" s="315"/>
      <c r="F299" s="315"/>
      <c r="G299" s="315"/>
      <c r="H299" s="315"/>
      <c r="I299" s="315"/>
      <c r="J299" s="315"/>
      <c r="K299" s="315"/>
      <c r="L299" s="315"/>
      <c r="M299" s="315"/>
      <c r="N299" s="315"/>
      <c r="O299" s="315"/>
      <c r="P299" s="315"/>
      <c r="Q299" s="315"/>
      <c r="R299" s="315"/>
      <c r="S299" s="315"/>
      <c r="T299" s="315"/>
      <c r="U299" s="315"/>
      <c r="V299" s="315"/>
      <c r="W299" s="315"/>
      <c r="X299" s="315"/>
      <c r="Y299" s="315"/>
      <c r="Z299" s="315"/>
    </row>
    <row r="300">
      <c r="A300" s="315"/>
      <c r="B300" s="315"/>
      <c r="C300" s="315"/>
      <c r="D300" s="315"/>
      <c r="E300" s="315"/>
      <c r="F300" s="315"/>
      <c r="G300" s="315"/>
      <c r="H300" s="315"/>
      <c r="I300" s="315"/>
      <c r="J300" s="315"/>
      <c r="K300" s="315"/>
      <c r="L300" s="315"/>
      <c r="M300" s="315"/>
      <c r="N300" s="315"/>
      <c r="O300" s="315"/>
      <c r="P300" s="315"/>
      <c r="Q300" s="315"/>
      <c r="R300" s="315"/>
      <c r="S300" s="315"/>
      <c r="T300" s="315"/>
      <c r="U300" s="315"/>
      <c r="V300" s="315"/>
      <c r="W300" s="315"/>
      <c r="X300" s="315"/>
      <c r="Y300" s="315"/>
      <c r="Z300" s="315"/>
    </row>
    <row r="301">
      <c r="A301" s="315"/>
      <c r="B301" s="315"/>
      <c r="C301" s="315"/>
      <c r="D301" s="315"/>
      <c r="E301" s="315"/>
      <c r="F301" s="315"/>
      <c r="G301" s="315"/>
      <c r="H301" s="315"/>
      <c r="I301" s="315"/>
      <c r="J301" s="315"/>
      <c r="K301" s="315"/>
      <c r="L301" s="315"/>
      <c r="M301" s="315"/>
      <c r="N301" s="315"/>
      <c r="O301" s="315"/>
      <c r="P301" s="315"/>
      <c r="Q301" s="315"/>
      <c r="R301" s="315"/>
      <c r="S301" s="315"/>
      <c r="T301" s="315"/>
      <c r="U301" s="315"/>
      <c r="V301" s="315"/>
      <c r="W301" s="315"/>
      <c r="X301" s="315"/>
      <c r="Y301" s="315"/>
      <c r="Z301" s="315"/>
    </row>
    <row r="302">
      <c r="A302" s="315"/>
      <c r="B302" s="315"/>
      <c r="C302" s="315"/>
      <c r="D302" s="315"/>
      <c r="E302" s="315"/>
      <c r="F302" s="315"/>
      <c r="G302" s="315"/>
      <c r="H302" s="315"/>
      <c r="I302" s="315"/>
      <c r="J302" s="315"/>
      <c r="K302" s="315"/>
      <c r="L302" s="315"/>
      <c r="M302" s="315"/>
      <c r="N302" s="315"/>
      <c r="O302" s="315"/>
      <c r="P302" s="315"/>
      <c r="Q302" s="315"/>
      <c r="R302" s="315"/>
      <c r="S302" s="315"/>
      <c r="T302" s="315"/>
      <c r="U302" s="315"/>
      <c r="V302" s="315"/>
      <c r="W302" s="315"/>
      <c r="X302" s="315"/>
      <c r="Y302" s="315"/>
      <c r="Z302" s="315"/>
    </row>
    <row r="303">
      <c r="A303" s="315"/>
      <c r="B303" s="315"/>
      <c r="C303" s="315"/>
      <c r="D303" s="315"/>
      <c r="E303" s="315"/>
      <c r="F303" s="315"/>
      <c r="G303" s="315"/>
      <c r="H303" s="315"/>
      <c r="I303" s="315"/>
      <c r="J303" s="315"/>
      <c r="K303" s="315"/>
      <c r="L303" s="315"/>
      <c r="M303" s="315"/>
      <c r="N303" s="315"/>
      <c r="O303" s="315"/>
      <c r="P303" s="315"/>
      <c r="Q303" s="315"/>
      <c r="R303" s="315"/>
      <c r="S303" s="315"/>
      <c r="T303" s="315"/>
      <c r="U303" s="315"/>
      <c r="V303" s="315"/>
      <c r="W303" s="315"/>
      <c r="X303" s="315"/>
      <c r="Y303" s="315"/>
      <c r="Z303" s="315"/>
    </row>
    <row r="304">
      <c r="A304" s="315"/>
      <c r="B304" s="315"/>
      <c r="C304" s="315"/>
      <c r="D304" s="315"/>
      <c r="E304" s="315"/>
      <c r="F304" s="315"/>
      <c r="G304" s="315"/>
      <c r="H304" s="315"/>
      <c r="I304" s="315"/>
      <c r="J304" s="315"/>
      <c r="K304" s="315"/>
      <c r="L304" s="315"/>
      <c r="M304" s="315"/>
      <c r="N304" s="315"/>
      <c r="O304" s="315"/>
      <c r="P304" s="315"/>
      <c r="Q304" s="315"/>
      <c r="R304" s="315"/>
      <c r="S304" s="315"/>
      <c r="T304" s="315"/>
      <c r="U304" s="315"/>
      <c r="V304" s="315"/>
      <c r="W304" s="315"/>
      <c r="X304" s="315"/>
      <c r="Y304" s="315"/>
      <c r="Z304" s="315"/>
    </row>
    <row r="305">
      <c r="A305" s="315"/>
      <c r="B305" s="315"/>
      <c r="C305" s="315"/>
      <c r="D305" s="315"/>
      <c r="E305" s="315"/>
      <c r="F305" s="315"/>
      <c r="G305" s="315"/>
      <c r="H305" s="315"/>
      <c r="I305" s="315"/>
      <c r="J305" s="315"/>
      <c r="K305" s="315"/>
      <c r="L305" s="315"/>
      <c r="M305" s="315"/>
      <c r="N305" s="315"/>
      <c r="O305" s="315"/>
      <c r="P305" s="315"/>
      <c r="Q305" s="315"/>
      <c r="R305" s="315"/>
      <c r="S305" s="315"/>
      <c r="T305" s="315"/>
      <c r="U305" s="315"/>
      <c r="V305" s="315"/>
      <c r="W305" s="315"/>
      <c r="X305" s="315"/>
      <c r="Y305" s="315"/>
      <c r="Z305" s="315"/>
    </row>
    <row r="306">
      <c r="A306" s="315"/>
      <c r="B306" s="315"/>
      <c r="C306" s="315"/>
      <c r="D306" s="315"/>
      <c r="E306" s="315"/>
      <c r="F306" s="315"/>
      <c r="G306" s="315"/>
      <c r="H306" s="315"/>
      <c r="I306" s="315"/>
      <c r="J306" s="315"/>
      <c r="K306" s="315"/>
      <c r="L306" s="315"/>
      <c r="M306" s="315"/>
      <c r="N306" s="315"/>
      <c r="O306" s="315"/>
      <c r="P306" s="315"/>
      <c r="Q306" s="315"/>
      <c r="R306" s="315"/>
      <c r="S306" s="315"/>
      <c r="T306" s="315"/>
      <c r="U306" s="315"/>
      <c r="V306" s="315"/>
      <c r="W306" s="315"/>
      <c r="X306" s="315"/>
      <c r="Y306" s="315"/>
      <c r="Z306" s="315"/>
    </row>
    <row r="307">
      <c r="A307" s="315"/>
      <c r="B307" s="315"/>
      <c r="C307" s="315"/>
      <c r="D307" s="315"/>
      <c r="E307" s="315"/>
      <c r="F307" s="315"/>
      <c r="G307" s="315"/>
      <c r="H307" s="315"/>
      <c r="I307" s="315"/>
      <c r="J307" s="315"/>
      <c r="K307" s="315"/>
      <c r="L307" s="315"/>
      <c r="M307" s="315"/>
      <c r="N307" s="315"/>
      <c r="O307" s="315"/>
      <c r="P307" s="315"/>
      <c r="Q307" s="315"/>
      <c r="R307" s="315"/>
      <c r="S307" s="315"/>
      <c r="T307" s="315"/>
      <c r="U307" s="315"/>
      <c r="V307" s="315"/>
      <c r="W307" s="315"/>
      <c r="X307" s="315"/>
      <c r="Y307" s="315"/>
      <c r="Z307" s="315"/>
    </row>
    <row r="308">
      <c r="A308" s="315"/>
      <c r="B308" s="315"/>
      <c r="C308" s="315"/>
      <c r="D308" s="315"/>
      <c r="E308" s="315"/>
      <c r="F308" s="315"/>
      <c r="G308" s="315"/>
      <c r="H308" s="315"/>
      <c r="I308" s="315"/>
      <c r="J308" s="315"/>
      <c r="K308" s="315"/>
      <c r="L308" s="315"/>
      <c r="M308" s="315"/>
      <c r="N308" s="315"/>
      <c r="O308" s="315"/>
      <c r="P308" s="315"/>
      <c r="Q308" s="315"/>
      <c r="R308" s="315"/>
      <c r="S308" s="315"/>
      <c r="T308" s="315"/>
      <c r="U308" s="315"/>
      <c r="V308" s="315"/>
      <c r="W308" s="315"/>
      <c r="X308" s="315"/>
      <c r="Y308" s="315"/>
      <c r="Z308" s="315"/>
    </row>
    <row r="309">
      <c r="A309" s="315"/>
      <c r="B309" s="315"/>
      <c r="C309" s="315"/>
      <c r="D309" s="315"/>
      <c r="E309" s="315"/>
      <c r="F309" s="315"/>
      <c r="G309" s="315"/>
      <c r="H309" s="315"/>
      <c r="I309" s="315"/>
      <c r="J309" s="315"/>
      <c r="K309" s="315"/>
      <c r="L309" s="315"/>
      <c r="M309" s="315"/>
      <c r="N309" s="315"/>
      <c r="O309" s="315"/>
      <c r="P309" s="315"/>
      <c r="Q309" s="315"/>
      <c r="R309" s="315"/>
      <c r="S309" s="315"/>
      <c r="T309" s="315"/>
      <c r="U309" s="315"/>
      <c r="V309" s="315"/>
      <c r="W309" s="315"/>
      <c r="X309" s="315"/>
      <c r="Y309" s="315"/>
      <c r="Z309" s="315"/>
    </row>
    <row r="310">
      <c r="A310" s="315"/>
      <c r="B310" s="315"/>
      <c r="C310" s="315"/>
      <c r="D310" s="315"/>
      <c r="E310" s="315"/>
      <c r="F310" s="315"/>
      <c r="G310" s="315"/>
      <c r="H310" s="315"/>
      <c r="I310" s="315"/>
      <c r="J310" s="315"/>
      <c r="K310" s="315"/>
      <c r="L310" s="315"/>
      <c r="M310" s="315"/>
      <c r="N310" s="315"/>
      <c r="O310" s="315"/>
      <c r="P310" s="315"/>
      <c r="Q310" s="315"/>
      <c r="R310" s="315"/>
      <c r="S310" s="315"/>
      <c r="T310" s="315"/>
      <c r="U310" s="315"/>
      <c r="V310" s="315"/>
      <c r="W310" s="315"/>
      <c r="X310" s="315"/>
      <c r="Y310" s="315"/>
      <c r="Z310" s="315"/>
    </row>
    <row r="311">
      <c r="A311" s="315"/>
      <c r="B311" s="315"/>
      <c r="C311" s="315"/>
      <c r="D311" s="315"/>
      <c r="E311" s="315"/>
      <c r="F311" s="315"/>
      <c r="G311" s="315"/>
      <c r="H311" s="315"/>
      <c r="I311" s="315"/>
      <c r="J311" s="315"/>
      <c r="K311" s="315"/>
      <c r="L311" s="315"/>
      <c r="M311" s="315"/>
      <c r="N311" s="315"/>
      <c r="O311" s="315"/>
      <c r="P311" s="315"/>
      <c r="Q311" s="315"/>
      <c r="R311" s="315"/>
      <c r="S311" s="315"/>
      <c r="T311" s="315"/>
      <c r="U311" s="315"/>
      <c r="V311" s="315"/>
      <c r="W311" s="315"/>
      <c r="X311" s="315"/>
      <c r="Y311" s="315"/>
      <c r="Z311" s="315"/>
    </row>
    <row r="312">
      <c r="A312" s="315"/>
      <c r="B312" s="315"/>
      <c r="C312" s="315"/>
      <c r="D312" s="315"/>
      <c r="E312" s="315"/>
      <c r="F312" s="315"/>
      <c r="G312" s="315"/>
      <c r="H312" s="315"/>
      <c r="I312" s="315"/>
      <c r="J312" s="315"/>
      <c r="K312" s="315"/>
      <c r="L312" s="315"/>
      <c r="M312" s="315"/>
      <c r="N312" s="315"/>
      <c r="O312" s="315"/>
      <c r="P312" s="315"/>
      <c r="Q312" s="315"/>
      <c r="R312" s="315"/>
      <c r="S312" s="315"/>
      <c r="T312" s="315"/>
      <c r="U312" s="315"/>
      <c r="V312" s="315"/>
      <c r="W312" s="315"/>
      <c r="X312" s="315"/>
      <c r="Y312" s="315"/>
      <c r="Z312" s="315"/>
    </row>
    <row r="313">
      <c r="A313" s="315"/>
      <c r="B313" s="315"/>
      <c r="C313" s="315"/>
      <c r="D313" s="315"/>
      <c r="E313" s="315"/>
      <c r="F313" s="315"/>
      <c r="G313" s="315"/>
      <c r="H313" s="315"/>
      <c r="I313" s="315"/>
      <c r="J313" s="315"/>
      <c r="K313" s="315"/>
      <c r="L313" s="315"/>
      <c r="M313" s="315"/>
      <c r="N313" s="315"/>
      <c r="O313" s="315"/>
      <c r="P313" s="315"/>
      <c r="Q313" s="315"/>
      <c r="R313" s="315"/>
      <c r="S313" s="315"/>
      <c r="T313" s="315"/>
      <c r="U313" s="315"/>
      <c r="V313" s="315"/>
      <c r="W313" s="315"/>
      <c r="X313" s="315"/>
      <c r="Y313" s="315"/>
      <c r="Z313" s="315"/>
    </row>
    <row r="314">
      <c r="A314" s="315"/>
      <c r="B314" s="315"/>
      <c r="C314" s="315"/>
      <c r="D314" s="315"/>
      <c r="E314" s="315"/>
      <c r="F314" s="315"/>
      <c r="G314" s="315"/>
      <c r="H314" s="315"/>
      <c r="I314" s="315"/>
      <c r="J314" s="315"/>
      <c r="K314" s="315"/>
      <c r="L314" s="315"/>
      <c r="M314" s="315"/>
      <c r="N314" s="315"/>
      <c r="O314" s="315"/>
      <c r="P314" s="315"/>
      <c r="Q314" s="315"/>
      <c r="R314" s="315"/>
      <c r="S314" s="315"/>
      <c r="T314" s="315"/>
      <c r="U314" s="315"/>
      <c r="V314" s="315"/>
      <c r="W314" s="315"/>
      <c r="X314" s="315"/>
      <c r="Y314" s="315"/>
      <c r="Z314" s="315"/>
    </row>
    <row r="315">
      <c r="A315" s="315"/>
      <c r="B315" s="315"/>
      <c r="C315" s="315"/>
      <c r="D315" s="315"/>
      <c r="E315" s="315"/>
      <c r="F315" s="315"/>
      <c r="G315" s="315"/>
      <c r="H315" s="315"/>
      <c r="I315" s="315"/>
      <c r="J315" s="315"/>
      <c r="K315" s="315"/>
      <c r="L315" s="315"/>
      <c r="M315" s="315"/>
      <c r="N315" s="315"/>
      <c r="O315" s="315"/>
      <c r="P315" s="315"/>
      <c r="Q315" s="315"/>
      <c r="R315" s="315"/>
      <c r="S315" s="315"/>
      <c r="T315" s="315"/>
      <c r="U315" s="315"/>
      <c r="V315" s="315"/>
      <c r="W315" s="315"/>
      <c r="X315" s="315"/>
      <c r="Y315" s="315"/>
      <c r="Z315" s="315"/>
    </row>
    <row r="316">
      <c r="A316" s="315"/>
      <c r="B316" s="315"/>
      <c r="C316" s="315"/>
      <c r="D316" s="315"/>
      <c r="E316" s="315"/>
      <c r="F316" s="315"/>
      <c r="G316" s="315"/>
      <c r="H316" s="315"/>
      <c r="I316" s="315"/>
      <c r="J316" s="315"/>
      <c r="K316" s="315"/>
      <c r="L316" s="315"/>
      <c r="M316" s="315"/>
      <c r="N316" s="315"/>
      <c r="O316" s="315"/>
      <c r="P316" s="315"/>
      <c r="Q316" s="315"/>
      <c r="R316" s="315"/>
      <c r="S316" s="315"/>
      <c r="T316" s="315"/>
      <c r="U316" s="315"/>
      <c r="V316" s="315"/>
      <c r="W316" s="315"/>
      <c r="X316" s="315"/>
      <c r="Y316" s="315"/>
      <c r="Z316" s="315"/>
    </row>
    <row r="317">
      <c r="A317" s="315"/>
      <c r="B317" s="315"/>
      <c r="C317" s="315"/>
      <c r="D317" s="315"/>
      <c r="E317" s="315"/>
      <c r="F317" s="315"/>
      <c r="G317" s="315"/>
      <c r="H317" s="315"/>
      <c r="I317" s="315"/>
      <c r="J317" s="315"/>
      <c r="K317" s="315"/>
      <c r="L317" s="315"/>
      <c r="M317" s="315"/>
      <c r="N317" s="315"/>
      <c r="O317" s="315"/>
      <c r="P317" s="315"/>
      <c r="Q317" s="315"/>
      <c r="R317" s="315"/>
      <c r="S317" s="315"/>
      <c r="T317" s="315"/>
      <c r="U317" s="315"/>
      <c r="V317" s="315"/>
      <c r="W317" s="315"/>
      <c r="X317" s="315"/>
      <c r="Y317" s="315"/>
      <c r="Z317" s="315"/>
    </row>
    <row r="318">
      <c r="A318" s="315"/>
      <c r="B318" s="315"/>
      <c r="C318" s="315"/>
      <c r="D318" s="315"/>
      <c r="E318" s="315"/>
      <c r="F318" s="315"/>
      <c r="G318" s="315"/>
      <c r="H318" s="315"/>
      <c r="I318" s="315"/>
      <c r="J318" s="315"/>
      <c r="K318" s="315"/>
      <c r="L318" s="315"/>
      <c r="M318" s="315"/>
      <c r="N318" s="315"/>
      <c r="O318" s="315"/>
      <c r="P318" s="315"/>
      <c r="Q318" s="315"/>
      <c r="R318" s="315"/>
      <c r="S318" s="315"/>
      <c r="T318" s="315"/>
      <c r="U318" s="315"/>
      <c r="V318" s="315"/>
      <c r="W318" s="315"/>
      <c r="X318" s="315"/>
      <c r="Y318" s="315"/>
      <c r="Z318" s="315"/>
    </row>
    <row r="319">
      <c r="A319" s="315"/>
      <c r="B319" s="315"/>
      <c r="C319" s="315"/>
      <c r="D319" s="315"/>
      <c r="E319" s="315"/>
      <c r="F319" s="315"/>
      <c r="G319" s="315"/>
      <c r="H319" s="315"/>
      <c r="I319" s="315"/>
      <c r="J319" s="315"/>
      <c r="K319" s="315"/>
      <c r="L319" s="315"/>
      <c r="M319" s="315"/>
      <c r="N319" s="315"/>
      <c r="O319" s="315"/>
      <c r="P319" s="315"/>
      <c r="Q319" s="315"/>
      <c r="R319" s="315"/>
      <c r="S319" s="315"/>
      <c r="T319" s="315"/>
      <c r="U319" s="315"/>
      <c r="V319" s="315"/>
      <c r="W319" s="315"/>
      <c r="X319" s="315"/>
      <c r="Y319" s="315"/>
      <c r="Z319" s="315"/>
    </row>
    <row r="320">
      <c r="A320" s="315"/>
      <c r="B320" s="315"/>
      <c r="C320" s="315"/>
      <c r="D320" s="315"/>
      <c r="E320" s="315"/>
      <c r="F320" s="315"/>
      <c r="G320" s="315"/>
      <c r="H320" s="315"/>
      <c r="I320" s="315"/>
      <c r="J320" s="315"/>
      <c r="K320" s="315"/>
      <c r="L320" s="315"/>
      <c r="M320" s="315"/>
      <c r="N320" s="315"/>
      <c r="O320" s="315"/>
      <c r="P320" s="315"/>
      <c r="Q320" s="315"/>
      <c r="R320" s="315"/>
      <c r="S320" s="315"/>
      <c r="T320" s="315"/>
      <c r="U320" s="315"/>
      <c r="V320" s="315"/>
      <c r="W320" s="315"/>
      <c r="X320" s="315"/>
      <c r="Y320" s="315"/>
      <c r="Z320" s="315"/>
    </row>
    <row r="321">
      <c r="A321" s="315"/>
      <c r="B321" s="315"/>
      <c r="C321" s="315"/>
      <c r="D321" s="315"/>
      <c r="E321" s="315"/>
      <c r="F321" s="315"/>
      <c r="G321" s="315"/>
      <c r="H321" s="315"/>
      <c r="I321" s="315"/>
      <c r="J321" s="315"/>
      <c r="K321" s="315"/>
      <c r="L321" s="315"/>
      <c r="M321" s="315"/>
      <c r="N321" s="315"/>
      <c r="O321" s="315"/>
      <c r="P321" s="315"/>
      <c r="Q321" s="315"/>
      <c r="R321" s="315"/>
      <c r="S321" s="315"/>
      <c r="T321" s="315"/>
      <c r="U321" s="315"/>
      <c r="V321" s="315"/>
      <c r="W321" s="315"/>
      <c r="X321" s="315"/>
      <c r="Y321" s="315"/>
      <c r="Z321" s="315"/>
    </row>
    <row r="322">
      <c r="A322" s="315"/>
      <c r="B322" s="315"/>
      <c r="C322" s="315"/>
      <c r="D322" s="315"/>
      <c r="E322" s="315"/>
      <c r="F322" s="315"/>
      <c r="G322" s="315"/>
      <c r="H322" s="315"/>
      <c r="I322" s="315"/>
      <c r="J322" s="315"/>
      <c r="K322" s="315"/>
      <c r="L322" s="315"/>
      <c r="M322" s="315"/>
      <c r="N322" s="315"/>
      <c r="O322" s="315"/>
      <c r="P322" s="315"/>
      <c r="Q322" s="315"/>
      <c r="R322" s="315"/>
      <c r="S322" s="315"/>
      <c r="T322" s="315"/>
      <c r="U322" s="315"/>
      <c r="V322" s="315"/>
      <c r="W322" s="315"/>
      <c r="X322" s="315"/>
      <c r="Y322" s="315"/>
      <c r="Z322" s="315"/>
    </row>
    <row r="323">
      <c r="A323" s="315"/>
      <c r="B323" s="315"/>
      <c r="C323" s="315"/>
      <c r="D323" s="315"/>
      <c r="E323" s="315"/>
      <c r="F323" s="315"/>
      <c r="G323" s="315"/>
      <c r="H323" s="315"/>
      <c r="I323" s="315"/>
      <c r="J323" s="315"/>
      <c r="K323" s="315"/>
      <c r="L323" s="315"/>
      <c r="M323" s="315"/>
      <c r="N323" s="315"/>
      <c r="O323" s="315"/>
      <c r="P323" s="315"/>
      <c r="Q323" s="315"/>
      <c r="R323" s="315"/>
      <c r="S323" s="315"/>
      <c r="T323" s="315"/>
      <c r="U323" s="315"/>
      <c r="V323" s="315"/>
      <c r="W323" s="315"/>
      <c r="X323" s="315"/>
      <c r="Y323" s="315"/>
      <c r="Z323" s="315"/>
    </row>
    <row r="324">
      <c r="A324" s="315"/>
      <c r="B324" s="315"/>
      <c r="C324" s="315"/>
      <c r="D324" s="315"/>
      <c r="E324" s="315"/>
      <c r="F324" s="315"/>
      <c r="G324" s="315"/>
      <c r="H324" s="315"/>
      <c r="I324" s="315"/>
      <c r="J324" s="315"/>
      <c r="K324" s="315"/>
      <c r="L324" s="315"/>
      <c r="M324" s="315"/>
      <c r="N324" s="315"/>
      <c r="O324" s="315"/>
      <c r="P324" s="315"/>
      <c r="Q324" s="315"/>
      <c r="R324" s="315"/>
      <c r="S324" s="315"/>
      <c r="T324" s="315"/>
      <c r="U324" s="315"/>
      <c r="V324" s="315"/>
      <c r="W324" s="315"/>
      <c r="X324" s="315"/>
      <c r="Y324" s="315"/>
      <c r="Z324" s="315"/>
    </row>
    <row r="325">
      <c r="A325" s="315"/>
      <c r="B325" s="315"/>
      <c r="C325" s="315"/>
      <c r="D325" s="315"/>
      <c r="E325" s="315"/>
      <c r="F325" s="315"/>
      <c r="G325" s="315"/>
      <c r="H325" s="315"/>
      <c r="I325" s="315"/>
      <c r="J325" s="315"/>
      <c r="K325" s="315"/>
      <c r="L325" s="315"/>
      <c r="M325" s="315"/>
      <c r="N325" s="315"/>
      <c r="O325" s="315"/>
      <c r="P325" s="315"/>
      <c r="Q325" s="315"/>
      <c r="R325" s="315"/>
      <c r="S325" s="315"/>
      <c r="T325" s="315"/>
      <c r="U325" s="315"/>
      <c r="V325" s="315"/>
      <c r="W325" s="315"/>
      <c r="X325" s="315"/>
      <c r="Y325" s="315"/>
      <c r="Z325" s="315"/>
    </row>
    <row r="326">
      <c r="A326" s="315"/>
      <c r="B326" s="315"/>
      <c r="C326" s="315"/>
      <c r="D326" s="315"/>
      <c r="E326" s="315"/>
      <c r="F326" s="315"/>
      <c r="G326" s="315"/>
      <c r="H326" s="315"/>
      <c r="I326" s="315"/>
      <c r="J326" s="315"/>
      <c r="K326" s="315"/>
      <c r="L326" s="315"/>
      <c r="M326" s="315"/>
      <c r="N326" s="315"/>
      <c r="O326" s="315"/>
      <c r="P326" s="315"/>
      <c r="Q326" s="315"/>
      <c r="R326" s="315"/>
      <c r="S326" s="315"/>
      <c r="T326" s="315"/>
      <c r="U326" s="315"/>
      <c r="V326" s="315"/>
      <c r="W326" s="315"/>
      <c r="X326" s="315"/>
      <c r="Y326" s="315"/>
      <c r="Z326" s="315"/>
    </row>
    <row r="327">
      <c r="A327" s="315"/>
      <c r="B327" s="315"/>
      <c r="C327" s="315"/>
      <c r="D327" s="315"/>
      <c r="E327" s="315"/>
      <c r="F327" s="315"/>
      <c r="G327" s="315"/>
      <c r="H327" s="315"/>
      <c r="I327" s="315"/>
      <c r="J327" s="315"/>
      <c r="K327" s="315"/>
      <c r="L327" s="315"/>
      <c r="M327" s="315"/>
      <c r="N327" s="315"/>
      <c r="O327" s="315"/>
      <c r="P327" s="315"/>
      <c r="Q327" s="315"/>
      <c r="R327" s="315"/>
      <c r="S327" s="315"/>
      <c r="T327" s="315"/>
      <c r="U327" s="315"/>
      <c r="V327" s="315"/>
      <c r="W327" s="315"/>
      <c r="X327" s="315"/>
      <c r="Y327" s="315"/>
      <c r="Z327" s="315"/>
    </row>
    <row r="328">
      <c r="A328" s="315"/>
      <c r="B328" s="315"/>
      <c r="C328" s="315"/>
      <c r="D328" s="315"/>
      <c r="E328" s="315"/>
      <c r="F328" s="315"/>
      <c r="G328" s="315"/>
      <c r="H328" s="315"/>
      <c r="I328" s="315"/>
      <c r="J328" s="315"/>
      <c r="K328" s="315"/>
      <c r="L328" s="315"/>
      <c r="M328" s="315"/>
      <c r="N328" s="315"/>
      <c r="O328" s="315"/>
      <c r="P328" s="315"/>
      <c r="Q328" s="315"/>
      <c r="R328" s="315"/>
      <c r="S328" s="315"/>
      <c r="T328" s="315"/>
      <c r="U328" s="315"/>
      <c r="V328" s="315"/>
      <c r="W328" s="315"/>
      <c r="X328" s="315"/>
      <c r="Y328" s="315"/>
      <c r="Z328" s="315"/>
    </row>
    <row r="329">
      <c r="A329" s="315"/>
      <c r="B329" s="315"/>
      <c r="C329" s="315"/>
      <c r="D329" s="315"/>
      <c r="E329" s="315"/>
      <c r="F329" s="315"/>
      <c r="G329" s="315"/>
      <c r="H329" s="315"/>
      <c r="I329" s="315"/>
      <c r="J329" s="315"/>
      <c r="K329" s="315"/>
      <c r="L329" s="315"/>
      <c r="M329" s="315"/>
      <c r="N329" s="315"/>
      <c r="O329" s="315"/>
      <c r="P329" s="315"/>
      <c r="Q329" s="315"/>
      <c r="R329" s="315"/>
      <c r="S329" s="315"/>
      <c r="T329" s="315"/>
      <c r="U329" s="315"/>
      <c r="V329" s="315"/>
      <c r="W329" s="315"/>
      <c r="X329" s="315"/>
      <c r="Y329" s="315"/>
      <c r="Z329" s="315"/>
    </row>
    <row r="330">
      <c r="A330" s="315"/>
      <c r="B330" s="315"/>
      <c r="C330" s="315"/>
      <c r="D330" s="315"/>
      <c r="E330" s="315"/>
      <c r="F330" s="315"/>
      <c r="G330" s="315"/>
      <c r="H330" s="315"/>
      <c r="I330" s="315"/>
      <c r="J330" s="315"/>
      <c r="K330" s="315"/>
      <c r="L330" s="315"/>
      <c r="M330" s="315"/>
      <c r="N330" s="315"/>
      <c r="O330" s="315"/>
      <c r="P330" s="315"/>
      <c r="Q330" s="315"/>
      <c r="R330" s="315"/>
      <c r="S330" s="315"/>
      <c r="T330" s="315"/>
      <c r="U330" s="315"/>
      <c r="V330" s="315"/>
      <c r="W330" s="315"/>
      <c r="X330" s="315"/>
      <c r="Y330" s="315"/>
      <c r="Z330" s="315"/>
    </row>
    <row r="331">
      <c r="A331" s="315"/>
      <c r="B331" s="315"/>
      <c r="C331" s="315"/>
      <c r="D331" s="315"/>
      <c r="E331" s="315"/>
      <c r="F331" s="315"/>
      <c r="G331" s="315"/>
      <c r="H331" s="315"/>
      <c r="I331" s="315"/>
      <c r="J331" s="315"/>
      <c r="K331" s="315"/>
      <c r="L331" s="315"/>
      <c r="M331" s="315"/>
      <c r="N331" s="315"/>
      <c r="O331" s="315"/>
      <c r="P331" s="315"/>
      <c r="Q331" s="315"/>
      <c r="R331" s="315"/>
      <c r="S331" s="315"/>
      <c r="T331" s="315"/>
      <c r="U331" s="315"/>
      <c r="V331" s="315"/>
      <c r="W331" s="315"/>
      <c r="X331" s="315"/>
      <c r="Y331" s="315"/>
      <c r="Z331" s="315"/>
    </row>
    <row r="332">
      <c r="A332" s="315"/>
      <c r="B332" s="315"/>
      <c r="C332" s="315"/>
      <c r="D332" s="315"/>
      <c r="E332" s="315"/>
      <c r="F332" s="315"/>
      <c r="G332" s="315"/>
      <c r="H332" s="315"/>
      <c r="I332" s="315"/>
      <c r="J332" s="315"/>
      <c r="K332" s="315"/>
      <c r="L332" s="315"/>
      <c r="M332" s="315"/>
      <c r="N332" s="315"/>
      <c r="O332" s="315"/>
      <c r="P332" s="315"/>
      <c r="Q332" s="315"/>
      <c r="R332" s="315"/>
      <c r="S332" s="315"/>
      <c r="T332" s="315"/>
      <c r="U332" s="315"/>
      <c r="V332" s="315"/>
      <c r="W332" s="315"/>
      <c r="X332" s="315"/>
      <c r="Y332" s="315"/>
      <c r="Z332" s="315"/>
    </row>
    <row r="333">
      <c r="A333" s="315"/>
      <c r="B333" s="315"/>
      <c r="C333" s="315"/>
      <c r="D333" s="315"/>
      <c r="E333" s="315"/>
      <c r="F333" s="315"/>
      <c r="G333" s="315"/>
      <c r="H333" s="315"/>
      <c r="I333" s="315"/>
      <c r="J333" s="315"/>
      <c r="K333" s="315"/>
      <c r="L333" s="315"/>
      <c r="M333" s="315"/>
      <c r="N333" s="315"/>
      <c r="O333" s="315"/>
      <c r="P333" s="315"/>
      <c r="Q333" s="315"/>
      <c r="R333" s="315"/>
      <c r="S333" s="315"/>
      <c r="T333" s="315"/>
      <c r="U333" s="315"/>
      <c r="V333" s="315"/>
      <c r="W333" s="315"/>
      <c r="X333" s="315"/>
      <c r="Y333" s="315"/>
      <c r="Z333" s="315"/>
    </row>
    <row r="334">
      <c r="A334" s="315"/>
      <c r="B334" s="315"/>
      <c r="C334" s="315"/>
      <c r="D334" s="315"/>
      <c r="E334" s="315"/>
      <c r="F334" s="315"/>
      <c r="G334" s="315"/>
      <c r="H334" s="315"/>
      <c r="I334" s="315"/>
      <c r="J334" s="315"/>
      <c r="K334" s="315"/>
      <c r="L334" s="315"/>
      <c r="M334" s="315"/>
      <c r="N334" s="315"/>
      <c r="O334" s="315"/>
      <c r="P334" s="315"/>
      <c r="Q334" s="315"/>
      <c r="R334" s="315"/>
      <c r="S334" s="315"/>
      <c r="T334" s="315"/>
      <c r="U334" s="315"/>
      <c r="V334" s="315"/>
      <c r="W334" s="315"/>
      <c r="X334" s="315"/>
      <c r="Y334" s="315"/>
      <c r="Z334" s="315"/>
    </row>
    <row r="335">
      <c r="A335" s="315"/>
      <c r="B335" s="315"/>
      <c r="C335" s="315"/>
      <c r="D335" s="315"/>
      <c r="E335" s="315"/>
      <c r="F335" s="315"/>
      <c r="G335" s="315"/>
      <c r="H335" s="315"/>
      <c r="I335" s="315"/>
      <c r="J335" s="315"/>
      <c r="K335" s="315"/>
      <c r="L335" s="315"/>
      <c r="M335" s="315"/>
      <c r="N335" s="315"/>
      <c r="O335" s="315"/>
      <c r="P335" s="315"/>
      <c r="Q335" s="315"/>
      <c r="R335" s="315"/>
      <c r="S335" s="315"/>
      <c r="T335" s="315"/>
      <c r="U335" s="315"/>
      <c r="V335" s="315"/>
      <c r="W335" s="315"/>
      <c r="X335" s="315"/>
      <c r="Y335" s="315"/>
      <c r="Z335" s="315"/>
    </row>
    <row r="336">
      <c r="A336" s="315"/>
      <c r="B336" s="315"/>
      <c r="C336" s="315"/>
      <c r="D336" s="315"/>
      <c r="E336" s="315"/>
      <c r="F336" s="315"/>
      <c r="G336" s="315"/>
      <c r="H336" s="315"/>
      <c r="I336" s="315"/>
      <c r="J336" s="315"/>
      <c r="K336" s="315"/>
      <c r="L336" s="315"/>
      <c r="M336" s="315"/>
      <c r="N336" s="315"/>
      <c r="O336" s="315"/>
      <c r="P336" s="315"/>
      <c r="Q336" s="315"/>
      <c r="R336" s="315"/>
      <c r="S336" s="315"/>
      <c r="T336" s="315"/>
      <c r="U336" s="315"/>
      <c r="V336" s="315"/>
      <c r="W336" s="315"/>
      <c r="X336" s="315"/>
      <c r="Y336" s="315"/>
      <c r="Z336" s="315"/>
    </row>
    <row r="337">
      <c r="A337" s="315"/>
      <c r="B337" s="315"/>
      <c r="C337" s="315"/>
      <c r="D337" s="315"/>
      <c r="E337" s="315"/>
      <c r="F337" s="315"/>
      <c r="G337" s="315"/>
      <c r="H337" s="315"/>
      <c r="I337" s="315"/>
      <c r="J337" s="315"/>
      <c r="K337" s="315"/>
      <c r="L337" s="315"/>
      <c r="M337" s="315"/>
      <c r="N337" s="315"/>
      <c r="O337" s="315"/>
      <c r="P337" s="315"/>
      <c r="Q337" s="315"/>
      <c r="R337" s="315"/>
      <c r="S337" s="315"/>
      <c r="T337" s="315"/>
      <c r="U337" s="315"/>
      <c r="V337" s="315"/>
      <c r="W337" s="315"/>
      <c r="X337" s="315"/>
      <c r="Y337" s="315"/>
      <c r="Z337" s="315"/>
    </row>
    <row r="338">
      <c r="A338" s="315"/>
      <c r="B338" s="315"/>
      <c r="C338" s="315"/>
      <c r="D338" s="315"/>
      <c r="E338" s="315"/>
      <c r="F338" s="315"/>
      <c r="G338" s="315"/>
      <c r="H338" s="315"/>
      <c r="I338" s="315"/>
      <c r="J338" s="315"/>
      <c r="K338" s="315"/>
      <c r="L338" s="315"/>
      <c r="M338" s="315"/>
      <c r="N338" s="315"/>
      <c r="O338" s="315"/>
      <c r="P338" s="315"/>
      <c r="Q338" s="315"/>
      <c r="R338" s="315"/>
      <c r="S338" s="315"/>
      <c r="T338" s="315"/>
      <c r="U338" s="315"/>
      <c r="V338" s="315"/>
      <c r="W338" s="315"/>
      <c r="X338" s="315"/>
      <c r="Y338" s="315"/>
      <c r="Z338" s="315"/>
    </row>
    <row r="339">
      <c r="A339" s="315"/>
      <c r="B339" s="315"/>
      <c r="C339" s="315"/>
      <c r="D339" s="315"/>
      <c r="E339" s="315"/>
      <c r="F339" s="315"/>
      <c r="G339" s="315"/>
      <c r="H339" s="315"/>
      <c r="I339" s="315"/>
      <c r="J339" s="315"/>
      <c r="K339" s="315"/>
      <c r="L339" s="315"/>
      <c r="M339" s="315"/>
      <c r="N339" s="315"/>
      <c r="O339" s="315"/>
      <c r="P339" s="315"/>
      <c r="Q339" s="315"/>
      <c r="R339" s="315"/>
      <c r="S339" s="315"/>
      <c r="T339" s="315"/>
      <c r="U339" s="315"/>
      <c r="V339" s="315"/>
      <c r="W339" s="315"/>
      <c r="X339" s="315"/>
      <c r="Y339" s="315"/>
      <c r="Z339" s="315"/>
    </row>
    <row r="340">
      <c r="A340" s="315"/>
      <c r="B340" s="315"/>
      <c r="C340" s="315"/>
      <c r="D340" s="315"/>
      <c r="E340" s="315"/>
      <c r="F340" s="315"/>
      <c r="G340" s="315"/>
      <c r="H340" s="315"/>
      <c r="I340" s="315"/>
      <c r="J340" s="315"/>
      <c r="K340" s="315"/>
      <c r="L340" s="315"/>
      <c r="M340" s="315"/>
      <c r="N340" s="315"/>
      <c r="O340" s="315"/>
      <c r="P340" s="315"/>
      <c r="Q340" s="315"/>
      <c r="R340" s="315"/>
      <c r="S340" s="315"/>
      <c r="T340" s="315"/>
      <c r="U340" s="315"/>
      <c r="V340" s="315"/>
      <c r="W340" s="315"/>
      <c r="X340" s="315"/>
      <c r="Y340" s="315"/>
      <c r="Z340" s="315"/>
    </row>
    <row r="341">
      <c r="A341" s="315"/>
      <c r="B341" s="315"/>
      <c r="C341" s="315"/>
      <c r="D341" s="315"/>
      <c r="E341" s="315"/>
      <c r="F341" s="315"/>
      <c r="G341" s="315"/>
      <c r="H341" s="315"/>
      <c r="I341" s="315"/>
      <c r="J341" s="315"/>
      <c r="K341" s="315"/>
      <c r="L341" s="315"/>
      <c r="M341" s="315"/>
      <c r="N341" s="315"/>
      <c r="O341" s="315"/>
      <c r="P341" s="315"/>
      <c r="Q341" s="315"/>
      <c r="R341" s="315"/>
      <c r="S341" s="315"/>
      <c r="T341" s="315"/>
      <c r="U341" s="315"/>
      <c r="V341" s="315"/>
      <c r="W341" s="315"/>
      <c r="X341" s="315"/>
      <c r="Y341" s="315"/>
      <c r="Z341" s="315"/>
    </row>
    <row r="342">
      <c r="A342" s="315"/>
      <c r="B342" s="315"/>
      <c r="C342" s="315"/>
      <c r="D342" s="315"/>
      <c r="E342" s="315"/>
      <c r="F342" s="315"/>
      <c r="G342" s="315"/>
      <c r="H342" s="315"/>
      <c r="I342" s="315"/>
      <c r="J342" s="315"/>
      <c r="K342" s="315"/>
      <c r="L342" s="315"/>
      <c r="M342" s="315"/>
      <c r="N342" s="315"/>
      <c r="O342" s="315"/>
      <c r="P342" s="315"/>
      <c r="Q342" s="315"/>
      <c r="R342" s="315"/>
      <c r="S342" s="315"/>
      <c r="T342" s="315"/>
      <c r="U342" s="315"/>
      <c r="V342" s="315"/>
      <c r="W342" s="315"/>
      <c r="X342" s="315"/>
      <c r="Y342" s="315"/>
      <c r="Z342" s="315"/>
    </row>
    <row r="343">
      <c r="A343" s="315"/>
      <c r="B343" s="315"/>
      <c r="C343" s="315"/>
      <c r="D343" s="315"/>
      <c r="E343" s="315"/>
      <c r="F343" s="315"/>
      <c r="G343" s="315"/>
      <c r="H343" s="315"/>
      <c r="I343" s="315"/>
      <c r="J343" s="315"/>
      <c r="K343" s="315"/>
      <c r="L343" s="315"/>
      <c r="M343" s="315"/>
      <c r="N343" s="315"/>
      <c r="O343" s="315"/>
      <c r="P343" s="315"/>
      <c r="Q343" s="315"/>
      <c r="R343" s="315"/>
      <c r="S343" s="315"/>
      <c r="T343" s="315"/>
      <c r="U343" s="315"/>
      <c r="V343" s="315"/>
      <c r="W343" s="315"/>
      <c r="X343" s="315"/>
      <c r="Y343" s="315"/>
      <c r="Z343" s="315"/>
    </row>
    <row r="344">
      <c r="A344" s="315"/>
      <c r="B344" s="315"/>
      <c r="C344" s="315"/>
      <c r="D344" s="315"/>
      <c r="E344" s="315"/>
      <c r="F344" s="315"/>
      <c r="G344" s="315"/>
      <c r="H344" s="315"/>
      <c r="I344" s="315"/>
      <c r="J344" s="315"/>
      <c r="K344" s="315"/>
      <c r="L344" s="315"/>
      <c r="M344" s="315"/>
      <c r="N344" s="315"/>
      <c r="O344" s="315"/>
      <c r="P344" s="315"/>
      <c r="Q344" s="315"/>
      <c r="R344" s="315"/>
      <c r="S344" s="315"/>
      <c r="T344" s="315"/>
      <c r="U344" s="315"/>
      <c r="V344" s="315"/>
      <c r="W344" s="315"/>
      <c r="X344" s="315"/>
      <c r="Y344" s="315"/>
      <c r="Z344" s="315"/>
    </row>
    <row r="345">
      <c r="A345" s="315"/>
      <c r="B345" s="315"/>
      <c r="C345" s="315"/>
      <c r="D345" s="315"/>
      <c r="E345" s="315"/>
      <c r="F345" s="315"/>
      <c r="G345" s="315"/>
      <c r="H345" s="315"/>
      <c r="I345" s="315"/>
      <c r="J345" s="315"/>
      <c r="K345" s="315"/>
      <c r="L345" s="315"/>
      <c r="M345" s="315"/>
      <c r="N345" s="315"/>
      <c r="O345" s="315"/>
      <c r="P345" s="315"/>
      <c r="Q345" s="315"/>
      <c r="R345" s="315"/>
      <c r="S345" s="315"/>
      <c r="T345" s="315"/>
      <c r="U345" s="315"/>
      <c r="V345" s="315"/>
      <c r="W345" s="315"/>
      <c r="X345" s="315"/>
      <c r="Y345" s="315"/>
      <c r="Z345" s="315"/>
    </row>
    <row r="346">
      <c r="A346" s="315"/>
      <c r="B346" s="315"/>
      <c r="C346" s="315"/>
      <c r="D346" s="315"/>
      <c r="E346" s="315"/>
      <c r="F346" s="315"/>
      <c r="G346" s="315"/>
      <c r="H346" s="315"/>
      <c r="I346" s="315"/>
      <c r="J346" s="315"/>
      <c r="K346" s="315"/>
      <c r="L346" s="315"/>
      <c r="M346" s="315"/>
      <c r="N346" s="315"/>
      <c r="O346" s="315"/>
      <c r="P346" s="315"/>
      <c r="Q346" s="315"/>
      <c r="R346" s="315"/>
      <c r="S346" s="315"/>
      <c r="T346" s="315"/>
      <c r="U346" s="315"/>
      <c r="V346" s="315"/>
      <c r="W346" s="315"/>
      <c r="X346" s="315"/>
      <c r="Y346" s="315"/>
      <c r="Z346" s="315"/>
    </row>
    <row r="347">
      <c r="A347" s="315"/>
      <c r="B347" s="315"/>
      <c r="C347" s="315"/>
      <c r="D347" s="315"/>
      <c r="E347" s="315"/>
      <c r="F347" s="315"/>
      <c r="G347" s="315"/>
      <c r="H347" s="315"/>
      <c r="I347" s="315"/>
      <c r="J347" s="315"/>
      <c r="K347" s="315"/>
      <c r="L347" s="315"/>
      <c r="M347" s="315"/>
      <c r="N347" s="315"/>
      <c r="O347" s="315"/>
      <c r="P347" s="315"/>
      <c r="Q347" s="315"/>
      <c r="R347" s="315"/>
      <c r="S347" s="315"/>
      <c r="T347" s="315"/>
      <c r="U347" s="315"/>
      <c r="V347" s="315"/>
      <c r="W347" s="315"/>
      <c r="X347" s="315"/>
      <c r="Y347" s="315"/>
      <c r="Z347" s="315"/>
    </row>
    <row r="348">
      <c r="A348" s="315"/>
      <c r="B348" s="315"/>
      <c r="C348" s="315"/>
      <c r="D348" s="315"/>
      <c r="E348" s="315"/>
      <c r="F348" s="315"/>
      <c r="G348" s="315"/>
      <c r="H348" s="315"/>
      <c r="I348" s="315"/>
      <c r="J348" s="315"/>
      <c r="K348" s="315"/>
      <c r="L348" s="315"/>
      <c r="M348" s="315"/>
      <c r="N348" s="315"/>
      <c r="O348" s="315"/>
      <c r="P348" s="315"/>
      <c r="Q348" s="315"/>
      <c r="R348" s="315"/>
      <c r="S348" s="315"/>
      <c r="T348" s="315"/>
      <c r="U348" s="315"/>
      <c r="V348" s="315"/>
      <c r="W348" s="315"/>
      <c r="X348" s="315"/>
      <c r="Y348" s="315"/>
      <c r="Z348" s="315"/>
    </row>
    <row r="349">
      <c r="A349" s="315"/>
      <c r="B349" s="315"/>
      <c r="C349" s="315"/>
      <c r="D349" s="315"/>
      <c r="E349" s="315"/>
      <c r="F349" s="315"/>
      <c r="G349" s="315"/>
      <c r="H349" s="315"/>
      <c r="I349" s="315"/>
      <c r="J349" s="315"/>
      <c r="K349" s="315"/>
      <c r="L349" s="315"/>
      <c r="M349" s="315"/>
      <c r="N349" s="315"/>
      <c r="O349" s="315"/>
      <c r="P349" s="315"/>
      <c r="Q349" s="315"/>
      <c r="R349" s="315"/>
      <c r="S349" s="315"/>
      <c r="T349" s="315"/>
      <c r="U349" s="315"/>
      <c r="V349" s="315"/>
      <c r="W349" s="315"/>
      <c r="X349" s="315"/>
      <c r="Y349" s="315"/>
      <c r="Z349" s="315"/>
    </row>
    <row r="350">
      <c r="A350" s="315"/>
      <c r="B350" s="315"/>
      <c r="C350" s="315"/>
      <c r="D350" s="315"/>
      <c r="E350" s="315"/>
      <c r="F350" s="315"/>
      <c r="G350" s="315"/>
      <c r="H350" s="315"/>
      <c r="I350" s="315"/>
      <c r="J350" s="315"/>
      <c r="K350" s="315"/>
      <c r="L350" s="315"/>
      <c r="M350" s="315"/>
      <c r="N350" s="315"/>
      <c r="O350" s="315"/>
      <c r="P350" s="315"/>
      <c r="Q350" s="315"/>
      <c r="R350" s="315"/>
      <c r="S350" s="315"/>
      <c r="T350" s="315"/>
      <c r="U350" s="315"/>
      <c r="V350" s="315"/>
      <c r="W350" s="315"/>
      <c r="X350" s="315"/>
      <c r="Y350" s="315"/>
      <c r="Z350" s="315"/>
    </row>
    <row r="351">
      <c r="A351" s="315"/>
      <c r="B351" s="315"/>
      <c r="C351" s="315"/>
      <c r="D351" s="315"/>
      <c r="E351" s="315"/>
      <c r="F351" s="315"/>
      <c r="G351" s="315"/>
      <c r="H351" s="315"/>
      <c r="I351" s="315"/>
      <c r="J351" s="315"/>
      <c r="K351" s="315"/>
      <c r="L351" s="315"/>
      <c r="M351" s="315"/>
      <c r="N351" s="315"/>
      <c r="O351" s="315"/>
      <c r="P351" s="315"/>
      <c r="Q351" s="315"/>
      <c r="R351" s="315"/>
      <c r="S351" s="315"/>
      <c r="T351" s="315"/>
      <c r="U351" s="315"/>
      <c r="V351" s="315"/>
      <c r="W351" s="315"/>
      <c r="X351" s="315"/>
      <c r="Y351" s="315"/>
      <c r="Z351" s="315"/>
    </row>
    <row r="352">
      <c r="A352" s="315"/>
      <c r="B352" s="315"/>
      <c r="C352" s="315"/>
      <c r="D352" s="315"/>
      <c r="E352" s="315"/>
      <c r="F352" s="315"/>
      <c r="G352" s="315"/>
      <c r="H352" s="315"/>
      <c r="I352" s="315"/>
      <c r="J352" s="315"/>
      <c r="K352" s="315"/>
      <c r="L352" s="315"/>
      <c r="M352" s="315"/>
      <c r="N352" s="315"/>
      <c r="O352" s="315"/>
      <c r="P352" s="315"/>
      <c r="Q352" s="315"/>
      <c r="R352" s="315"/>
      <c r="S352" s="315"/>
      <c r="T352" s="315"/>
      <c r="U352" s="315"/>
      <c r="V352" s="315"/>
      <c r="W352" s="315"/>
      <c r="X352" s="315"/>
      <c r="Y352" s="315"/>
      <c r="Z352" s="315"/>
    </row>
    <row r="353">
      <c r="A353" s="315"/>
      <c r="B353" s="315"/>
      <c r="C353" s="315"/>
      <c r="D353" s="315"/>
      <c r="E353" s="315"/>
      <c r="F353" s="315"/>
      <c r="G353" s="315"/>
      <c r="H353" s="315"/>
      <c r="I353" s="315"/>
      <c r="J353" s="315"/>
      <c r="K353" s="315"/>
      <c r="L353" s="315"/>
      <c r="M353" s="315"/>
      <c r="N353" s="315"/>
      <c r="O353" s="315"/>
      <c r="P353" s="315"/>
      <c r="Q353" s="315"/>
      <c r="R353" s="315"/>
      <c r="S353" s="315"/>
      <c r="T353" s="315"/>
      <c r="U353" s="315"/>
      <c r="V353" s="315"/>
      <c r="W353" s="315"/>
      <c r="X353" s="315"/>
      <c r="Y353" s="315"/>
      <c r="Z353" s="315"/>
    </row>
    <row r="354">
      <c r="A354" s="315"/>
      <c r="B354" s="315"/>
      <c r="C354" s="315"/>
      <c r="D354" s="315"/>
      <c r="E354" s="315"/>
      <c r="F354" s="315"/>
      <c r="G354" s="315"/>
      <c r="H354" s="315"/>
      <c r="I354" s="315"/>
      <c r="J354" s="315"/>
      <c r="K354" s="315"/>
      <c r="L354" s="315"/>
      <c r="M354" s="315"/>
      <c r="N354" s="315"/>
      <c r="O354" s="315"/>
      <c r="P354" s="315"/>
      <c r="Q354" s="315"/>
      <c r="R354" s="315"/>
      <c r="S354" s="315"/>
      <c r="T354" s="315"/>
      <c r="U354" s="315"/>
      <c r="V354" s="315"/>
      <c r="W354" s="315"/>
      <c r="X354" s="315"/>
      <c r="Y354" s="315"/>
      <c r="Z354" s="315"/>
    </row>
    <row r="355">
      <c r="A355" s="315"/>
      <c r="B355" s="315"/>
      <c r="C355" s="315"/>
      <c r="D355" s="315"/>
      <c r="E355" s="315"/>
      <c r="F355" s="315"/>
      <c r="G355" s="315"/>
      <c r="H355" s="315"/>
      <c r="I355" s="315"/>
      <c r="J355" s="315"/>
      <c r="K355" s="315"/>
      <c r="L355" s="315"/>
      <c r="M355" s="315"/>
      <c r="N355" s="315"/>
      <c r="O355" s="315"/>
      <c r="P355" s="315"/>
      <c r="Q355" s="315"/>
      <c r="R355" s="315"/>
      <c r="S355" s="315"/>
      <c r="T355" s="315"/>
      <c r="U355" s="315"/>
      <c r="V355" s="315"/>
      <c r="W355" s="315"/>
      <c r="X355" s="315"/>
      <c r="Y355" s="315"/>
      <c r="Z355" s="315"/>
    </row>
    <row r="356">
      <c r="A356" s="315"/>
      <c r="B356" s="315"/>
      <c r="C356" s="315"/>
      <c r="D356" s="315"/>
      <c r="E356" s="315"/>
      <c r="F356" s="315"/>
      <c r="G356" s="315"/>
      <c r="H356" s="315"/>
      <c r="I356" s="315"/>
      <c r="J356" s="315"/>
      <c r="K356" s="315"/>
      <c r="L356" s="315"/>
      <c r="M356" s="315"/>
      <c r="N356" s="315"/>
      <c r="O356" s="315"/>
      <c r="P356" s="315"/>
      <c r="Q356" s="315"/>
      <c r="R356" s="315"/>
      <c r="S356" s="315"/>
      <c r="T356" s="315"/>
      <c r="U356" s="315"/>
      <c r="V356" s="315"/>
      <c r="W356" s="315"/>
      <c r="X356" s="315"/>
      <c r="Y356" s="315"/>
      <c r="Z356" s="315"/>
    </row>
    <row r="357">
      <c r="A357" s="315"/>
      <c r="B357" s="315"/>
      <c r="C357" s="315"/>
      <c r="D357" s="315"/>
      <c r="E357" s="315"/>
      <c r="F357" s="315"/>
      <c r="G357" s="315"/>
      <c r="H357" s="315"/>
      <c r="I357" s="315"/>
      <c r="J357" s="315"/>
      <c r="K357" s="315"/>
      <c r="L357" s="315"/>
      <c r="M357" s="315"/>
      <c r="N357" s="315"/>
      <c r="O357" s="315"/>
      <c r="P357" s="315"/>
      <c r="Q357" s="315"/>
      <c r="R357" s="315"/>
      <c r="S357" s="315"/>
      <c r="T357" s="315"/>
      <c r="U357" s="315"/>
      <c r="V357" s="315"/>
      <c r="W357" s="315"/>
      <c r="X357" s="315"/>
      <c r="Y357" s="315"/>
      <c r="Z357" s="315"/>
    </row>
    <row r="358">
      <c r="A358" s="315"/>
      <c r="B358" s="315"/>
      <c r="C358" s="315"/>
      <c r="D358" s="315"/>
      <c r="E358" s="315"/>
      <c r="F358" s="315"/>
      <c r="G358" s="315"/>
      <c r="H358" s="315"/>
      <c r="I358" s="315"/>
      <c r="J358" s="315"/>
      <c r="K358" s="315"/>
      <c r="L358" s="315"/>
      <c r="M358" s="315"/>
      <c r="N358" s="315"/>
      <c r="O358" s="315"/>
      <c r="P358" s="315"/>
      <c r="Q358" s="315"/>
      <c r="R358" s="315"/>
      <c r="S358" s="315"/>
      <c r="T358" s="315"/>
      <c r="U358" s="315"/>
      <c r="V358" s="315"/>
      <c r="W358" s="315"/>
      <c r="X358" s="315"/>
      <c r="Y358" s="315"/>
      <c r="Z358" s="315"/>
    </row>
    <row r="359">
      <c r="A359" s="315"/>
      <c r="B359" s="315"/>
      <c r="C359" s="315"/>
      <c r="D359" s="315"/>
      <c r="E359" s="315"/>
      <c r="F359" s="315"/>
      <c r="G359" s="315"/>
      <c r="H359" s="315"/>
      <c r="I359" s="315"/>
      <c r="J359" s="315"/>
      <c r="K359" s="315"/>
      <c r="L359" s="315"/>
      <c r="M359" s="315"/>
      <c r="N359" s="315"/>
      <c r="O359" s="315"/>
      <c r="P359" s="315"/>
      <c r="Q359" s="315"/>
      <c r="R359" s="315"/>
      <c r="S359" s="315"/>
      <c r="T359" s="315"/>
      <c r="U359" s="315"/>
      <c r="V359" s="315"/>
      <c r="W359" s="315"/>
      <c r="X359" s="315"/>
      <c r="Y359" s="315"/>
      <c r="Z359" s="315"/>
    </row>
    <row r="360">
      <c r="A360" s="315"/>
      <c r="B360" s="315"/>
      <c r="C360" s="315"/>
      <c r="D360" s="315"/>
      <c r="E360" s="315"/>
      <c r="F360" s="315"/>
      <c r="G360" s="315"/>
      <c r="H360" s="315"/>
      <c r="I360" s="315"/>
      <c r="J360" s="315"/>
      <c r="K360" s="315"/>
      <c r="L360" s="315"/>
      <c r="M360" s="315"/>
      <c r="N360" s="315"/>
      <c r="O360" s="315"/>
      <c r="P360" s="315"/>
      <c r="Q360" s="315"/>
      <c r="R360" s="315"/>
      <c r="S360" s="315"/>
      <c r="T360" s="315"/>
      <c r="U360" s="315"/>
      <c r="V360" s="315"/>
      <c r="W360" s="315"/>
      <c r="X360" s="315"/>
      <c r="Y360" s="315"/>
      <c r="Z360" s="315"/>
    </row>
    <row r="361">
      <c r="A361" s="315"/>
      <c r="B361" s="315"/>
      <c r="C361" s="315"/>
      <c r="D361" s="315"/>
      <c r="E361" s="315"/>
      <c r="F361" s="315"/>
      <c r="G361" s="315"/>
      <c r="H361" s="315"/>
      <c r="I361" s="315"/>
      <c r="J361" s="315"/>
      <c r="K361" s="315"/>
      <c r="L361" s="315"/>
      <c r="M361" s="315"/>
      <c r="N361" s="315"/>
      <c r="O361" s="315"/>
      <c r="P361" s="315"/>
      <c r="Q361" s="315"/>
      <c r="R361" s="315"/>
      <c r="S361" s="315"/>
      <c r="T361" s="315"/>
      <c r="U361" s="315"/>
      <c r="V361" s="315"/>
      <c r="W361" s="315"/>
      <c r="X361" s="315"/>
      <c r="Y361" s="315"/>
      <c r="Z361" s="315"/>
    </row>
    <row r="362">
      <c r="A362" s="315"/>
      <c r="B362" s="315"/>
      <c r="C362" s="315"/>
      <c r="D362" s="315"/>
      <c r="E362" s="315"/>
      <c r="F362" s="315"/>
      <c r="G362" s="315"/>
      <c r="H362" s="315"/>
      <c r="I362" s="315"/>
      <c r="J362" s="315"/>
      <c r="K362" s="315"/>
      <c r="L362" s="315"/>
      <c r="M362" s="315"/>
      <c r="N362" s="315"/>
      <c r="O362" s="315"/>
      <c r="P362" s="315"/>
      <c r="Q362" s="315"/>
      <c r="R362" s="315"/>
      <c r="S362" s="315"/>
      <c r="T362" s="315"/>
      <c r="U362" s="315"/>
      <c r="V362" s="315"/>
      <c r="W362" s="315"/>
      <c r="X362" s="315"/>
      <c r="Y362" s="315"/>
      <c r="Z362" s="315"/>
    </row>
    <row r="363">
      <c r="A363" s="315"/>
      <c r="B363" s="315"/>
      <c r="C363" s="315"/>
      <c r="D363" s="315"/>
      <c r="E363" s="315"/>
      <c r="F363" s="315"/>
      <c r="G363" s="315"/>
      <c r="H363" s="315"/>
      <c r="I363" s="315"/>
      <c r="J363" s="315"/>
      <c r="K363" s="315"/>
      <c r="L363" s="315"/>
      <c r="M363" s="315"/>
      <c r="N363" s="315"/>
      <c r="O363" s="315"/>
      <c r="P363" s="315"/>
      <c r="Q363" s="315"/>
      <c r="R363" s="315"/>
      <c r="S363" s="315"/>
      <c r="T363" s="315"/>
      <c r="U363" s="315"/>
      <c r="V363" s="315"/>
      <c r="W363" s="315"/>
      <c r="X363" s="315"/>
      <c r="Y363" s="315"/>
      <c r="Z363" s="315"/>
    </row>
    <row r="364">
      <c r="A364" s="315"/>
      <c r="B364" s="315"/>
      <c r="C364" s="315"/>
      <c r="D364" s="315"/>
      <c r="E364" s="315"/>
      <c r="F364" s="315"/>
      <c r="G364" s="315"/>
      <c r="H364" s="315"/>
      <c r="I364" s="315"/>
      <c r="J364" s="315"/>
      <c r="K364" s="315"/>
      <c r="L364" s="315"/>
      <c r="M364" s="315"/>
      <c r="N364" s="315"/>
      <c r="O364" s="315"/>
      <c r="P364" s="315"/>
      <c r="Q364" s="315"/>
      <c r="R364" s="315"/>
      <c r="S364" s="315"/>
      <c r="T364" s="315"/>
      <c r="U364" s="315"/>
      <c r="V364" s="315"/>
      <c r="W364" s="315"/>
      <c r="X364" s="315"/>
      <c r="Y364" s="315"/>
      <c r="Z364" s="315"/>
    </row>
    <row r="365">
      <c r="A365" s="315"/>
      <c r="B365" s="315"/>
      <c r="C365" s="315"/>
      <c r="D365" s="315"/>
      <c r="E365" s="315"/>
      <c r="F365" s="315"/>
      <c r="G365" s="315"/>
      <c r="H365" s="315"/>
      <c r="I365" s="315"/>
      <c r="J365" s="315"/>
      <c r="K365" s="315"/>
      <c r="L365" s="315"/>
      <c r="M365" s="315"/>
      <c r="N365" s="315"/>
      <c r="O365" s="315"/>
      <c r="P365" s="315"/>
      <c r="Q365" s="315"/>
      <c r="R365" s="315"/>
      <c r="S365" s="315"/>
      <c r="T365" s="315"/>
      <c r="U365" s="315"/>
      <c r="V365" s="315"/>
      <c r="W365" s="315"/>
      <c r="X365" s="315"/>
      <c r="Y365" s="315"/>
      <c r="Z365" s="315"/>
    </row>
    <row r="366">
      <c r="A366" s="315"/>
      <c r="B366" s="315"/>
      <c r="C366" s="315"/>
      <c r="D366" s="315"/>
      <c r="E366" s="315"/>
      <c r="F366" s="315"/>
      <c r="G366" s="315"/>
      <c r="H366" s="315"/>
      <c r="I366" s="315"/>
      <c r="J366" s="315"/>
      <c r="K366" s="315"/>
      <c r="L366" s="315"/>
      <c r="M366" s="315"/>
      <c r="N366" s="315"/>
      <c r="O366" s="315"/>
      <c r="P366" s="315"/>
      <c r="Q366" s="315"/>
      <c r="R366" s="315"/>
      <c r="S366" s="315"/>
      <c r="T366" s="315"/>
      <c r="U366" s="315"/>
      <c r="V366" s="315"/>
      <c r="W366" s="315"/>
      <c r="X366" s="315"/>
      <c r="Y366" s="315"/>
      <c r="Z366" s="315"/>
    </row>
    <row r="367">
      <c r="A367" s="315"/>
      <c r="B367" s="315"/>
      <c r="C367" s="315"/>
      <c r="D367" s="315"/>
      <c r="E367" s="315"/>
      <c r="F367" s="315"/>
      <c r="G367" s="315"/>
      <c r="H367" s="315"/>
      <c r="I367" s="315"/>
      <c r="J367" s="315"/>
      <c r="K367" s="315"/>
      <c r="L367" s="315"/>
      <c r="M367" s="315"/>
      <c r="N367" s="315"/>
      <c r="O367" s="315"/>
      <c r="P367" s="315"/>
      <c r="Q367" s="315"/>
      <c r="R367" s="315"/>
      <c r="S367" s="315"/>
      <c r="T367" s="315"/>
      <c r="U367" s="315"/>
      <c r="V367" s="315"/>
      <c r="W367" s="315"/>
      <c r="X367" s="315"/>
      <c r="Y367" s="315"/>
      <c r="Z367" s="315"/>
    </row>
    <row r="368">
      <c r="A368" s="315"/>
      <c r="B368" s="315"/>
      <c r="C368" s="315"/>
      <c r="D368" s="315"/>
      <c r="E368" s="315"/>
      <c r="F368" s="315"/>
      <c r="G368" s="315"/>
      <c r="H368" s="315"/>
      <c r="I368" s="315"/>
      <c r="J368" s="315"/>
      <c r="K368" s="315"/>
      <c r="L368" s="315"/>
      <c r="M368" s="315"/>
      <c r="N368" s="315"/>
      <c r="O368" s="315"/>
      <c r="P368" s="315"/>
      <c r="Q368" s="315"/>
      <c r="R368" s="315"/>
      <c r="S368" s="315"/>
      <c r="T368" s="315"/>
      <c r="U368" s="315"/>
      <c r="V368" s="315"/>
      <c r="W368" s="315"/>
      <c r="X368" s="315"/>
      <c r="Y368" s="315"/>
      <c r="Z368" s="315"/>
    </row>
    <row r="369">
      <c r="A369" s="315"/>
      <c r="B369" s="315"/>
      <c r="C369" s="315"/>
      <c r="D369" s="315"/>
      <c r="E369" s="315"/>
      <c r="F369" s="315"/>
      <c r="G369" s="315"/>
      <c r="H369" s="315"/>
      <c r="I369" s="315"/>
      <c r="J369" s="315"/>
      <c r="K369" s="315"/>
      <c r="L369" s="315"/>
      <c r="M369" s="315"/>
      <c r="N369" s="315"/>
      <c r="O369" s="315"/>
      <c r="P369" s="315"/>
      <c r="Q369" s="315"/>
      <c r="R369" s="315"/>
      <c r="S369" s="315"/>
      <c r="T369" s="315"/>
      <c r="U369" s="315"/>
      <c r="V369" s="315"/>
      <c r="W369" s="315"/>
      <c r="X369" s="315"/>
      <c r="Y369" s="315"/>
      <c r="Z369" s="315"/>
    </row>
    <row r="370">
      <c r="A370" s="315"/>
      <c r="B370" s="315"/>
      <c r="C370" s="315"/>
      <c r="D370" s="315"/>
      <c r="E370" s="315"/>
      <c r="F370" s="315"/>
      <c r="G370" s="315"/>
      <c r="H370" s="315"/>
      <c r="I370" s="315"/>
      <c r="J370" s="315"/>
      <c r="K370" s="315"/>
      <c r="L370" s="315"/>
      <c r="M370" s="315"/>
      <c r="N370" s="315"/>
      <c r="O370" s="315"/>
      <c r="P370" s="315"/>
      <c r="Q370" s="315"/>
      <c r="R370" s="315"/>
      <c r="S370" s="315"/>
      <c r="T370" s="315"/>
      <c r="U370" s="315"/>
      <c r="V370" s="315"/>
      <c r="W370" s="315"/>
      <c r="X370" s="315"/>
      <c r="Y370" s="315"/>
      <c r="Z370" s="315"/>
    </row>
    <row r="371">
      <c r="A371" s="315"/>
      <c r="B371" s="315"/>
      <c r="C371" s="315"/>
      <c r="D371" s="315"/>
      <c r="E371" s="315"/>
      <c r="F371" s="315"/>
      <c r="G371" s="315"/>
      <c r="H371" s="315"/>
      <c r="I371" s="315"/>
      <c r="J371" s="315"/>
      <c r="K371" s="315"/>
      <c r="L371" s="315"/>
      <c r="M371" s="315"/>
      <c r="N371" s="315"/>
      <c r="O371" s="315"/>
      <c r="P371" s="315"/>
      <c r="Q371" s="315"/>
      <c r="R371" s="315"/>
      <c r="S371" s="315"/>
      <c r="T371" s="315"/>
      <c r="U371" s="315"/>
      <c r="V371" s="315"/>
      <c r="W371" s="315"/>
      <c r="X371" s="315"/>
      <c r="Y371" s="315"/>
      <c r="Z371" s="315"/>
    </row>
    <row r="372">
      <c r="A372" s="315"/>
      <c r="B372" s="315"/>
      <c r="C372" s="315"/>
      <c r="D372" s="315"/>
      <c r="E372" s="315"/>
      <c r="F372" s="315"/>
      <c r="G372" s="315"/>
      <c r="H372" s="315"/>
      <c r="I372" s="315"/>
      <c r="J372" s="315"/>
      <c r="K372" s="315"/>
      <c r="L372" s="315"/>
      <c r="M372" s="315"/>
      <c r="N372" s="315"/>
      <c r="O372" s="315"/>
      <c r="P372" s="315"/>
      <c r="Q372" s="315"/>
      <c r="R372" s="315"/>
      <c r="S372" s="315"/>
      <c r="T372" s="315"/>
      <c r="U372" s="315"/>
      <c r="V372" s="315"/>
      <c r="W372" s="315"/>
      <c r="X372" s="315"/>
      <c r="Y372" s="315"/>
      <c r="Z372" s="315"/>
    </row>
    <row r="373">
      <c r="A373" s="315"/>
      <c r="B373" s="315"/>
      <c r="C373" s="315"/>
      <c r="D373" s="315"/>
      <c r="E373" s="315"/>
      <c r="F373" s="315"/>
      <c r="G373" s="315"/>
      <c r="H373" s="315"/>
      <c r="I373" s="315"/>
      <c r="J373" s="315"/>
      <c r="K373" s="315"/>
      <c r="L373" s="315"/>
      <c r="M373" s="315"/>
      <c r="N373" s="315"/>
      <c r="O373" s="315"/>
      <c r="P373" s="315"/>
      <c r="Q373" s="315"/>
      <c r="R373" s="315"/>
      <c r="S373" s="315"/>
      <c r="T373" s="315"/>
      <c r="U373" s="315"/>
      <c r="V373" s="315"/>
      <c r="W373" s="315"/>
      <c r="X373" s="315"/>
      <c r="Y373" s="315"/>
      <c r="Z373" s="315"/>
    </row>
    <row r="374">
      <c r="A374" s="315"/>
      <c r="B374" s="315"/>
      <c r="C374" s="315"/>
      <c r="D374" s="315"/>
      <c r="E374" s="315"/>
      <c r="F374" s="315"/>
      <c r="G374" s="315"/>
      <c r="H374" s="315"/>
      <c r="I374" s="315"/>
      <c r="J374" s="315"/>
      <c r="K374" s="315"/>
      <c r="L374" s="315"/>
      <c r="M374" s="315"/>
      <c r="N374" s="315"/>
      <c r="O374" s="315"/>
      <c r="P374" s="315"/>
      <c r="Q374" s="315"/>
      <c r="R374" s="315"/>
      <c r="S374" s="315"/>
      <c r="T374" s="315"/>
      <c r="U374" s="315"/>
      <c r="V374" s="315"/>
      <c r="W374" s="315"/>
      <c r="X374" s="315"/>
      <c r="Y374" s="315"/>
      <c r="Z374" s="315"/>
    </row>
    <row r="375">
      <c r="A375" s="315"/>
      <c r="B375" s="315"/>
      <c r="C375" s="315"/>
      <c r="D375" s="315"/>
      <c r="E375" s="315"/>
      <c r="F375" s="315"/>
      <c r="G375" s="315"/>
      <c r="H375" s="315"/>
      <c r="I375" s="315"/>
      <c r="J375" s="315"/>
      <c r="K375" s="315"/>
      <c r="L375" s="315"/>
      <c r="M375" s="315"/>
      <c r="N375" s="315"/>
      <c r="O375" s="315"/>
      <c r="P375" s="315"/>
      <c r="Q375" s="315"/>
      <c r="R375" s="315"/>
      <c r="S375" s="315"/>
      <c r="T375" s="315"/>
      <c r="U375" s="315"/>
      <c r="V375" s="315"/>
      <c r="W375" s="315"/>
      <c r="X375" s="315"/>
      <c r="Y375" s="315"/>
      <c r="Z375" s="315"/>
    </row>
    <row r="376">
      <c r="A376" s="315"/>
      <c r="B376" s="315"/>
      <c r="C376" s="315"/>
      <c r="D376" s="315"/>
      <c r="E376" s="315"/>
      <c r="F376" s="315"/>
      <c r="G376" s="315"/>
      <c r="H376" s="315"/>
      <c r="I376" s="315"/>
      <c r="J376" s="315"/>
      <c r="K376" s="315"/>
      <c r="L376" s="315"/>
      <c r="M376" s="315"/>
      <c r="N376" s="315"/>
      <c r="O376" s="315"/>
      <c r="P376" s="315"/>
      <c r="Q376" s="315"/>
      <c r="R376" s="315"/>
      <c r="S376" s="315"/>
      <c r="T376" s="315"/>
      <c r="U376" s="315"/>
      <c r="V376" s="315"/>
      <c r="W376" s="315"/>
      <c r="X376" s="315"/>
      <c r="Y376" s="315"/>
      <c r="Z376" s="315"/>
    </row>
    <row r="377">
      <c r="A377" s="315"/>
      <c r="B377" s="315"/>
      <c r="C377" s="315"/>
      <c r="D377" s="315"/>
      <c r="E377" s="315"/>
      <c r="F377" s="315"/>
      <c r="G377" s="315"/>
      <c r="H377" s="315"/>
      <c r="I377" s="315"/>
      <c r="J377" s="315"/>
      <c r="K377" s="315"/>
      <c r="L377" s="315"/>
      <c r="M377" s="315"/>
      <c r="N377" s="315"/>
      <c r="O377" s="315"/>
      <c r="P377" s="315"/>
      <c r="Q377" s="315"/>
      <c r="R377" s="315"/>
      <c r="S377" s="315"/>
      <c r="T377" s="315"/>
      <c r="U377" s="315"/>
      <c r="V377" s="315"/>
      <c r="W377" s="315"/>
      <c r="X377" s="315"/>
      <c r="Y377" s="315"/>
      <c r="Z377" s="315"/>
    </row>
    <row r="378">
      <c r="A378" s="315"/>
      <c r="B378" s="315"/>
      <c r="C378" s="315"/>
      <c r="D378" s="315"/>
      <c r="E378" s="315"/>
      <c r="F378" s="315"/>
      <c r="G378" s="315"/>
      <c r="H378" s="315"/>
      <c r="I378" s="315"/>
      <c r="J378" s="315"/>
      <c r="K378" s="315"/>
      <c r="L378" s="315"/>
      <c r="M378" s="315"/>
      <c r="N378" s="315"/>
      <c r="O378" s="315"/>
      <c r="P378" s="315"/>
      <c r="Q378" s="315"/>
      <c r="R378" s="315"/>
      <c r="S378" s="315"/>
      <c r="T378" s="315"/>
      <c r="U378" s="315"/>
      <c r="V378" s="315"/>
      <c r="W378" s="315"/>
      <c r="X378" s="315"/>
      <c r="Y378" s="315"/>
      <c r="Z378" s="315"/>
    </row>
    <row r="379">
      <c r="A379" s="315"/>
      <c r="B379" s="315"/>
      <c r="C379" s="315"/>
      <c r="D379" s="315"/>
      <c r="E379" s="315"/>
      <c r="F379" s="315"/>
      <c r="G379" s="315"/>
      <c r="H379" s="315"/>
      <c r="I379" s="315"/>
      <c r="J379" s="315"/>
      <c r="K379" s="315"/>
      <c r="L379" s="315"/>
      <c r="M379" s="315"/>
      <c r="N379" s="315"/>
      <c r="O379" s="315"/>
      <c r="P379" s="315"/>
      <c r="Q379" s="315"/>
      <c r="R379" s="315"/>
      <c r="S379" s="315"/>
      <c r="T379" s="315"/>
      <c r="U379" s="315"/>
      <c r="V379" s="315"/>
      <c r="W379" s="315"/>
      <c r="X379" s="315"/>
      <c r="Y379" s="315"/>
      <c r="Z379" s="315"/>
    </row>
    <row r="380">
      <c r="A380" s="315"/>
      <c r="B380" s="315"/>
      <c r="C380" s="315"/>
      <c r="D380" s="315"/>
      <c r="E380" s="315"/>
      <c r="F380" s="315"/>
      <c r="G380" s="315"/>
      <c r="H380" s="315"/>
      <c r="I380" s="315"/>
      <c r="J380" s="315"/>
      <c r="K380" s="315"/>
      <c r="L380" s="315"/>
      <c r="M380" s="315"/>
      <c r="N380" s="315"/>
      <c r="O380" s="315"/>
      <c r="P380" s="315"/>
      <c r="Q380" s="315"/>
      <c r="R380" s="315"/>
      <c r="S380" s="315"/>
      <c r="T380" s="315"/>
      <c r="U380" s="315"/>
      <c r="V380" s="315"/>
      <c r="W380" s="315"/>
      <c r="X380" s="315"/>
      <c r="Y380" s="315"/>
      <c r="Z380" s="315"/>
    </row>
    <row r="381">
      <c r="A381" s="315"/>
      <c r="B381" s="315"/>
      <c r="C381" s="315"/>
      <c r="D381" s="315"/>
      <c r="E381" s="315"/>
      <c r="F381" s="315"/>
      <c r="G381" s="315"/>
      <c r="H381" s="315"/>
      <c r="I381" s="315"/>
      <c r="J381" s="315"/>
      <c r="K381" s="315"/>
      <c r="L381" s="315"/>
      <c r="M381" s="315"/>
      <c r="N381" s="315"/>
      <c r="O381" s="315"/>
      <c r="P381" s="315"/>
      <c r="Q381" s="315"/>
      <c r="R381" s="315"/>
      <c r="S381" s="315"/>
      <c r="T381" s="315"/>
      <c r="U381" s="315"/>
      <c r="V381" s="315"/>
      <c r="W381" s="315"/>
      <c r="X381" s="315"/>
      <c r="Y381" s="315"/>
      <c r="Z381" s="315"/>
    </row>
    <row r="382">
      <c r="A382" s="315"/>
      <c r="B382" s="315"/>
      <c r="C382" s="315"/>
      <c r="D382" s="315"/>
      <c r="E382" s="315"/>
      <c r="F382" s="315"/>
      <c r="G382" s="315"/>
      <c r="H382" s="315"/>
      <c r="I382" s="315"/>
      <c r="J382" s="315"/>
      <c r="K382" s="315"/>
      <c r="L382" s="315"/>
      <c r="M382" s="315"/>
      <c r="N382" s="315"/>
      <c r="O382" s="315"/>
      <c r="P382" s="315"/>
      <c r="Q382" s="315"/>
      <c r="R382" s="315"/>
      <c r="S382" s="315"/>
      <c r="T382" s="315"/>
      <c r="U382" s="315"/>
      <c r="V382" s="315"/>
      <c r="W382" s="315"/>
      <c r="X382" s="315"/>
      <c r="Y382" s="315"/>
      <c r="Z382" s="315"/>
    </row>
    <row r="383">
      <c r="A383" s="315"/>
      <c r="B383" s="315"/>
      <c r="C383" s="315"/>
      <c r="D383" s="315"/>
      <c r="E383" s="315"/>
      <c r="F383" s="315"/>
      <c r="G383" s="315"/>
      <c r="H383" s="315"/>
      <c r="I383" s="315"/>
      <c r="J383" s="315"/>
      <c r="K383" s="315"/>
      <c r="L383" s="315"/>
      <c r="M383" s="315"/>
      <c r="N383" s="315"/>
      <c r="O383" s="315"/>
      <c r="P383" s="315"/>
      <c r="Q383" s="315"/>
      <c r="R383" s="315"/>
      <c r="S383" s="315"/>
      <c r="T383" s="315"/>
      <c r="U383" s="315"/>
      <c r="V383" s="315"/>
      <c r="W383" s="315"/>
      <c r="X383" s="315"/>
      <c r="Y383" s="315"/>
      <c r="Z383" s="315"/>
    </row>
    <row r="384">
      <c r="A384" s="315"/>
      <c r="B384" s="315"/>
      <c r="C384" s="315"/>
      <c r="D384" s="315"/>
      <c r="E384" s="315"/>
      <c r="F384" s="315"/>
      <c r="G384" s="315"/>
      <c r="H384" s="315"/>
      <c r="I384" s="315"/>
      <c r="J384" s="315"/>
      <c r="K384" s="315"/>
      <c r="L384" s="315"/>
      <c r="M384" s="315"/>
      <c r="N384" s="315"/>
      <c r="O384" s="315"/>
      <c r="P384" s="315"/>
      <c r="Q384" s="315"/>
      <c r="R384" s="315"/>
      <c r="S384" s="315"/>
      <c r="T384" s="315"/>
      <c r="U384" s="315"/>
      <c r="V384" s="315"/>
      <c r="W384" s="315"/>
      <c r="X384" s="315"/>
      <c r="Y384" s="315"/>
      <c r="Z384" s="315"/>
    </row>
    <row r="385">
      <c r="A385" s="315"/>
      <c r="B385" s="315"/>
      <c r="C385" s="315"/>
      <c r="D385" s="315"/>
      <c r="E385" s="315"/>
      <c r="F385" s="315"/>
      <c r="G385" s="315"/>
      <c r="H385" s="315"/>
      <c r="I385" s="315"/>
      <c r="J385" s="315"/>
      <c r="K385" s="315"/>
      <c r="L385" s="315"/>
      <c r="M385" s="315"/>
      <c r="N385" s="315"/>
      <c r="O385" s="315"/>
      <c r="P385" s="315"/>
      <c r="Q385" s="315"/>
      <c r="R385" s="315"/>
      <c r="S385" s="315"/>
      <c r="T385" s="315"/>
      <c r="U385" s="315"/>
      <c r="V385" s="315"/>
      <c r="W385" s="315"/>
      <c r="X385" s="315"/>
      <c r="Y385" s="315"/>
      <c r="Z385" s="315"/>
    </row>
    <row r="386">
      <c r="A386" s="315"/>
      <c r="B386" s="315"/>
      <c r="C386" s="315"/>
      <c r="D386" s="315"/>
      <c r="E386" s="315"/>
      <c r="F386" s="315"/>
      <c r="G386" s="315"/>
      <c r="H386" s="315"/>
      <c r="I386" s="315"/>
      <c r="J386" s="315"/>
      <c r="K386" s="315"/>
      <c r="L386" s="315"/>
      <c r="M386" s="315"/>
      <c r="N386" s="315"/>
      <c r="O386" s="315"/>
      <c r="P386" s="315"/>
      <c r="Q386" s="315"/>
      <c r="R386" s="315"/>
      <c r="S386" s="315"/>
      <c r="T386" s="315"/>
      <c r="U386" s="315"/>
      <c r="V386" s="315"/>
      <c r="W386" s="315"/>
      <c r="X386" s="315"/>
      <c r="Y386" s="315"/>
      <c r="Z386" s="315"/>
    </row>
    <row r="387">
      <c r="A387" s="315"/>
      <c r="B387" s="315"/>
      <c r="C387" s="315"/>
      <c r="D387" s="315"/>
      <c r="E387" s="315"/>
      <c r="F387" s="315"/>
      <c r="G387" s="315"/>
      <c r="H387" s="315"/>
      <c r="I387" s="315"/>
      <c r="J387" s="315"/>
      <c r="K387" s="315"/>
      <c r="L387" s="315"/>
      <c r="M387" s="315"/>
      <c r="N387" s="315"/>
      <c r="O387" s="315"/>
      <c r="P387" s="315"/>
      <c r="Q387" s="315"/>
      <c r="R387" s="315"/>
      <c r="S387" s="315"/>
      <c r="T387" s="315"/>
      <c r="U387" s="315"/>
      <c r="V387" s="315"/>
      <c r="W387" s="315"/>
      <c r="X387" s="315"/>
      <c r="Y387" s="315"/>
      <c r="Z387" s="315"/>
    </row>
    <row r="388">
      <c r="A388" s="315"/>
      <c r="B388" s="315"/>
      <c r="C388" s="315"/>
      <c r="D388" s="315"/>
      <c r="E388" s="315"/>
      <c r="F388" s="315"/>
      <c r="G388" s="315"/>
      <c r="H388" s="315"/>
      <c r="I388" s="315"/>
      <c r="J388" s="315"/>
      <c r="K388" s="315"/>
      <c r="L388" s="315"/>
      <c r="M388" s="315"/>
      <c r="N388" s="315"/>
      <c r="O388" s="315"/>
      <c r="P388" s="315"/>
      <c r="Q388" s="315"/>
      <c r="R388" s="315"/>
      <c r="S388" s="315"/>
      <c r="T388" s="315"/>
      <c r="U388" s="315"/>
      <c r="V388" s="315"/>
      <c r="W388" s="315"/>
      <c r="X388" s="315"/>
      <c r="Y388" s="315"/>
      <c r="Z388" s="315"/>
    </row>
    <row r="389">
      <c r="A389" s="315"/>
      <c r="B389" s="315"/>
      <c r="C389" s="315"/>
      <c r="D389" s="315"/>
      <c r="E389" s="315"/>
      <c r="F389" s="315"/>
      <c r="G389" s="315"/>
      <c r="H389" s="315"/>
      <c r="I389" s="315"/>
      <c r="J389" s="315"/>
      <c r="K389" s="315"/>
      <c r="L389" s="315"/>
      <c r="M389" s="315"/>
      <c r="N389" s="315"/>
      <c r="O389" s="315"/>
      <c r="P389" s="315"/>
      <c r="Q389" s="315"/>
      <c r="R389" s="315"/>
      <c r="S389" s="315"/>
      <c r="T389" s="315"/>
      <c r="U389" s="315"/>
      <c r="V389" s="315"/>
      <c r="W389" s="315"/>
      <c r="X389" s="315"/>
      <c r="Y389" s="315"/>
      <c r="Z389" s="315"/>
    </row>
    <row r="390">
      <c r="A390" s="315"/>
      <c r="B390" s="315"/>
      <c r="C390" s="315"/>
      <c r="D390" s="315"/>
      <c r="E390" s="315"/>
      <c r="F390" s="315"/>
      <c r="G390" s="315"/>
      <c r="H390" s="315"/>
      <c r="I390" s="315"/>
      <c r="J390" s="315"/>
      <c r="K390" s="315"/>
      <c r="L390" s="315"/>
      <c r="M390" s="315"/>
      <c r="N390" s="315"/>
      <c r="O390" s="315"/>
      <c r="P390" s="315"/>
      <c r="Q390" s="315"/>
      <c r="R390" s="315"/>
      <c r="S390" s="315"/>
      <c r="T390" s="315"/>
      <c r="U390" s="315"/>
      <c r="V390" s="315"/>
      <c r="W390" s="315"/>
      <c r="X390" s="315"/>
      <c r="Y390" s="315"/>
      <c r="Z390" s="315"/>
    </row>
    <row r="391">
      <c r="A391" s="315"/>
      <c r="B391" s="315"/>
      <c r="C391" s="315"/>
      <c r="D391" s="315"/>
      <c r="E391" s="315"/>
      <c r="F391" s="315"/>
      <c r="G391" s="315"/>
      <c r="H391" s="315"/>
      <c r="I391" s="315"/>
      <c r="J391" s="315"/>
      <c r="K391" s="315"/>
      <c r="L391" s="315"/>
      <c r="M391" s="315"/>
      <c r="N391" s="315"/>
      <c r="O391" s="315"/>
      <c r="P391" s="315"/>
      <c r="Q391" s="315"/>
      <c r="R391" s="315"/>
      <c r="S391" s="315"/>
      <c r="T391" s="315"/>
      <c r="U391" s="315"/>
      <c r="V391" s="315"/>
      <c r="W391" s="315"/>
      <c r="X391" s="315"/>
      <c r="Y391" s="315"/>
      <c r="Z391" s="315"/>
    </row>
    <row r="392">
      <c r="A392" s="315"/>
      <c r="B392" s="315"/>
      <c r="C392" s="315"/>
      <c r="D392" s="315"/>
      <c r="E392" s="315"/>
      <c r="F392" s="315"/>
      <c r="G392" s="315"/>
      <c r="H392" s="315"/>
      <c r="I392" s="315"/>
      <c r="J392" s="315"/>
      <c r="K392" s="315"/>
      <c r="L392" s="315"/>
      <c r="M392" s="315"/>
      <c r="N392" s="315"/>
      <c r="O392" s="315"/>
      <c r="P392" s="315"/>
      <c r="Q392" s="315"/>
      <c r="R392" s="315"/>
      <c r="S392" s="315"/>
      <c r="T392" s="315"/>
      <c r="U392" s="315"/>
      <c r="V392" s="315"/>
      <c r="W392" s="315"/>
      <c r="X392" s="315"/>
      <c r="Y392" s="315"/>
      <c r="Z392" s="315"/>
    </row>
    <row r="393">
      <c r="A393" s="315"/>
      <c r="B393" s="315"/>
      <c r="C393" s="315"/>
      <c r="D393" s="315"/>
      <c r="E393" s="315"/>
      <c r="F393" s="315"/>
      <c r="G393" s="315"/>
      <c r="H393" s="315"/>
      <c r="I393" s="315"/>
      <c r="J393" s="315"/>
      <c r="K393" s="315"/>
      <c r="L393" s="315"/>
      <c r="M393" s="315"/>
      <c r="N393" s="315"/>
      <c r="O393" s="315"/>
      <c r="P393" s="315"/>
      <c r="Q393" s="315"/>
      <c r="R393" s="315"/>
      <c r="S393" s="315"/>
      <c r="T393" s="315"/>
      <c r="U393" s="315"/>
      <c r="V393" s="315"/>
      <c r="W393" s="315"/>
      <c r="X393" s="315"/>
      <c r="Y393" s="315"/>
      <c r="Z393" s="315"/>
    </row>
    <row r="394">
      <c r="A394" s="315"/>
      <c r="B394" s="315"/>
      <c r="C394" s="315"/>
      <c r="D394" s="315"/>
      <c r="E394" s="315"/>
      <c r="F394" s="315"/>
      <c r="G394" s="315"/>
      <c r="H394" s="315"/>
      <c r="I394" s="315"/>
      <c r="J394" s="315"/>
      <c r="K394" s="315"/>
      <c r="L394" s="315"/>
      <c r="M394" s="315"/>
      <c r="N394" s="315"/>
      <c r="O394" s="315"/>
      <c r="P394" s="315"/>
      <c r="Q394" s="315"/>
      <c r="R394" s="315"/>
      <c r="S394" s="315"/>
      <c r="T394" s="315"/>
      <c r="U394" s="315"/>
      <c r="V394" s="315"/>
      <c r="W394" s="315"/>
      <c r="X394" s="315"/>
      <c r="Y394" s="315"/>
      <c r="Z394" s="315"/>
    </row>
    <row r="395">
      <c r="A395" s="315"/>
      <c r="B395" s="315"/>
      <c r="C395" s="315"/>
      <c r="D395" s="315"/>
      <c r="E395" s="315"/>
      <c r="F395" s="315"/>
      <c r="G395" s="315"/>
      <c r="H395" s="315"/>
      <c r="I395" s="315"/>
      <c r="J395" s="315"/>
      <c r="K395" s="315"/>
      <c r="L395" s="315"/>
      <c r="M395" s="315"/>
      <c r="N395" s="315"/>
      <c r="O395" s="315"/>
      <c r="P395" s="315"/>
      <c r="Q395" s="315"/>
      <c r="R395" s="315"/>
      <c r="S395" s="315"/>
      <c r="T395" s="315"/>
      <c r="U395" s="315"/>
      <c r="V395" s="315"/>
      <c r="W395" s="315"/>
      <c r="X395" s="315"/>
      <c r="Y395" s="315"/>
      <c r="Z395" s="315"/>
    </row>
    <row r="396">
      <c r="A396" s="315"/>
      <c r="B396" s="315"/>
      <c r="C396" s="315"/>
      <c r="D396" s="315"/>
      <c r="E396" s="315"/>
      <c r="F396" s="315"/>
      <c r="G396" s="315"/>
      <c r="H396" s="315"/>
      <c r="I396" s="315"/>
      <c r="J396" s="315"/>
      <c r="K396" s="315"/>
      <c r="L396" s="315"/>
      <c r="M396" s="315"/>
      <c r="N396" s="315"/>
      <c r="O396" s="315"/>
      <c r="P396" s="315"/>
      <c r="Q396" s="315"/>
      <c r="R396" s="315"/>
      <c r="S396" s="315"/>
      <c r="T396" s="315"/>
      <c r="U396" s="315"/>
      <c r="V396" s="315"/>
      <c r="W396" s="315"/>
      <c r="X396" s="315"/>
      <c r="Y396" s="315"/>
      <c r="Z396" s="315"/>
    </row>
    <row r="397">
      <c r="A397" s="315"/>
      <c r="B397" s="315"/>
      <c r="C397" s="315"/>
      <c r="D397" s="315"/>
      <c r="E397" s="315"/>
      <c r="F397" s="315"/>
      <c r="G397" s="315"/>
      <c r="H397" s="315"/>
      <c r="I397" s="315"/>
      <c r="J397" s="315"/>
      <c r="K397" s="315"/>
      <c r="L397" s="315"/>
      <c r="M397" s="315"/>
      <c r="N397" s="315"/>
      <c r="O397" s="315"/>
      <c r="P397" s="315"/>
      <c r="Q397" s="315"/>
      <c r="R397" s="315"/>
      <c r="S397" s="315"/>
      <c r="T397" s="315"/>
      <c r="U397" s="315"/>
      <c r="V397" s="315"/>
      <c r="W397" s="315"/>
      <c r="X397" s="315"/>
      <c r="Y397" s="315"/>
      <c r="Z397" s="315"/>
    </row>
    <row r="398">
      <c r="A398" s="315"/>
      <c r="B398" s="315"/>
      <c r="C398" s="315"/>
      <c r="D398" s="315"/>
      <c r="E398" s="315"/>
      <c r="F398" s="315"/>
      <c r="G398" s="315"/>
      <c r="H398" s="315"/>
      <c r="I398" s="315"/>
      <c r="J398" s="315"/>
      <c r="K398" s="315"/>
      <c r="L398" s="315"/>
      <c r="M398" s="315"/>
      <c r="N398" s="315"/>
      <c r="O398" s="315"/>
      <c r="P398" s="315"/>
      <c r="Q398" s="315"/>
      <c r="R398" s="315"/>
      <c r="S398" s="315"/>
      <c r="T398" s="315"/>
      <c r="U398" s="315"/>
      <c r="V398" s="315"/>
      <c r="W398" s="315"/>
      <c r="X398" s="315"/>
      <c r="Y398" s="315"/>
      <c r="Z398" s="315"/>
    </row>
    <row r="399">
      <c r="A399" s="315"/>
      <c r="B399" s="315"/>
      <c r="C399" s="315"/>
      <c r="D399" s="315"/>
      <c r="E399" s="315"/>
      <c r="F399" s="315"/>
      <c r="G399" s="315"/>
      <c r="H399" s="315"/>
      <c r="I399" s="315"/>
      <c r="J399" s="315"/>
      <c r="K399" s="315"/>
      <c r="L399" s="315"/>
      <c r="M399" s="315"/>
      <c r="N399" s="315"/>
      <c r="O399" s="315"/>
      <c r="P399" s="315"/>
      <c r="Q399" s="315"/>
      <c r="R399" s="315"/>
      <c r="S399" s="315"/>
      <c r="T399" s="315"/>
      <c r="U399" s="315"/>
      <c r="V399" s="315"/>
      <c r="W399" s="315"/>
      <c r="X399" s="315"/>
      <c r="Y399" s="315"/>
      <c r="Z399" s="315"/>
    </row>
    <row r="400">
      <c r="A400" s="315"/>
      <c r="B400" s="315"/>
      <c r="C400" s="315"/>
      <c r="D400" s="315"/>
      <c r="E400" s="315"/>
      <c r="F400" s="315"/>
      <c r="G400" s="315"/>
      <c r="H400" s="315"/>
      <c r="I400" s="315"/>
      <c r="J400" s="315"/>
      <c r="K400" s="315"/>
      <c r="L400" s="315"/>
      <c r="M400" s="315"/>
      <c r="N400" s="315"/>
      <c r="O400" s="315"/>
      <c r="P400" s="315"/>
      <c r="Q400" s="315"/>
      <c r="R400" s="315"/>
      <c r="S400" s="315"/>
      <c r="T400" s="315"/>
      <c r="U400" s="315"/>
      <c r="V400" s="315"/>
      <c r="W400" s="315"/>
      <c r="X400" s="315"/>
      <c r="Y400" s="315"/>
      <c r="Z400" s="315"/>
    </row>
    <row r="401">
      <c r="A401" s="315"/>
      <c r="B401" s="315"/>
      <c r="C401" s="315"/>
      <c r="D401" s="315"/>
      <c r="E401" s="315"/>
      <c r="F401" s="315"/>
      <c r="G401" s="315"/>
      <c r="H401" s="315"/>
      <c r="I401" s="315"/>
      <c r="J401" s="315"/>
      <c r="K401" s="315"/>
      <c r="L401" s="315"/>
      <c r="M401" s="315"/>
      <c r="N401" s="315"/>
      <c r="O401" s="315"/>
      <c r="P401" s="315"/>
      <c r="Q401" s="315"/>
      <c r="R401" s="315"/>
      <c r="S401" s="315"/>
      <c r="T401" s="315"/>
      <c r="U401" s="315"/>
      <c r="V401" s="315"/>
      <c r="W401" s="315"/>
      <c r="X401" s="315"/>
      <c r="Y401" s="315"/>
      <c r="Z401" s="315"/>
    </row>
    <row r="402">
      <c r="A402" s="315"/>
      <c r="B402" s="315"/>
      <c r="C402" s="315"/>
      <c r="D402" s="315"/>
      <c r="E402" s="315"/>
      <c r="F402" s="315"/>
      <c r="G402" s="315"/>
      <c r="H402" s="315"/>
      <c r="I402" s="315"/>
      <c r="J402" s="315"/>
      <c r="K402" s="315"/>
      <c r="L402" s="315"/>
      <c r="M402" s="315"/>
      <c r="N402" s="315"/>
      <c r="O402" s="315"/>
      <c r="P402" s="315"/>
      <c r="Q402" s="315"/>
      <c r="R402" s="315"/>
      <c r="S402" s="315"/>
      <c r="T402" s="315"/>
      <c r="U402" s="315"/>
      <c r="V402" s="315"/>
      <c r="W402" s="315"/>
      <c r="X402" s="315"/>
      <c r="Y402" s="315"/>
      <c r="Z402" s="315"/>
    </row>
    <row r="403">
      <c r="A403" s="315"/>
      <c r="B403" s="315"/>
      <c r="C403" s="315"/>
      <c r="D403" s="315"/>
      <c r="E403" s="315"/>
      <c r="F403" s="315"/>
      <c r="G403" s="315"/>
      <c r="H403" s="315"/>
      <c r="I403" s="315"/>
      <c r="J403" s="315"/>
      <c r="K403" s="315"/>
      <c r="L403" s="315"/>
      <c r="M403" s="315"/>
      <c r="N403" s="315"/>
      <c r="O403" s="315"/>
      <c r="P403" s="315"/>
      <c r="Q403" s="315"/>
      <c r="R403" s="315"/>
      <c r="S403" s="315"/>
      <c r="T403" s="315"/>
      <c r="U403" s="315"/>
      <c r="V403" s="315"/>
      <c r="W403" s="315"/>
      <c r="X403" s="315"/>
      <c r="Y403" s="315"/>
      <c r="Z403" s="315"/>
    </row>
    <row r="404">
      <c r="A404" s="315"/>
      <c r="B404" s="315"/>
      <c r="C404" s="315"/>
      <c r="D404" s="315"/>
      <c r="E404" s="315"/>
      <c r="F404" s="315"/>
      <c r="G404" s="315"/>
      <c r="H404" s="315"/>
      <c r="I404" s="315"/>
      <c r="J404" s="315"/>
      <c r="K404" s="315"/>
      <c r="L404" s="315"/>
      <c r="M404" s="315"/>
      <c r="N404" s="315"/>
      <c r="O404" s="315"/>
      <c r="P404" s="315"/>
      <c r="Q404" s="315"/>
      <c r="R404" s="315"/>
      <c r="S404" s="315"/>
      <c r="T404" s="315"/>
      <c r="U404" s="315"/>
      <c r="V404" s="315"/>
      <c r="W404" s="315"/>
      <c r="X404" s="315"/>
      <c r="Y404" s="315"/>
      <c r="Z404" s="315"/>
    </row>
    <row r="405">
      <c r="A405" s="315"/>
      <c r="B405" s="315"/>
      <c r="C405" s="315"/>
      <c r="D405" s="315"/>
      <c r="E405" s="315"/>
      <c r="F405" s="315"/>
      <c r="G405" s="315"/>
      <c r="H405" s="315"/>
      <c r="I405" s="315"/>
      <c r="J405" s="315"/>
      <c r="K405" s="315"/>
      <c r="L405" s="315"/>
      <c r="M405" s="315"/>
      <c r="N405" s="315"/>
      <c r="O405" s="315"/>
      <c r="P405" s="315"/>
      <c r="Q405" s="315"/>
      <c r="R405" s="315"/>
      <c r="S405" s="315"/>
      <c r="T405" s="315"/>
      <c r="U405" s="315"/>
      <c r="V405" s="315"/>
      <c r="W405" s="315"/>
      <c r="X405" s="315"/>
      <c r="Y405" s="315"/>
      <c r="Z405" s="315"/>
    </row>
    <row r="406">
      <c r="A406" s="315"/>
      <c r="B406" s="315"/>
      <c r="C406" s="315"/>
      <c r="D406" s="315"/>
      <c r="E406" s="315"/>
      <c r="F406" s="315"/>
      <c r="G406" s="315"/>
      <c r="H406" s="315"/>
      <c r="I406" s="315"/>
      <c r="J406" s="315"/>
      <c r="K406" s="315"/>
      <c r="L406" s="315"/>
      <c r="M406" s="315"/>
      <c r="N406" s="315"/>
      <c r="O406" s="315"/>
      <c r="P406" s="315"/>
      <c r="Q406" s="315"/>
      <c r="R406" s="315"/>
      <c r="S406" s="315"/>
      <c r="T406" s="315"/>
      <c r="U406" s="315"/>
      <c r="V406" s="315"/>
      <c r="W406" s="315"/>
      <c r="X406" s="315"/>
      <c r="Y406" s="315"/>
      <c r="Z406" s="315"/>
    </row>
    <row r="407">
      <c r="A407" s="315"/>
      <c r="B407" s="315"/>
      <c r="C407" s="315"/>
      <c r="D407" s="315"/>
      <c r="E407" s="315"/>
      <c r="F407" s="315"/>
      <c r="G407" s="315"/>
      <c r="H407" s="315"/>
      <c r="I407" s="315"/>
      <c r="J407" s="315"/>
      <c r="K407" s="315"/>
      <c r="L407" s="315"/>
      <c r="M407" s="315"/>
      <c r="N407" s="315"/>
      <c r="O407" s="315"/>
      <c r="P407" s="315"/>
      <c r="Q407" s="315"/>
      <c r="R407" s="315"/>
      <c r="S407" s="315"/>
      <c r="T407" s="315"/>
      <c r="U407" s="315"/>
      <c r="V407" s="315"/>
      <c r="W407" s="315"/>
      <c r="X407" s="315"/>
      <c r="Y407" s="315"/>
      <c r="Z407" s="315"/>
    </row>
    <row r="408">
      <c r="A408" s="315"/>
      <c r="B408" s="315"/>
      <c r="C408" s="315"/>
      <c r="D408" s="315"/>
      <c r="E408" s="315"/>
      <c r="F408" s="315"/>
      <c r="G408" s="315"/>
      <c r="H408" s="315"/>
      <c r="I408" s="315"/>
      <c r="J408" s="315"/>
      <c r="K408" s="315"/>
      <c r="L408" s="315"/>
      <c r="M408" s="315"/>
      <c r="N408" s="315"/>
      <c r="O408" s="315"/>
      <c r="P408" s="315"/>
      <c r="Q408" s="315"/>
      <c r="R408" s="315"/>
      <c r="S408" s="315"/>
      <c r="T408" s="315"/>
      <c r="U408" s="315"/>
      <c r="V408" s="315"/>
      <c r="W408" s="315"/>
      <c r="X408" s="315"/>
      <c r="Y408" s="315"/>
      <c r="Z408" s="315"/>
    </row>
    <row r="409">
      <c r="A409" s="315"/>
      <c r="B409" s="315"/>
      <c r="C409" s="315"/>
      <c r="D409" s="315"/>
      <c r="E409" s="315"/>
      <c r="F409" s="315"/>
      <c r="G409" s="315"/>
      <c r="H409" s="315"/>
      <c r="I409" s="315"/>
      <c r="J409" s="315"/>
      <c r="K409" s="315"/>
      <c r="L409" s="315"/>
      <c r="M409" s="315"/>
      <c r="N409" s="315"/>
      <c r="O409" s="315"/>
      <c r="P409" s="315"/>
      <c r="Q409" s="315"/>
      <c r="R409" s="315"/>
      <c r="S409" s="315"/>
      <c r="T409" s="315"/>
      <c r="U409" s="315"/>
      <c r="V409" s="315"/>
      <c r="W409" s="315"/>
      <c r="X409" s="315"/>
      <c r="Y409" s="315"/>
      <c r="Z409" s="315"/>
    </row>
    <row r="410">
      <c r="A410" s="315"/>
      <c r="B410" s="315"/>
      <c r="C410" s="315"/>
      <c r="D410" s="315"/>
      <c r="E410" s="315"/>
      <c r="F410" s="315"/>
      <c r="G410" s="315"/>
      <c r="H410" s="315"/>
      <c r="I410" s="315"/>
      <c r="J410" s="315"/>
      <c r="K410" s="315"/>
      <c r="L410" s="315"/>
      <c r="M410" s="315"/>
      <c r="N410" s="315"/>
      <c r="O410" s="315"/>
      <c r="P410" s="315"/>
      <c r="Q410" s="315"/>
      <c r="R410" s="315"/>
      <c r="S410" s="315"/>
      <c r="T410" s="315"/>
      <c r="U410" s="315"/>
      <c r="V410" s="315"/>
      <c r="W410" s="315"/>
      <c r="X410" s="315"/>
      <c r="Y410" s="315"/>
      <c r="Z410" s="315"/>
    </row>
    <row r="411">
      <c r="A411" s="315"/>
      <c r="B411" s="315"/>
      <c r="C411" s="315"/>
      <c r="D411" s="315"/>
      <c r="E411" s="315"/>
      <c r="F411" s="315"/>
      <c r="G411" s="315"/>
      <c r="H411" s="315"/>
      <c r="I411" s="315"/>
      <c r="J411" s="315"/>
      <c r="K411" s="315"/>
      <c r="L411" s="315"/>
      <c r="M411" s="315"/>
      <c r="N411" s="315"/>
      <c r="O411" s="315"/>
      <c r="P411" s="315"/>
      <c r="Q411" s="315"/>
      <c r="R411" s="315"/>
      <c r="S411" s="315"/>
      <c r="T411" s="315"/>
      <c r="U411" s="315"/>
      <c r="V411" s="315"/>
      <c r="W411" s="315"/>
      <c r="X411" s="315"/>
      <c r="Y411" s="315"/>
      <c r="Z411" s="315"/>
    </row>
    <row r="412">
      <c r="A412" s="315"/>
      <c r="B412" s="315"/>
      <c r="C412" s="315"/>
      <c r="D412" s="315"/>
      <c r="E412" s="315"/>
      <c r="F412" s="315"/>
      <c r="G412" s="315"/>
      <c r="H412" s="315"/>
      <c r="I412" s="315"/>
      <c r="J412" s="315"/>
      <c r="K412" s="315"/>
      <c r="L412" s="315"/>
      <c r="M412" s="315"/>
      <c r="N412" s="315"/>
      <c r="O412" s="315"/>
      <c r="P412" s="315"/>
      <c r="Q412" s="315"/>
      <c r="R412" s="315"/>
      <c r="S412" s="315"/>
      <c r="T412" s="315"/>
      <c r="U412" s="315"/>
      <c r="V412" s="315"/>
      <c r="W412" s="315"/>
      <c r="X412" s="315"/>
      <c r="Y412" s="315"/>
      <c r="Z412" s="315"/>
    </row>
    <row r="413">
      <c r="A413" s="315"/>
      <c r="B413" s="315"/>
      <c r="C413" s="315"/>
      <c r="D413" s="315"/>
      <c r="E413" s="315"/>
      <c r="F413" s="315"/>
      <c r="G413" s="315"/>
      <c r="H413" s="315"/>
      <c r="I413" s="315"/>
      <c r="J413" s="315"/>
      <c r="K413" s="315"/>
      <c r="L413" s="315"/>
      <c r="M413" s="315"/>
      <c r="N413" s="315"/>
      <c r="O413" s="315"/>
      <c r="P413" s="315"/>
      <c r="Q413" s="315"/>
      <c r="R413" s="315"/>
      <c r="S413" s="315"/>
      <c r="T413" s="315"/>
      <c r="U413" s="315"/>
      <c r="V413" s="315"/>
      <c r="W413" s="315"/>
      <c r="X413" s="315"/>
      <c r="Y413" s="315"/>
      <c r="Z413" s="315"/>
    </row>
    <row r="414">
      <c r="A414" s="315"/>
      <c r="B414" s="315"/>
      <c r="C414" s="315"/>
      <c r="D414" s="315"/>
      <c r="E414" s="315"/>
      <c r="F414" s="315"/>
      <c r="G414" s="315"/>
      <c r="H414" s="315"/>
      <c r="I414" s="315"/>
      <c r="J414" s="315"/>
      <c r="K414" s="315"/>
      <c r="L414" s="315"/>
      <c r="M414" s="315"/>
      <c r="N414" s="315"/>
      <c r="O414" s="315"/>
      <c r="P414" s="315"/>
      <c r="Q414" s="315"/>
      <c r="R414" s="315"/>
      <c r="S414" s="315"/>
      <c r="T414" s="315"/>
      <c r="U414" s="315"/>
      <c r="V414" s="315"/>
      <c r="W414" s="315"/>
      <c r="X414" s="315"/>
      <c r="Y414" s="315"/>
      <c r="Z414" s="315"/>
    </row>
    <row r="415">
      <c r="A415" s="315"/>
      <c r="B415" s="315"/>
      <c r="C415" s="315"/>
      <c r="D415" s="315"/>
      <c r="E415" s="315"/>
      <c r="F415" s="315"/>
      <c r="G415" s="315"/>
      <c r="H415" s="315"/>
      <c r="I415" s="315"/>
      <c r="J415" s="315"/>
      <c r="K415" s="315"/>
      <c r="L415" s="315"/>
      <c r="M415" s="315"/>
      <c r="N415" s="315"/>
      <c r="O415" s="315"/>
      <c r="P415" s="315"/>
      <c r="Q415" s="315"/>
      <c r="R415" s="315"/>
      <c r="S415" s="315"/>
      <c r="T415" s="315"/>
      <c r="U415" s="315"/>
      <c r="V415" s="315"/>
      <c r="W415" s="315"/>
      <c r="X415" s="315"/>
      <c r="Y415" s="315"/>
      <c r="Z415" s="315"/>
    </row>
    <row r="416">
      <c r="A416" s="315"/>
      <c r="B416" s="315"/>
      <c r="C416" s="315"/>
      <c r="D416" s="315"/>
      <c r="E416" s="315"/>
      <c r="F416" s="315"/>
      <c r="G416" s="315"/>
      <c r="H416" s="315"/>
      <c r="I416" s="315"/>
      <c r="J416" s="315"/>
      <c r="K416" s="315"/>
      <c r="L416" s="315"/>
      <c r="M416" s="315"/>
      <c r="N416" s="315"/>
      <c r="O416" s="315"/>
      <c r="P416" s="315"/>
      <c r="Q416" s="315"/>
      <c r="R416" s="315"/>
      <c r="S416" s="315"/>
      <c r="T416" s="315"/>
      <c r="U416" s="315"/>
      <c r="V416" s="315"/>
      <c r="W416" s="315"/>
      <c r="X416" s="315"/>
      <c r="Y416" s="315"/>
      <c r="Z416" s="315"/>
    </row>
    <row r="417">
      <c r="A417" s="315"/>
      <c r="B417" s="315"/>
      <c r="C417" s="315"/>
      <c r="D417" s="315"/>
      <c r="E417" s="315"/>
      <c r="F417" s="315"/>
      <c r="G417" s="315"/>
      <c r="H417" s="315"/>
      <c r="I417" s="315"/>
      <c r="J417" s="315"/>
      <c r="K417" s="315"/>
      <c r="L417" s="315"/>
      <c r="M417" s="315"/>
      <c r="N417" s="315"/>
      <c r="O417" s="315"/>
      <c r="P417" s="315"/>
      <c r="Q417" s="315"/>
      <c r="R417" s="315"/>
      <c r="S417" s="315"/>
      <c r="T417" s="315"/>
      <c r="U417" s="315"/>
      <c r="V417" s="315"/>
      <c r="W417" s="315"/>
      <c r="X417" s="315"/>
      <c r="Y417" s="315"/>
      <c r="Z417" s="315"/>
    </row>
    <row r="418">
      <c r="A418" s="315"/>
      <c r="B418" s="315"/>
      <c r="C418" s="315"/>
      <c r="D418" s="315"/>
      <c r="E418" s="315"/>
      <c r="F418" s="315"/>
      <c r="G418" s="315"/>
      <c r="H418" s="315"/>
      <c r="I418" s="315"/>
      <c r="J418" s="315"/>
      <c r="K418" s="315"/>
      <c r="L418" s="315"/>
      <c r="M418" s="315"/>
      <c r="N418" s="315"/>
      <c r="O418" s="315"/>
      <c r="P418" s="315"/>
      <c r="Q418" s="315"/>
      <c r="R418" s="315"/>
      <c r="S418" s="315"/>
      <c r="T418" s="315"/>
      <c r="U418" s="315"/>
      <c r="V418" s="315"/>
      <c r="W418" s="315"/>
      <c r="X418" s="315"/>
      <c r="Y418" s="315"/>
      <c r="Z418" s="315"/>
    </row>
    <row r="419">
      <c r="A419" s="315"/>
      <c r="B419" s="315"/>
      <c r="C419" s="315"/>
      <c r="D419" s="315"/>
      <c r="E419" s="315"/>
      <c r="F419" s="315"/>
      <c r="G419" s="315"/>
      <c r="H419" s="315"/>
      <c r="I419" s="315"/>
      <c r="J419" s="315"/>
      <c r="K419" s="315"/>
      <c r="L419" s="315"/>
      <c r="M419" s="315"/>
      <c r="N419" s="315"/>
      <c r="O419" s="315"/>
      <c r="P419" s="315"/>
      <c r="Q419" s="315"/>
      <c r="R419" s="315"/>
      <c r="S419" s="315"/>
      <c r="T419" s="315"/>
      <c r="U419" s="315"/>
      <c r="V419" s="315"/>
      <c r="W419" s="315"/>
      <c r="X419" s="315"/>
      <c r="Y419" s="315"/>
      <c r="Z419" s="315"/>
    </row>
    <row r="420">
      <c r="A420" s="315"/>
      <c r="B420" s="315"/>
      <c r="C420" s="315"/>
      <c r="D420" s="315"/>
      <c r="E420" s="315"/>
      <c r="F420" s="315"/>
      <c r="G420" s="315"/>
      <c r="H420" s="315"/>
      <c r="I420" s="315"/>
      <c r="J420" s="315"/>
      <c r="K420" s="315"/>
      <c r="L420" s="315"/>
      <c r="M420" s="315"/>
      <c r="N420" s="315"/>
      <c r="O420" s="315"/>
      <c r="P420" s="315"/>
      <c r="Q420" s="315"/>
      <c r="R420" s="315"/>
      <c r="S420" s="315"/>
      <c r="T420" s="315"/>
      <c r="U420" s="315"/>
      <c r="V420" s="315"/>
      <c r="W420" s="315"/>
      <c r="X420" s="315"/>
      <c r="Y420" s="315"/>
      <c r="Z420" s="315"/>
    </row>
    <row r="421">
      <c r="A421" s="315"/>
      <c r="B421" s="315"/>
      <c r="C421" s="315"/>
      <c r="D421" s="315"/>
      <c r="E421" s="315"/>
      <c r="F421" s="315"/>
      <c r="G421" s="315"/>
      <c r="H421" s="315"/>
      <c r="I421" s="315"/>
      <c r="J421" s="315"/>
      <c r="K421" s="315"/>
      <c r="L421" s="315"/>
      <c r="M421" s="315"/>
      <c r="N421" s="315"/>
      <c r="O421" s="315"/>
      <c r="P421" s="315"/>
      <c r="Q421" s="315"/>
      <c r="R421" s="315"/>
      <c r="S421" s="315"/>
      <c r="T421" s="315"/>
      <c r="U421" s="315"/>
      <c r="V421" s="315"/>
      <c r="W421" s="315"/>
      <c r="X421" s="315"/>
      <c r="Y421" s="315"/>
      <c r="Z421" s="315"/>
    </row>
    <row r="422">
      <c r="A422" s="315"/>
      <c r="B422" s="315"/>
      <c r="C422" s="315"/>
      <c r="D422" s="315"/>
      <c r="E422" s="315"/>
      <c r="F422" s="315"/>
      <c r="G422" s="315"/>
      <c r="H422" s="315"/>
      <c r="I422" s="315"/>
      <c r="J422" s="315"/>
      <c r="K422" s="315"/>
      <c r="L422" s="315"/>
      <c r="M422" s="315"/>
      <c r="N422" s="315"/>
      <c r="O422" s="315"/>
      <c r="P422" s="315"/>
      <c r="Q422" s="315"/>
      <c r="R422" s="315"/>
      <c r="S422" s="315"/>
      <c r="T422" s="315"/>
      <c r="U422" s="315"/>
      <c r="V422" s="315"/>
      <c r="W422" s="315"/>
      <c r="X422" s="315"/>
      <c r="Y422" s="315"/>
      <c r="Z422" s="315"/>
    </row>
    <row r="423">
      <c r="A423" s="315"/>
      <c r="B423" s="315"/>
      <c r="C423" s="315"/>
      <c r="D423" s="315"/>
      <c r="E423" s="315"/>
      <c r="F423" s="315"/>
      <c r="G423" s="315"/>
      <c r="H423" s="315"/>
      <c r="I423" s="315"/>
      <c r="J423" s="315"/>
      <c r="K423" s="315"/>
      <c r="L423" s="315"/>
      <c r="M423" s="315"/>
      <c r="N423" s="315"/>
      <c r="O423" s="315"/>
      <c r="P423" s="315"/>
      <c r="Q423" s="315"/>
      <c r="R423" s="315"/>
      <c r="S423" s="315"/>
      <c r="T423" s="315"/>
      <c r="U423" s="315"/>
      <c r="V423" s="315"/>
      <c r="W423" s="315"/>
      <c r="X423" s="315"/>
      <c r="Y423" s="315"/>
      <c r="Z423" s="315"/>
    </row>
    <row r="424">
      <c r="A424" s="315"/>
      <c r="B424" s="315"/>
      <c r="C424" s="315"/>
      <c r="D424" s="315"/>
      <c r="E424" s="315"/>
      <c r="F424" s="315"/>
      <c r="G424" s="315"/>
      <c r="H424" s="315"/>
      <c r="I424" s="315"/>
      <c r="J424" s="315"/>
      <c r="K424" s="315"/>
      <c r="L424" s="315"/>
      <c r="M424" s="315"/>
      <c r="N424" s="315"/>
      <c r="O424" s="315"/>
      <c r="P424" s="315"/>
      <c r="Q424" s="315"/>
      <c r="R424" s="315"/>
      <c r="S424" s="315"/>
      <c r="T424" s="315"/>
      <c r="U424" s="315"/>
      <c r="V424" s="315"/>
      <c r="W424" s="315"/>
      <c r="X424" s="315"/>
      <c r="Y424" s="315"/>
      <c r="Z424" s="315"/>
    </row>
    <row r="425">
      <c r="A425" s="315"/>
      <c r="B425" s="315"/>
      <c r="C425" s="315"/>
      <c r="D425" s="315"/>
      <c r="E425" s="315"/>
      <c r="F425" s="315"/>
      <c r="G425" s="315"/>
      <c r="H425" s="315"/>
      <c r="I425" s="315"/>
      <c r="J425" s="315"/>
      <c r="K425" s="315"/>
      <c r="L425" s="315"/>
      <c r="M425" s="315"/>
      <c r="N425" s="315"/>
      <c r="O425" s="315"/>
      <c r="P425" s="315"/>
      <c r="Q425" s="315"/>
      <c r="R425" s="315"/>
      <c r="S425" s="315"/>
      <c r="T425" s="315"/>
      <c r="U425" s="315"/>
      <c r="V425" s="315"/>
      <c r="W425" s="315"/>
      <c r="X425" s="315"/>
      <c r="Y425" s="315"/>
      <c r="Z425" s="315"/>
    </row>
    <row r="426">
      <c r="A426" s="315"/>
      <c r="B426" s="315"/>
      <c r="C426" s="315"/>
      <c r="D426" s="315"/>
      <c r="E426" s="315"/>
      <c r="F426" s="315"/>
      <c r="G426" s="315"/>
      <c r="H426" s="315"/>
      <c r="I426" s="315"/>
      <c r="J426" s="315"/>
      <c r="K426" s="315"/>
      <c r="L426" s="315"/>
      <c r="M426" s="315"/>
      <c r="N426" s="315"/>
      <c r="O426" s="315"/>
      <c r="P426" s="315"/>
      <c r="Q426" s="315"/>
      <c r="R426" s="315"/>
      <c r="S426" s="315"/>
      <c r="T426" s="315"/>
      <c r="U426" s="315"/>
      <c r="V426" s="315"/>
      <c r="W426" s="315"/>
      <c r="X426" s="315"/>
      <c r="Y426" s="315"/>
      <c r="Z426" s="315"/>
    </row>
    <row r="427">
      <c r="A427" s="315"/>
      <c r="B427" s="315"/>
      <c r="C427" s="315"/>
      <c r="D427" s="315"/>
      <c r="E427" s="315"/>
      <c r="F427" s="315"/>
      <c r="G427" s="315"/>
      <c r="H427" s="315"/>
      <c r="I427" s="315"/>
      <c r="J427" s="315"/>
      <c r="K427" s="315"/>
      <c r="L427" s="315"/>
      <c r="M427" s="315"/>
      <c r="N427" s="315"/>
      <c r="O427" s="315"/>
      <c r="P427" s="315"/>
      <c r="Q427" s="315"/>
      <c r="R427" s="315"/>
      <c r="S427" s="315"/>
      <c r="T427" s="315"/>
      <c r="U427" s="315"/>
      <c r="V427" s="315"/>
      <c r="W427" s="315"/>
      <c r="X427" s="315"/>
      <c r="Y427" s="315"/>
      <c r="Z427" s="315"/>
    </row>
    <row r="428">
      <c r="A428" s="315"/>
      <c r="B428" s="315"/>
      <c r="C428" s="315"/>
      <c r="D428" s="315"/>
      <c r="E428" s="315"/>
      <c r="F428" s="315"/>
      <c r="G428" s="315"/>
      <c r="H428" s="315"/>
      <c r="I428" s="315"/>
      <c r="J428" s="315"/>
      <c r="K428" s="315"/>
      <c r="L428" s="315"/>
      <c r="M428" s="315"/>
      <c r="N428" s="315"/>
      <c r="O428" s="315"/>
      <c r="P428" s="315"/>
      <c r="Q428" s="315"/>
      <c r="R428" s="315"/>
      <c r="S428" s="315"/>
      <c r="T428" s="315"/>
      <c r="U428" s="315"/>
      <c r="V428" s="315"/>
      <c r="W428" s="315"/>
      <c r="X428" s="315"/>
      <c r="Y428" s="315"/>
      <c r="Z428" s="315"/>
    </row>
    <row r="429">
      <c r="A429" s="315"/>
      <c r="B429" s="315"/>
      <c r="C429" s="315"/>
      <c r="D429" s="315"/>
      <c r="E429" s="315"/>
      <c r="F429" s="315"/>
      <c r="G429" s="315"/>
      <c r="H429" s="315"/>
      <c r="I429" s="315"/>
      <c r="J429" s="315"/>
      <c r="K429" s="315"/>
      <c r="L429" s="315"/>
      <c r="M429" s="315"/>
      <c r="N429" s="315"/>
      <c r="O429" s="315"/>
      <c r="P429" s="315"/>
      <c r="Q429" s="315"/>
      <c r="R429" s="315"/>
      <c r="S429" s="315"/>
      <c r="T429" s="315"/>
      <c r="U429" s="315"/>
      <c r="V429" s="315"/>
      <c r="W429" s="315"/>
      <c r="X429" s="315"/>
      <c r="Y429" s="315"/>
      <c r="Z429" s="315"/>
    </row>
    <row r="430">
      <c r="A430" s="315"/>
      <c r="B430" s="315"/>
      <c r="C430" s="315"/>
      <c r="D430" s="315"/>
      <c r="E430" s="315"/>
      <c r="F430" s="315"/>
      <c r="G430" s="315"/>
      <c r="H430" s="315"/>
      <c r="I430" s="315"/>
      <c r="J430" s="315"/>
      <c r="K430" s="315"/>
      <c r="L430" s="315"/>
      <c r="M430" s="315"/>
      <c r="N430" s="315"/>
      <c r="O430" s="315"/>
      <c r="P430" s="315"/>
      <c r="Q430" s="315"/>
      <c r="R430" s="315"/>
      <c r="S430" s="315"/>
      <c r="T430" s="315"/>
      <c r="U430" s="315"/>
      <c r="V430" s="315"/>
      <c r="W430" s="315"/>
      <c r="X430" s="315"/>
      <c r="Y430" s="315"/>
      <c r="Z430" s="315"/>
    </row>
    <row r="431">
      <c r="A431" s="315"/>
      <c r="B431" s="315"/>
      <c r="C431" s="315"/>
      <c r="D431" s="315"/>
      <c r="E431" s="315"/>
      <c r="F431" s="315"/>
      <c r="G431" s="315"/>
      <c r="H431" s="315"/>
      <c r="I431" s="315"/>
      <c r="J431" s="315"/>
      <c r="K431" s="315"/>
      <c r="L431" s="315"/>
      <c r="M431" s="315"/>
      <c r="N431" s="315"/>
      <c r="O431" s="315"/>
      <c r="P431" s="315"/>
      <c r="Q431" s="315"/>
      <c r="R431" s="315"/>
      <c r="S431" s="315"/>
      <c r="T431" s="315"/>
      <c r="U431" s="315"/>
      <c r="V431" s="315"/>
      <c r="W431" s="315"/>
      <c r="X431" s="315"/>
      <c r="Y431" s="315"/>
      <c r="Z431" s="315"/>
    </row>
    <row r="432">
      <c r="A432" s="315"/>
      <c r="B432" s="315"/>
      <c r="C432" s="315"/>
      <c r="D432" s="315"/>
      <c r="E432" s="315"/>
      <c r="F432" s="315"/>
      <c r="G432" s="315"/>
      <c r="H432" s="315"/>
      <c r="I432" s="315"/>
      <c r="J432" s="315"/>
      <c r="K432" s="315"/>
      <c r="L432" s="315"/>
      <c r="M432" s="315"/>
      <c r="N432" s="315"/>
      <c r="O432" s="315"/>
      <c r="P432" s="315"/>
      <c r="Q432" s="315"/>
      <c r="R432" s="315"/>
      <c r="S432" s="315"/>
      <c r="T432" s="315"/>
      <c r="U432" s="315"/>
      <c r="V432" s="315"/>
      <c r="W432" s="315"/>
      <c r="X432" s="315"/>
      <c r="Y432" s="315"/>
      <c r="Z432" s="315"/>
    </row>
    <row r="433">
      <c r="A433" s="315"/>
      <c r="B433" s="315"/>
      <c r="C433" s="315"/>
      <c r="D433" s="315"/>
      <c r="E433" s="315"/>
      <c r="F433" s="315"/>
      <c r="G433" s="315"/>
      <c r="H433" s="315"/>
      <c r="I433" s="315"/>
      <c r="J433" s="315"/>
      <c r="K433" s="315"/>
      <c r="L433" s="315"/>
      <c r="M433" s="315"/>
      <c r="N433" s="315"/>
      <c r="O433" s="315"/>
      <c r="P433" s="315"/>
      <c r="Q433" s="315"/>
      <c r="R433" s="315"/>
      <c r="S433" s="315"/>
      <c r="T433" s="315"/>
      <c r="U433" s="315"/>
      <c r="V433" s="315"/>
      <c r="W433" s="315"/>
      <c r="X433" s="315"/>
      <c r="Y433" s="315"/>
      <c r="Z433" s="315"/>
    </row>
    <row r="434">
      <c r="A434" s="315"/>
      <c r="B434" s="315"/>
      <c r="C434" s="315"/>
      <c r="D434" s="315"/>
      <c r="E434" s="315"/>
      <c r="F434" s="315"/>
      <c r="G434" s="315"/>
      <c r="H434" s="315"/>
      <c r="I434" s="315"/>
      <c r="J434" s="315"/>
      <c r="K434" s="315"/>
      <c r="L434" s="315"/>
      <c r="M434" s="315"/>
      <c r="N434" s="315"/>
      <c r="O434" s="315"/>
      <c r="P434" s="315"/>
      <c r="Q434" s="315"/>
      <c r="R434" s="315"/>
      <c r="S434" s="315"/>
      <c r="T434" s="315"/>
      <c r="U434" s="315"/>
      <c r="V434" s="315"/>
      <c r="W434" s="315"/>
      <c r="X434" s="315"/>
      <c r="Y434" s="315"/>
      <c r="Z434" s="315"/>
    </row>
    <row r="435">
      <c r="A435" s="315"/>
      <c r="B435" s="315"/>
      <c r="C435" s="315"/>
      <c r="D435" s="315"/>
      <c r="E435" s="315"/>
      <c r="F435" s="315"/>
      <c r="G435" s="315"/>
      <c r="H435" s="315"/>
      <c r="I435" s="315"/>
      <c r="J435" s="315"/>
      <c r="K435" s="315"/>
      <c r="L435" s="315"/>
      <c r="M435" s="315"/>
      <c r="N435" s="315"/>
      <c r="O435" s="315"/>
      <c r="P435" s="315"/>
      <c r="Q435" s="315"/>
      <c r="R435" s="315"/>
      <c r="S435" s="315"/>
      <c r="T435" s="315"/>
      <c r="U435" s="315"/>
      <c r="V435" s="315"/>
      <c r="W435" s="315"/>
      <c r="X435" s="315"/>
      <c r="Y435" s="315"/>
      <c r="Z435" s="315"/>
    </row>
    <row r="436">
      <c r="A436" s="315"/>
      <c r="B436" s="315"/>
      <c r="C436" s="315"/>
      <c r="D436" s="315"/>
      <c r="E436" s="315"/>
      <c r="F436" s="315"/>
      <c r="G436" s="315"/>
      <c r="H436" s="315"/>
      <c r="I436" s="315"/>
      <c r="J436" s="315"/>
      <c r="K436" s="315"/>
      <c r="L436" s="315"/>
      <c r="M436" s="315"/>
      <c r="N436" s="315"/>
      <c r="O436" s="315"/>
      <c r="P436" s="315"/>
      <c r="Q436" s="315"/>
      <c r="R436" s="315"/>
      <c r="S436" s="315"/>
      <c r="T436" s="315"/>
      <c r="U436" s="315"/>
      <c r="V436" s="315"/>
      <c r="W436" s="315"/>
      <c r="X436" s="315"/>
      <c r="Y436" s="315"/>
      <c r="Z436" s="315"/>
    </row>
    <row r="437">
      <c r="A437" s="315"/>
      <c r="B437" s="315"/>
      <c r="C437" s="315"/>
      <c r="D437" s="315"/>
      <c r="E437" s="315"/>
      <c r="F437" s="315"/>
      <c r="G437" s="315"/>
      <c r="H437" s="315"/>
      <c r="I437" s="315"/>
      <c r="J437" s="315"/>
      <c r="K437" s="315"/>
      <c r="L437" s="315"/>
      <c r="M437" s="315"/>
      <c r="N437" s="315"/>
      <c r="O437" s="315"/>
      <c r="P437" s="315"/>
      <c r="Q437" s="315"/>
      <c r="R437" s="315"/>
      <c r="S437" s="315"/>
      <c r="T437" s="315"/>
      <c r="U437" s="315"/>
      <c r="V437" s="315"/>
      <c r="W437" s="315"/>
      <c r="X437" s="315"/>
      <c r="Y437" s="315"/>
      <c r="Z437" s="315"/>
    </row>
    <row r="438">
      <c r="A438" s="315"/>
      <c r="B438" s="315"/>
      <c r="C438" s="315"/>
      <c r="D438" s="315"/>
      <c r="E438" s="315"/>
      <c r="F438" s="315"/>
      <c r="G438" s="315"/>
      <c r="H438" s="315"/>
      <c r="I438" s="315"/>
      <c r="J438" s="315"/>
      <c r="K438" s="315"/>
      <c r="L438" s="315"/>
      <c r="M438" s="315"/>
      <c r="N438" s="315"/>
      <c r="O438" s="315"/>
      <c r="P438" s="315"/>
      <c r="Q438" s="315"/>
      <c r="R438" s="315"/>
      <c r="S438" s="315"/>
      <c r="T438" s="315"/>
      <c r="U438" s="315"/>
      <c r="V438" s="315"/>
      <c r="W438" s="315"/>
      <c r="X438" s="315"/>
      <c r="Y438" s="315"/>
      <c r="Z438" s="315"/>
    </row>
    <row r="439">
      <c r="A439" s="315"/>
      <c r="B439" s="315"/>
      <c r="C439" s="315"/>
      <c r="D439" s="315"/>
      <c r="E439" s="315"/>
      <c r="F439" s="315"/>
      <c r="G439" s="315"/>
      <c r="H439" s="315"/>
      <c r="I439" s="315"/>
      <c r="J439" s="315"/>
      <c r="K439" s="315"/>
      <c r="L439" s="315"/>
      <c r="M439" s="315"/>
      <c r="N439" s="315"/>
      <c r="O439" s="315"/>
      <c r="P439" s="315"/>
      <c r="Q439" s="315"/>
      <c r="R439" s="315"/>
      <c r="S439" s="315"/>
      <c r="T439" s="315"/>
      <c r="U439" s="315"/>
      <c r="V439" s="315"/>
      <c r="W439" s="315"/>
      <c r="X439" s="315"/>
      <c r="Y439" s="315"/>
      <c r="Z439" s="315"/>
    </row>
    <row r="440">
      <c r="A440" s="315"/>
      <c r="B440" s="315"/>
      <c r="C440" s="315"/>
      <c r="D440" s="315"/>
      <c r="E440" s="315"/>
      <c r="F440" s="315"/>
      <c r="G440" s="315"/>
      <c r="H440" s="315"/>
      <c r="I440" s="315"/>
      <c r="J440" s="315"/>
      <c r="K440" s="315"/>
      <c r="L440" s="315"/>
      <c r="M440" s="315"/>
      <c r="N440" s="315"/>
      <c r="O440" s="315"/>
      <c r="P440" s="315"/>
      <c r="Q440" s="315"/>
      <c r="R440" s="315"/>
      <c r="S440" s="315"/>
      <c r="T440" s="315"/>
      <c r="U440" s="315"/>
      <c r="V440" s="315"/>
      <c r="W440" s="315"/>
      <c r="X440" s="315"/>
      <c r="Y440" s="315"/>
      <c r="Z440" s="315"/>
    </row>
    <row r="441">
      <c r="A441" s="315"/>
      <c r="B441" s="315"/>
      <c r="C441" s="315"/>
      <c r="D441" s="315"/>
      <c r="E441" s="315"/>
      <c r="F441" s="315"/>
      <c r="G441" s="315"/>
      <c r="H441" s="315"/>
      <c r="I441" s="315"/>
      <c r="J441" s="315"/>
      <c r="K441" s="315"/>
      <c r="L441" s="315"/>
      <c r="M441" s="315"/>
      <c r="N441" s="315"/>
      <c r="O441" s="315"/>
      <c r="P441" s="315"/>
      <c r="Q441" s="315"/>
      <c r="R441" s="315"/>
      <c r="S441" s="315"/>
      <c r="T441" s="315"/>
      <c r="U441" s="315"/>
      <c r="V441" s="315"/>
      <c r="W441" s="315"/>
      <c r="X441" s="315"/>
      <c r="Y441" s="315"/>
      <c r="Z441" s="315"/>
    </row>
    <row r="442">
      <c r="A442" s="315"/>
      <c r="B442" s="315"/>
      <c r="C442" s="315"/>
      <c r="D442" s="315"/>
      <c r="E442" s="315"/>
      <c r="F442" s="315"/>
      <c r="G442" s="315"/>
      <c r="H442" s="315"/>
      <c r="I442" s="315"/>
      <c r="J442" s="315"/>
      <c r="K442" s="315"/>
      <c r="L442" s="315"/>
      <c r="M442" s="315"/>
      <c r="N442" s="315"/>
      <c r="O442" s="315"/>
      <c r="P442" s="315"/>
      <c r="Q442" s="315"/>
      <c r="R442" s="315"/>
      <c r="S442" s="315"/>
      <c r="T442" s="315"/>
      <c r="U442" s="315"/>
      <c r="V442" s="315"/>
      <c r="W442" s="315"/>
      <c r="X442" s="315"/>
      <c r="Y442" s="315"/>
      <c r="Z442" s="315"/>
    </row>
    <row r="443">
      <c r="A443" s="315"/>
      <c r="B443" s="315"/>
      <c r="C443" s="315"/>
      <c r="D443" s="315"/>
      <c r="E443" s="315"/>
      <c r="F443" s="315"/>
      <c r="G443" s="315"/>
      <c r="H443" s="315"/>
      <c r="I443" s="315"/>
      <c r="J443" s="315"/>
      <c r="K443" s="315"/>
      <c r="L443" s="315"/>
      <c r="M443" s="315"/>
      <c r="N443" s="315"/>
      <c r="O443" s="315"/>
      <c r="P443" s="315"/>
      <c r="Q443" s="315"/>
      <c r="R443" s="315"/>
      <c r="S443" s="315"/>
      <c r="T443" s="315"/>
      <c r="U443" s="315"/>
      <c r="V443" s="315"/>
      <c r="W443" s="315"/>
      <c r="X443" s="315"/>
      <c r="Y443" s="315"/>
      <c r="Z443" s="315"/>
    </row>
    <row r="444">
      <c r="A444" s="315"/>
      <c r="B444" s="315"/>
      <c r="C444" s="315"/>
      <c r="D444" s="315"/>
      <c r="E444" s="315"/>
      <c r="F444" s="315"/>
      <c r="G444" s="315"/>
      <c r="H444" s="315"/>
      <c r="I444" s="315"/>
      <c r="J444" s="315"/>
      <c r="K444" s="315"/>
      <c r="L444" s="315"/>
      <c r="M444" s="315"/>
      <c r="N444" s="315"/>
      <c r="O444" s="315"/>
      <c r="P444" s="315"/>
      <c r="Q444" s="315"/>
      <c r="R444" s="315"/>
      <c r="S444" s="315"/>
      <c r="T444" s="315"/>
      <c r="U444" s="315"/>
      <c r="V444" s="315"/>
      <c r="W444" s="315"/>
      <c r="X444" s="315"/>
      <c r="Y444" s="315"/>
      <c r="Z444" s="315"/>
    </row>
    <row r="445">
      <c r="A445" s="315"/>
      <c r="B445" s="315"/>
      <c r="C445" s="315"/>
      <c r="D445" s="315"/>
      <c r="E445" s="315"/>
      <c r="F445" s="315"/>
      <c r="G445" s="315"/>
      <c r="H445" s="315"/>
      <c r="I445" s="315"/>
      <c r="J445" s="315"/>
      <c r="K445" s="315"/>
      <c r="L445" s="315"/>
      <c r="M445" s="315"/>
      <c r="N445" s="315"/>
      <c r="O445" s="315"/>
      <c r="P445" s="315"/>
      <c r="Q445" s="315"/>
      <c r="R445" s="315"/>
      <c r="S445" s="315"/>
      <c r="T445" s="315"/>
      <c r="U445" s="315"/>
      <c r="V445" s="315"/>
      <c r="W445" s="315"/>
      <c r="X445" s="315"/>
      <c r="Y445" s="315"/>
      <c r="Z445" s="315"/>
    </row>
    <row r="446">
      <c r="A446" s="315"/>
      <c r="B446" s="315"/>
      <c r="C446" s="315"/>
      <c r="D446" s="315"/>
      <c r="E446" s="315"/>
      <c r="F446" s="315"/>
      <c r="G446" s="315"/>
      <c r="H446" s="315"/>
      <c r="I446" s="315"/>
      <c r="J446" s="315"/>
      <c r="K446" s="315"/>
      <c r="L446" s="315"/>
      <c r="M446" s="315"/>
      <c r="N446" s="315"/>
      <c r="O446" s="315"/>
      <c r="P446" s="315"/>
      <c r="Q446" s="315"/>
      <c r="R446" s="315"/>
      <c r="S446" s="315"/>
      <c r="T446" s="315"/>
      <c r="U446" s="315"/>
      <c r="V446" s="315"/>
      <c r="W446" s="315"/>
      <c r="X446" s="315"/>
      <c r="Y446" s="315"/>
      <c r="Z446" s="315"/>
    </row>
    <row r="447">
      <c r="A447" s="315"/>
      <c r="B447" s="315"/>
      <c r="C447" s="315"/>
      <c r="D447" s="315"/>
      <c r="E447" s="315"/>
      <c r="F447" s="315"/>
      <c r="G447" s="315"/>
      <c r="H447" s="315"/>
      <c r="I447" s="315"/>
      <c r="J447" s="315"/>
      <c r="K447" s="315"/>
      <c r="L447" s="315"/>
      <c r="M447" s="315"/>
      <c r="N447" s="315"/>
      <c r="O447" s="315"/>
      <c r="P447" s="315"/>
      <c r="Q447" s="315"/>
      <c r="R447" s="315"/>
      <c r="S447" s="315"/>
      <c r="T447" s="315"/>
      <c r="U447" s="315"/>
      <c r="V447" s="315"/>
      <c r="W447" s="315"/>
      <c r="X447" s="315"/>
      <c r="Y447" s="315"/>
      <c r="Z447" s="315"/>
    </row>
    <row r="448">
      <c r="A448" s="315"/>
      <c r="B448" s="315"/>
      <c r="C448" s="315"/>
      <c r="D448" s="315"/>
      <c r="E448" s="315"/>
      <c r="F448" s="315"/>
      <c r="G448" s="315"/>
      <c r="H448" s="315"/>
      <c r="I448" s="315"/>
      <c r="J448" s="315"/>
      <c r="K448" s="315"/>
      <c r="L448" s="315"/>
      <c r="M448" s="315"/>
      <c r="N448" s="315"/>
      <c r="O448" s="315"/>
      <c r="P448" s="315"/>
      <c r="Q448" s="315"/>
      <c r="R448" s="315"/>
      <c r="S448" s="315"/>
      <c r="T448" s="315"/>
      <c r="U448" s="315"/>
      <c r="V448" s="315"/>
      <c r="W448" s="315"/>
      <c r="X448" s="315"/>
      <c r="Y448" s="315"/>
      <c r="Z448" s="315"/>
    </row>
    <row r="449">
      <c r="A449" s="315"/>
      <c r="B449" s="315"/>
      <c r="C449" s="315"/>
      <c r="D449" s="315"/>
      <c r="E449" s="315"/>
      <c r="F449" s="315"/>
      <c r="G449" s="315"/>
      <c r="H449" s="315"/>
      <c r="I449" s="315"/>
      <c r="J449" s="315"/>
      <c r="K449" s="315"/>
      <c r="L449" s="315"/>
      <c r="M449" s="315"/>
      <c r="N449" s="315"/>
      <c r="O449" s="315"/>
      <c r="P449" s="315"/>
      <c r="Q449" s="315"/>
      <c r="R449" s="315"/>
      <c r="S449" s="315"/>
      <c r="T449" s="315"/>
      <c r="U449" s="315"/>
      <c r="V449" s="315"/>
      <c r="W449" s="315"/>
      <c r="X449" s="315"/>
      <c r="Y449" s="315"/>
      <c r="Z449" s="315"/>
    </row>
    <row r="450">
      <c r="A450" s="315"/>
      <c r="B450" s="315"/>
      <c r="C450" s="315"/>
      <c r="D450" s="315"/>
      <c r="E450" s="315"/>
      <c r="F450" s="315"/>
      <c r="G450" s="315"/>
      <c r="H450" s="315"/>
      <c r="I450" s="315"/>
      <c r="J450" s="315"/>
      <c r="K450" s="315"/>
      <c r="L450" s="315"/>
      <c r="M450" s="315"/>
      <c r="N450" s="315"/>
      <c r="O450" s="315"/>
      <c r="P450" s="315"/>
      <c r="Q450" s="315"/>
      <c r="R450" s="315"/>
      <c r="S450" s="315"/>
      <c r="T450" s="315"/>
      <c r="U450" s="315"/>
      <c r="V450" s="315"/>
      <c r="W450" s="315"/>
      <c r="X450" s="315"/>
      <c r="Y450" s="315"/>
      <c r="Z450" s="315"/>
    </row>
    <row r="451">
      <c r="A451" s="315"/>
      <c r="B451" s="315"/>
      <c r="C451" s="315"/>
      <c r="D451" s="315"/>
      <c r="E451" s="315"/>
      <c r="F451" s="315"/>
      <c r="G451" s="315"/>
      <c r="H451" s="315"/>
      <c r="I451" s="315"/>
      <c r="J451" s="315"/>
      <c r="K451" s="315"/>
      <c r="L451" s="315"/>
      <c r="M451" s="315"/>
      <c r="N451" s="315"/>
      <c r="O451" s="315"/>
      <c r="P451" s="315"/>
      <c r="Q451" s="315"/>
      <c r="R451" s="315"/>
      <c r="S451" s="315"/>
      <c r="T451" s="315"/>
      <c r="U451" s="315"/>
      <c r="V451" s="315"/>
      <c r="W451" s="315"/>
      <c r="X451" s="315"/>
      <c r="Y451" s="315"/>
      <c r="Z451" s="315"/>
    </row>
    <row r="452">
      <c r="A452" s="315"/>
      <c r="B452" s="315"/>
      <c r="C452" s="315"/>
      <c r="D452" s="315"/>
      <c r="E452" s="315"/>
      <c r="F452" s="315"/>
      <c r="G452" s="315"/>
      <c r="H452" s="315"/>
      <c r="I452" s="315"/>
      <c r="J452" s="315"/>
      <c r="K452" s="315"/>
      <c r="L452" s="315"/>
      <c r="M452" s="315"/>
      <c r="N452" s="315"/>
      <c r="O452" s="315"/>
      <c r="P452" s="315"/>
      <c r="Q452" s="315"/>
      <c r="R452" s="315"/>
      <c r="S452" s="315"/>
      <c r="T452" s="315"/>
      <c r="U452" s="315"/>
      <c r="V452" s="315"/>
      <c r="W452" s="315"/>
      <c r="X452" s="315"/>
      <c r="Y452" s="315"/>
      <c r="Z452" s="315"/>
    </row>
    <row r="453">
      <c r="A453" s="315"/>
      <c r="B453" s="315"/>
      <c r="C453" s="315"/>
      <c r="D453" s="315"/>
      <c r="E453" s="315"/>
      <c r="F453" s="315"/>
      <c r="G453" s="315"/>
      <c r="H453" s="315"/>
      <c r="I453" s="315"/>
      <c r="J453" s="315"/>
      <c r="K453" s="315"/>
      <c r="L453" s="315"/>
      <c r="M453" s="315"/>
      <c r="N453" s="315"/>
      <c r="O453" s="315"/>
      <c r="P453" s="315"/>
      <c r="Q453" s="315"/>
      <c r="R453" s="315"/>
      <c r="S453" s="315"/>
      <c r="T453" s="315"/>
      <c r="U453" s="315"/>
      <c r="V453" s="315"/>
      <c r="W453" s="315"/>
      <c r="X453" s="315"/>
      <c r="Y453" s="315"/>
      <c r="Z453" s="315"/>
    </row>
    <row r="454">
      <c r="A454" s="315"/>
      <c r="B454" s="315"/>
      <c r="C454" s="315"/>
      <c r="D454" s="315"/>
      <c r="E454" s="315"/>
      <c r="F454" s="315"/>
      <c r="G454" s="315"/>
      <c r="H454" s="315"/>
      <c r="I454" s="315"/>
      <c r="J454" s="315"/>
      <c r="K454" s="315"/>
      <c r="L454" s="315"/>
      <c r="M454" s="315"/>
      <c r="N454" s="315"/>
      <c r="O454" s="315"/>
      <c r="P454" s="315"/>
      <c r="Q454" s="315"/>
      <c r="R454" s="315"/>
      <c r="S454" s="315"/>
      <c r="T454" s="315"/>
      <c r="U454" s="315"/>
      <c r="V454" s="315"/>
      <c r="W454" s="315"/>
      <c r="X454" s="315"/>
      <c r="Y454" s="315"/>
      <c r="Z454" s="315"/>
    </row>
    <row r="455">
      <c r="A455" s="315"/>
      <c r="B455" s="315"/>
      <c r="C455" s="315"/>
      <c r="D455" s="315"/>
      <c r="E455" s="315"/>
      <c r="F455" s="315"/>
      <c r="G455" s="315"/>
      <c r="H455" s="315"/>
      <c r="I455" s="315"/>
      <c r="J455" s="315"/>
      <c r="K455" s="315"/>
      <c r="L455" s="315"/>
      <c r="M455" s="315"/>
      <c r="N455" s="315"/>
      <c r="O455" s="315"/>
      <c r="P455" s="315"/>
      <c r="Q455" s="315"/>
      <c r="R455" s="315"/>
      <c r="S455" s="315"/>
      <c r="T455" s="315"/>
      <c r="U455" s="315"/>
      <c r="V455" s="315"/>
      <c r="W455" s="315"/>
      <c r="X455" s="315"/>
      <c r="Y455" s="315"/>
      <c r="Z455" s="315"/>
    </row>
    <row r="456">
      <c r="A456" s="315"/>
      <c r="B456" s="315"/>
      <c r="C456" s="315"/>
      <c r="D456" s="315"/>
      <c r="E456" s="315"/>
      <c r="F456" s="315"/>
      <c r="G456" s="315"/>
      <c r="H456" s="315"/>
      <c r="I456" s="315"/>
      <c r="J456" s="315"/>
      <c r="K456" s="315"/>
      <c r="L456" s="315"/>
      <c r="M456" s="315"/>
      <c r="N456" s="315"/>
      <c r="O456" s="315"/>
      <c r="P456" s="315"/>
      <c r="Q456" s="315"/>
      <c r="R456" s="315"/>
      <c r="S456" s="315"/>
      <c r="T456" s="315"/>
      <c r="U456" s="315"/>
      <c r="V456" s="315"/>
      <c r="W456" s="315"/>
      <c r="X456" s="315"/>
      <c r="Y456" s="315"/>
      <c r="Z456" s="315"/>
    </row>
    <row r="457">
      <c r="A457" s="315"/>
      <c r="B457" s="315"/>
      <c r="C457" s="315"/>
      <c r="D457" s="315"/>
      <c r="E457" s="315"/>
      <c r="F457" s="315"/>
      <c r="G457" s="315"/>
      <c r="H457" s="315"/>
      <c r="I457" s="315"/>
      <c r="J457" s="315"/>
      <c r="K457" s="315"/>
      <c r="L457" s="315"/>
      <c r="M457" s="315"/>
      <c r="N457" s="315"/>
      <c r="O457" s="315"/>
      <c r="P457" s="315"/>
      <c r="Q457" s="315"/>
      <c r="R457" s="315"/>
      <c r="S457" s="315"/>
      <c r="T457" s="315"/>
      <c r="U457" s="315"/>
      <c r="V457" s="315"/>
      <c r="W457" s="315"/>
      <c r="X457" s="315"/>
      <c r="Y457" s="315"/>
      <c r="Z457" s="315"/>
    </row>
    <row r="458">
      <c r="A458" s="315"/>
      <c r="B458" s="315"/>
      <c r="C458" s="315"/>
      <c r="D458" s="315"/>
      <c r="E458" s="315"/>
      <c r="F458" s="315"/>
      <c r="G458" s="315"/>
      <c r="H458" s="315"/>
      <c r="I458" s="315"/>
      <c r="J458" s="315"/>
      <c r="K458" s="315"/>
      <c r="L458" s="315"/>
      <c r="M458" s="315"/>
      <c r="N458" s="315"/>
      <c r="O458" s="315"/>
      <c r="P458" s="315"/>
      <c r="Q458" s="315"/>
      <c r="R458" s="315"/>
      <c r="S458" s="315"/>
      <c r="T458" s="315"/>
      <c r="U458" s="315"/>
      <c r="V458" s="315"/>
      <c r="W458" s="315"/>
      <c r="X458" s="315"/>
      <c r="Y458" s="315"/>
      <c r="Z458" s="315"/>
    </row>
    <row r="459">
      <c r="A459" s="315"/>
      <c r="B459" s="315"/>
      <c r="C459" s="315"/>
      <c r="D459" s="315"/>
      <c r="E459" s="315"/>
      <c r="F459" s="315"/>
      <c r="G459" s="315"/>
      <c r="H459" s="315"/>
      <c r="I459" s="315"/>
      <c r="J459" s="315"/>
      <c r="K459" s="315"/>
      <c r="L459" s="315"/>
      <c r="M459" s="315"/>
      <c r="N459" s="315"/>
      <c r="O459" s="315"/>
      <c r="P459" s="315"/>
      <c r="Q459" s="315"/>
      <c r="R459" s="315"/>
      <c r="S459" s="315"/>
      <c r="T459" s="315"/>
      <c r="U459" s="315"/>
      <c r="V459" s="315"/>
      <c r="W459" s="315"/>
      <c r="X459" s="315"/>
      <c r="Y459" s="315"/>
      <c r="Z459" s="315"/>
    </row>
    <row r="460">
      <c r="A460" s="315"/>
      <c r="B460" s="315"/>
      <c r="C460" s="315"/>
      <c r="D460" s="315"/>
      <c r="E460" s="315"/>
      <c r="F460" s="315"/>
      <c r="G460" s="315"/>
      <c r="H460" s="315"/>
      <c r="I460" s="315"/>
      <c r="J460" s="315"/>
      <c r="K460" s="315"/>
      <c r="L460" s="315"/>
      <c r="M460" s="315"/>
      <c r="N460" s="315"/>
      <c r="O460" s="315"/>
      <c r="P460" s="315"/>
      <c r="Q460" s="315"/>
      <c r="R460" s="315"/>
      <c r="S460" s="315"/>
      <c r="T460" s="315"/>
      <c r="U460" s="315"/>
      <c r="V460" s="315"/>
      <c r="W460" s="315"/>
      <c r="X460" s="315"/>
      <c r="Y460" s="315"/>
      <c r="Z460" s="315"/>
    </row>
    <row r="461">
      <c r="A461" s="315"/>
      <c r="B461" s="315"/>
      <c r="C461" s="315"/>
      <c r="D461" s="315"/>
      <c r="E461" s="315"/>
      <c r="F461" s="315"/>
      <c r="G461" s="315"/>
      <c r="H461" s="315"/>
      <c r="I461" s="315"/>
      <c r="J461" s="315"/>
      <c r="K461" s="315"/>
      <c r="L461" s="315"/>
      <c r="M461" s="315"/>
      <c r="N461" s="315"/>
      <c r="O461" s="315"/>
      <c r="P461" s="315"/>
      <c r="Q461" s="315"/>
      <c r="R461" s="315"/>
      <c r="S461" s="315"/>
      <c r="T461" s="315"/>
      <c r="U461" s="315"/>
      <c r="V461" s="315"/>
      <c r="W461" s="315"/>
      <c r="X461" s="315"/>
      <c r="Y461" s="315"/>
      <c r="Z461" s="315"/>
    </row>
    <row r="462">
      <c r="A462" s="315"/>
      <c r="B462" s="315"/>
      <c r="C462" s="315"/>
      <c r="D462" s="315"/>
      <c r="E462" s="315"/>
      <c r="F462" s="315"/>
      <c r="G462" s="315"/>
      <c r="H462" s="315"/>
      <c r="I462" s="315"/>
      <c r="J462" s="315"/>
      <c r="K462" s="315"/>
      <c r="L462" s="315"/>
      <c r="M462" s="315"/>
      <c r="N462" s="315"/>
      <c r="O462" s="315"/>
      <c r="P462" s="315"/>
      <c r="Q462" s="315"/>
      <c r="R462" s="315"/>
      <c r="S462" s="315"/>
      <c r="T462" s="315"/>
      <c r="U462" s="315"/>
      <c r="V462" s="315"/>
      <c r="W462" s="315"/>
      <c r="X462" s="315"/>
      <c r="Y462" s="315"/>
      <c r="Z462" s="315"/>
    </row>
    <row r="463">
      <c r="A463" s="315"/>
      <c r="B463" s="315"/>
      <c r="C463" s="315"/>
      <c r="D463" s="315"/>
      <c r="E463" s="315"/>
      <c r="F463" s="315"/>
      <c r="G463" s="315"/>
      <c r="H463" s="315"/>
      <c r="I463" s="315"/>
      <c r="J463" s="315"/>
      <c r="K463" s="315"/>
      <c r="L463" s="315"/>
      <c r="M463" s="315"/>
      <c r="N463" s="315"/>
      <c r="O463" s="315"/>
      <c r="P463" s="315"/>
      <c r="Q463" s="315"/>
      <c r="R463" s="315"/>
      <c r="S463" s="315"/>
      <c r="T463" s="315"/>
      <c r="U463" s="315"/>
      <c r="V463" s="315"/>
      <c r="W463" s="315"/>
      <c r="X463" s="315"/>
      <c r="Y463" s="315"/>
      <c r="Z463" s="315"/>
    </row>
    <row r="464">
      <c r="A464" s="315"/>
      <c r="B464" s="315"/>
      <c r="C464" s="315"/>
      <c r="D464" s="315"/>
      <c r="E464" s="315"/>
      <c r="F464" s="315"/>
      <c r="G464" s="315"/>
      <c r="H464" s="315"/>
      <c r="I464" s="315"/>
      <c r="J464" s="315"/>
      <c r="K464" s="315"/>
      <c r="L464" s="315"/>
      <c r="M464" s="315"/>
      <c r="N464" s="315"/>
      <c r="O464" s="315"/>
      <c r="P464" s="315"/>
      <c r="Q464" s="315"/>
      <c r="R464" s="315"/>
      <c r="S464" s="315"/>
      <c r="T464" s="315"/>
      <c r="U464" s="315"/>
      <c r="V464" s="315"/>
      <c r="W464" s="315"/>
      <c r="X464" s="315"/>
      <c r="Y464" s="315"/>
      <c r="Z464" s="315"/>
    </row>
    <row r="465">
      <c r="A465" s="315"/>
      <c r="B465" s="315"/>
      <c r="C465" s="315"/>
      <c r="D465" s="315"/>
      <c r="E465" s="315"/>
      <c r="F465" s="315"/>
      <c r="G465" s="315"/>
      <c r="H465" s="315"/>
      <c r="I465" s="315"/>
      <c r="J465" s="315"/>
      <c r="K465" s="315"/>
      <c r="L465" s="315"/>
      <c r="M465" s="315"/>
      <c r="N465" s="315"/>
      <c r="O465" s="315"/>
      <c r="P465" s="315"/>
      <c r="Q465" s="315"/>
      <c r="R465" s="315"/>
      <c r="S465" s="315"/>
      <c r="T465" s="315"/>
      <c r="U465" s="315"/>
      <c r="V465" s="315"/>
      <c r="W465" s="315"/>
      <c r="X465" s="315"/>
      <c r="Y465" s="315"/>
      <c r="Z465" s="315"/>
    </row>
    <row r="466">
      <c r="A466" s="315"/>
      <c r="B466" s="315"/>
      <c r="C466" s="315"/>
      <c r="D466" s="315"/>
      <c r="E466" s="315"/>
      <c r="F466" s="315"/>
      <c r="G466" s="315"/>
      <c r="H466" s="315"/>
      <c r="I466" s="315"/>
      <c r="J466" s="315"/>
      <c r="K466" s="315"/>
      <c r="L466" s="315"/>
      <c r="M466" s="315"/>
      <c r="N466" s="315"/>
      <c r="O466" s="315"/>
      <c r="P466" s="315"/>
      <c r="Q466" s="315"/>
      <c r="R466" s="315"/>
      <c r="S466" s="315"/>
      <c r="T466" s="315"/>
      <c r="U466" s="315"/>
      <c r="V466" s="315"/>
      <c r="W466" s="315"/>
      <c r="X466" s="315"/>
      <c r="Y466" s="315"/>
      <c r="Z466" s="315"/>
    </row>
    <row r="467">
      <c r="A467" s="315"/>
      <c r="B467" s="315"/>
      <c r="C467" s="315"/>
      <c r="D467" s="315"/>
      <c r="E467" s="315"/>
      <c r="F467" s="315"/>
      <c r="G467" s="315"/>
      <c r="H467" s="315"/>
      <c r="I467" s="315"/>
      <c r="J467" s="315"/>
      <c r="K467" s="315"/>
      <c r="L467" s="315"/>
      <c r="M467" s="315"/>
      <c r="N467" s="315"/>
      <c r="O467" s="315"/>
      <c r="P467" s="315"/>
      <c r="Q467" s="315"/>
      <c r="R467" s="315"/>
      <c r="S467" s="315"/>
      <c r="T467" s="315"/>
      <c r="U467" s="315"/>
      <c r="V467" s="315"/>
      <c r="W467" s="315"/>
      <c r="X467" s="315"/>
      <c r="Y467" s="315"/>
      <c r="Z467" s="315"/>
    </row>
    <row r="468">
      <c r="A468" s="315"/>
      <c r="B468" s="315"/>
      <c r="C468" s="315"/>
      <c r="D468" s="315"/>
      <c r="E468" s="315"/>
      <c r="F468" s="315"/>
      <c r="G468" s="315"/>
      <c r="H468" s="315"/>
      <c r="I468" s="315"/>
      <c r="J468" s="315"/>
      <c r="K468" s="315"/>
      <c r="L468" s="315"/>
      <c r="M468" s="315"/>
      <c r="N468" s="315"/>
      <c r="O468" s="315"/>
      <c r="P468" s="315"/>
      <c r="Q468" s="315"/>
      <c r="R468" s="315"/>
      <c r="S468" s="315"/>
      <c r="T468" s="315"/>
      <c r="U468" s="315"/>
      <c r="V468" s="315"/>
      <c r="W468" s="315"/>
      <c r="X468" s="315"/>
      <c r="Y468" s="315"/>
      <c r="Z468" s="315"/>
    </row>
    <row r="469">
      <c r="A469" s="315"/>
      <c r="B469" s="315"/>
      <c r="C469" s="315"/>
      <c r="D469" s="315"/>
      <c r="E469" s="315"/>
      <c r="F469" s="315"/>
      <c r="G469" s="315"/>
      <c r="H469" s="315"/>
      <c r="I469" s="315"/>
      <c r="J469" s="315"/>
      <c r="K469" s="315"/>
      <c r="L469" s="315"/>
      <c r="M469" s="315"/>
      <c r="N469" s="315"/>
      <c r="O469" s="315"/>
      <c r="P469" s="315"/>
      <c r="Q469" s="315"/>
      <c r="R469" s="315"/>
      <c r="S469" s="315"/>
      <c r="T469" s="315"/>
      <c r="U469" s="315"/>
      <c r="V469" s="315"/>
      <c r="W469" s="315"/>
      <c r="X469" s="315"/>
      <c r="Y469" s="315"/>
      <c r="Z469" s="315"/>
    </row>
    <row r="470">
      <c r="A470" s="315"/>
      <c r="B470" s="315"/>
      <c r="C470" s="315"/>
      <c r="D470" s="315"/>
      <c r="E470" s="315"/>
      <c r="F470" s="315"/>
      <c r="G470" s="315"/>
      <c r="H470" s="315"/>
      <c r="I470" s="315"/>
      <c r="J470" s="315"/>
      <c r="K470" s="315"/>
      <c r="L470" s="315"/>
      <c r="M470" s="315"/>
      <c r="N470" s="315"/>
      <c r="O470" s="315"/>
      <c r="P470" s="315"/>
      <c r="Q470" s="315"/>
      <c r="R470" s="315"/>
      <c r="S470" s="315"/>
      <c r="T470" s="315"/>
      <c r="U470" s="315"/>
      <c r="V470" s="315"/>
      <c r="W470" s="315"/>
      <c r="X470" s="315"/>
      <c r="Y470" s="315"/>
      <c r="Z470" s="315"/>
    </row>
    <row r="471">
      <c r="A471" s="315"/>
      <c r="B471" s="315"/>
      <c r="C471" s="315"/>
      <c r="D471" s="315"/>
      <c r="E471" s="315"/>
      <c r="F471" s="315"/>
      <c r="G471" s="315"/>
      <c r="H471" s="315"/>
      <c r="I471" s="315"/>
      <c r="J471" s="315"/>
      <c r="K471" s="315"/>
      <c r="L471" s="315"/>
      <c r="M471" s="315"/>
      <c r="N471" s="315"/>
      <c r="O471" s="315"/>
      <c r="P471" s="315"/>
      <c r="Q471" s="315"/>
      <c r="R471" s="315"/>
      <c r="S471" s="315"/>
      <c r="T471" s="315"/>
      <c r="U471" s="315"/>
      <c r="V471" s="315"/>
      <c r="W471" s="315"/>
      <c r="X471" s="315"/>
      <c r="Y471" s="315"/>
      <c r="Z471" s="315"/>
    </row>
    <row r="472">
      <c r="A472" s="315"/>
      <c r="B472" s="315"/>
      <c r="C472" s="315"/>
      <c r="D472" s="315"/>
      <c r="E472" s="315"/>
      <c r="F472" s="315"/>
      <c r="G472" s="315"/>
      <c r="H472" s="315"/>
      <c r="I472" s="315"/>
      <c r="J472" s="315"/>
      <c r="K472" s="315"/>
      <c r="L472" s="315"/>
      <c r="M472" s="315"/>
      <c r="N472" s="315"/>
      <c r="O472" s="315"/>
      <c r="P472" s="315"/>
      <c r="Q472" s="315"/>
      <c r="R472" s="315"/>
      <c r="S472" s="315"/>
      <c r="T472" s="315"/>
      <c r="U472" s="315"/>
      <c r="V472" s="315"/>
      <c r="W472" s="315"/>
      <c r="X472" s="315"/>
      <c r="Y472" s="315"/>
      <c r="Z472" s="315"/>
    </row>
    <row r="473">
      <c r="A473" s="315"/>
      <c r="B473" s="315"/>
      <c r="C473" s="315"/>
      <c r="D473" s="315"/>
      <c r="E473" s="315"/>
      <c r="F473" s="315"/>
      <c r="G473" s="315"/>
      <c r="H473" s="315"/>
      <c r="I473" s="315"/>
      <c r="J473" s="315"/>
      <c r="K473" s="315"/>
      <c r="L473" s="315"/>
      <c r="M473" s="315"/>
      <c r="N473" s="315"/>
      <c r="O473" s="315"/>
      <c r="P473" s="315"/>
      <c r="Q473" s="315"/>
      <c r="R473" s="315"/>
      <c r="S473" s="315"/>
      <c r="T473" s="315"/>
      <c r="U473" s="315"/>
      <c r="V473" s="315"/>
      <c r="W473" s="315"/>
      <c r="X473" s="315"/>
      <c r="Y473" s="315"/>
      <c r="Z473" s="315"/>
    </row>
    <row r="474">
      <c r="A474" s="315"/>
      <c r="B474" s="315"/>
      <c r="C474" s="315"/>
      <c r="D474" s="315"/>
      <c r="E474" s="315"/>
      <c r="F474" s="315"/>
      <c r="G474" s="315"/>
      <c r="H474" s="315"/>
      <c r="I474" s="315"/>
      <c r="J474" s="315"/>
      <c r="K474" s="315"/>
      <c r="L474" s="315"/>
      <c r="M474" s="315"/>
      <c r="N474" s="315"/>
      <c r="O474" s="315"/>
      <c r="P474" s="315"/>
      <c r="Q474" s="315"/>
      <c r="R474" s="315"/>
      <c r="S474" s="315"/>
      <c r="T474" s="315"/>
      <c r="U474" s="315"/>
      <c r="V474" s="315"/>
      <c r="W474" s="315"/>
      <c r="X474" s="315"/>
      <c r="Y474" s="315"/>
      <c r="Z474" s="315"/>
    </row>
    <row r="475">
      <c r="A475" s="315"/>
      <c r="B475" s="315"/>
      <c r="C475" s="315"/>
      <c r="D475" s="315"/>
      <c r="E475" s="315"/>
      <c r="F475" s="315"/>
      <c r="G475" s="315"/>
      <c r="H475" s="315"/>
      <c r="I475" s="315"/>
      <c r="J475" s="315"/>
      <c r="K475" s="315"/>
      <c r="L475" s="315"/>
      <c r="M475" s="315"/>
      <c r="N475" s="315"/>
      <c r="O475" s="315"/>
      <c r="P475" s="315"/>
      <c r="Q475" s="315"/>
      <c r="R475" s="315"/>
      <c r="S475" s="315"/>
      <c r="T475" s="315"/>
      <c r="U475" s="315"/>
      <c r="V475" s="315"/>
      <c r="W475" s="315"/>
      <c r="X475" s="315"/>
      <c r="Y475" s="315"/>
      <c r="Z475" s="315"/>
    </row>
    <row r="476">
      <c r="A476" s="315"/>
      <c r="B476" s="315"/>
      <c r="C476" s="315"/>
      <c r="D476" s="315"/>
      <c r="E476" s="315"/>
      <c r="F476" s="315"/>
      <c r="G476" s="315"/>
      <c r="H476" s="315"/>
      <c r="I476" s="315"/>
      <c r="J476" s="315"/>
      <c r="K476" s="315"/>
      <c r="L476" s="315"/>
      <c r="M476" s="315"/>
      <c r="N476" s="315"/>
      <c r="O476" s="315"/>
      <c r="P476" s="315"/>
      <c r="Q476" s="315"/>
      <c r="R476" s="315"/>
      <c r="S476" s="315"/>
      <c r="T476" s="315"/>
      <c r="U476" s="315"/>
      <c r="V476" s="315"/>
      <c r="W476" s="315"/>
      <c r="X476" s="315"/>
      <c r="Y476" s="315"/>
      <c r="Z476" s="315"/>
    </row>
    <row r="477">
      <c r="A477" s="315"/>
      <c r="B477" s="315"/>
      <c r="C477" s="315"/>
      <c r="D477" s="315"/>
      <c r="E477" s="315"/>
      <c r="F477" s="315"/>
      <c r="G477" s="315"/>
      <c r="H477" s="315"/>
      <c r="I477" s="315"/>
      <c r="J477" s="315"/>
      <c r="K477" s="315"/>
      <c r="L477" s="315"/>
      <c r="M477" s="315"/>
      <c r="N477" s="315"/>
      <c r="O477" s="315"/>
      <c r="P477" s="315"/>
      <c r="Q477" s="315"/>
      <c r="R477" s="315"/>
      <c r="S477" s="315"/>
      <c r="T477" s="315"/>
      <c r="U477" s="315"/>
      <c r="V477" s="315"/>
      <c r="W477" s="315"/>
      <c r="X477" s="315"/>
      <c r="Y477" s="315"/>
      <c r="Z477" s="315"/>
    </row>
    <row r="478">
      <c r="A478" s="315"/>
      <c r="B478" s="315"/>
      <c r="C478" s="315"/>
      <c r="D478" s="315"/>
      <c r="E478" s="315"/>
      <c r="F478" s="315"/>
      <c r="G478" s="315"/>
      <c r="H478" s="315"/>
      <c r="I478" s="315"/>
      <c r="J478" s="315"/>
      <c r="K478" s="315"/>
      <c r="L478" s="315"/>
      <c r="M478" s="315"/>
      <c r="N478" s="315"/>
      <c r="O478" s="315"/>
      <c r="P478" s="315"/>
      <c r="Q478" s="315"/>
      <c r="R478" s="315"/>
      <c r="S478" s="315"/>
      <c r="T478" s="315"/>
      <c r="U478" s="315"/>
      <c r="V478" s="315"/>
      <c r="W478" s="315"/>
      <c r="X478" s="315"/>
      <c r="Y478" s="315"/>
      <c r="Z478" s="315"/>
    </row>
    <row r="479">
      <c r="A479" s="315"/>
      <c r="B479" s="315"/>
      <c r="C479" s="315"/>
      <c r="D479" s="315"/>
      <c r="E479" s="315"/>
      <c r="F479" s="315"/>
      <c r="G479" s="315"/>
      <c r="H479" s="315"/>
      <c r="I479" s="315"/>
      <c r="J479" s="315"/>
      <c r="K479" s="315"/>
      <c r="L479" s="315"/>
      <c r="M479" s="315"/>
      <c r="N479" s="315"/>
      <c r="O479" s="315"/>
      <c r="P479" s="315"/>
      <c r="Q479" s="315"/>
      <c r="R479" s="315"/>
      <c r="S479" s="315"/>
      <c r="T479" s="315"/>
      <c r="U479" s="315"/>
      <c r="V479" s="315"/>
      <c r="W479" s="315"/>
      <c r="X479" s="315"/>
      <c r="Y479" s="315"/>
      <c r="Z479" s="315"/>
    </row>
    <row r="480">
      <c r="A480" s="315"/>
      <c r="B480" s="315"/>
      <c r="C480" s="315"/>
      <c r="D480" s="315"/>
      <c r="E480" s="315"/>
      <c r="F480" s="315"/>
      <c r="G480" s="315"/>
      <c r="H480" s="315"/>
      <c r="I480" s="315"/>
      <c r="J480" s="315"/>
      <c r="K480" s="315"/>
      <c r="L480" s="315"/>
      <c r="M480" s="315"/>
      <c r="N480" s="315"/>
      <c r="O480" s="315"/>
      <c r="P480" s="315"/>
      <c r="Q480" s="315"/>
      <c r="R480" s="315"/>
      <c r="S480" s="315"/>
      <c r="T480" s="315"/>
      <c r="U480" s="315"/>
      <c r="V480" s="315"/>
      <c r="W480" s="315"/>
      <c r="X480" s="315"/>
      <c r="Y480" s="315"/>
      <c r="Z480" s="315"/>
    </row>
    <row r="481">
      <c r="A481" s="315"/>
      <c r="B481" s="315"/>
      <c r="C481" s="315"/>
      <c r="D481" s="315"/>
      <c r="E481" s="315"/>
      <c r="F481" s="315"/>
      <c r="G481" s="315"/>
      <c r="H481" s="315"/>
      <c r="I481" s="315"/>
      <c r="J481" s="315"/>
      <c r="K481" s="315"/>
      <c r="L481" s="315"/>
      <c r="M481" s="315"/>
      <c r="N481" s="315"/>
      <c r="O481" s="315"/>
      <c r="P481" s="315"/>
      <c r="Q481" s="315"/>
      <c r="R481" s="315"/>
      <c r="S481" s="315"/>
      <c r="T481" s="315"/>
      <c r="U481" s="315"/>
      <c r="V481" s="315"/>
      <c r="W481" s="315"/>
      <c r="X481" s="315"/>
      <c r="Y481" s="315"/>
      <c r="Z481" s="315"/>
    </row>
    <row r="482">
      <c r="A482" s="315"/>
      <c r="B482" s="315"/>
      <c r="C482" s="315"/>
      <c r="D482" s="315"/>
      <c r="E482" s="315"/>
      <c r="F482" s="315"/>
      <c r="G482" s="315"/>
      <c r="H482" s="315"/>
      <c r="I482" s="315"/>
      <c r="J482" s="315"/>
      <c r="K482" s="315"/>
      <c r="L482" s="315"/>
      <c r="M482" s="315"/>
      <c r="N482" s="315"/>
      <c r="O482" s="315"/>
      <c r="P482" s="315"/>
      <c r="Q482" s="315"/>
      <c r="R482" s="315"/>
      <c r="S482" s="315"/>
      <c r="T482" s="315"/>
      <c r="U482" s="315"/>
      <c r="V482" s="315"/>
      <c r="W482" s="315"/>
      <c r="X482" s="315"/>
      <c r="Y482" s="315"/>
      <c r="Z482" s="315"/>
    </row>
    <row r="483">
      <c r="A483" s="315"/>
      <c r="B483" s="315"/>
      <c r="C483" s="315"/>
      <c r="D483" s="315"/>
      <c r="E483" s="315"/>
      <c r="F483" s="315"/>
      <c r="G483" s="315"/>
      <c r="H483" s="315"/>
      <c r="I483" s="315"/>
      <c r="J483" s="315"/>
      <c r="K483" s="315"/>
      <c r="L483" s="315"/>
      <c r="M483" s="315"/>
      <c r="N483" s="315"/>
      <c r="O483" s="315"/>
      <c r="P483" s="315"/>
      <c r="Q483" s="315"/>
      <c r="R483" s="315"/>
      <c r="S483" s="315"/>
      <c r="T483" s="315"/>
      <c r="U483" s="315"/>
      <c r="V483" s="315"/>
      <c r="W483" s="315"/>
      <c r="X483" s="315"/>
      <c r="Y483" s="315"/>
      <c r="Z483" s="315"/>
    </row>
    <row r="484">
      <c r="A484" s="315"/>
      <c r="B484" s="315"/>
      <c r="C484" s="315"/>
      <c r="D484" s="315"/>
      <c r="E484" s="315"/>
      <c r="F484" s="315"/>
      <c r="G484" s="315"/>
      <c r="H484" s="315"/>
      <c r="I484" s="315"/>
      <c r="J484" s="315"/>
      <c r="K484" s="315"/>
      <c r="L484" s="315"/>
      <c r="M484" s="315"/>
      <c r="N484" s="315"/>
      <c r="O484" s="315"/>
      <c r="P484" s="315"/>
      <c r="Q484" s="315"/>
      <c r="R484" s="315"/>
      <c r="S484" s="315"/>
      <c r="T484" s="315"/>
      <c r="U484" s="315"/>
      <c r="V484" s="315"/>
      <c r="W484" s="315"/>
      <c r="X484" s="315"/>
      <c r="Y484" s="315"/>
      <c r="Z484" s="315"/>
    </row>
    <row r="485">
      <c r="A485" s="315"/>
      <c r="B485" s="315"/>
      <c r="C485" s="315"/>
      <c r="D485" s="315"/>
      <c r="E485" s="315"/>
      <c r="F485" s="315"/>
      <c r="G485" s="315"/>
      <c r="H485" s="315"/>
      <c r="I485" s="315"/>
      <c r="J485" s="315"/>
      <c r="K485" s="315"/>
      <c r="L485" s="315"/>
      <c r="M485" s="315"/>
      <c r="N485" s="315"/>
      <c r="O485" s="315"/>
      <c r="P485" s="315"/>
      <c r="Q485" s="315"/>
      <c r="R485" s="315"/>
      <c r="S485" s="315"/>
      <c r="T485" s="315"/>
      <c r="U485" s="315"/>
      <c r="V485" s="315"/>
      <c r="W485" s="315"/>
      <c r="X485" s="315"/>
      <c r="Y485" s="315"/>
      <c r="Z485" s="315"/>
    </row>
    <row r="486">
      <c r="A486" s="315"/>
      <c r="B486" s="315"/>
      <c r="C486" s="315"/>
      <c r="D486" s="315"/>
      <c r="E486" s="315"/>
      <c r="F486" s="315"/>
      <c r="G486" s="315"/>
      <c r="H486" s="315"/>
      <c r="I486" s="315"/>
      <c r="J486" s="315"/>
      <c r="K486" s="315"/>
      <c r="L486" s="315"/>
      <c r="M486" s="315"/>
      <c r="N486" s="315"/>
      <c r="O486" s="315"/>
      <c r="P486" s="315"/>
      <c r="Q486" s="315"/>
      <c r="R486" s="315"/>
      <c r="S486" s="315"/>
      <c r="T486" s="315"/>
      <c r="U486" s="315"/>
      <c r="V486" s="315"/>
      <c r="W486" s="315"/>
      <c r="X486" s="315"/>
      <c r="Y486" s="315"/>
      <c r="Z486" s="315"/>
    </row>
    <row r="487">
      <c r="A487" s="315"/>
      <c r="B487" s="315"/>
      <c r="C487" s="315"/>
      <c r="D487" s="315"/>
      <c r="E487" s="315"/>
      <c r="F487" s="315"/>
      <c r="G487" s="315"/>
      <c r="H487" s="315"/>
      <c r="I487" s="315"/>
      <c r="J487" s="315"/>
      <c r="K487" s="315"/>
      <c r="L487" s="315"/>
      <c r="M487" s="315"/>
      <c r="N487" s="315"/>
      <c r="O487" s="315"/>
      <c r="P487" s="315"/>
      <c r="Q487" s="315"/>
      <c r="R487" s="315"/>
      <c r="S487" s="315"/>
      <c r="T487" s="315"/>
      <c r="U487" s="315"/>
      <c r="V487" s="315"/>
      <c r="W487" s="315"/>
      <c r="X487" s="315"/>
      <c r="Y487" s="315"/>
      <c r="Z487" s="315"/>
    </row>
    <row r="488">
      <c r="A488" s="315"/>
      <c r="B488" s="315"/>
      <c r="C488" s="315"/>
      <c r="D488" s="315"/>
      <c r="E488" s="315"/>
      <c r="F488" s="315"/>
      <c r="G488" s="315"/>
      <c r="H488" s="315"/>
      <c r="I488" s="315"/>
      <c r="J488" s="315"/>
      <c r="K488" s="315"/>
      <c r="L488" s="315"/>
      <c r="M488" s="315"/>
      <c r="N488" s="315"/>
      <c r="O488" s="315"/>
      <c r="P488" s="315"/>
      <c r="Q488" s="315"/>
      <c r="R488" s="315"/>
      <c r="S488" s="315"/>
      <c r="T488" s="315"/>
      <c r="U488" s="315"/>
      <c r="V488" s="315"/>
      <c r="W488" s="315"/>
      <c r="X488" s="315"/>
      <c r="Y488" s="315"/>
      <c r="Z488" s="315"/>
    </row>
    <row r="489">
      <c r="A489" s="315"/>
      <c r="B489" s="315"/>
      <c r="C489" s="315"/>
      <c r="D489" s="315"/>
      <c r="E489" s="315"/>
      <c r="F489" s="315"/>
      <c r="G489" s="315"/>
      <c r="H489" s="315"/>
      <c r="I489" s="315"/>
      <c r="J489" s="315"/>
      <c r="K489" s="315"/>
      <c r="L489" s="315"/>
      <c r="M489" s="315"/>
      <c r="N489" s="315"/>
      <c r="O489" s="315"/>
      <c r="P489" s="315"/>
      <c r="Q489" s="315"/>
      <c r="R489" s="315"/>
      <c r="S489" s="315"/>
      <c r="T489" s="315"/>
      <c r="U489" s="315"/>
      <c r="V489" s="315"/>
      <c r="W489" s="315"/>
      <c r="X489" s="315"/>
      <c r="Y489" s="315"/>
      <c r="Z489" s="315"/>
    </row>
    <row r="490">
      <c r="A490" s="315"/>
      <c r="B490" s="315"/>
      <c r="C490" s="315"/>
      <c r="D490" s="315"/>
      <c r="E490" s="315"/>
      <c r="F490" s="315"/>
      <c r="G490" s="315"/>
      <c r="H490" s="315"/>
      <c r="I490" s="315"/>
      <c r="J490" s="315"/>
      <c r="K490" s="315"/>
      <c r="L490" s="315"/>
      <c r="M490" s="315"/>
      <c r="N490" s="315"/>
      <c r="O490" s="315"/>
      <c r="P490" s="315"/>
      <c r="Q490" s="315"/>
      <c r="R490" s="315"/>
      <c r="S490" s="315"/>
      <c r="T490" s="315"/>
      <c r="U490" s="315"/>
      <c r="V490" s="315"/>
      <c r="W490" s="315"/>
      <c r="X490" s="315"/>
      <c r="Y490" s="315"/>
      <c r="Z490" s="315"/>
    </row>
    <row r="491">
      <c r="A491" s="315"/>
      <c r="B491" s="315"/>
      <c r="C491" s="315"/>
      <c r="D491" s="315"/>
      <c r="E491" s="315"/>
      <c r="F491" s="315"/>
      <c r="G491" s="315"/>
      <c r="H491" s="315"/>
      <c r="I491" s="315"/>
      <c r="J491" s="315"/>
      <c r="K491" s="315"/>
      <c r="L491" s="315"/>
      <c r="M491" s="315"/>
      <c r="N491" s="315"/>
      <c r="O491" s="315"/>
      <c r="P491" s="315"/>
      <c r="Q491" s="315"/>
      <c r="R491" s="315"/>
      <c r="S491" s="315"/>
      <c r="T491" s="315"/>
      <c r="U491" s="315"/>
      <c r="V491" s="315"/>
      <c r="W491" s="315"/>
      <c r="X491" s="315"/>
      <c r="Y491" s="315"/>
      <c r="Z491" s="315"/>
    </row>
    <row r="492">
      <c r="A492" s="315"/>
      <c r="B492" s="315"/>
      <c r="C492" s="315"/>
      <c r="D492" s="315"/>
      <c r="E492" s="315"/>
      <c r="F492" s="315"/>
      <c r="G492" s="315"/>
      <c r="H492" s="315"/>
      <c r="I492" s="315"/>
      <c r="J492" s="315"/>
      <c r="K492" s="315"/>
      <c r="L492" s="315"/>
      <c r="M492" s="315"/>
      <c r="N492" s="315"/>
      <c r="O492" s="315"/>
      <c r="P492" s="315"/>
      <c r="Q492" s="315"/>
      <c r="R492" s="315"/>
      <c r="S492" s="315"/>
      <c r="T492" s="315"/>
      <c r="U492" s="315"/>
      <c r="V492" s="315"/>
      <c r="W492" s="315"/>
      <c r="X492" s="315"/>
      <c r="Y492" s="315"/>
      <c r="Z492" s="315"/>
    </row>
    <row r="493">
      <c r="A493" s="315"/>
      <c r="B493" s="315"/>
      <c r="C493" s="315"/>
      <c r="D493" s="315"/>
      <c r="E493" s="315"/>
      <c r="F493" s="315"/>
      <c r="G493" s="315"/>
      <c r="H493" s="315"/>
      <c r="I493" s="315"/>
      <c r="J493" s="315"/>
      <c r="K493" s="315"/>
      <c r="L493" s="315"/>
      <c r="M493" s="315"/>
      <c r="N493" s="315"/>
      <c r="O493" s="315"/>
      <c r="P493" s="315"/>
      <c r="Q493" s="315"/>
      <c r="R493" s="315"/>
      <c r="S493" s="315"/>
      <c r="T493" s="315"/>
      <c r="U493" s="315"/>
      <c r="V493" s="315"/>
      <c r="W493" s="315"/>
      <c r="X493" s="315"/>
      <c r="Y493" s="315"/>
      <c r="Z493" s="315"/>
    </row>
    <row r="494">
      <c r="A494" s="315"/>
      <c r="B494" s="315"/>
      <c r="C494" s="315"/>
      <c r="D494" s="315"/>
      <c r="E494" s="315"/>
      <c r="F494" s="315"/>
      <c r="G494" s="315"/>
      <c r="H494" s="315"/>
      <c r="I494" s="315"/>
      <c r="J494" s="315"/>
      <c r="K494" s="315"/>
      <c r="L494" s="315"/>
      <c r="M494" s="315"/>
      <c r="N494" s="315"/>
      <c r="O494" s="315"/>
      <c r="P494" s="315"/>
      <c r="Q494" s="315"/>
      <c r="R494" s="315"/>
      <c r="S494" s="315"/>
      <c r="T494" s="315"/>
      <c r="U494" s="315"/>
      <c r="V494" s="315"/>
      <c r="W494" s="315"/>
      <c r="X494" s="315"/>
      <c r="Y494" s="315"/>
      <c r="Z494" s="315"/>
    </row>
    <row r="495">
      <c r="A495" s="315"/>
      <c r="B495" s="315"/>
      <c r="C495" s="315"/>
      <c r="D495" s="315"/>
      <c r="E495" s="315"/>
      <c r="F495" s="315"/>
      <c r="G495" s="315"/>
      <c r="H495" s="315"/>
      <c r="I495" s="315"/>
      <c r="J495" s="315"/>
      <c r="K495" s="315"/>
      <c r="L495" s="315"/>
      <c r="M495" s="315"/>
      <c r="N495" s="315"/>
      <c r="O495" s="315"/>
      <c r="P495" s="315"/>
      <c r="Q495" s="315"/>
      <c r="R495" s="315"/>
      <c r="S495" s="315"/>
      <c r="T495" s="315"/>
      <c r="U495" s="315"/>
      <c r="V495" s="315"/>
      <c r="W495" s="315"/>
      <c r="X495" s="315"/>
      <c r="Y495" s="315"/>
      <c r="Z495" s="315"/>
    </row>
    <row r="496">
      <c r="A496" s="315"/>
      <c r="B496" s="315"/>
      <c r="C496" s="315"/>
      <c r="D496" s="315"/>
      <c r="E496" s="315"/>
      <c r="F496" s="315"/>
      <c r="G496" s="315"/>
      <c r="H496" s="315"/>
      <c r="I496" s="315"/>
      <c r="J496" s="315"/>
      <c r="K496" s="315"/>
      <c r="L496" s="315"/>
      <c r="M496" s="315"/>
      <c r="N496" s="315"/>
      <c r="O496" s="315"/>
      <c r="P496" s="315"/>
      <c r="Q496" s="315"/>
      <c r="R496" s="315"/>
      <c r="S496" s="315"/>
      <c r="T496" s="315"/>
      <c r="U496" s="315"/>
      <c r="V496" s="315"/>
      <c r="W496" s="315"/>
      <c r="X496" s="315"/>
      <c r="Y496" s="315"/>
      <c r="Z496" s="315"/>
    </row>
    <row r="497">
      <c r="A497" s="315"/>
      <c r="B497" s="315"/>
      <c r="C497" s="315"/>
      <c r="D497" s="315"/>
      <c r="E497" s="315"/>
      <c r="F497" s="315"/>
      <c r="G497" s="315"/>
      <c r="H497" s="315"/>
      <c r="I497" s="315"/>
      <c r="J497" s="315"/>
      <c r="K497" s="315"/>
      <c r="L497" s="315"/>
      <c r="M497" s="315"/>
      <c r="N497" s="315"/>
      <c r="O497" s="315"/>
      <c r="P497" s="315"/>
      <c r="Q497" s="315"/>
      <c r="R497" s="315"/>
      <c r="S497" s="315"/>
      <c r="T497" s="315"/>
      <c r="U497" s="315"/>
      <c r="V497" s="315"/>
      <c r="W497" s="315"/>
      <c r="X497" s="315"/>
      <c r="Y497" s="315"/>
      <c r="Z497" s="315"/>
    </row>
    <row r="498">
      <c r="A498" s="315"/>
      <c r="B498" s="315"/>
      <c r="C498" s="315"/>
      <c r="D498" s="315"/>
      <c r="E498" s="315"/>
      <c r="F498" s="315"/>
      <c r="G498" s="315"/>
      <c r="H498" s="315"/>
      <c r="I498" s="315"/>
      <c r="J498" s="315"/>
      <c r="K498" s="315"/>
      <c r="L498" s="315"/>
      <c r="M498" s="315"/>
      <c r="N498" s="315"/>
      <c r="O498" s="315"/>
      <c r="P498" s="315"/>
      <c r="Q498" s="315"/>
      <c r="R498" s="315"/>
      <c r="S498" s="315"/>
      <c r="T498" s="315"/>
      <c r="U498" s="315"/>
      <c r="V498" s="315"/>
      <c r="W498" s="315"/>
      <c r="X498" s="315"/>
      <c r="Y498" s="315"/>
      <c r="Z498" s="315"/>
    </row>
    <row r="499">
      <c r="A499" s="315"/>
      <c r="B499" s="315"/>
      <c r="C499" s="315"/>
      <c r="D499" s="315"/>
      <c r="E499" s="315"/>
      <c r="F499" s="315"/>
      <c r="G499" s="315"/>
      <c r="H499" s="315"/>
      <c r="I499" s="315"/>
      <c r="J499" s="315"/>
      <c r="K499" s="315"/>
      <c r="L499" s="315"/>
      <c r="M499" s="315"/>
      <c r="N499" s="315"/>
      <c r="O499" s="315"/>
      <c r="P499" s="315"/>
      <c r="Q499" s="315"/>
      <c r="R499" s="315"/>
      <c r="S499" s="315"/>
      <c r="T499" s="315"/>
      <c r="U499" s="315"/>
      <c r="V499" s="315"/>
      <c r="W499" s="315"/>
      <c r="X499" s="315"/>
      <c r="Y499" s="315"/>
      <c r="Z499" s="315"/>
    </row>
    <row r="500">
      <c r="A500" s="315"/>
      <c r="B500" s="315"/>
      <c r="C500" s="315"/>
      <c r="D500" s="315"/>
      <c r="E500" s="315"/>
      <c r="F500" s="315"/>
      <c r="G500" s="315"/>
      <c r="H500" s="315"/>
      <c r="I500" s="315"/>
      <c r="J500" s="315"/>
      <c r="K500" s="315"/>
      <c r="L500" s="315"/>
      <c r="M500" s="315"/>
      <c r="N500" s="315"/>
      <c r="O500" s="315"/>
      <c r="P500" s="315"/>
      <c r="Q500" s="315"/>
      <c r="R500" s="315"/>
      <c r="S500" s="315"/>
      <c r="T500" s="315"/>
      <c r="U500" s="315"/>
      <c r="V500" s="315"/>
      <c r="W500" s="315"/>
      <c r="X500" s="315"/>
      <c r="Y500" s="315"/>
      <c r="Z500" s="315"/>
    </row>
    <row r="501">
      <c r="A501" s="315"/>
      <c r="B501" s="315"/>
      <c r="C501" s="315"/>
      <c r="D501" s="315"/>
      <c r="E501" s="315"/>
      <c r="F501" s="315"/>
      <c r="G501" s="315"/>
      <c r="H501" s="315"/>
      <c r="I501" s="315"/>
      <c r="J501" s="315"/>
      <c r="K501" s="315"/>
      <c r="L501" s="315"/>
      <c r="M501" s="315"/>
      <c r="N501" s="315"/>
      <c r="O501" s="315"/>
      <c r="P501" s="315"/>
      <c r="Q501" s="315"/>
      <c r="R501" s="315"/>
      <c r="S501" s="315"/>
      <c r="T501" s="315"/>
      <c r="U501" s="315"/>
      <c r="V501" s="315"/>
      <c r="W501" s="315"/>
      <c r="X501" s="315"/>
      <c r="Y501" s="315"/>
      <c r="Z501" s="315"/>
    </row>
    <row r="502">
      <c r="A502" s="315"/>
      <c r="B502" s="315"/>
      <c r="C502" s="315"/>
      <c r="D502" s="315"/>
      <c r="E502" s="315"/>
      <c r="F502" s="315"/>
      <c r="G502" s="315"/>
      <c r="H502" s="315"/>
      <c r="I502" s="315"/>
      <c r="J502" s="315"/>
      <c r="K502" s="315"/>
      <c r="L502" s="315"/>
      <c r="M502" s="315"/>
      <c r="N502" s="315"/>
      <c r="O502" s="315"/>
      <c r="P502" s="315"/>
      <c r="Q502" s="315"/>
      <c r="R502" s="315"/>
      <c r="S502" s="315"/>
      <c r="T502" s="315"/>
      <c r="U502" s="315"/>
      <c r="V502" s="315"/>
      <c r="W502" s="315"/>
      <c r="X502" s="315"/>
      <c r="Y502" s="315"/>
      <c r="Z502" s="315"/>
    </row>
    <row r="503">
      <c r="A503" s="315"/>
      <c r="B503" s="315"/>
      <c r="C503" s="315"/>
      <c r="D503" s="315"/>
      <c r="E503" s="315"/>
      <c r="F503" s="315"/>
      <c r="G503" s="315"/>
      <c r="H503" s="315"/>
      <c r="I503" s="315"/>
      <c r="J503" s="315"/>
      <c r="K503" s="315"/>
      <c r="L503" s="315"/>
      <c r="M503" s="315"/>
      <c r="N503" s="315"/>
      <c r="O503" s="315"/>
      <c r="P503" s="315"/>
      <c r="Q503" s="315"/>
      <c r="R503" s="315"/>
      <c r="S503" s="315"/>
      <c r="T503" s="315"/>
      <c r="U503" s="315"/>
      <c r="V503" s="315"/>
      <c r="W503" s="315"/>
      <c r="X503" s="315"/>
      <c r="Y503" s="315"/>
      <c r="Z503" s="315"/>
    </row>
    <row r="504">
      <c r="A504" s="315"/>
      <c r="B504" s="315"/>
      <c r="C504" s="315"/>
      <c r="D504" s="315"/>
      <c r="E504" s="315"/>
      <c r="F504" s="315"/>
      <c r="G504" s="315"/>
      <c r="H504" s="315"/>
      <c r="I504" s="315"/>
      <c r="J504" s="315"/>
      <c r="K504" s="315"/>
      <c r="L504" s="315"/>
      <c r="M504" s="315"/>
      <c r="N504" s="315"/>
      <c r="O504" s="315"/>
      <c r="P504" s="315"/>
      <c r="Q504" s="315"/>
      <c r="R504" s="315"/>
      <c r="S504" s="315"/>
      <c r="T504" s="315"/>
      <c r="U504" s="315"/>
      <c r="V504" s="315"/>
      <c r="W504" s="315"/>
      <c r="X504" s="315"/>
      <c r="Y504" s="315"/>
      <c r="Z504" s="315"/>
    </row>
    <row r="505">
      <c r="A505" s="315"/>
      <c r="B505" s="315"/>
      <c r="C505" s="315"/>
      <c r="D505" s="315"/>
      <c r="E505" s="315"/>
      <c r="F505" s="315"/>
      <c r="G505" s="315"/>
      <c r="H505" s="315"/>
      <c r="I505" s="315"/>
      <c r="J505" s="315"/>
      <c r="K505" s="315"/>
      <c r="L505" s="315"/>
      <c r="M505" s="315"/>
      <c r="N505" s="315"/>
      <c r="O505" s="315"/>
      <c r="P505" s="315"/>
      <c r="Q505" s="315"/>
      <c r="R505" s="315"/>
      <c r="S505" s="315"/>
      <c r="T505" s="315"/>
      <c r="U505" s="315"/>
      <c r="V505" s="315"/>
      <c r="W505" s="315"/>
      <c r="X505" s="315"/>
      <c r="Y505" s="315"/>
      <c r="Z505" s="315"/>
    </row>
    <row r="506">
      <c r="A506" s="315"/>
      <c r="B506" s="315"/>
      <c r="C506" s="315"/>
      <c r="D506" s="315"/>
      <c r="E506" s="315"/>
      <c r="F506" s="315"/>
      <c r="G506" s="315"/>
      <c r="H506" s="315"/>
      <c r="I506" s="315"/>
      <c r="J506" s="315"/>
      <c r="K506" s="315"/>
      <c r="L506" s="315"/>
      <c r="M506" s="315"/>
      <c r="N506" s="315"/>
      <c r="O506" s="315"/>
      <c r="P506" s="315"/>
      <c r="Q506" s="315"/>
      <c r="R506" s="315"/>
      <c r="S506" s="315"/>
      <c r="T506" s="315"/>
      <c r="U506" s="315"/>
      <c r="V506" s="315"/>
      <c r="W506" s="315"/>
      <c r="X506" s="315"/>
      <c r="Y506" s="315"/>
      <c r="Z506" s="315"/>
    </row>
    <row r="507">
      <c r="A507" s="315"/>
      <c r="B507" s="315"/>
      <c r="C507" s="315"/>
      <c r="D507" s="315"/>
      <c r="E507" s="315"/>
      <c r="F507" s="315"/>
      <c r="G507" s="315"/>
      <c r="H507" s="315"/>
      <c r="I507" s="315"/>
      <c r="J507" s="315"/>
      <c r="K507" s="315"/>
      <c r="L507" s="315"/>
      <c r="M507" s="315"/>
      <c r="N507" s="315"/>
      <c r="O507" s="315"/>
      <c r="P507" s="315"/>
      <c r="Q507" s="315"/>
      <c r="R507" s="315"/>
      <c r="S507" s="315"/>
      <c r="T507" s="315"/>
      <c r="U507" s="315"/>
      <c r="V507" s="315"/>
      <c r="W507" s="315"/>
      <c r="X507" s="315"/>
      <c r="Y507" s="315"/>
      <c r="Z507" s="315"/>
    </row>
    <row r="508">
      <c r="A508" s="315"/>
      <c r="B508" s="315"/>
      <c r="C508" s="315"/>
      <c r="D508" s="315"/>
      <c r="E508" s="315"/>
      <c r="F508" s="315"/>
      <c r="G508" s="315"/>
      <c r="H508" s="315"/>
      <c r="I508" s="315"/>
      <c r="J508" s="315"/>
      <c r="K508" s="315"/>
      <c r="L508" s="315"/>
      <c r="M508" s="315"/>
      <c r="N508" s="315"/>
      <c r="O508" s="315"/>
      <c r="P508" s="315"/>
      <c r="Q508" s="315"/>
      <c r="R508" s="315"/>
      <c r="S508" s="315"/>
      <c r="T508" s="315"/>
      <c r="U508" s="315"/>
      <c r="V508" s="315"/>
      <c r="W508" s="315"/>
      <c r="X508" s="315"/>
      <c r="Y508" s="315"/>
      <c r="Z508" s="315"/>
    </row>
    <row r="509">
      <c r="A509" s="315"/>
      <c r="B509" s="315"/>
      <c r="C509" s="315"/>
      <c r="D509" s="315"/>
      <c r="E509" s="315"/>
      <c r="F509" s="315"/>
      <c r="G509" s="315"/>
      <c r="H509" s="315"/>
      <c r="I509" s="315"/>
      <c r="J509" s="315"/>
      <c r="K509" s="315"/>
      <c r="L509" s="315"/>
      <c r="M509" s="315"/>
      <c r="N509" s="315"/>
      <c r="O509" s="315"/>
      <c r="P509" s="315"/>
      <c r="Q509" s="315"/>
      <c r="R509" s="315"/>
      <c r="S509" s="315"/>
      <c r="T509" s="315"/>
      <c r="U509" s="315"/>
      <c r="V509" s="315"/>
      <c r="W509" s="315"/>
      <c r="X509" s="315"/>
      <c r="Y509" s="315"/>
      <c r="Z509" s="315"/>
    </row>
    <row r="510">
      <c r="A510" s="315"/>
      <c r="B510" s="315"/>
      <c r="C510" s="315"/>
      <c r="D510" s="315"/>
      <c r="E510" s="315"/>
      <c r="F510" s="315"/>
      <c r="G510" s="315"/>
      <c r="H510" s="315"/>
      <c r="I510" s="315"/>
      <c r="J510" s="315"/>
      <c r="K510" s="315"/>
      <c r="L510" s="315"/>
      <c r="M510" s="315"/>
      <c r="N510" s="315"/>
      <c r="O510" s="315"/>
      <c r="P510" s="315"/>
      <c r="Q510" s="315"/>
      <c r="R510" s="315"/>
      <c r="S510" s="315"/>
      <c r="T510" s="315"/>
      <c r="U510" s="315"/>
      <c r="V510" s="315"/>
      <c r="W510" s="315"/>
      <c r="X510" s="315"/>
      <c r="Y510" s="315"/>
      <c r="Z510" s="315"/>
    </row>
    <row r="511">
      <c r="A511" s="315"/>
      <c r="B511" s="315"/>
      <c r="C511" s="315"/>
      <c r="D511" s="315"/>
      <c r="E511" s="315"/>
      <c r="F511" s="315"/>
      <c r="G511" s="315"/>
      <c r="H511" s="315"/>
      <c r="I511" s="315"/>
      <c r="J511" s="315"/>
      <c r="K511" s="315"/>
      <c r="L511" s="315"/>
      <c r="M511" s="315"/>
      <c r="N511" s="315"/>
      <c r="O511" s="315"/>
      <c r="P511" s="315"/>
      <c r="Q511" s="315"/>
      <c r="R511" s="315"/>
      <c r="S511" s="315"/>
      <c r="T511" s="315"/>
      <c r="U511" s="315"/>
      <c r="V511" s="315"/>
      <c r="W511" s="315"/>
      <c r="X511" s="315"/>
      <c r="Y511" s="315"/>
      <c r="Z511" s="315"/>
    </row>
    <row r="512">
      <c r="A512" s="315"/>
      <c r="B512" s="315"/>
      <c r="C512" s="315"/>
      <c r="D512" s="315"/>
      <c r="E512" s="315"/>
      <c r="F512" s="315"/>
      <c r="G512" s="315"/>
      <c r="H512" s="315"/>
      <c r="I512" s="315"/>
      <c r="J512" s="315"/>
      <c r="K512" s="315"/>
      <c r="L512" s="315"/>
      <c r="M512" s="315"/>
      <c r="N512" s="315"/>
      <c r="O512" s="315"/>
      <c r="P512" s="315"/>
      <c r="Q512" s="315"/>
      <c r="R512" s="315"/>
      <c r="S512" s="315"/>
      <c r="T512" s="315"/>
      <c r="U512" s="315"/>
      <c r="V512" s="315"/>
      <c r="W512" s="315"/>
      <c r="X512" s="315"/>
      <c r="Y512" s="315"/>
      <c r="Z512" s="315"/>
    </row>
    <row r="513">
      <c r="A513" s="315"/>
      <c r="B513" s="315"/>
      <c r="C513" s="315"/>
      <c r="D513" s="315"/>
      <c r="E513" s="315"/>
      <c r="F513" s="315"/>
      <c r="G513" s="315"/>
      <c r="H513" s="315"/>
      <c r="I513" s="315"/>
      <c r="J513" s="315"/>
      <c r="K513" s="315"/>
      <c r="L513" s="315"/>
      <c r="M513" s="315"/>
      <c r="N513" s="315"/>
      <c r="O513" s="315"/>
      <c r="P513" s="315"/>
      <c r="Q513" s="315"/>
      <c r="R513" s="315"/>
      <c r="S513" s="315"/>
      <c r="T513" s="315"/>
      <c r="U513" s="315"/>
      <c r="V513" s="315"/>
      <c r="W513" s="315"/>
      <c r="X513" s="315"/>
      <c r="Y513" s="315"/>
      <c r="Z513" s="315"/>
    </row>
    <row r="514">
      <c r="A514" s="315"/>
      <c r="B514" s="315"/>
      <c r="C514" s="315"/>
      <c r="D514" s="315"/>
      <c r="E514" s="315"/>
      <c r="F514" s="315"/>
      <c r="G514" s="315"/>
      <c r="H514" s="315"/>
      <c r="I514" s="315"/>
      <c r="J514" s="315"/>
      <c r="K514" s="315"/>
      <c r="L514" s="315"/>
      <c r="M514" s="315"/>
      <c r="N514" s="315"/>
      <c r="O514" s="315"/>
      <c r="P514" s="315"/>
      <c r="Q514" s="315"/>
      <c r="R514" s="315"/>
      <c r="S514" s="315"/>
      <c r="T514" s="315"/>
      <c r="U514" s="315"/>
      <c r="V514" s="315"/>
      <c r="W514" s="315"/>
      <c r="X514" s="315"/>
      <c r="Y514" s="315"/>
      <c r="Z514" s="315"/>
    </row>
    <row r="515">
      <c r="A515" s="315"/>
      <c r="B515" s="315"/>
      <c r="C515" s="315"/>
      <c r="D515" s="315"/>
      <c r="E515" s="315"/>
      <c r="F515" s="315"/>
      <c r="G515" s="315"/>
      <c r="H515" s="315"/>
      <c r="I515" s="315"/>
      <c r="J515" s="315"/>
      <c r="K515" s="315"/>
      <c r="L515" s="315"/>
      <c r="M515" s="315"/>
      <c r="N515" s="315"/>
      <c r="O515" s="315"/>
      <c r="P515" s="315"/>
      <c r="Q515" s="315"/>
      <c r="R515" s="315"/>
      <c r="S515" s="315"/>
      <c r="T515" s="315"/>
      <c r="U515" s="315"/>
      <c r="V515" s="315"/>
      <c r="W515" s="315"/>
      <c r="X515" s="315"/>
      <c r="Y515" s="315"/>
      <c r="Z515" s="315"/>
    </row>
    <row r="516">
      <c r="A516" s="315"/>
      <c r="B516" s="315"/>
      <c r="C516" s="315"/>
      <c r="D516" s="315"/>
      <c r="E516" s="315"/>
      <c r="F516" s="315"/>
      <c r="G516" s="315"/>
      <c r="H516" s="315"/>
      <c r="I516" s="315"/>
      <c r="J516" s="315"/>
      <c r="K516" s="315"/>
      <c r="L516" s="315"/>
      <c r="M516" s="315"/>
      <c r="N516" s="315"/>
      <c r="O516" s="315"/>
      <c r="P516" s="315"/>
      <c r="Q516" s="315"/>
      <c r="R516" s="315"/>
      <c r="S516" s="315"/>
      <c r="T516" s="315"/>
      <c r="U516" s="315"/>
      <c r="V516" s="315"/>
      <c r="W516" s="315"/>
      <c r="X516" s="315"/>
      <c r="Y516" s="315"/>
      <c r="Z516" s="315"/>
    </row>
    <row r="517">
      <c r="A517" s="315"/>
      <c r="B517" s="315"/>
      <c r="C517" s="315"/>
      <c r="D517" s="315"/>
      <c r="E517" s="315"/>
      <c r="F517" s="315"/>
      <c r="G517" s="315"/>
      <c r="H517" s="315"/>
      <c r="I517" s="315"/>
      <c r="J517" s="315"/>
      <c r="K517" s="315"/>
      <c r="L517" s="315"/>
      <c r="M517" s="315"/>
      <c r="N517" s="315"/>
      <c r="O517" s="315"/>
      <c r="P517" s="315"/>
      <c r="Q517" s="315"/>
      <c r="R517" s="315"/>
      <c r="S517" s="315"/>
      <c r="T517" s="315"/>
      <c r="U517" s="315"/>
      <c r="V517" s="315"/>
      <c r="W517" s="315"/>
      <c r="X517" s="315"/>
      <c r="Y517" s="315"/>
      <c r="Z517" s="315"/>
    </row>
    <row r="518">
      <c r="A518" s="315"/>
      <c r="B518" s="315"/>
      <c r="C518" s="315"/>
      <c r="D518" s="315"/>
      <c r="E518" s="315"/>
      <c r="F518" s="315"/>
      <c r="G518" s="315"/>
      <c r="H518" s="315"/>
      <c r="I518" s="315"/>
      <c r="J518" s="315"/>
      <c r="K518" s="315"/>
      <c r="L518" s="315"/>
      <c r="M518" s="315"/>
      <c r="N518" s="315"/>
      <c r="O518" s="315"/>
      <c r="P518" s="315"/>
      <c r="Q518" s="315"/>
      <c r="R518" s="315"/>
      <c r="S518" s="315"/>
      <c r="T518" s="315"/>
      <c r="U518" s="315"/>
      <c r="V518" s="315"/>
      <c r="W518" s="315"/>
      <c r="X518" s="315"/>
      <c r="Y518" s="315"/>
      <c r="Z518" s="315"/>
    </row>
    <row r="519">
      <c r="A519" s="315"/>
      <c r="B519" s="315"/>
      <c r="C519" s="315"/>
      <c r="D519" s="315"/>
      <c r="E519" s="315"/>
      <c r="F519" s="315"/>
      <c r="G519" s="315"/>
      <c r="H519" s="315"/>
      <c r="I519" s="315"/>
      <c r="J519" s="315"/>
      <c r="K519" s="315"/>
      <c r="L519" s="315"/>
      <c r="M519" s="315"/>
      <c r="N519" s="315"/>
      <c r="O519" s="315"/>
      <c r="P519" s="315"/>
      <c r="Q519" s="315"/>
      <c r="R519" s="315"/>
      <c r="S519" s="315"/>
      <c r="T519" s="315"/>
      <c r="U519" s="315"/>
      <c r="V519" s="315"/>
      <c r="W519" s="315"/>
      <c r="X519" s="315"/>
      <c r="Y519" s="315"/>
      <c r="Z519" s="315"/>
    </row>
    <row r="520">
      <c r="A520" s="315"/>
      <c r="B520" s="315"/>
      <c r="C520" s="315"/>
      <c r="D520" s="315"/>
      <c r="E520" s="315"/>
      <c r="F520" s="315"/>
      <c r="G520" s="315"/>
      <c r="H520" s="315"/>
      <c r="I520" s="315"/>
      <c r="J520" s="315"/>
      <c r="K520" s="315"/>
      <c r="L520" s="315"/>
      <c r="M520" s="315"/>
      <c r="N520" s="315"/>
      <c r="O520" s="315"/>
      <c r="P520" s="315"/>
      <c r="Q520" s="315"/>
      <c r="R520" s="315"/>
      <c r="S520" s="315"/>
      <c r="T520" s="315"/>
      <c r="U520" s="315"/>
      <c r="V520" s="315"/>
      <c r="W520" s="315"/>
      <c r="X520" s="315"/>
      <c r="Y520" s="315"/>
      <c r="Z520" s="315"/>
    </row>
    <row r="521">
      <c r="A521" s="315"/>
      <c r="B521" s="315"/>
      <c r="C521" s="315"/>
      <c r="D521" s="315"/>
      <c r="E521" s="315"/>
      <c r="F521" s="315"/>
      <c r="G521" s="315"/>
      <c r="H521" s="315"/>
      <c r="I521" s="315"/>
      <c r="J521" s="315"/>
      <c r="K521" s="315"/>
      <c r="L521" s="315"/>
      <c r="M521" s="315"/>
      <c r="N521" s="315"/>
      <c r="O521" s="315"/>
      <c r="P521" s="315"/>
      <c r="Q521" s="315"/>
      <c r="R521" s="315"/>
      <c r="S521" s="315"/>
      <c r="T521" s="315"/>
      <c r="U521" s="315"/>
      <c r="V521" s="315"/>
      <c r="W521" s="315"/>
      <c r="X521" s="315"/>
      <c r="Y521" s="315"/>
      <c r="Z521" s="315"/>
    </row>
    <row r="522">
      <c r="A522" s="315"/>
      <c r="B522" s="315"/>
      <c r="C522" s="315"/>
      <c r="D522" s="315"/>
      <c r="E522" s="315"/>
      <c r="F522" s="315"/>
      <c r="G522" s="315"/>
      <c r="H522" s="315"/>
      <c r="I522" s="315"/>
      <c r="J522" s="315"/>
      <c r="K522" s="315"/>
      <c r="L522" s="315"/>
      <c r="M522" s="315"/>
      <c r="N522" s="315"/>
      <c r="O522" s="315"/>
      <c r="P522" s="315"/>
      <c r="Q522" s="315"/>
      <c r="R522" s="315"/>
      <c r="S522" s="315"/>
      <c r="T522" s="315"/>
      <c r="U522" s="315"/>
      <c r="V522" s="315"/>
      <c r="W522" s="315"/>
      <c r="X522" s="315"/>
      <c r="Y522" s="315"/>
      <c r="Z522" s="315"/>
    </row>
    <row r="523">
      <c r="A523" s="315"/>
      <c r="B523" s="315"/>
      <c r="C523" s="315"/>
      <c r="D523" s="315"/>
      <c r="E523" s="315"/>
      <c r="F523" s="315"/>
      <c r="G523" s="315"/>
      <c r="H523" s="315"/>
      <c r="I523" s="315"/>
      <c r="J523" s="315"/>
      <c r="K523" s="315"/>
      <c r="L523" s="315"/>
      <c r="M523" s="315"/>
      <c r="N523" s="315"/>
      <c r="O523" s="315"/>
      <c r="P523" s="315"/>
      <c r="Q523" s="315"/>
      <c r="R523" s="315"/>
      <c r="S523" s="315"/>
      <c r="T523" s="315"/>
      <c r="U523" s="315"/>
      <c r="V523" s="315"/>
      <c r="W523" s="315"/>
      <c r="X523" s="315"/>
      <c r="Y523" s="315"/>
      <c r="Z523" s="315"/>
    </row>
    <row r="524">
      <c r="A524" s="315"/>
      <c r="B524" s="315"/>
      <c r="C524" s="315"/>
      <c r="D524" s="315"/>
      <c r="E524" s="315"/>
      <c r="F524" s="315"/>
      <c r="G524" s="315"/>
      <c r="H524" s="315"/>
      <c r="I524" s="315"/>
      <c r="J524" s="315"/>
      <c r="K524" s="315"/>
      <c r="L524" s="315"/>
      <c r="M524" s="315"/>
      <c r="N524" s="315"/>
      <c r="O524" s="315"/>
      <c r="P524" s="315"/>
      <c r="Q524" s="315"/>
      <c r="R524" s="315"/>
      <c r="S524" s="315"/>
      <c r="T524" s="315"/>
      <c r="U524" s="315"/>
      <c r="V524" s="315"/>
      <c r="W524" s="315"/>
      <c r="X524" s="315"/>
      <c r="Y524" s="315"/>
      <c r="Z524" s="315"/>
    </row>
    <row r="525">
      <c r="A525" s="315"/>
      <c r="B525" s="315"/>
      <c r="C525" s="315"/>
      <c r="D525" s="315"/>
      <c r="E525" s="315"/>
      <c r="F525" s="315"/>
      <c r="G525" s="315"/>
      <c r="H525" s="315"/>
      <c r="I525" s="315"/>
      <c r="J525" s="315"/>
      <c r="K525" s="315"/>
      <c r="L525" s="315"/>
      <c r="M525" s="315"/>
      <c r="N525" s="315"/>
      <c r="O525" s="315"/>
      <c r="P525" s="315"/>
      <c r="Q525" s="315"/>
      <c r="R525" s="315"/>
      <c r="S525" s="315"/>
      <c r="T525" s="315"/>
      <c r="U525" s="315"/>
      <c r="V525" s="315"/>
      <c r="W525" s="315"/>
      <c r="X525" s="315"/>
      <c r="Y525" s="315"/>
      <c r="Z525" s="315"/>
    </row>
    <row r="526">
      <c r="A526" s="315"/>
      <c r="B526" s="315"/>
      <c r="C526" s="315"/>
      <c r="D526" s="315"/>
      <c r="E526" s="315"/>
      <c r="F526" s="315"/>
      <c r="G526" s="315"/>
      <c r="H526" s="315"/>
      <c r="I526" s="315"/>
      <c r="J526" s="315"/>
      <c r="K526" s="315"/>
      <c r="L526" s="315"/>
      <c r="M526" s="315"/>
      <c r="N526" s="315"/>
      <c r="O526" s="315"/>
      <c r="P526" s="315"/>
      <c r="Q526" s="315"/>
      <c r="R526" s="315"/>
      <c r="S526" s="315"/>
      <c r="T526" s="315"/>
      <c r="U526" s="315"/>
      <c r="V526" s="315"/>
      <c r="W526" s="315"/>
      <c r="X526" s="315"/>
      <c r="Y526" s="315"/>
      <c r="Z526" s="315"/>
    </row>
    <row r="527">
      <c r="A527" s="315"/>
      <c r="B527" s="315"/>
      <c r="C527" s="315"/>
      <c r="D527" s="315"/>
      <c r="E527" s="315"/>
      <c r="F527" s="315"/>
      <c r="G527" s="315"/>
      <c r="H527" s="315"/>
      <c r="I527" s="315"/>
      <c r="J527" s="315"/>
      <c r="K527" s="315"/>
      <c r="L527" s="315"/>
      <c r="M527" s="315"/>
      <c r="N527" s="315"/>
      <c r="O527" s="315"/>
      <c r="P527" s="315"/>
      <c r="Q527" s="315"/>
      <c r="R527" s="315"/>
      <c r="S527" s="315"/>
      <c r="T527" s="315"/>
      <c r="U527" s="315"/>
      <c r="V527" s="315"/>
      <c r="W527" s="315"/>
      <c r="X527" s="315"/>
      <c r="Y527" s="315"/>
      <c r="Z527" s="315"/>
    </row>
    <row r="528">
      <c r="A528" s="315"/>
      <c r="B528" s="315"/>
      <c r="C528" s="315"/>
      <c r="D528" s="315"/>
      <c r="E528" s="315"/>
      <c r="F528" s="315"/>
      <c r="G528" s="315"/>
      <c r="H528" s="315"/>
      <c r="I528" s="315"/>
      <c r="J528" s="315"/>
      <c r="K528" s="315"/>
      <c r="L528" s="315"/>
      <c r="M528" s="315"/>
      <c r="N528" s="315"/>
      <c r="O528" s="315"/>
      <c r="P528" s="315"/>
      <c r="Q528" s="315"/>
      <c r="R528" s="315"/>
      <c r="S528" s="315"/>
      <c r="T528" s="315"/>
      <c r="U528" s="315"/>
      <c r="V528" s="315"/>
      <c r="W528" s="315"/>
      <c r="X528" s="315"/>
      <c r="Y528" s="315"/>
      <c r="Z528" s="315"/>
    </row>
    <row r="529">
      <c r="A529" s="315"/>
      <c r="B529" s="315"/>
      <c r="C529" s="315"/>
      <c r="D529" s="315"/>
      <c r="E529" s="315"/>
      <c r="F529" s="315"/>
      <c r="G529" s="315"/>
      <c r="H529" s="315"/>
      <c r="I529" s="315"/>
      <c r="J529" s="315"/>
      <c r="K529" s="315"/>
      <c r="L529" s="315"/>
      <c r="M529" s="315"/>
      <c r="N529" s="315"/>
      <c r="O529" s="315"/>
      <c r="P529" s="315"/>
      <c r="Q529" s="315"/>
      <c r="R529" s="315"/>
      <c r="S529" s="315"/>
      <c r="T529" s="315"/>
      <c r="U529" s="315"/>
      <c r="V529" s="315"/>
      <c r="W529" s="315"/>
      <c r="X529" s="315"/>
      <c r="Y529" s="315"/>
      <c r="Z529" s="315"/>
    </row>
    <row r="530">
      <c r="A530" s="315"/>
      <c r="B530" s="315"/>
      <c r="C530" s="315"/>
      <c r="D530" s="315"/>
      <c r="E530" s="315"/>
      <c r="F530" s="315"/>
      <c r="G530" s="315"/>
      <c r="H530" s="315"/>
      <c r="I530" s="315"/>
      <c r="J530" s="315"/>
      <c r="K530" s="315"/>
      <c r="L530" s="315"/>
      <c r="M530" s="315"/>
      <c r="N530" s="315"/>
      <c r="O530" s="315"/>
      <c r="P530" s="315"/>
      <c r="Q530" s="315"/>
      <c r="R530" s="315"/>
      <c r="S530" s="315"/>
      <c r="T530" s="315"/>
      <c r="U530" s="315"/>
      <c r="V530" s="315"/>
      <c r="W530" s="315"/>
      <c r="X530" s="315"/>
      <c r="Y530" s="315"/>
      <c r="Z530" s="315"/>
    </row>
    <row r="531">
      <c r="A531" s="315"/>
      <c r="B531" s="315"/>
      <c r="C531" s="315"/>
      <c r="D531" s="315"/>
      <c r="E531" s="315"/>
      <c r="F531" s="315"/>
      <c r="G531" s="315"/>
      <c r="H531" s="315"/>
      <c r="I531" s="315"/>
      <c r="J531" s="315"/>
      <c r="K531" s="315"/>
      <c r="L531" s="315"/>
      <c r="M531" s="315"/>
      <c r="N531" s="315"/>
      <c r="O531" s="315"/>
      <c r="P531" s="315"/>
      <c r="Q531" s="315"/>
      <c r="R531" s="315"/>
      <c r="S531" s="315"/>
      <c r="T531" s="315"/>
      <c r="U531" s="315"/>
      <c r="V531" s="315"/>
      <c r="W531" s="315"/>
      <c r="X531" s="315"/>
      <c r="Y531" s="315"/>
      <c r="Z531" s="315"/>
    </row>
    <row r="532">
      <c r="A532" s="315"/>
      <c r="B532" s="315"/>
      <c r="C532" s="315"/>
      <c r="D532" s="315"/>
      <c r="E532" s="315"/>
      <c r="F532" s="315"/>
      <c r="G532" s="315"/>
      <c r="H532" s="315"/>
      <c r="I532" s="315"/>
      <c r="J532" s="315"/>
      <c r="K532" s="315"/>
      <c r="L532" s="315"/>
      <c r="M532" s="315"/>
      <c r="N532" s="315"/>
      <c r="O532" s="315"/>
      <c r="P532" s="315"/>
      <c r="Q532" s="315"/>
      <c r="R532" s="315"/>
      <c r="S532" s="315"/>
      <c r="T532" s="315"/>
      <c r="U532" s="315"/>
      <c r="V532" s="315"/>
      <c r="W532" s="315"/>
      <c r="X532" s="315"/>
      <c r="Y532" s="315"/>
      <c r="Z532" s="315"/>
    </row>
    <row r="533">
      <c r="A533" s="315"/>
      <c r="B533" s="315"/>
      <c r="C533" s="315"/>
      <c r="D533" s="315"/>
      <c r="E533" s="315"/>
      <c r="F533" s="315"/>
      <c r="G533" s="315"/>
      <c r="H533" s="315"/>
      <c r="I533" s="315"/>
      <c r="J533" s="315"/>
      <c r="K533" s="315"/>
      <c r="L533" s="315"/>
      <c r="M533" s="315"/>
      <c r="N533" s="315"/>
      <c r="O533" s="315"/>
      <c r="P533" s="315"/>
      <c r="Q533" s="315"/>
      <c r="R533" s="315"/>
      <c r="S533" s="315"/>
      <c r="T533" s="315"/>
      <c r="U533" s="315"/>
      <c r="V533" s="315"/>
      <c r="W533" s="315"/>
      <c r="X533" s="315"/>
      <c r="Y533" s="315"/>
      <c r="Z533" s="315"/>
    </row>
    <row r="534">
      <c r="A534" s="315"/>
      <c r="B534" s="315"/>
      <c r="C534" s="315"/>
      <c r="D534" s="315"/>
      <c r="E534" s="315"/>
      <c r="F534" s="315"/>
      <c r="G534" s="315"/>
      <c r="H534" s="315"/>
      <c r="I534" s="315"/>
      <c r="J534" s="315"/>
      <c r="K534" s="315"/>
      <c r="L534" s="315"/>
      <c r="M534" s="315"/>
      <c r="N534" s="315"/>
      <c r="O534" s="315"/>
      <c r="P534" s="315"/>
      <c r="Q534" s="315"/>
      <c r="R534" s="315"/>
      <c r="S534" s="315"/>
      <c r="T534" s="315"/>
      <c r="U534" s="315"/>
      <c r="V534" s="315"/>
      <c r="W534" s="315"/>
      <c r="X534" s="315"/>
      <c r="Y534" s="315"/>
      <c r="Z534" s="315"/>
    </row>
    <row r="535">
      <c r="A535" s="315"/>
      <c r="B535" s="315"/>
      <c r="C535" s="315"/>
      <c r="D535" s="315"/>
      <c r="E535" s="315"/>
      <c r="F535" s="315"/>
      <c r="G535" s="315"/>
      <c r="H535" s="315"/>
      <c r="I535" s="315"/>
      <c r="J535" s="315"/>
      <c r="K535" s="315"/>
      <c r="L535" s="315"/>
      <c r="M535" s="315"/>
      <c r="N535" s="315"/>
      <c r="O535" s="315"/>
      <c r="P535" s="315"/>
      <c r="Q535" s="315"/>
      <c r="R535" s="315"/>
      <c r="S535" s="315"/>
      <c r="T535" s="315"/>
      <c r="U535" s="315"/>
      <c r="V535" s="315"/>
      <c r="W535" s="315"/>
      <c r="X535" s="315"/>
      <c r="Y535" s="315"/>
      <c r="Z535" s="315"/>
    </row>
    <row r="536">
      <c r="A536" s="315"/>
      <c r="B536" s="315"/>
      <c r="C536" s="315"/>
      <c r="D536" s="315"/>
      <c r="E536" s="315"/>
      <c r="F536" s="315"/>
      <c r="G536" s="315"/>
      <c r="H536" s="315"/>
      <c r="I536" s="315"/>
      <c r="J536" s="315"/>
      <c r="K536" s="315"/>
      <c r="L536" s="315"/>
      <c r="M536" s="315"/>
      <c r="N536" s="315"/>
      <c r="O536" s="315"/>
      <c r="P536" s="315"/>
      <c r="Q536" s="315"/>
      <c r="R536" s="315"/>
      <c r="S536" s="315"/>
      <c r="T536" s="315"/>
      <c r="U536" s="315"/>
      <c r="V536" s="315"/>
      <c r="W536" s="315"/>
      <c r="X536" s="315"/>
      <c r="Y536" s="315"/>
      <c r="Z536" s="315"/>
    </row>
    <row r="537">
      <c r="A537" s="315"/>
      <c r="B537" s="315"/>
      <c r="C537" s="315"/>
      <c r="D537" s="315"/>
      <c r="E537" s="315"/>
      <c r="F537" s="315"/>
      <c r="G537" s="315"/>
      <c r="H537" s="315"/>
      <c r="I537" s="315"/>
      <c r="J537" s="315"/>
      <c r="K537" s="315"/>
      <c r="L537" s="315"/>
      <c r="M537" s="315"/>
      <c r="N537" s="315"/>
      <c r="O537" s="315"/>
      <c r="P537" s="315"/>
      <c r="Q537" s="315"/>
      <c r="R537" s="315"/>
      <c r="S537" s="315"/>
      <c r="T537" s="315"/>
      <c r="U537" s="315"/>
      <c r="V537" s="315"/>
      <c r="W537" s="315"/>
      <c r="X537" s="315"/>
      <c r="Y537" s="315"/>
      <c r="Z537" s="315"/>
    </row>
    <row r="538">
      <c r="A538" s="315"/>
      <c r="B538" s="315"/>
      <c r="C538" s="315"/>
      <c r="D538" s="315"/>
      <c r="E538" s="315"/>
      <c r="F538" s="315"/>
      <c r="G538" s="315"/>
      <c r="H538" s="315"/>
      <c r="I538" s="315"/>
      <c r="J538" s="315"/>
      <c r="K538" s="315"/>
      <c r="L538" s="315"/>
      <c r="M538" s="315"/>
      <c r="N538" s="315"/>
      <c r="O538" s="315"/>
      <c r="P538" s="315"/>
      <c r="Q538" s="315"/>
      <c r="R538" s="315"/>
      <c r="S538" s="315"/>
      <c r="T538" s="315"/>
      <c r="U538" s="315"/>
      <c r="V538" s="315"/>
      <c r="W538" s="315"/>
      <c r="X538" s="315"/>
      <c r="Y538" s="315"/>
      <c r="Z538" s="315"/>
    </row>
    <row r="539">
      <c r="A539" s="315"/>
      <c r="B539" s="315"/>
      <c r="C539" s="315"/>
      <c r="D539" s="315"/>
      <c r="E539" s="315"/>
      <c r="F539" s="315"/>
      <c r="G539" s="315"/>
      <c r="H539" s="315"/>
      <c r="I539" s="315"/>
      <c r="J539" s="315"/>
      <c r="K539" s="315"/>
      <c r="L539" s="315"/>
      <c r="M539" s="315"/>
      <c r="N539" s="315"/>
      <c r="O539" s="315"/>
      <c r="P539" s="315"/>
      <c r="Q539" s="315"/>
      <c r="R539" s="315"/>
      <c r="S539" s="315"/>
      <c r="T539" s="315"/>
      <c r="U539" s="315"/>
      <c r="V539" s="315"/>
      <c r="W539" s="315"/>
      <c r="X539" s="315"/>
      <c r="Y539" s="315"/>
      <c r="Z539" s="315"/>
    </row>
    <row r="540">
      <c r="A540" s="315"/>
      <c r="B540" s="315"/>
      <c r="C540" s="315"/>
      <c r="D540" s="315"/>
      <c r="E540" s="315"/>
      <c r="F540" s="315"/>
      <c r="G540" s="315"/>
      <c r="H540" s="315"/>
      <c r="I540" s="315"/>
      <c r="J540" s="315"/>
      <c r="K540" s="315"/>
      <c r="L540" s="315"/>
      <c r="M540" s="315"/>
      <c r="N540" s="315"/>
      <c r="O540" s="315"/>
      <c r="P540" s="315"/>
      <c r="Q540" s="315"/>
      <c r="R540" s="315"/>
      <c r="S540" s="315"/>
      <c r="T540" s="315"/>
      <c r="U540" s="315"/>
      <c r="V540" s="315"/>
      <c r="W540" s="315"/>
      <c r="X540" s="315"/>
      <c r="Y540" s="315"/>
      <c r="Z540" s="315"/>
    </row>
    <row r="541">
      <c r="A541" s="315"/>
      <c r="B541" s="315"/>
      <c r="C541" s="315"/>
      <c r="D541" s="315"/>
      <c r="E541" s="315"/>
      <c r="F541" s="315"/>
      <c r="G541" s="315"/>
      <c r="H541" s="315"/>
      <c r="I541" s="315"/>
      <c r="J541" s="315"/>
      <c r="K541" s="315"/>
      <c r="L541" s="315"/>
      <c r="M541" s="315"/>
      <c r="N541" s="315"/>
      <c r="O541" s="315"/>
      <c r="P541" s="315"/>
      <c r="Q541" s="315"/>
      <c r="R541" s="315"/>
      <c r="S541" s="315"/>
      <c r="T541" s="315"/>
      <c r="U541" s="315"/>
      <c r="V541" s="315"/>
      <c r="W541" s="315"/>
      <c r="X541" s="315"/>
      <c r="Y541" s="315"/>
      <c r="Z541" s="315"/>
    </row>
    <row r="542">
      <c r="A542" s="315"/>
      <c r="B542" s="315"/>
      <c r="C542" s="315"/>
      <c r="D542" s="315"/>
      <c r="E542" s="315"/>
      <c r="F542" s="315"/>
      <c r="G542" s="315"/>
      <c r="H542" s="315"/>
      <c r="I542" s="315"/>
      <c r="J542" s="315"/>
      <c r="K542" s="315"/>
      <c r="L542" s="315"/>
      <c r="M542" s="315"/>
      <c r="N542" s="315"/>
      <c r="O542" s="315"/>
      <c r="P542" s="315"/>
      <c r="Q542" s="315"/>
      <c r="R542" s="315"/>
      <c r="S542" s="315"/>
      <c r="T542" s="315"/>
      <c r="U542" s="315"/>
      <c r="V542" s="315"/>
      <c r="W542" s="315"/>
      <c r="X542" s="315"/>
      <c r="Y542" s="315"/>
      <c r="Z542" s="315"/>
    </row>
    <row r="543">
      <c r="A543" s="315"/>
      <c r="B543" s="315"/>
      <c r="C543" s="315"/>
      <c r="D543" s="315"/>
      <c r="E543" s="315"/>
      <c r="F543" s="315"/>
      <c r="G543" s="315"/>
      <c r="H543" s="315"/>
      <c r="I543" s="315"/>
      <c r="J543" s="315"/>
      <c r="K543" s="315"/>
      <c r="L543" s="315"/>
      <c r="M543" s="315"/>
      <c r="N543" s="315"/>
      <c r="O543" s="315"/>
      <c r="P543" s="315"/>
      <c r="Q543" s="315"/>
      <c r="R543" s="315"/>
      <c r="S543" s="315"/>
      <c r="T543" s="315"/>
      <c r="U543" s="315"/>
      <c r="V543" s="315"/>
      <c r="W543" s="315"/>
      <c r="X543" s="315"/>
      <c r="Y543" s="315"/>
      <c r="Z543" s="315"/>
    </row>
    <row r="544">
      <c r="A544" s="315"/>
      <c r="B544" s="315"/>
      <c r="C544" s="315"/>
      <c r="D544" s="315"/>
      <c r="E544" s="315"/>
      <c r="F544" s="315"/>
      <c r="G544" s="315"/>
      <c r="H544" s="315"/>
      <c r="I544" s="315"/>
      <c r="J544" s="315"/>
      <c r="K544" s="315"/>
      <c r="L544" s="315"/>
      <c r="M544" s="315"/>
      <c r="N544" s="315"/>
      <c r="O544" s="315"/>
      <c r="P544" s="315"/>
      <c r="Q544" s="315"/>
      <c r="R544" s="315"/>
      <c r="S544" s="315"/>
      <c r="T544" s="315"/>
      <c r="U544" s="315"/>
      <c r="V544" s="315"/>
      <c r="W544" s="315"/>
      <c r="X544" s="315"/>
      <c r="Y544" s="315"/>
      <c r="Z544" s="315"/>
    </row>
    <row r="545">
      <c r="A545" s="315"/>
      <c r="B545" s="315"/>
      <c r="C545" s="315"/>
      <c r="D545" s="315"/>
      <c r="E545" s="315"/>
      <c r="F545" s="315"/>
      <c r="G545" s="315"/>
      <c r="H545" s="315"/>
      <c r="I545" s="315"/>
      <c r="J545" s="315"/>
      <c r="K545" s="315"/>
      <c r="L545" s="315"/>
      <c r="M545" s="315"/>
      <c r="N545" s="315"/>
      <c r="O545" s="315"/>
      <c r="P545" s="315"/>
      <c r="Q545" s="315"/>
      <c r="R545" s="315"/>
      <c r="S545" s="315"/>
      <c r="T545" s="315"/>
      <c r="U545" s="315"/>
      <c r="V545" s="315"/>
      <c r="W545" s="315"/>
      <c r="X545" s="315"/>
      <c r="Y545" s="315"/>
      <c r="Z545" s="315"/>
    </row>
    <row r="546">
      <c r="A546" s="315"/>
      <c r="B546" s="315"/>
      <c r="C546" s="315"/>
      <c r="D546" s="315"/>
      <c r="E546" s="315"/>
      <c r="F546" s="315"/>
      <c r="G546" s="315"/>
      <c r="H546" s="315"/>
      <c r="I546" s="315"/>
      <c r="J546" s="315"/>
      <c r="K546" s="315"/>
      <c r="L546" s="315"/>
      <c r="M546" s="315"/>
      <c r="N546" s="315"/>
      <c r="O546" s="315"/>
      <c r="P546" s="315"/>
      <c r="Q546" s="315"/>
      <c r="R546" s="315"/>
      <c r="S546" s="315"/>
      <c r="T546" s="315"/>
      <c r="U546" s="315"/>
      <c r="V546" s="315"/>
      <c r="W546" s="315"/>
      <c r="X546" s="315"/>
      <c r="Y546" s="315"/>
      <c r="Z546" s="315"/>
    </row>
    <row r="547">
      <c r="A547" s="315"/>
      <c r="B547" s="315"/>
      <c r="C547" s="315"/>
      <c r="D547" s="315"/>
      <c r="E547" s="315"/>
      <c r="F547" s="315"/>
      <c r="G547" s="315"/>
      <c r="H547" s="315"/>
      <c r="I547" s="315"/>
      <c r="J547" s="315"/>
      <c r="K547" s="315"/>
      <c r="L547" s="315"/>
      <c r="M547" s="315"/>
      <c r="N547" s="315"/>
      <c r="O547" s="315"/>
      <c r="P547" s="315"/>
      <c r="Q547" s="315"/>
      <c r="R547" s="315"/>
      <c r="S547" s="315"/>
      <c r="T547" s="315"/>
      <c r="U547" s="315"/>
      <c r="V547" s="315"/>
      <c r="W547" s="315"/>
      <c r="X547" s="315"/>
      <c r="Y547" s="315"/>
      <c r="Z547" s="315"/>
    </row>
    <row r="548">
      <c r="A548" s="315"/>
      <c r="B548" s="315"/>
      <c r="C548" s="315"/>
      <c r="D548" s="315"/>
      <c r="E548" s="315"/>
      <c r="F548" s="315"/>
      <c r="G548" s="315"/>
      <c r="H548" s="315"/>
      <c r="I548" s="315"/>
      <c r="J548" s="315"/>
      <c r="K548" s="315"/>
      <c r="L548" s="315"/>
      <c r="M548" s="315"/>
      <c r="N548" s="315"/>
      <c r="O548" s="315"/>
      <c r="P548" s="315"/>
      <c r="Q548" s="315"/>
      <c r="R548" s="315"/>
      <c r="S548" s="315"/>
      <c r="T548" s="315"/>
      <c r="U548" s="315"/>
      <c r="V548" s="315"/>
      <c r="W548" s="315"/>
      <c r="X548" s="315"/>
      <c r="Y548" s="315"/>
      <c r="Z548" s="315"/>
    </row>
    <row r="549">
      <c r="A549" s="315"/>
      <c r="B549" s="315"/>
      <c r="C549" s="315"/>
      <c r="D549" s="315"/>
      <c r="E549" s="315"/>
      <c r="F549" s="315"/>
      <c r="G549" s="315"/>
      <c r="H549" s="315"/>
      <c r="I549" s="315"/>
      <c r="J549" s="315"/>
      <c r="K549" s="315"/>
      <c r="L549" s="315"/>
      <c r="M549" s="315"/>
      <c r="N549" s="315"/>
      <c r="O549" s="315"/>
      <c r="P549" s="315"/>
      <c r="Q549" s="315"/>
      <c r="R549" s="315"/>
      <c r="S549" s="315"/>
      <c r="T549" s="315"/>
      <c r="U549" s="315"/>
      <c r="V549" s="315"/>
      <c r="W549" s="315"/>
      <c r="X549" s="315"/>
      <c r="Y549" s="315"/>
      <c r="Z549" s="315"/>
    </row>
    <row r="550">
      <c r="A550" s="315"/>
      <c r="B550" s="315"/>
      <c r="C550" s="315"/>
      <c r="D550" s="315"/>
      <c r="E550" s="315"/>
      <c r="F550" s="315"/>
      <c r="G550" s="315"/>
      <c r="H550" s="315"/>
      <c r="I550" s="315"/>
      <c r="J550" s="315"/>
      <c r="K550" s="315"/>
      <c r="L550" s="315"/>
      <c r="M550" s="315"/>
      <c r="N550" s="315"/>
      <c r="O550" s="315"/>
      <c r="P550" s="315"/>
      <c r="Q550" s="315"/>
      <c r="R550" s="315"/>
      <c r="S550" s="315"/>
      <c r="T550" s="315"/>
      <c r="U550" s="315"/>
      <c r="V550" s="315"/>
      <c r="W550" s="315"/>
      <c r="X550" s="315"/>
      <c r="Y550" s="315"/>
      <c r="Z550" s="315"/>
    </row>
    <row r="551">
      <c r="A551" s="315"/>
      <c r="B551" s="315"/>
      <c r="C551" s="315"/>
      <c r="D551" s="315"/>
      <c r="E551" s="315"/>
      <c r="F551" s="315"/>
      <c r="G551" s="315"/>
      <c r="H551" s="315"/>
      <c r="I551" s="315"/>
      <c r="J551" s="315"/>
      <c r="K551" s="315"/>
      <c r="L551" s="315"/>
      <c r="M551" s="315"/>
      <c r="N551" s="315"/>
      <c r="O551" s="315"/>
      <c r="P551" s="315"/>
      <c r="Q551" s="315"/>
      <c r="R551" s="315"/>
      <c r="S551" s="315"/>
      <c r="T551" s="315"/>
      <c r="U551" s="315"/>
      <c r="V551" s="315"/>
      <c r="W551" s="315"/>
      <c r="X551" s="315"/>
      <c r="Y551" s="315"/>
      <c r="Z551" s="315"/>
    </row>
    <row r="552">
      <c r="A552" s="315"/>
      <c r="B552" s="315"/>
      <c r="C552" s="315"/>
      <c r="D552" s="315"/>
      <c r="E552" s="315"/>
      <c r="F552" s="315"/>
      <c r="G552" s="315"/>
      <c r="H552" s="315"/>
      <c r="I552" s="315"/>
      <c r="J552" s="315"/>
      <c r="K552" s="315"/>
      <c r="L552" s="315"/>
      <c r="M552" s="315"/>
      <c r="N552" s="315"/>
      <c r="O552" s="315"/>
      <c r="P552" s="315"/>
      <c r="Q552" s="315"/>
      <c r="R552" s="315"/>
      <c r="S552" s="315"/>
      <c r="T552" s="315"/>
      <c r="U552" s="315"/>
      <c r="V552" s="315"/>
      <c r="W552" s="315"/>
      <c r="X552" s="315"/>
      <c r="Y552" s="315"/>
      <c r="Z552" s="315"/>
    </row>
    <row r="553">
      <c r="A553" s="315"/>
      <c r="B553" s="315"/>
      <c r="C553" s="315"/>
      <c r="D553" s="315"/>
      <c r="E553" s="315"/>
      <c r="F553" s="315"/>
      <c r="G553" s="315"/>
      <c r="H553" s="315"/>
      <c r="I553" s="315"/>
      <c r="J553" s="315"/>
      <c r="K553" s="315"/>
      <c r="L553" s="315"/>
      <c r="M553" s="315"/>
      <c r="N553" s="315"/>
      <c r="O553" s="315"/>
      <c r="P553" s="315"/>
      <c r="Q553" s="315"/>
      <c r="R553" s="315"/>
      <c r="S553" s="315"/>
      <c r="T553" s="315"/>
      <c r="U553" s="315"/>
      <c r="V553" s="315"/>
      <c r="W553" s="315"/>
      <c r="X553" s="315"/>
      <c r="Y553" s="315"/>
      <c r="Z553" s="315"/>
    </row>
    <row r="554">
      <c r="A554" s="315"/>
      <c r="B554" s="315"/>
      <c r="C554" s="315"/>
      <c r="D554" s="315"/>
      <c r="E554" s="315"/>
      <c r="F554" s="315"/>
      <c r="G554" s="315"/>
      <c r="H554" s="315"/>
      <c r="I554" s="315"/>
      <c r="J554" s="315"/>
      <c r="K554" s="315"/>
      <c r="L554" s="315"/>
      <c r="M554" s="315"/>
      <c r="N554" s="315"/>
      <c r="O554" s="315"/>
      <c r="P554" s="315"/>
      <c r="Q554" s="315"/>
      <c r="R554" s="315"/>
      <c r="S554" s="315"/>
      <c r="T554" s="315"/>
      <c r="U554" s="315"/>
      <c r="V554" s="315"/>
      <c r="W554" s="315"/>
      <c r="X554" s="315"/>
      <c r="Y554" s="315"/>
      <c r="Z554" s="315"/>
    </row>
    <row r="555">
      <c r="A555" s="315"/>
      <c r="B555" s="315"/>
      <c r="C555" s="315"/>
      <c r="D555" s="315"/>
      <c r="E555" s="315"/>
      <c r="F555" s="315"/>
      <c r="G555" s="315"/>
      <c r="H555" s="315"/>
      <c r="I555" s="315"/>
      <c r="J555" s="315"/>
      <c r="K555" s="315"/>
      <c r="L555" s="315"/>
      <c r="M555" s="315"/>
      <c r="N555" s="315"/>
      <c r="O555" s="315"/>
      <c r="P555" s="315"/>
      <c r="Q555" s="315"/>
      <c r="R555" s="315"/>
      <c r="S555" s="315"/>
      <c r="T555" s="315"/>
      <c r="U555" s="315"/>
      <c r="V555" s="315"/>
      <c r="W555" s="315"/>
      <c r="X555" s="315"/>
      <c r="Y555" s="315"/>
      <c r="Z555" s="315"/>
    </row>
    <row r="556">
      <c r="A556" s="315"/>
      <c r="B556" s="315"/>
      <c r="C556" s="315"/>
      <c r="D556" s="315"/>
      <c r="E556" s="315"/>
      <c r="F556" s="315"/>
      <c r="G556" s="315"/>
      <c r="H556" s="315"/>
      <c r="I556" s="315"/>
      <c r="J556" s="315"/>
      <c r="K556" s="315"/>
      <c r="L556" s="315"/>
      <c r="M556" s="315"/>
      <c r="N556" s="315"/>
      <c r="O556" s="315"/>
      <c r="P556" s="315"/>
      <c r="Q556" s="315"/>
      <c r="R556" s="315"/>
      <c r="S556" s="315"/>
      <c r="T556" s="315"/>
      <c r="U556" s="315"/>
      <c r="V556" s="315"/>
      <c r="W556" s="315"/>
      <c r="X556" s="315"/>
      <c r="Y556" s="315"/>
      <c r="Z556" s="315"/>
    </row>
    <row r="557">
      <c r="A557" s="315"/>
      <c r="B557" s="315"/>
      <c r="C557" s="315"/>
      <c r="D557" s="315"/>
      <c r="E557" s="315"/>
      <c r="F557" s="315"/>
      <c r="G557" s="315"/>
      <c r="H557" s="315"/>
      <c r="I557" s="315"/>
      <c r="J557" s="315"/>
      <c r="K557" s="315"/>
      <c r="L557" s="315"/>
      <c r="M557" s="315"/>
      <c r="N557" s="315"/>
      <c r="O557" s="315"/>
      <c r="P557" s="315"/>
      <c r="Q557" s="315"/>
      <c r="R557" s="315"/>
      <c r="S557" s="315"/>
      <c r="T557" s="315"/>
      <c r="U557" s="315"/>
      <c r="V557" s="315"/>
      <c r="W557" s="315"/>
      <c r="X557" s="315"/>
      <c r="Y557" s="315"/>
      <c r="Z557" s="315"/>
    </row>
    <row r="558">
      <c r="A558" s="315"/>
      <c r="B558" s="315"/>
      <c r="C558" s="315"/>
      <c r="D558" s="315"/>
      <c r="E558" s="315"/>
      <c r="F558" s="315"/>
      <c r="G558" s="315"/>
      <c r="H558" s="315"/>
      <c r="I558" s="315"/>
      <c r="J558" s="315"/>
      <c r="K558" s="315"/>
      <c r="L558" s="315"/>
      <c r="M558" s="315"/>
      <c r="N558" s="315"/>
      <c r="O558" s="315"/>
      <c r="P558" s="315"/>
      <c r="Q558" s="315"/>
      <c r="R558" s="315"/>
      <c r="S558" s="315"/>
      <c r="T558" s="315"/>
      <c r="U558" s="315"/>
      <c r="V558" s="315"/>
      <c r="W558" s="315"/>
      <c r="X558" s="315"/>
      <c r="Y558" s="315"/>
      <c r="Z558" s="315"/>
    </row>
    <row r="559">
      <c r="A559" s="315"/>
      <c r="B559" s="315"/>
      <c r="C559" s="315"/>
      <c r="D559" s="315"/>
      <c r="E559" s="315"/>
      <c r="F559" s="315"/>
      <c r="G559" s="315"/>
      <c r="H559" s="315"/>
      <c r="I559" s="315"/>
      <c r="J559" s="315"/>
      <c r="K559" s="315"/>
      <c r="L559" s="315"/>
      <c r="M559" s="315"/>
      <c r="N559" s="315"/>
      <c r="O559" s="315"/>
      <c r="P559" s="315"/>
      <c r="Q559" s="315"/>
      <c r="R559" s="315"/>
      <c r="S559" s="315"/>
      <c r="T559" s="315"/>
      <c r="U559" s="315"/>
      <c r="V559" s="315"/>
      <c r="W559" s="315"/>
      <c r="X559" s="315"/>
      <c r="Y559" s="315"/>
      <c r="Z559" s="315"/>
    </row>
    <row r="560">
      <c r="A560" s="315"/>
      <c r="B560" s="315"/>
      <c r="C560" s="315"/>
      <c r="D560" s="315"/>
      <c r="E560" s="315"/>
      <c r="F560" s="315"/>
      <c r="G560" s="315"/>
      <c r="H560" s="315"/>
      <c r="I560" s="315"/>
      <c r="J560" s="315"/>
      <c r="K560" s="315"/>
      <c r="L560" s="315"/>
      <c r="M560" s="315"/>
      <c r="N560" s="315"/>
      <c r="O560" s="315"/>
      <c r="P560" s="315"/>
      <c r="Q560" s="315"/>
      <c r="R560" s="315"/>
      <c r="S560" s="315"/>
      <c r="T560" s="315"/>
      <c r="U560" s="315"/>
      <c r="V560" s="315"/>
      <c r="W560" s="315"/>
      <c r="X560" s="315"/>
      <c r="Y560" s="315"/>
      <c r="Z560" s="315"/>
    </row>
    <row r="561">
      <c r="A561" s="315"/>
      <c r="B561" s="315"/>
      <c r="C561" s="315"/>
      <c r="D561" s="315"/>
      <c r="E561" s="315"/>
      <c r="F561" s="315"/>
      <c r="G561" s="315"/>
      <c r="H561" s="315"/>
      <c r="I561" s="315"/>
      <c r="J561" s="315"/>
      <c r="K561" s="315"/>
      <c r="L561" s="315"/>
      <c r="M561" s="315"/>
      <c r="N561" s="315"/>
      <c r="O561" s="315"/>
      <c r="P561" s="315"/>
      <c r="Q561" s="315"/>
      <c r="R561" s="315"/>
      <c r="S561" s="315"/>
      <c r="T561" s="315"/>
      <c r="U561" s="315"/>
      <c r="V561" s="315"/>
      <c r="W561" s="315"/>
      <c r="X561" s="315"/>
      <c r="Y561" s="315"/>
      <c r="Z561" s="315"/>
    </row>
    <row r="562">
      <c r="A562" s="315"/>
      <c r="B562" s="315"/>
      <c r="C562" s="315"/>
      <c r="D562" s="315"/>
      <c r="E562" s="315"/>
      <c r="F562" s="315"/>
      <c r="G562" s="315"/>
      <c r="H562" s="315"/>
      <c r="I562" s="315"/>
      <c r="J562" s="315"/>
      <c r="K562" s="315"/>
      <c r="L562" s="315"/>
      <c r="M562" s="315"/>
      <c r="N562" s="315"/>
      <c r="O562" s="315"/>
      <c r="P562" s="315"/>
      <c r="Q562" s="315"/>
      <c r="R562" s="315"/>
      <c r="S562" s="315"/>
      <c r="T562" s="315"/>
      <c r="U562" s="315"/>
      <c r="V562" s="315"/>
      <c r="W562" s="315"/>
      <c r="X562" s="315"/>
      <c r="Y562" s="315"/>
      <c r="Z562" s="315"/>
    </row>
    <row r="563">
      <c r="A563" s="315"/>
      <c r="B563" s="315"/>
      <c r="C563" s="315"/>
      <c r="D563" s="315"/>
      <c r="E563" s="315"/>
      <c r="F563" s="315"/>
      <c r="G563" s="315"/>
      <c r="H563" s="315"/>
      <c r="I563" s="315"/>
      <c r="J563" s="315"/>
      <c r="K563" s="315"/>
      <c r="L563" s="315"/>
      <c r="M563" s="315"/>
      <c r="N563" s="315"/>
      <c r="O563" s="315"/>
      <c r="P563" s="315"/>
      <c r="Q563" s="315"/>
      <c r="R563" s="315"/>
      <c r="S563" s="315"/>
      <c r="T563" s="315"/>
      <c r="U563" s="315"/>
      <c r="V563" s="315"/>
      <c r="W563" s="315"/>
      <c r="X563" s="315"/>
      <c r="Y563" s="315"/>
      <c r="Z563" s="315"/>
    </row>
    <row r="564">
      <c r="A564" s="315"/>
      <c r="B564" s="315"/>
      <c r="C564" s="315"/>
      <c r="D564" s="315"/>
      <c r="E564" s="315"/>
      <c r="F564" s="315"/>
      <c r="G564" s="315"/>
      <c r="H564" s="315"/>
      <c r="I564" s="315"/>
      <c r="J564" s="315"/>
      <c r="K564" s="315"/>
      <c r="L564" s="315"/>
      <c r="M564" s="315"/>
      <c r="N564" s="315"/>
      <c r="O564" s="315"/>
      <c r="P564" s="315"/>
      <c r="Q564" s="315"/>
      <c r="R564" s="315"/>
      <c r="S564" s="315"/>
      <c r="T564" s="315"/>
      <c r="U564" s="315"/>
      <c r="V564" s="315"/>
      <c r="W564" s="315"/>
      <c r="X564" s="315"/>
      <c r="Y564" s="315"/>
      <c r="Z564" s="315"/>
    </row>
    <row r="565">
      <c r="A565" s="315"/>
      <c r="B565" s="315"/>
      <c r="C565" s="315"/>
      <c r="D565" s="315"/>
      <c r="E565" s="315"/>
      <c r="F565" s="315"/>
      <c r="G565" s="315"/>
      <c r="H565" s="315"/>
      <c r="I565" s="315"/>
      <c r="J565" s="315"/>
      <c r="K565" s="315"/>
      <c r="L565" s="315"/>
      <c r="M565" s="315"/>
      <c r="N565" s="315"/>
      <c r="O565" s="315"/>
      <c r="P565" s="315"/>
      <c r="Q565" s="315"/>
      <c r="R565" s="315"/>
      <c r="S565" s="315"/>
      <c r="T565" s="315"/>
      <c r="U565" s="315"/>
      <c r="V565" s="315"/>
      <c r="W565" s="315"/>
      <c r="X565" s="315"/>
      <c r="Y565" s="315"/>
      <c r="Z565" s="315"/>
    </row>
    <row r="566">
      <c r="A566" s="315"/>
      <c r="B566" s="315"/>
      <c r="C566" s="315"/>
      <c r="D566" s="315"/>
      <c r="E566" s="315"/>
      <c r="F566" s="315"/>
      <c r="G566" s="315"/>
      <c r="H566" s="315"/>
      <c r="I566" s="315"/>
      <c r="J566" s="315"/>
      <c r="K566" s="315"/>
      <c r="L566" s="315"/>
      <c r="M566" s="315"/>
      <c r="N566" s="315"/>
      <c r="O566" s="315"/>
      <c r="P566" s="315"/>
      <c r="Q566" s="315"/>
      <c r="R566" s="315"/>
      <c r="S566" s="315"/>
      <c r="T566" s="315"/>
      <c r="U566" s="315"/>
      <c r="V566" s="315"/>
      <c r="W566" s="315"/>
      <c r="X566" s="315"/>
      <c r="Y566" s="315"/>
      <c r="Z566" s="315"/>
    </row>
    <row r="567">
      <c r="A567" s="315"/>
      <c r="B567" s="315"/>
      <c r="C567" s="315"/>
      <c r="D567" s="315"/>
      <c r="E567" s="315"/>
      <c r="F567" s="315"/>
      <c r="G567" s="315"/>
      <c r="H567" s="315"/>
      <c r="I567" s="315"/>
      <c r="J567" s="315"/>
      <c r="K567" s="315"/>
      <c r="L567" s="315"/>
      <c r="M567" s="315"/>
      <c r="N567" s="315"/>
      <c r="O567" s="315"/>
      <c r="P567" s="315"/>
      <c r="Q567" s="315"/>
      <c r="R567" s="315"/>
      <c r="S567" s="315"/>
      <c r="T567" s="315"/>
      <c r="U567" s="315"/>
      <c r="V567" s="315"/>
      <c r="W567" s="315"/>
      <c r="X567" s="315"/>
      <c r="Y567" s="315"/>
      <c r="Z567" s="315"/>
    </row>
    <row r="568">
      <c r="A568" s="315"/>
      <c r="B568" s="315"/>
      <c r="C568" s="315"/>
      <c r="D568" s="315"/>
      <c r="E568" s="315"/>
      <c r="F568" s="315"/>
      <c r="G568" s="315"/>
      <c r="H568" s="315"/>
      <c r="I568" s="315"/>
      <c r="J568" s="315"/>
      <c r="K568" s="315"/>
      <c r="L568" s="315"/>
      <c r="M568" s="315"/>
      <c r="N568" s="315"/>
      <c r="O568" s="315"/>
      <c r="P568" s="315"/>
      <c r="Q568" s="315"/>
      <c r="R568" s="315"/>
      <c r="S568" s="315"/>
      <c r="T568" s="315"/>
      <c r="U568" s="315"/>
      <c r="V568" s="315"/>
      <c r="W568" s="315"/>
      <c r="X568" s="315"/>
      <c r="Y568" s="315"/>
      <c r="Z568" s="315"/>
    </row>
    <row r="569">
      <c r="A569" s="315"/>
      <c r="B569" s="315"/>
      <c r="C569" s="315"/>
      <c r="D569" s="315"/>
      <c r="E569" s="315"/>
      <c r="F569" s="315"/>
      <c r="G569" s="315"/>
      <c r="H569" s="315"/>
      <c r="I569" s="315"/>
      <c r="J569" s="315"/>
      <c r="K569" s="315"/>
      <c r="L569" s="315"/>
      <c r="M569" s="315"/>
      <c r="N569" s="315"/>
      <c r="O569" s="315"/>
      <c r="P569" s="315"/>
      <c r="Q569" s="315"/>
      <c r="R569" s="315"/>
      <c r="S569" s="315"/>
      <c r="T569" s="315"/>
      <c r="U569" s="315"/>
      <c r="V569" s="315"/>
      <c r="W569" s="315"/>
      <c r="X569" s="315"/>
      <c r="Y569" s="315"/>
      <c r="Z569" s="315"/>
    </row>
    <row r="570">
      <c r="A570" s="315"/>
      <c r="B570" s="315"/>
      <c r="C570" s="315"/>
      <c r="D570" s="315"/>
      <c r="E570" s="315"/>
      <c r="F570" s="315"/>
      <c r="G570" s="315"/>
      <c r="H570" s="315"/>
      <c r="I570" s="315"/>
      <c r="J570" s="315"/>
      <c r="K570" s="315"/>
      <c r="L570" s="315"/>
      <c r="M570" s="315"/>
      <c r="N570" s="315"/>
      <c r="O570" s="315"/>
      <c r="P570" s="315"/>
      <c r="Q570" s="315"/>
      <c r="R570" s="315"/>
      <c r="S570" s="315"/>
      <c r="T570" s="315"/>
      <c r="U570" s="315"/>
      <c r="V570" s="315"/>
      <c r="W570" s="315"/>
      <c r="X570" s="315"/>
      <c r="Y570" s="315"/>
      <c r="Z570" s="315"/>
    </row>
    <row r="571">
      <c r="A571" s="315"/>
      <c r="B571" s="315"/>
      <c r="C571" s="315"/>
      <c r="D571" s="315"/>
      <c r="E571" s="315"/>
      <c r="F571" s="315"/>
      <c r="G571" s="315"/>
      <c r="H571" s="315"/>
      <c r="I571" s="315"/>
      <c r="J571" s="315"/>
      <c r="K571" s="315"/>
      <c r="L571" s="315"/>
      <c r="M571" s="315"/>
      <c r="N571" s="315"/>
      <c r="O571" s="315"/>
      <c r="P571" s="315"/>
      <c r="Q571" s="315"/>
      <c r="R571" s="315"/>
      <c r="S571" s="315"/>
      <c r="T571" s="315"/>
      <c r="U571" s="315"/>
      <c r="V571" s="315"/>
      <c r="W571" s="315"/>
      <c r="X571" s="315"/>
      <c r="Y571" s="315"/>
      <c r="Z571" s="315"/>
    </row>
    <row r="572">
      <c r="A572" s="315"/>
      <c r="B572" s="315"/>
      <c r="C572" s="315"/>
      <c r="D572" s="315"/>
      <c r="E572" s="315"/>
      <c r="F572" s="315"/>
      <c r="G572" s="315"/>
      <c r="H572" s="315"/>
      <c r="I572" s="315"/>
      <c r="J572" s="315"/>
      <c r="K572" s="315"/>
      <c r="L572" s="315"/>
      <c r="M572" s="315"/>
      <c r="N572" s="315"/>
      <c r="O572" s="315"/>
      <c r="P572" s="315"/>
      <c r="Q572" s="315"/>
      <c r="R572" s="315"/>
      <c r="S572" s="315"/>
      <c r="T572" s="315"/>
      <c r="U572" s="315"/>
      <c r="V572" s="315"/>
      <c r="W572" s="315"/>
      <c r="X572" s="315"/>
      <c r="Y572" s="315"/>
      <c r="Z572" s="315"/>
    </row>
    <row r="573">
      <c r="A573" s="315"/>
      <c r="B573" s="315"/>
      <c r="C573" s="315"/>
      <c r="D573" s="315"/>
      <c r="E573" s="315"/>
      <c r="F573" s="315"/>
      <c r="G573" s="315"/>
      <c r="H573" s="315"/>
      <c r="I573" s="315"/>
      <c r="J573" s="315"/>
      <c r="K573" s="315"/>
      <c r="L573" s="315"/>
      <c r="M573" s="315"/>
      <c r="N573" s="315"/>
      <c r="O573" s="315"/>
      <c r="P573" s="315"/>
      <c r="Q573" s="315"/>
      <c r="R573" s="315"/>
      <c r="S573" s="315"/>
      <c r="T573" s="315"/>
      <c r="U573" s="315"/>
      <c r="V573" s="315"/>
      <c r="W573" s="315"/>
      <c r="X573" s="315"/>
      <c r="Y573" s="315"/>
      <c r="Z573" s="315"/>
    </row>
    <row r="574">
      <c r="A574" s="315"/>
      <c r="B574" s="315"/>
      <c r="C574" s="315"/>
      <c r="D574" s="315"/>
      <c r="E574" s="315"/>
      <c r="F574" s="315"/>
      <c r="G574" s="315"/>
      <c r="H574" s="315"/>
      <c r="I574" s="315"/>
      <c r="J574" s="315"/>
      <c r="K574" s="315"/>
      <c r="L574" s="315"/>
      <c r="M574" s="315"/>
      <c r="N574" s="315"/>
      <c r="O574" s="315"/>
      <c r="P574" s="315"/>
      <c r="Q574" s="315"/>
      <c r="R574" s="315"/>
      <c r="S574" s="315"/>
      <c r="T574" s="315"/>
      <c r="U574" s="315"/>
      <c r="V574" s="315"/>
      <c r="W574" s="315"/>
      <c r="X574" s="315"/>
      <c r="Y574" s="315"/>
      <c r="Z574" s="315"/>
    </row>
    <row r="575">
      <c r="A575" s="315"/>
      <c r="B575" s="315"/>
      <c r="C575" s="315"/>
      <c r="D575" s="315"/>
      <c r="E575" s="315"/>
      <c r="F575" s="315"/>
      <c r="G575" s="315"/>
      <c r="H575" s="315"/>
      <c r="I575" s="315"/>
      <c r="J575" s="315"/>
      <c r="K575" s="315"/>
      <c r="L575" s="315"/>
      <c r="M575" s="315"/>
      <c r="N575" s="315"/>
      <c r="O575" s="315"/>
      <c r="P575" s="315"/>
      <c r="Q575" s="315"/>
      <c r="R575" s="315"/>
      <c r="S575" s="315"/>
      <c r="T575" s="315"/>
      <c r="U575" s="315"/>
      <c r="V575" s="315"/>
      <c r="W575" s="315"/>
      <c r="X575" s="315"/>
      <c r="Y575" s="315"/>
      <c r="Z575" s="315"/>
    </row>
    <row r="576">
      <c r="A576" s="315"/>
      <c r="B576" s="315"/>
      <c r="C576" s="315"/>
      <c r="D576" s="315"/>
      <c r="E576" s="315"/>
      <c r="F576" s="315"/>
      <c r="G576" s="315"/>
      <c r="H576" s="315"/>
      <c r="I576" s="315"/>
      <c r="J576" s="315"/>
      <c r="K576" s="315"/>
      <c r="L576" s="315"/>
      <c r="M576" s="315"/>
      <c r="N576" s="315"/>
      <c r="O576" s="315"/>
      <c r="P576" s="315"/>
      <c r="Q576" s="315"/>
      <c r="R576" s="315"/>
      <c r="S576" s="315"/>
      <c r="T576" s="315"/>
      <c r="U576" s="315"/>
      <c r="V576" s="315"/>
      <c r="W576" s="315"/>
      <c r="X576" s="315"/>
      <c r="Y576" s="315"/>
      <c r="Z576" s="315"/>
    </row>
    <row r="577">
      <c r="A577" s="315"/>
      <c r="B577" s="315"/>
      <c r="C577" s="315"/>
      <c r="D577" s="315"/>
      <c r="E577" s="315"/>
      <c r="F577" s="315"/>
      <c r="G577" s="315"/>
      <c r="H577" s="315"/>
      <c r="I577" s="315"/>
      <c r="J577" s="315"/>
      <c r="K577" s="315"/>
      <c r="L577" s="315"/>
      <c r="M577" s="315"/>
      <c r="N577" s="315"/>
      <c r="O577" s="315"/>
      <c r="P577" s="315"/>
      <c r="Q577" s="315"/>
      <c r="R577" s="315"/>
      <c r="S577" s="315"/>
      <c r="T577" s="315"/>
      <c r="U577" s="315"/>
      <c r="V577" s="315"/>
      <c r="W577" s="315"/>
      <c r="X577" s="315"/>
      <c r="Y577" s="315"/>
      <c r="Z577" s="315"/>
    </row>
    <row r="578">
      <c r="A578" s="315"/>
      <c r="B578" s="315"/>
      <c r="C578" s="315"/>
      <c r="D578" s="315"/>
      <c r="E578" s="315"/>
      <c r="F578" s="315"/>
      <c r="G578" s="315"/>
      <c r="H578" s="315"/>
      <c r="I578" s="315"/>
      <c r="J578" s="315"/>
      <c r="K578" s="315"/>
      <c r="L578" s="315"/>
      <c r="M578" s="315"/>
      <c r="N578" s="315"/>
      <c r="O578" s="315"/>
      <c r="P578" s="315"/>
      <c r="Q578" s="315"/>
      <c r="R578" s="315"/>
      <c r="S578" s="315"/>
      <c r="T578" s="315"/>
      <c r="U578" s="315"/>
      <c r="V578" s="315"/>
      <c r="W578" s="315"/>
      <c r="X578" s="315"/>
      <c r="Y578" s="315"/>
      <c r="Z578" s="315"/>
    </row>
    <row r="579">
      <c r="A579" s="315"/>
      <c r="B579" s="315"/>
      <c r="C579" s="315"/>
      <c r="D579" s="315"/>
      <c r="E579" s="315"/>
      <c r="F579" s="315"/>
      <c r="G579" s="315"/>
      <c r="H579" s="315"/>
      <c r="I579" s="315"/>
      <c r="J579" s="315"/>
      <c r="K579" s="315"/>
      <c r="L579" s="315"/>
      <c r="M579" s="315"/>
      <c r="N579" s="315"/>
      <c r="O579" s="315"/>
      <c r="P579" s="315"/>
      <c r="Q579" s="315"/>
      <c r="R579" s="315"/>
      <c r="S579" s="315"/>
      <c r="T579" s="315"/>
      <c r="U579" s="315"/>
      <c r="V579" s="315"/>
      <c r="W579" s="315"/>
      <c r="X579" s="315"/>
      <c r="Y579" s="315"/>
      <c r="Z579" s="315"/>
    </row>
    <row r="580">
      <c r="A580" s="315"/>
      <c r="B580" s="315"/>
      <c r="C580" s="315"/>
      <c r="D580" s="315"/>
      <c r="E580" s="315"/>
      <c r="F580" s="315"/>
      <c r="G580" s="315"/>
      <c r="H580" s="315"/>
      <c r="I580" s="315"/>
      <c r="J580" s="315"/>
      <c r="K580" s="315"/>
      <c r="L580" s="315"/>
      <c r="M580" s="315"/>
      <c r="N580" s="315"/>
      <c r="O580" s="315"/>
      <c r="P580" s="315"/>
      <c r="Q580" s="315"/>
      <c r="R580" s="315"/>
      <c r="S580" s="315"/>
      <c r="T580" s="315"/>
      <c r="U580" s="315"/>
      <c r="V580" s="315"/>
      <c r="W580" s="315"/>
      <c r="X580" s="315"/>
      <c r="Y580" s="315"/>
      <c r="Z580" s="315"/>
    </row>
    <row r="581">
      <c r="A581" s="315"/>
      <c r="B581" s="315"/>
      <c r="C581" s="315"/>
      <c r="D581" s="315"/>
      <c r="E581" s="315"/>
      <c r="F581" s="315"/>
      <c r="G581" s="315"/>
      <c r="H581" s="315"/>
      <c r="I581" s="315"/>
      <c r="J581" s="315"/>
      <c r="K581" s="315"/>
      <c r="L581" s="315"/>
      <c r="M581" s="315"/>
      <c r="N581" s="315"/>
      <c r="O581" s="315"/>
      <c r="P581" s="315"/>
      <c r="Q581" s="315"/>
      <c r="R581" s="315"/>
      <c r="S581" s="315"/>
      <c r="T581" s="315"/>
      <c r="U581" s="315"/>
      <c r="V581" s="315"/>
      <c r="W581" s="315"/>
      <c r="X581" s="315"/>
      <c r="Y581" s="315"/>
      <c r="Z581" s="315"/>
    </row>
    <row r="582">
      <c r="A582" s="315"/>
      <c r="B582" s="315"/>
      <c r="C582" s="315"/>
      <c r="D582" s="315"/>
      <c r="E582" s="315"/>
      <c r="F582" s="315"/>
      <c r="G582" s="315"/>
      <c r="H582" s="315"/>
      <c r="I582" s="315"/>
      <c r="J582" s="315"/>
      <c r="K582" s="315"/>
      <c r="L582" s="315"/>
      <c r="M582" s="315"/>
      <c r="N582" s="315"/>
      <c r="O582" s="315"/>
      <c r="P582" s="315"/>
      <c r="Q582" s="315"/>
      <c r="R582" s="315"/>
      <c r="S582" s="315"/>
      <c r="T582" s="315"/>
      <c r="U582" s="315"/>
      <c r="V582" s="315"/>
      <c r="W582" s="315"/>
      <c r="X582" s="315"/>
      <c r="Y582" s="315"/>
      <c r="Z582" s="315"/>
    </row>
    <row r="583">
      <c r="A583" s="315"/>
      <c r="B583" s="315"/>
      <c r="C583" s="315"/>
      <c r="D583" s="315"/>
      <c r="E583" s="315"/>
      <c r="F583" s="315"/>
      <c r="G583" s="315"/>
      <c r="H583" s="315"/>
      <c r="I583" s="315"/>
      <c r="J583" s="315"/>
      <c r="K583" s="315"/>
      <c r="L583" s="315"/>
      <c r="M583" s="315"/>
      <c r="N583" s="315"/>
      <c r="O583" s="315"/>
      <c r="P583" s="315"/>
      <c r="Q583" s="315"/>
      <c r="R583" s="315"/>
      <c r="S583" s="315"/>
      <c r="T583" s="315"/>
      <c r="U583" s="315"/>
      <c r="V583" s="315"/>
      <c r="W583" s="315"/>
      <c r="X583" s="315"/>
      <c r="Y583" s="315"/>
      <c r="Z583" s="315"/>
    </row>
    <row r="584">
      <c r="A584" s="315"/>
      <c r="B584" s="315"/>
      <c r="C584" s="315"/>
      <c r="D584" s="315"/>
      <c r="E584" s="315"/>
      <c r="F584" s="315"/>
      <c r="G584" s="315"/>
      <c r="H584" s="315"/>
      <c r="I584" s="315"/>
      <c r="J584" s="315"/>
      <c r="K584" s="315"/>
      <c r="L584" s="315"/>
      <c r="M584" s="315"/>
      <c r="N584" s="315"/>
      <c r="O584" s="315"/>
      <c r="P584" s="315"/>
      <c r="Q584" s="315"/>
      <c r="R584" s="315"/>
      <c r="S584" s="315"/>
      <c r="T584" s="315"/>
      <c r="U584" s="315"/>
      <c r="V584" s="315"/>
      <c r="W584" s="315"/>
      <c r="X584" s="315"/>
      <c r="Y584" s="315"/>
      <c r="Z584" s="315"/>
    </row>
    <row r="585">
      <c r="A585" s="315"/>
      <c r="B585" s="315"/>
      <c r="C585" s="315"/>
      <c r="D585" s="315"/>
      <c r="E585" s="315"/>
      <c r="F585" s="315"/>
      <c r="G585" s="315"/>
      <c r="H585" s="315"/>
      <c r="I585" s="315"/>
      <c r="J585" s="315"/>
      <c r="K585" s="315"/>
      <c r="L585" s="315"/>
      <c r="M585" s="315"/>
      <c r="N585" s="315"/>
      <c r="O585" s="315"/>
      <c r="P585" s="315"/>
      <c r="Q585" s="315"/>
      <c r="R585" s="315"/>
      <c r="S585" s="315"/>
      <c r="T585" s="315"/>
      <c r="U585" s="315"/>
      <c r="V585" s="315"/>
      <c r="W585" s="315"/>
      <c r="X585" s="315"/>
      <c r="Y585" s="315"/>
      <c r="Z585" s="315"/>
    </row>
    <row r="586">
      <c r="A586" s="315"/>
      <c r="B586" s="315"/>
      <c r="C586" s="315"/>
      <c r="D586" s="315"/>
      <c r="E586" s="315"/>
      <c r="F586" s="315"/>
      <c r="G586" s="315"/>
      <c r="H586" s="315"/>
      <c r="I586" s="315"/>
      <c r="J586" s="315"/>
      <c r="K586" s="315"/>
      <c r="L586" s="315"/>
      <c r="M586" s="315"/>
      <c r="N586" s="315"/>
      <c r="O586" s="315"/>
      <c r="P586" s="315"/>
      <c r="Q586" s="315"/>
      <c r="R586" s="315"/>
      <c r="S586" s="315"/>
      <c r="T586" s="315"/>
      <c r="U586" s="315"/>
      <c r="V586" s="315"/>
      <c r="W586" s="315"/>
      <c r="X586" s="315"/>
      <c r="Y586" s="315"/>
      <c r="Z586" s="315"/>
    </row>
    <row r="587">
      <c r="A587" s="315"/>
      <c r="B587" s="315"/>
      <c r="C587" s="315"/>
      <c r="D587" s="315"/>
      <c r="E587" s="315"/>
      <c r="F587" s="315"/>
      <c r="G587" s="315"/>
      <c r="H587" s="315"/>
      <c r="I587" s="315"/>
      <c r="J587" s="315"/>
      <c r="K587" s="315"/>
      <c r="L587" s="315"/>
      <c r="M587" s="315"/>
      <c r="N587" s="315"/>
      <c r="O587" s="315"/>
      <c r="P587" s="315"/>
      <c r="Q587" s="315"/>
      <c r="R587" s="315"/>
      <c r="S587" s="315"/>
      <c r="T587" s="315"/>
      <c r="U587" s="315"/>
      <c r="V587" s="315"/>
      <c r="W587" s="315"/>
      <c r="X587" s="315"/>
      <c r="Y587" s="315"/>
      <c r="Z587" s="315"/>
    </row>
    <row r="588">
      <c r="A588" s="315"/>
      <c r="B588" s="315"/>
      <c r="C588" s="315"/>
      <c r="D588" s="315"/>
      <c r="E588" s="315"/>
      <c r="F588" s="315"/>
      <c r="G588" s="315"/>
      <c r="H588" s="315"/>
      <c r="I588" s="315"/>
      <c r="J588" s="315"/>
      <c r="K588" s="315"/>
      <c r="L588" s="315"/>
      <c r="M588" s="315"/>
      <c r="N588" s="315"/>
      <c r="O588" s="315"/>
      <c r="P588" s="315"/>
      <c r="Q588" s="315"/>
      <c r="R588" s="315"/>
      <c r="S588" s="315"/>
      <c r="T588" s="315"/>
      <c r="U588" s="315"/>
      <c r="V588" s="315"/>
      <c r="W588" s="315"/>
      <c r="X588" s="315"/>
      <c r="Y588" s="315"/>
      <c r="Z588" s="315"/>
    </row>
    <row r="589">
      <c r="A589" s="315"/>
      <c r="B589" s="315"/>
      <c r="C589" s="315"/>
      <c r="D589" s="315"/>
      <c r="E589" s="315"/>
      <c r="F589" s="315"/>
      <c r="G589" s="315"/>
      <c r="H589" s="315"/>
      <c r="I589" s="315"/>
      <c r="J589" s="315"/>
      <c r="K589" s="315"/>
      <c r="L589" s="315"/>
      <c r="M589" s="315"/>
      <c r="N589" s="315"/>
      <c r="O589" s="315"/>
      <c r="P589" s="315"/>
      <c r="Q589" s="315"/>
      <c r="R589" s="315"/>
      <c r="S589" s="315"/>
      <c r="T589" s="315"/>
      <c r="U589" s="315"/>
      <c r="V589" s="315"/>
      <c r="W589" s="315"/>
      <c r="X589" s="315"/>
      <c r="Y589" s="315"/>
      <c r="Z589" s="315"/>
    </row>
    <row r="590">
      <c r="A590" s="315"/>
      <c r="B590" s="315"/>
      <c r="C590" s="315"/>
      <c r="D590" s="315"/>
      <c r="E590" s="315"/>
      <c r="F590" s="315"/>
      <c r="G590" s="315"/>
      <c r="H590" s="315"/>
      <c r="I590" s="315"/>
      <c r="J590" s="315"/>
      <c r="K590" s="315"/>
      <c r="L590" s="315"/>
      <c r="M590" s="315"/>
      <c r="N590" s="315"/>
      <c r="O590" s="315"/>
      <c r="P590" s="315"/>
      <c r="Q590" s="315"/>
      <c r="R590" s="315"/>
      <c r="S590" s="315"/>
      <c r="T590" s="315"/>
      <c r="U590" s="315"/>
      <c r="V590" s="315"/>
      <c r="W590" s="315"/>
      <c r="X590" s="315"/>
      <c r="Y590" s="315"/>
      <c r="Z590" s="315"/>
    </row>
    <row r="591">
      <c r="A591" s="315"/>
      <c r="B591" s="315"/>
      <c r="C591" s="315"/>
      <c r="D591" s="315"/>
      <c r="E591" s="315"/>
      <c r="F591" s="315"/>
      <c r="G591" s="315"/>
      <c r="H591" s="315"/>
      <c r="I591" s="315"/>
      <c r="J591" s="315"/>
      <c r="K591" s="315"/>
      <c r="L591" s="315"/>
      <c r="M591" s="315"/>
      <c r="N591" s="315"/>
      <c r="O591" s="315"/>
      <c r="P591" s="315"/>
      <c r="Q591" s="315"/>
      <c r="R591" s="315"/>
      <c r="S591" s="315"/>
      <c r="T591" s="315"/>
      <c r="U591" s="315"/>
      <c r="V591" s="315"/>
      <c r="W591" s="315"/>
      <c r="X591" s="315"/>
      <c r="Y591" s="315"/>
      <c r="Z591" s="315"/>
    </row>
    <row r="592">
      <c r="A592" s="315"/>
      <c r="B592" s="315"/>
      <c r="C592" s="315"/>
      <c r="D592" s="315"/>
      <c r="E592" s="315"/>
      <c r="F592" s="315"/>
      <c r="G592" s="315"/>
      <c r="H592" s="315"/>
      <c r="I592" s="315"/>
      <c r="J592" s="315"/>
      <c r="K592" s="315"/>
      <c r="L592" s="315"/>
      <c r="M592" s="315"/>
      <c r="N592" s="315"/>
      <c r="O592" s="315"/>
      <c r="P592" s="315"/>
      <c r="Q592" s="315"/>
      <c r="R592" s="315"/>
      <c r="S592" s="315"/>
      <c r="T592" s="315"/>
      <c r="U592" s="315"/>
      <c r="V592" s="315"/>
      <c r="W592" s="315"/>
      <c r="X592" s="315"/>
      <c r="Y592" s="315"/>
      <c r="Z592" s="315"/>
    </row>
    <row r="593">
      <c r="A593" s="315"/>
      <c r="B593" s="315"/>
      <c r="C593" s="315"/>
      <c r="D593" s="315"/>
      <c r="E593" s="315"/>
      <c r="F593" s="315"/>
      <c r="G593" s="315"/>
      <c r="H593" s="315"/>
      <c r="I593" s="315"/>
      <c r="J593" s="315"/>
      <c r="K593" s="315"/>
      <c r="L593" s="315"/>
      <c r="M593" s="315"/>
      <c r="N593" s="315"/>
      <c r="O593" s="315"/>
      <c r="P593" s="315"/>
      <c r="Q593" s="315"/>
      <c r="R593" s="315"/>
      <c r="S593" s="315"/>
      <c r="T593" s="315"/>
      <c r="U593" s="315"/>
      <c r="V593" s="315"/>
      <c r="W593" s="315"/>
      <c r="X593" s="315"/>
      <c r="Y593" s="315"/>
      <c r="Z593" s="315"/>
    </row>
    <row r="594">
      <c r="A594" s="315"/>
      <c r="B594" s="315"/>
      <c r="C594" s="315"/>
      <c r="D594" s="315"/>
      <c r="E594" s="315"/>
      <c r="F594" s="315"/>
      <c r="G594" s="315"/>
      <c r="H594" s="315"/>
      <c r="I594" s="315"/>
      <c r="J594" s="315"/>
      <c r="K594" s="315"/>
      <c r="L594" s="315"/>
      <c r="M594" s="315"/>
      <c r="N594" s="315"/>
      <c r="O594" s="315"/>
      <c r="P594" s="315"/>
      <c r="Q594" s="315"/>
      <c r="R594" s="315"/>
      <c r="S594" s="315"/>
      <c r="T594" s="315"/>
      <c r="U594" s="315"/>
      <c r="V594" s="315"/>
      <c r="W594" s="315"/>
      <c r="X594" s="315"/>
      <c r="Y594" s="315"/>
      <c r="Z594" s="315"/>
    </row>
    <row r="595">
      <c r="A595" s="315"/>
      <c r="B595" s="315"/>
      <c r="C595" s="315"/>
      <c r="D595" s="315"/>
      <c r="E595" s="315"/>
      <c r="F595" s="315"/>
      <c r="G595" s="315"/>
      <c r="H595" s="315"/>
      <c r="I595" s="315"/>
      <c r="J595" s="315"/>
      <c r="K595" s="315"/>
      <c r="L595" s="315"/>
      <c r="M595" s="315"/>
      <c r="N595" s="315"/>
      <c r="O595" s="315"/>
      <c r="P595" s="315"/>
      <c r="Q595" s="315"/>
      <c r="R595" s="315"/>
      <c r="S595" s="315"/>
      <c r="T595" s="315"/>
      <c r="U595" s="315"/>
      <c r="V595" s="315"/>
      <c r="W595" s="315"/>
      <c r="X595" s="315"/>
      <c r="Y595" s="315"/>
      <c r="Z595" s="315"/>
    </row>
    <row r="596">
      <c r="A596" s="315"/>
      <c r="B596" s="315"/>
      <c r="C596" s="315"/>
      <c r="D596" s="315"/>
      <c r="E596" s="315"/>
      <c r="F596" s="315"/>
      <c r="G596" s="315"/>
      <c r="H596" s="315"/>
      <c r="I596" s="315"/>
      <c r="J596" s="315"/>
      <c r="K596" s="315"/>
      <c r="L596" s="315"/>
      <c r="M596" s="315"/>
      <c r="N596" s="315"/>
      <c r="O596" s="315"/>
      <c r="P596" s="315"/>
      <c r="Q596" s="315"/>
      <c r="R596" s="315"/>
      <c r="S596" s="315"/>
      <c r="T596" s="315"/>
      <c r="U596" s="315"/>
      <c r="V596" s="315"/>
      <c r="W596" s="315"/>
      <c r="X596" s="315"/>
      <c r="Y596" s="315"/>
      <c r="Z596" s="315"/>
    </row>
    <row r="597">
      <c r="A597" s="315"/>
      <c r="B597" s="315"/>
      <c r="C597" s="315"/>
      <c r="D597" s="315"/>
      <c r="E597" s="315"/>
      <c r="F597" s="315"/>
      <c r="G597" s="315"/>
      <c r="H597" s="315"/>
      <c r="I597" s="315"/>
      <c r="J597" s="315"/>
      <c r="K597" s="315"/>
      <c r="L597" s="315"/>
      <c r="M597" s="315"/>
      <c r="N597" s="315"/>
      <c r="O597" s="315"/>
      <c r="P597" s="315"/>
      <c r="Q597" s="315"/>
      <c r="R597" s="315"/>
      <c r="S597" s="315"/>
      <c r="T597" s="315"/>
      <c r="U597" s="315"/>
      <c r="V597" s="315"/>
      <c r="W597" s="315"/>
      <c r="X597" s="315"/>
      <c r="Y597" s="315"/>
      <c r="Z597" s="315"/>
    </row>
    <row r="598">
      <c r="A598" s="315"/>
      <c r="B598" s="315"/>
      <c r="C598" s="315"/>
      <c r="D598" s="315"/>
      <c r="E598" s="315"/>
      <c r="F598" s="315"/>
      <c r="G598" s="315"/>
      <c r="H598" s="315"/>
      <c r="I598" s="315"/>
      <c r="J598" s="315"/>
      <c r="K598" s="315"/>
      <c r="L598" s="315"/>
      <c r="M598" s="315"/>
      <c r="N598" s="315"/>
      <c r="O598" s="315"/>
      <c r="P598" s="315"/>
      <c r="Q598" s="315"/>
      <c r="R598" s="315"/>
      <c r="S598" s="315"/>
      <c r="T598" s="315"/>
      <c r="U598" s="315"/>
      <c r="V598" s="315"/>
      <c r="W598" s="315"/>
      <c r="X598" s="315"/>
      <c r="Y598" s="315"/>
      <c r="Z598" s="315"/>
    </row>
    <row r="599">
      <c r="A599" s="315"/>
      <c r="B599" s="315"/>
      <c r="C599" s="315"/>
      <c r="D599" s="315"/>
      <c r="E599" s="315"/>
      <c r="F599" s="315"/>
      <c r="G599" s="315"/>
      <c r="H599" s="315"/>
      <c r="I599" s="315"/>
      <c r="J599" s="315"/>
      <c r="K599" s="315"/>
      <c r="L599" s="315"/>
      <c r="M599" s="315"/>
      <c r="N599" s="315"/>
      <c r="O599" s="315"/>
      <c r="P599" s="315"/>
      <c r="Q599" s="315"/>
      <c r="R599" s="315"/>
      <c r="S599" s="315"/>
      <c r="T599" s="315"/>
      <c r="U599" s="315"/>
      <c r="V599" s="315"/>
      <c r="W599" s="315"/>
      <c r="X599" s="315"/>
      <c r="Y599" s="315"/>
      <c r="Z599" s="315"/>
    </row>
    <row r="600">
      <c r="A600" s="315"/>
      <c r="B600" s="315"/>
      <c r="C600" s="315"/>
      <c r="D600" s="315"/>
      <c r="E600" s="315"/>
      <c r="F600" s="315"/>
      <c r="G600" s="315"/>
      <c r="H600" s="315"/>
      <c r="I600" s="315"/>
      <c r="J600" s="315"/>
      <c r="K600" s="315"/>
      <c r="L600" s="315"/>
      <c r="M600" s="315"/>
      <c r="N600" s="315"/>
      <c r="O600" s="315"/>
      <c r="P600" s="315"/>
      <c r="Q600" s="315"/>
      <c r="R600" s="315"/>
      <c r="S600" s="315"/>
      <c r="T600" s="315"/>
      <c r="U600" s="315"/>
      <c r="V600" s="315"/>
      <c r="W600" s="315"/>
      <c r="X600" s="315"/>
      <c r="Y600" s="315"/>
      <c r="Z600" s="315"/>
    </row>
    <row r="601">
      <c r="A601" s="315"/>
      <c r="B601" s="315"/>
      <c r="C601" s="315"/>
      <c r="D601" s="315"/>
      <c r="E601" s="315"/>
      <c r="F601" s="315"/>
      <c r="G601" s="315"/>
      <c r="H601" s="315"/>
      <c r="I601" s="315"/>
      <c r="J601" s="315"/>
      <c r="K601" s="315"/>
      <c r="L601" s="315"/>
      <c r="M601" s="315"/>
      <c r="N601" s="315"/>
      <c r="O601" s="315"/>
      <c r="P601" s="315"/>
      <c r="Q601" s="315"/>
      <c r="R601" s="315"/>
      <c r="S601" s="315"/>
      <c r="T601" s="315"/>
      <c r="U601" s="315"/>
      <c r="V601" s="315"/>
      <c r="W601" s="315"/>
      <c r="X601" s="315"/>
      <c r="Y601" s="315"/>
      <c r="Z601" s="315"/>
    </row>
    <row r="602">
      <c r="A602" s="315"/>
      <c r="B602" s="315"/>
      <c r="C602" s="315"/>
      <c r="D602" s="315"/>
      <c r="E602" s="315"/>
      <c r="F602" s="315"/>
      <c r="G602" s="315"/>
      <c r="H602" s="315"/>
      <c r="I602" s="315"/>
      <c r="J602" s="315"/>
      <c r="K602" s="315"/>
      <c r="L602" s="315"/>
      <c r="M602" s="315"/>
      <c r="N602" s="315"/>
      <c r="O602" s="315"/>
      <c r="P602" s="315"/>
      <c r="Q602" s="315"/>
      <c r="R602" s="315"/>
      <c r="S602" s="315"/>
      <c r="T602" s="315"/>
      <c r="U602" s="315"/>
      <c r="V602" s="315"/>
      <c r="W602" s="315"/>
      <c r="X602" s="315"/>
      <c r="Y602" s="315"/>
      <c r="Z602" s="315"/>
    </row>
    <row r="603">
      <c r="A603" s="315"/>
      <c r="B603" s="315"/>
      <c r="C603" s="315"/>
      <c r="D603" s="315"/>
      <c r="E603" s="315"/>
      <c r="F603" s="315"/>
      <c r="G603" s="315"/>
      <c r="H603" s="315"/>
      <c r="I603" s="315"/>
      <c r="J603" s="315"/>
      <c r="K603" s="315"/>
      <c r="L603" s="315"/>
      <c r="M603" s="315"/>
      <c r="N603" s="315"/>
      <c r="O603" s="315"/>
      <c r="P603" s="315"/>
      <c r="Q603" s="315"/>
      <c r="R603" s="315"/>
      <c r="S603" s="315"/>
      <c r="T603" s="315"/>
      <c r="U603" s="315"/>
      <c r="V603" s="315"/>
      <c r="W603" s="315"/>
      <c r="X603" s="315"/>
      <c r="Y603" s="315"/>
      <c r="Z603" s="315"/>
    </row>
    <row r="604">
      <c r="A604" s="315"/>
      <c r="B604" s="315"/>
      <c r="C604" s="315"/>
      <c r="D604" s="315"/>
      <c r="E604" s="315"/>
      <c r="F604" s="315"/>
      <c r="G604" s="315"/>
      <c r="H604" s="315"/>
      <c r="I604" s="315"/>
      <c r="J604" s="315"/>
      <c r="K604" s="315"/>
      <c r="L604" s="315"/>
      <c r="M604" s="315"/>
      <c r="N604" s="315"/>
      <c r="O604" s="315"/>
      <c r="P604" s="315"/>
      <c r="Q604" s="315"/>
      <c r="R604" s="315"/>
      <c r="S604" s="315"/>
      <c r="T604" s="315"/>
      <c r="U604" s="315"/>
      <c r="V604" s="315"/>
      <c r="W604" s="315"/>
      <c r="X604" s="315"/>
      <c r="Y604" s="315"/>
      <c r="Z604" s="315"/>
    </row>
    <row r="605">
      <c r="A605" s="315"/>
      <c r="B605" s="315"/>
      <c r="C605" s="315"/>
      <c r="D605" s="315"/>
      <c r="E605" s="315"/>
      <c r="F605" s="315"/>
      <c r="G605" s="315"/>
      <c r="H605" s="315"/>
      <c r="I605" s="315"/>
      <c r="J605" s="315"/>
      <c r="K605" s="315"/>
      <c r="L605" s="315"/>
      <c r="M605" s="315"/>
      <c r="N605" s="315"/>
      <c r="O605" s="315"/>
      <c r="P605" s="315"/>
      <c r="Q605" s="315"/>
      <c r="R605" s="315"/>
      <c r="S605" s="315"/>
      <c r="T605" s="315"/>
      <c r="U605" s="315"/>
      <c r="V605" s="315"/>
      <c r="W605" s="315"/>
      <c r="X605" s="315"/>
      <c r="Y605" s="315"/>
      <c r="Z605" s="315"/>
    </row>
    <row r="606">
      <c r="A606" s="315"/>
      <c r="B606" s="315"/>
      <c r="C606" s="315"/>
      <c r="D606" s="315"/>
      <c r="E606" s="315"/>
      <c r="F606" s="315"/>
      <c r="G606" s="315"/>
      <c r="H606" s="315"/>
      <c r="I606" s="315"/>
      <c r="J606" s="315"/>
      <c r="K606" s="315"/>
      <c r="L606" s="315"/>
      <c r="M606" s="315"/>
      <c r="N606" s="315"/>
      <c r="O606" s="315"/>
      <c r="P606" s="315"/>
      <c r="Q606" s="315"/>
      <c r="R606" s="315"/>
      <c r="S606" s="315"/>
      <c r="T606" s="315"/>
      <c r="U606" s="315"/>
      <c r="V606" s="315"/>
      <c r="W606" s="315"/>
      <c r="X606" s="315"/>
      <c r="Y606" s="315"/>
      <c r="Z606" s="315"/>
    </row>
    <row r="607">
      <c r="A607" s="315"/>
      <c r="B607" s="315"/>
      <c r="C607" s="315"/>
      <c r="D607" s="315"/>
      <c r="E607" s="315"/>
      <c r="F607" s="315"/>
      <c r="G607" s="315"/>
      <c r="H607" s="315"/>
      <c r="I607" s="315"/>
      <c r="J607" s="315"/>
      <c r="K607" s="315"/>
      <c r="L607" s="315"/>
      <c r="M607" s="315"/>
      <c r="N607" s="315"/>
      <c r="O607" s="315"/>
      <c r="P607" s="315"/>
      <c r="Q607" s="315"/>
      <c r="R607" s="315"/>
      <c r="S607" s="315"/>
      <c r="T607" s="315"/>
      <c r="U607" s="315"/>
      <c r="V607" s="315"/>
      <c r="W607" s="315"/>
      <c r="X607" s="315"/>
      <c r="Y607" s="315"/>
      <c r="Z607" s="315"/>
    </row>
    <row r="608">
      <c r="A608" s="315"/>
      <c r="B608" s="315"/>
      <c r="C608" s="315"/>
      <c r="D608" s="315"/>
      <c r="E608" s="315"/>
      <c r="F608" s="315"/>
      <c r="G608" s="315"/>
      <c r="H608" s="315"/>
      <c r="I608" s="315"/>
      <c r="J608" s="315"/>
      <c r="K608" s="315"/>
      <c r="L608" s="315"/>
      <c r="M608" s="315"/>
      <c r="N608" s="315"/>
      <c r="O608" s="315"/>
      <c r="P608" s="315"/>
      <c r="Q608" s="315"/>
      <c r="R608" s="315"/>
      <c r="S608" s="315"/>
      <c r="T608" s="315"/>
      <c r="U608" s="315"/>
      <c r="V608" s="315"/>
      <c r="W608" s="315"/>
      <c r="X608" s="315"/>
      <c r="Y608" s="315"/>
      <c r="Z608" s="315"/>
    </row>
    <row r="609">
      <c r="A609" s="315"/>
      <c r="B609" s="315"/>
      <c r="C609" s="315"/>
      <c r="D609" s="315"/>
      <c r="E609" s="315"/>
      <c r="F609" s="315"/>
      <c r="G609" s="315"/>
      <c r="H609" s="315"/>
      <c r="I609" s="315"/>
      <c r="J609" s="315"/>
      <c r="K609" s="315"/>
      <c r="L609" s="315"/>
      <c r="M609" s="315"/>
      <c r="N609" s="315"/>
      <c r="O609" s="315"/>
      <c r="P609" s="315"/>
      <c r="Q609" s="315"/>
      <c r="R609" s="315"/>
      <c r="S609" s="315"/>
      <c r="T609" s="315"/>
      <c r="U609" s="315"/>
      <c r="V609" s="315"/>
      <c r="W609" s="315"/>
      <c r="X609" s="315"/>
      <c r="Y609" s="315"/>
      <c r="Z609" s="315"/>
    </row>
    <row r="610">
      <c r="A610" s="315"/>
      <c r="B610" s="315"/>
      <c r="C610" s="315"/>
      <c r="D610" s="315"/>
      <c r="E610" s="315"/>
      <c r="F610" s="315"/>
      <c r="G610" s="315"/>
      <c r="H610" s="315"/>
      <c r="I610" s="315"/>
      <c r="J610" s="315"/>
      <c r="K610" s="315"/>
      <c r="L610" s="315"/>
      <c r="M610" s="315"/>
      <c r="N610" s="315"/>
      <c r="O610" s="315"/>
      <c r="P610" s="315"/>
      <c r="Q610" s="315"/>
      <c r="R610" s="315"/>
      <c r="S610" s="315"/>
      <c r="T610" s="315"/>
      <c r="U610" s="315"/>
      <c r="V610" s="315"/>
      <c r="W610" s="315"/>
      <c r="X610" s="315"/>
      <c r="Y610" s="315"/>
      <c r="Z610" s="315"/>
    </row>
    <row r="611">
      <c r="A611" s="315"/>
      <c r="B611" s="315"/>
      <c r="C611" s="315"/>
      <c r="D611" s="315"/>
      <c r="E611" s="315"/>
      <c r="F611" s="315"/>
      <c r="G611" s="315"/>
      <c r="H611" s="315"/>
      <c r="I611" s="315"/>
      <c r="J611" s="315"/>
      <c r="K611" s="315"/>
      <c r="L611" s="315"/>
      <c r="M611" s="315"/>
      <c r="N611" s="315"/>
      <c r="O611" s="315"/>
      <c r="P611" s="315"/>
      <c r="Q611" s="315"/>
      <c r="R611" s="315"/>
      <c r="S611" s="315"/>
      <c r="T611" s="315"/>
      <c r="U611" s="315"/>
      <c r="V611" s="315"/>
      <c r="W611" s="315"/>
      <c r="X611" s="315"/>
      <c r="Y611" s="315"/>
      <c r="Z611" s="315"/>
    </row>
    <row r="612">
      <c r="A612" s="315"/>
      <c r="B612" s="315"/>
      <c r="C612" s="315"/>
      <c r="D612" s="315"/>
      <c r="E612" s="315"/>
      <c r="F612" s="315"/>
      <c r="G612" s="315"/>
      <c r="H612" s="315"/>
      <c r="I612" s="315"/>
      <c r="J612" s="315"/>
      <c r="K612" s="315"/>
      <c r="L612" s="315"/>
      <c r="M612" s="315"/>
      <c r="N612" s="315"/>
      <c r="O612" s="315"/>
      <c r="P612" s="315"/>
      <c r="Q612" s="315"/>
      <c r="R612" s="315"/>
      <c r="S612" s="315"/>
      <c r="T612" s="315"/>
      <c r="U612" s="315"/>
      <c r="V612" s="315"/>
      <c r="W612" s="315"/>
      <c r="X612" s="315"/>
      <c r="Y612" s="315"/>
      <c r="Z612" s="315"/>
    </row>
    <row r="613">
      <c r="A613" s="315"/>
      <c r="B613" s="315"/>
      <c r="C613" s="315"/>
      <c r="D613" s="315"/>
      <c r="E613" s="315"/>
      <c r="F613" s="315"/>
      <c r="G613" s="315"/>
      <c r="H613" s="315"/>
      <c r="I613" s="315"/>
      <c r="J613" s="315"/>
      <c r="K613" s="315"/>
      <c r="L613" s="315"/>
      <c r="M613" s="315"/>
      <c r="N613" s="315"/>
      <c r="O613" s="315"/>
      <c r="P613" s="315"/>
      <c r="Q613" s="315"/>
      <c r="R613" s="315"/>
      <c r="S613" s="315"/>
      <c r="T613" s="315"/>
      <c r="U613" s="315"/>
      <c r="V613" s="315"/>
      <c r="W613" s="315"/>
      <c r="X613" s="315"/>
      <c r="Y613" s="315"/>
      <c r="Z613" s="315"/>
    </row>
    <row r="614">
      <c r="A614" s="315"/>
      <c r="B614" s="315"/>
      <c r="C614" s="315"/>
      <c r="D614" s="315"/>
      <c r="E614" s="315"/>
      <c r="F614" s="315"/>
      <c r="G614" s="315"/>
      <c r="H614" s="315"/>
      <c r="I614" s="315"/>
      <c r="J614" s="315"/>
      <c r="K614" s="315"/>
      <c r="L614" s="315"/>
      <c r="M614" s="315"/>
      <c r="N614" s="315"/>
      <c r="O614" s="315"/>
      <c r="P614" s="315"/>
      <c r="Q614" s="315"/>
      <c r="R614" s="315"/>
      <c r="S614" s="315"/>
      <c r="T614" s="315"/>
      <c r="U614" s="315"/>
      <c r="V614" s="315"/>
      <c r="W614" s="315"/>
      <c r="X614" s="315"/>
      <c r="Y614" s="315"/>
      <c r="Z614" s="315"/>
    </row>
    <row r="615">
      <c r="A615" s="315"/>
      <c r="B615" s="315"/>
      <c r="C615" s="315"/>
      <c r="D615" s="315"/>
      <c r="E615" s="315"/>
      <c r="F615" s="315"/>
      <c r="G615" s="315"/>
      <c r="H615" s="315"/>
      <c r="I615" s="315"/>
      <c r="J615" s="315"/>
      <c r="K615" s="315"/>
      <c r="L615" s="315"/>
      <c r="M615" s="315"/>
      <c r="N615" s="315"/>
      <c r="O615" s="315"/>
      <c r="P615" s="315"/>
      <c r="Q615" s="315"/>
      <c r="R615" s="315"/>
      <c r="S615" s="315"/>
      <c r="T615" s="315"/>
      <c r="U615" s="315"/>
      <c r="V615" s="315"/>
      <c r="W615" s="315"/>
      <c r="X615" s="315"/>
      <c r="Y615" s="315"/>
      <c r="Z615" s="315"/>
    </row>
    <row r="616">
      <c r="A616" s="315"/>
      <c r="B616" s="315"/>
      <c r="C616" s="315"/>
      <c r="D616" s="315"/>
      <c r="E616" s="315"/>
      <c r="F616" s="315"/>
      <c r="G616" s="315"/>
      <c r="H616" s="315"/>
      <c r="I616" s="315"/>
      <c r="J616" s="315"/>
      <c r="K616" s="315"/>
      <c r="L616" s="315"/>
      <c r="M616" s="315"/>
      <c r="N616" s="315"/>
      <c r="O616" s="315"/>
      <c r="P616" s="315"/>
      <c r="Q616" s="315"/>
      <c r="R616" s="315"/>
      <c r="S616" s="315"/>
      <c r="T616" s="315"/>
      <c r="U616" s="315"/>
      <c r="V616" s="315"/>
      <c r="W616" s="315"/>
      <c r="X616" s="315"/>
      <c r="Y616" s="315"/>
      <c r="Z616" s="315"/>
    </row>
    <row r="617">
      <c r="A617" s="315"/>
      <c r="B617" s="315"/>
      <c r="C617" s="315"/>
      <c r="D617" s="315"/>
      <c r="E617" s="315"/>
      <c r="F617" s="315"/>
      <c r="G617" s="315"/>
      <c r="H617" s="315"/>
      <c r="I617" s="315"/>
      <c r="J617" s="315"/>
      <c r="K617" s="315"/>
      <c r="L617" s="315"/>
      <c r="M617" s="315"/>
      <c r="N617" s="315"/>
      <c r="O617" s="315"/>
      <c r="P617" s="315"/>
      <c r="Q617" s="315"/>
      <c r="R617" s="315"/>
      <c r="S617" s="315"/>
      <c r="T617" s="315"/>
      <c r="U617" s="315"/>
      <c r="V617" s="315"/>
      <c r="W617" s="315"/>
      <c r="X617" s="315"/>
      <c r="Y617" s="315"/>
      <c r="Z617" s="315"/>
    </row>
    <row r="618">
      <c r="A618" s="315"/>
      <c r="B618" s="315"/>
      <c r="C618" s="315"/>
      <c r="D618" s="315"/>
      <c r="E618" s="315"/>
      <c r="F618" s="315"/>
      <c r="G618" s="315"/>
      <c r="H618" s="315"/>
      <c r="I618" s="315"/>
      <c r="J618" s="315"/>
      <c r="K618" s="315"/>
      <c r="L618" s="315"/>
      <c r="M618" s="315"/>
      <c r="N618" s="315"/>
      <c r="O618" s="315"/>
      <c r="P618" s="315"/>
      <c r="Q618" s="315"/>
      <c r="R618" s="315"/>
      <c r="S618" s="315"/>
      <c r="T618" s="315"/>
      <c r="U618" s="315"/>
      <c r="V618" s="315"/>
      <c r="W618" s="315"/>
      <c r="X618" s="315"/>
      <c r="Y618" s="315"/>
      <c r="Z618" s="315"/>
    </row>
    <row r="619">
      <c r="A619" s="315"/>
      <c r="B619" s="315"/>
      <c r="C619" s="315"/>
      <c r="D619" s="315"/>
      <c r="E619" s="315"/>
      <c r="F619" s="315"/>
      <c r="G619" s="315"/>
      <c r="H619" s="315"/>
      <c r="I619" s="315"/>
      <c r="J619" s="315"/>
      <c r="K619" s="315"/>
      <c r="L619" s="315"/>
      <c r="M619" s="315"/>
      <c r="N619" s="315"/>
      <c r="O619" s="315"/>
      <c r="P619" s="315"/>
      <c r="Q619" s="315"/>
      <c r="R619" s="315"/>
      <c r="S619" s="315"/>
      <c r="T619" s="315"/>
      <c r="U619" s="315"/>
      <c r="V619" s="315"/>
      <c r="W619" s="315"/>
      <c r="X619" s="315"/>
      <c r="Y619" s="315"/>
      <c r="Z619" s="315"/>
    </row>
    <row r="620">
      <c r="A620" s="315"/>
      <c r="B620" s="315"/>
      <c r="C620" s="315"/>
      <c r="D620" s="315"/>
      <c r="E620" s="315"/>
      <c r="F620" s="315"/>
      <c r="G620" s="315"/>
      <c r="H620" s="315"/>
      <c r="I620" s="315"/>
      <c r="J620" s="315"/>
      <c r="K620" s="315"/>
      <c r="L620" s="315"/>
      <c r="M620" s="315"/>
      <c r="N620" s="315"/>
      <c r="O620" s="315"/>
      <c r="P620" s="315"/>
      <c r="Q620" s="315"/>
      <c r="R620" s="315"/>
      <c r="S620" s="315"/>
      <c r="T620" s="315"/>
      <c r="U620" s="315"/>
      <c r="V620" s="315"/>
      <c r="W620" s="315"/>
      <c r="X620" s="315"/>
      <c r="Y620" s="315"/>
      <c r="Z620" s="315"/>
    </row>
    <row r="621">
      <c r="A621" s="315"/>
      <c r="B621" s="315"/>
      <c r="C621" s="315"/>
      <c r="D621" s="315"/>
      <c r="E621" s="315"/>
      <c r="F621" s="315"/>
      <c r="G621" s="315"/>
      <c r="H621" s="315"/>
      <c r="I621" s="315"/>
      <c r="J621" s="315"/>
      <c r="K621" s="315"/>
      <c r="L621" s="315"/>
      <c r="M621" s="315"/>
      <c r="N621" s="315"/>
      <c r="O621" s="315"/>
      <c r="P621" s="315"/>
      <c r="Q621" s="315"/>
      <c r="R621" s="315"/>
      <c r="S621" s="315"/>
      <c r="T621" s="315"/>
      <c r="U621" s="315"/>
      <c r="V621" s="315"/>
      <c r="W621" s="315"/>
      <c r="X621" s="315"/>
      <c r="Y621" s="315"/>
      <c r="Z621" s="315"/>
    </row>
    <row r="622">
      <c r="A622" s="315"/>
      <c r="B622" s="315"/>
      <c r="C622" s="315"/>
      <c r="D622" s="315"/>
      <c r="E622" s="315"/>
      <c r="F622" s="315"/>
      <c r="G622" s="315"/>
      <c r="H622" s="315"/>
      <c r="I622" s="315"/>
      <c r="J622" s="315"/>
      <c r="K622" s="315"/>
      <c r="L622" s="315"/>
      <c r="M622" s="315"/>
      <c r="N622" s="315"/>
      <c r="O622" s="315"/>
      <c r="P622" s="315"/>
      <c r="Q622" s="315"/>
      <c r="R622" s="315"/>
      <c r="S622" s="315"/>
      <c r="T622" s="315"/>
      <c r="U622" s="315"/>
      <c r="V622" s="315"/>
      <c r="W622" s="315"/>
      <c r="X622" s="315"/>
      <c r="Y622" s="315"/>
      <c r="Z622" s="315"/>
    </row>
    <row r="623">
      <c r="A623" s="315"/>
      <c r="B623" s="315"/>
      <c r="C623" s="315"/>
      <c r="D623" s="315"/>
      <c r="E623" s="315"/>
      <c r="F623" s="315"/>
      <c r="G623" s="315"/>
      <c r="H623" s="315"/>
      <c r="I623" s="315"/>
      <c r="J623" s="315"/>
      <c r="K623" s="315"/>
      <c r="L623" s="315"/>
      <c r="M623" s="315"/>
      <c r="N623" s="315"/>
      <c r="O623" s="315"/>
      <c r="P623" s="315"/>
      <c r="Q623" s="315"/>
      <c r="R623" s="315"/>
      <c r="S623" s="315"/>
      <c r="T623" s="315"/>
      <c r="U623" s="315"/>
      <c r="V623" s="315"/>
      <c r="W623" s="315"/>
      <c r="X623" s="315"/>
      <c r="Y623" s="315"/>
      <c r="Z623" s="315"/>
    </row>
    <row r="624">
      <c r="A624" s="315"/>
      <c r="B624" s="315"/>
      <c r="C624" s="315"/>
      <c r="D624" s="315"/>
      <c r="E624" s="315"/>
      <c r="F624" s="315"/>
      <c r="G624" s="315"/>
      <c r="H624" s="315"/>
      <c r="I624" s="315"/>
      <c r="J624" s="315"/>
      <c r="K624" s="315"/>
      <c r="L624" s="315"/>
      <c r="M624" s="315"/>
      <c r="N624" s="315"/>
      <c r="O624" s="315"/>
      <c r="P624" s="315"/>
      <c r="Q624" s="315"/>
      <c r="R624" s="315"/>
      <c r="S624" s="315"/>
      <c r="T624" s="315"/>
      <c r="U624" s="315"/>
      <c r="V624" s="315"/>
      <c r="W624" s="315"/>
      <c r="X624" s="315"/>
      <c r="Y624" s="315"/>
      <c r="Z624" s="315"/>
    </row>
    <row r="625">
      <c r="A625" s="315"/>
      <c r="B625" s="315"/>
      <c r="C625" s="315"/>
      <c r="D625" s="315"/>
      <c r="E625" s="315"/>
      <c r="F625" s="315"/>
      <c r="G625" s="315"/>
      <c r="H625" s="315"/>
      <c r="I625" s="315"/>
      <c r="J625" s="315"/>
      <c r="K625" s="315"/>
      <c r="L625" s="315"/>
      <c r="M625" s="315"/>
      <c r="N625" s="315"/>
      <c r="O625" s="315"/>
      <c r="P625" s="315"/>
      <c r="Q625" s="315"/>
      <c r="R625" s="315"/>
      <c r="S625" s="315"/>
      <c r="T625" s="315"/>
      <c r="U625" s="315"/>
      <c r="V625" s="315"/>
      <c r="W625" s="315"/>
      <c r="X625" s="315"/>
      <c r="Y625" s="315"/>
      <c r="Z625" s="315"/>
    </row>
    <row r="626">
      <c r="A626" s="315"/>
      <c r="B626" s="315"/>
      <c r="C626" s="315"/>
      <c r="D626" s="315"/>
      <c r="E626" s="315"/>
      <c r="F626" s="315"/>
      <c r="G626" s="315"/>
      <c r="H626" s="315"/>
      <c r="I626" s="315"/>
      <c r="J626" s="315"/>
      <c r="K626" s="315"/>
      <c r="L626" s="315"/>
      <c r="M626" s="315"/>
      <c r="N626" s="315"/>
      <c r="O626" s="315"/>
      <c r="P626" s="315"/>
      <c r="Q626" s="315"/>
      <c r="R626" s="315"/>
      <c r="S626" s="315"/>
      <c r="T626" s="315"/>
      <c r="U626" s="315"/>
      <c r="V626" s="315"/>
      <c r="W626" s="315"/>
      <c r="X626" s="315"/>
      <c r="Y626" s="315"/>
      <c r="Z626" s="315"/>
    </row>
    <row r="627">
      <c r="A627" s="315"/>
      <c r="B627" s="315"/>
      <c r="C627" s="315"/>
      <c r="D627" s="315"/>
      <c r="E627" s="315"/>
      <c r="F627" s="315"/>
      <c r="G627" s="315"/>
      <c r="H627" s="315"/>
      <c r="I627" s="315"/>
      <c r="J627" s="315"/>
      <c r="K627" s="315"/>
      <c r="L627" s="315"/>
      <c r="M627" s="315"/>
      <c r="N627" s="315"/>
      <c r="O627" s="315"/>
      <c r="P627" s="315"/>
      <c r="Q627" s="315"/>
      <c r="R627" s="315"/>
      <c r="S627" s="315"/>
      <c r="T627" s="315"/>
      <c r="U627" s="315"/>
      <c r="V627" s="315"/>
      <c r="W627" s="315"/>
      <c r="X627" s="315"/>
      <c r="Y627" s="315"/>
      <c r="Z627" s="315"/>
    </row>
    <row r="628">
      <c r="A628" s="315"/>
      <c r="B628" s="315"/>
      <c r="C628" s="315"/>
      <c r="D628" s="315"/>
      <c r="E628" s="315"/>
      <c r="F628" s="315"/>
      <c r="G628" s="315"/>
      <c r="H628" s="315"/>
      <c r="I628" s="315"/>
      <c r="J628" s="315"/>
      <c r="K628" s="315"/>
      <c r="L628" s="315"/>
      <c r="M628" s="315"/>
      <c r="N628" s="315"/>
      <c r="O628" s="315"/>
      <c r="P628" s="315"/>
      <c r="Q628" s="315"/>
      <c r="R628" s="315"/>
      <c r="S628" s="315"/>
      <c r="T628" s="315"/>
      <c r="U628" s="315"/>
      <c r="V628" s="315"/>
      <c r="W628" s="315"/>
      <c r="X628" s="315"/>
      <c r="Y628" s="315"/>
      <c r="Z628" s="315"/>
    </row>
    <row r="629">
      <c r="A629" s="315"/>
      <c r="B629" s="315"/>
      <c r="C629" s="315"/>
      <c r="D629" s="315"/>
      <c r="E629" s="315"/>
      <c r="F629" s="315"/>
      <c r="G629" s="315"/>
      <c r="H629" s="315"/>
      <c r="I629" s="315"/>
      <c r="J629" s="315"/>
      <c r="K629" s="315"/>
      <c r="L629" s="315"/>
      <c r="M629" s="315"/>
      <c r="N629" s="315"/>
      <c r="O629" s="315"/>
      <c r="P629" s="315"/>
      <c r="Q629" s="315"/>
      <c r="R629" s="315"/>
      <c r="S629" s="315"/>
      <c r="T629" s="315"/>
      <c r="U629" s="315"/>
      <c r="V629" s="315"/>
      <c r="W629" s="315"/>
      <c r="X629" s="315"/>
      <c r="Y629" s="315"/>
      <c r="Z629" s="315"/>
    </row>
    <row r="630">
      <c r="A630" s="315"/>
      <c r="B630" s="315"/>
      <c r="C630" s="315"/>
      <c r="D630" s="315"/>
      <c r="E630" s="315"/>
      <c r="F630" s="315"/>
      <c r="G630" s="315"/>
      <c r="H630" s="315"/>
      <c r="I630" s="315"/>
      <c r="J630" s="315"/>
      <c r="K630" s="315"/>
      <c r="L630" s="315"/>
      <c r="M630" s="315"/>
      <c r="N630" s="315"/>
      <c r="O630" s="315"/>
      <c r="P630" s="315"/>
      <c r="Q630" s="315"/>
      <c r="R630" s="315"/>
      <c r="S630" s="315"/>
      <c r="T630" s="315"/>
      <c r="U630" s="315"/>
      <c r="V630" s="315"/>
      <c r="W630" s="315"/>
      <c r="X630" s="315"/>
      <c r="Y630" s="315"/>
      <c r="Z630" s="315"/>
    </row>
    <row r="631">
      <c r="A631" s="315"/>
      <c r="B631" s="315"/>
      <c r="C631" s="315"/>
      <c r="D631" s="315"/>
      <c r="E631" s="315"/>
      <c r="F631" s="315"/>
      <c r="G631" s="315"/>
      <c r="H631" s="315"/>
      <c r="I631" s="315"/>
      <c r="J631" s="315"/>
      <c r="K631" s="315"/>
      <c r="L631" s="315"/>
      <c r="M631" s="315"/>
      <c r="N631" s="315"/>
      <c r="O631" s="315"/>
      <c r="P631" s="315"/>
      <c r="Q631" s="315"/>
      <c r="R631" s="315"/>
      <c r="S631" s="315"/>
      <c r="T631" s="315"/>
      <c r="U631" s="315"/>
      <c r="V631" s="315"/>
      <c r="W631" s="315"/>
      <c r="X631" s="315"/>
      <c r="Y631" s="315"/>
      <c r="Z631" s="315"/>
    </row>
    <row r="632">
      <c r="A632" s="315"/>
      <c r="B632" s="315"/>
      <c r="C632" s="315"/>
      <c r="D632" s="315"/>
      <c r="E632" s="315"/>
      <c r="F632" s="315"/>
      <c r="G632" s="315"/>
      <c r="H632" s="315"/>
      <c r="I632" s="315"/>
      <c r="J632" s="315"/>
      <c r="K632" s="315"/>
      <c r="L632" s="315"/>
      <c r="M632" s="315"/>
      <c r="N632" s="315"/>
      <c r="O632" s="315"/>
      <c r="P632" s="315"/>
      <c r="Q632" s="315"/>
      <c r="R632" s="315"/>
      <c r="S632" s="315"/>
      <c r="T632" s="315"/>
      <c r="U632" s="315"/>
      <c r="V632" s="315"/>
      <c r="W632" s="315"/>
      <c r="X632" s="315"/>
      <c r="Y632" s="315"/>
      <c r="Z632" s="315"/>
    </row>
    <row r="633">
      <c r="A633" s="315"/>
      <c r="B633" s="315"/>
      <c r="C633" s="315"/>
      <c r="D633" s="315"/>
      <c r="E633" s="315"/>
      <c r="F633" s="315"/>
      <c r="G633" s="315"/>
      <c r="H633" s="315"/>
      <c r="I633" s="315"/>
      <c r="J633" s="315"/>
      <c r="K633" s="315"/>
      <c r="L633" s="315"/>
      <c r="M633" s="315"/>
      <c r="N633" s="315"/>
      <c r="O633" s="315"/>
      <c r="P633" s="315"/>
      <c r="Q633" s="315"/>
      <c r="R633" s="315"/>
      <c r="S633" s="315"/>
      <c r="T633" s="315"/>
      <c r="U633" s="315"/>
      <c r="V633" s="315"/>
      <c r="W633" s="315"/>
      <c r="X633" s="315"/>
      <c r="Y633" s="315"/>
      <c r="Z633" s="315"/>
    </row>
    <row r="634">
      <c r="A634" s="315"/>
      <c r="B634" s="315"/>
      <c r="C634" s="315"/>
      <c r="D634" s="315"/>
      <c r="E634" s="315"/>
      <c r="F634" s="315"/>
      <c r="G634" s="315"/>
      <c r="H634" s="315"/>
      <c r="I634" s="315"/>
      <c r="J634" s="315"/>
      <c r="K634" s="315"/>
      <c r="L634" s="315"/>
      <c r="M634" s="315"/>
      <c r="N634" s="315"/>
      <c r="O634" s="315"/>
      <c r="P634" s="315"/>
      <c r="Q634" s="315"/>
      <c r="R634" s="315"/>
      <c r="S634" s="315"/>
      <c r="T634" s="315"/>
      <c r="U634" s="315"/>
      <c r="V634" s="315"/>
      <c r="W634" s="315"/>
      <c r="X634" s="315"/>
      <c r="Y634" s="315"/>
      <c r="Z634" s="315"/>
    </row>
    <row r="635">
      <c r="A635" s="315"/>
      <c r="B635" s="315"/>
      <c r="C635" s="315"/>
      <c r="D635" s="315"/>
      <c r="E635" s="315"/>
      <c r="F635" s="315"/>
      <c r="G635" s="315"/>
      <c r="H635" s="315"/>
      <c r="I635" s="315"/>
      <c r="J635" s="315"/>
      <c r="K635" s="315"/>
      <c r="L635" s="315"/>
      <c r="M635" s="315"/>
      <c r="N635" s="315"/>
      <c r="O635" s="315"/>
      <c r="P635" s="315"/>
      <c r="Q635" s="315"/>
      <c r="R635" s="315"/>
      <c r="S635" s="315"/>
      <c r="T635" s="315"/>
      <c r="U635" s="315"/>
      <c r="V635" s="315"/>
      <c r="W635" s="315"/>
      <c r="X635" s="315"/>
      <c r="Y635" s="315"/>
      <c r="Z635" s="315"/>
    </row>
    <row r="636">
      <c r="A636" s="315"/>
      <c r="B636" s="315"/>
      <c r="C636" s="315"/>
      <c r="D636" s="315"/>
      <c r="E636" s="315"/>
      <c r="F636" s="315"/>
      <c r="G636" s="315"/>
      <c r="H636" s="315"/>
      <c r="I636" s="315"/>
      <c r="J636" s="315"/>
      <c r="K636" s="315"/>
      <c r="L636" s="315"/>
      <c r="M636" s="315"/>
      <c r="N636" s="315"/>
      <c r="O636" s="315"/>
      <c r="P636" s="315"/>
      <c r="Q636" s="315"/>
      <c r="R636" s="315"/>
      <c r="S636" s="315"/>
      <c r="T636" s="315"/>
      <c r="U636" s="315"/>
      <c r="V636" s="315"/>
      <c r="W636" s="315"/>
      <c r="X636" s="315"/>
      <c r="Y636" s="315"/>
      <c r="Z636" s="315"/>
    </row>
    <row r="637">
      <c r="A637" s="315"/>
      <c r="B637" s="315"/>
      <c r="C637" s="315"/>
      <c r="D637" s="315"/>
      <c r="E637" s="315"/>
      <c r="F637" s="315"/>
      <c r="G637" s="315"/>
      <c r="H637" s="315"/>
      <c r="I637" s="315"/>
      <c r="J637" s="315"/>
      <c r="K637" s="315"/>
      <c r="L637" s="315"/>
      <c r="M637" s="315"/>
      <c r="N637" s="315"/>
      <c r="O637" s="315"/>
      <c r="P637" s="315"/>
      <c r="Q637" s="315"/>
      <c r="R637" s="315"/>
      <c r="S637" s="315"/>
      <c r="T637" s="315"/>
      <c r="U637" s="315"/>
      <c r="V637" s="315"/>
      <c r="W637" s="315"/>
      <c r="X637" s="315"/>
      <c r="Y637" s="315"/>
      <c r="Z637" s="315"/>
    </row>
    <row r="638">
      <c r="A638" s="315"/>
      <c r="B638" s="315"/>
      <c r="C638" s="315"/>
      <c r="D638" s="315"/>
      <c r="E638" s="315"/>
      <c r="F638" s="315"/>
      <c r="G638" s="315"/>
      <c r="H638" s="315"/>
      <c r="I638" s="315"/>
      <c r="J638" s="315"/>
      <c r="K638" s="315"/>
      <c r="L638" s="315"/>
      <c r="M638" s="315"/>
      <c r="N638" s="315"/>
      <c r="O638" s="315"/>
      <c r="P638" s="315"/>
      <c r="Q638" s="315"/>
      <c r="R638" s="315"/>
      <c r="S638" s="315"/>
      <c r="T638" s="315"/>
      <c r="U638" s="315"/>
      <c r="V638" s="315"/>
      <c r="W638" s="315"/>
      <c r="X638" s="315"/>
      <c r="Y638" s="315"/>
      <c r="Z638" s="315"/>
    </row>
    <row r="639">
      <c r="A639" s="315"/>
      <c r="B639" s="315"/>
      <c r="C639" s="315"/>
      <c r="D639" s="315"/>
      <c r="E639" s="315"/>
      <c r="F639" s="315"/>
      <c r="G639" s="315"/>
      <c r="H639" s="315"/>
      <c r="I639" s="315"/>
      <c r="J639" s="315"/>
      <c r="K639" s="315"/>
      <c r="L639" s="315"/>
      <c r="M639" s="315"/>
      <c r="N639" s="315"/>
      <c r="O639" s="315"/>
      <c r="P639" s="315"/>
      <c r="Q639" s="315"/>
      <c r="R639" s="315"/>
      <c r="S639" s="315"/>
      <c r="T639" s="315"/>
      <c r="U639" s="315"/>
      <c r="V639" s="315"/>
      <c r="W639" s="315"/>
      <c r="X639" s="315"/>
      <c r="Y639" s="315"/>
      <c r="Z639" s="315"/>
    </row>
    <row r="640">
      <c r="A640" s="315"/>
      <c r="B640" s="315"/>
      <c r="C640" s="315"/>
      <c r="D640" s="315"/>
      <c r="E640" s="315"/>
      <c r="F640" s="315"/>
      <c r="G640" s="315"/>
      <c r="H640" s="315"/>
      <c r="I640" s="315"/>
      <c r="J640" s="315"/>
      <c r="K640" s="315"/>
      <c r="L640" s="315"/>
      <c r="M640" s="315"/>
      <c r="N640" s="315"/>
      <c r="O640" s="315"/>
      <c r="P640" s="315"/>
      <c r="Q640" s="315"/>
      <c r="R640" s="315"/>
      <c r="S640" s="315"/>
      <c r="T640" s="315"/>
      <c r="U640" s="315"/>
      <c r="V640" s="315"/>
      <c r="W640" s="315"/>
      <c r="X640" s="315"/>
      <c r="Y640" s="315"/>
      <c r="Z640" s="315"/>
    </row>
    <row r="641">
      <c r="A641" s="315"/>
      <c r="B641" s="315"/>
      <c r="C641" s="315"/>
      <c r="D641" s="315"/>
      <c r="E641" s="315"/>
      <c r="F641" s="315"/>
      <c r="G641" s="315"/>
      <c r="H641" s="315"/>
      <c r="I641" s="315"/>
      <c r="J641" s="315"/>
      <c r="K641" s="315"/>
      <c r="L641" s="315"/>
      <c r="M641" s="315"/>
      <c r="N641" s="315"/>
      <c r="O641" s="315"/>
      <c r="P641" s="315"/>
      <c r="Q641" s="315"/>
      <c r="R641" s="315"/>
      <c r="S641" s="315"/>
      <c r="T641" s="315"/>
      <c r="U641" s="315"/>
      <c r="V641" s="315"/>
      <c r="W641" s="315"/>
      <c r="X641" s="315"/>
      <c r="Y641" s="315"/>
      <c r="Z641" s="315"/>
    </row>
    <row r="642">
      <c r="A642" s="315"/>
      <c r="B642" s="315"/>
      <c r="C642" s="315"/>
      <c r="D642" s="315"/>
      <c r="E642" s="315"/>
      <c r="F642" s="315"/>
      <c r="G642" s="315"/>
      <c r="H642" s="315"/>
      <c r="I642" s="315"/>
      <c r="J642" s="315"/>
      <c r="K642" s="315"/>
      <c r="L642" s="315"/>
      <c r="M642" s="315"/>
      <c r="N642" s="315"/>
      <c r="O642" s="315"/>
      <c r="P642" s="315"/>
      <c r="Q642" s="315"/>
      <c r="R642" s="315"/>
      <c r="S642" s="315"/>
      <c r="T642" s="315"/>
      <c r="U642" s="315"/>
      <c r="V642" s="315"/>
      <c r="W642" s="315"/>
      <c r="X642" s="315"/>
      <c r="Y642" s="315"/>
      <c r="Z642" s="315"/>
    </row>
    <row r="643">
      <c r="A643" s="315"/>
      <c r="B643" s="315"/>
      <c r="C643" s="315"/>
      <c r="D643" s="315"/>
      <c r="E643" s="315"/>
      <c r="F643" s="315"/>
      <c r="G643" s="315"/>
      <c r="H643" s="315"/>
      <c r="I643" s="315"/>
      <c r="J643" s="315"/>
      <c r="K643" s="315"/>
      <c r="L643" s="315"/>
      <c r="M643" s="315"/>
      <c r="N643" s="315"/>
      <c r="O643" s="315"/>
      <c r="P643" s="315"/>
      <c r="Q643" s="315"/>
      <c r="R643" s="315"/>
      <c r="S643" s="315"/>
      <c r="T643" s="315"/>
      <c r="U643" s="315"/>
      <c r="V643" s="315"/>
      <c r="W643" s="315"/>
      <c r="X643" s="315"/>
      <c r="Y643" s="315"/>
      <c r="Z643" s="315"/>
    </row>
    <row r="644">
      <c r="A644" s="315"/>
      <c r="B644" s="315"/>
      <c r="C644" s="315"/>
      <c r="D644" s="315"/>
      <c r="E644" s="315"/>
      <c r="F644" s="315"/>
      <c r="G644" s="315"/>
      <c r="H644" s="315"/>
      <c r="I644" s="315"/>
      <c r="J644" s="315"/>
      <c r="K644" s="315"/>
      <c r="L644" s="315"/>
      <c r="M644" s="315"/>
      <c r="N644" s="315"/>
      <c r="O644" s="315"/>
      <c r="P644" s="315"/>
      <c r="Q644" s="315"/>
      <c r="R644" s="315"/>
      <c r="S644" s="315"/>
      <c r="T644" s="315"/>
      <c r="U644" s="315"/>
      <c r="V644" s="315"/>
      <c r="W644" s="315"/>
      <c r="X644" s="315"/>
      <c r="Y644" s="315"/>
      <c r="Z644" s="315"/>
    </row>
    <row r="645">
      <c r="A645" s="315"/>
      <c r="B645" s="315"/>
      <c r="C645" s="315"/>
      <c r="D645" s="315"/>
      <c r="E645" s="315"/>
      <c r="F645" s="315"/>
      <c r="G645" s="315"/>
      <c r="H645" s="315"/>
      <c r="I645" s="315"/>
      <c r="J645" s="315"/>
      <c r="K645" s="315"/>
      <c r="L645" s="315"/>
      <c r="M645" s="315"/>
      <c r="N645" s="315"/>
      <c r="O645" s="315"/>
      <c r="P645" s="315"/>
      <c r="Q645" s="315"/>
      <c r="R645" s="315"/>
      <c r="S645" s="315"/>
      <c r="T645" s="315"/>
      <c r="U645" s="315"/>
      <c r="V645" s="315"/>
      <c r="W645" s="315"/>
      <c r="X645" s="315"/>
      <c r="Y645" s="315"/>
      <c r="Z645" s="315"/>
    </row>
    <row r="646">
      <c r="A646" s="315"/>
      <c r="B646" s="315"/>
      <c r="C646" s="315"/>
      <c r="D646" s="315"/>
      <c r="E646" s="315"/>
      <c r="F646" s="315"/>
      <c r="G646" s="315"/>
      <c r="H646" s="315"/>
      <c r="I646" s="315"/>
      <c r="J646" s="315"/>
      <c r="K646" s="315"/>
      <c r="L646" s="315"/>
      <c r="M646" s="315"/>
      <c r="N646" s="315"/>
      <c r="O646" s="315"/>
      <c r="P646" s="315"/>
      <c r="Q646" s="315"/>
      <c r="R646" s="315"/>
      <c r="S646" s="315"/>
      <c r="T646" s="315"/>
      <c r="U646" s="315"/>
      <c r="V646" s="315"/>
      <c r="W646" s="315"/>
      <c r="X646" s="315"/>
      <c r="Y646" s="315"/>
      <c r="Z646" s="315"/>
    </row>
    <row r="647">
      <c r="A647" s="315"/>
      <c r="B647" s="315"/>
      <c r="C647" s="315"/>
      <c r="D647" s="315"/>
      <c r="E647" s="315"/>
      <c r="F647" s="315"/>
      <c r="G647" s="315"/>
      <c r="H647" s="315"/>
      <c r="I647" s="315"/>
      <c r="J647" s="315"/>
      <c r="K647" s="315"/>
      <c r="L647" s="315"/>
      <c r="M647" s="315"/>
      <c r="N647" s="315"/>
      <c r="O647" s="315"/>
      <c r="P647" s="315"/>
      <c r="Q647" s="315"/>
      <c r="R647" s="315"/>
      <c r="S647" s="315"/>
      <c r="T647" s="315"/>
      <c r="U647" s="315"/>
      <c r="V647" s="315"/>
      <c r="W647" s="315"/>
      <c r="X647" s="315"/>
      <c r="Y647" s="315"/>
      <c r="Z647" s="315"/>
    </row>
    <row r="648">
      <c r="A648" s="315"/>
      <c r="B648" s="315"/>
      <c r="C648" s="315"/>
      <c r="D648" s="315"/>
      <c r="E648" s="315"/>
      <c r="F648" s="315"/>
      <c r="G648" s="315"/>
      <c r="H648" s="315"/>
      <c r="I648" s="315"/>
      <c r="J648" s="315"/>
      <c r="K648" s="315"/>
      <c r="L648" s="315"/>
      <c r="M648" s="315"/>
      <c r="N648" s="315"/>
      <c r="O648" s="315"/>
      <c r="P648" s="315"/>
      <c r="Q648" s="315"/>
      <c r="R648" s="315"/>
      <c r="S648" s="315"/>
      <c r="T648" s="315"/>
      <c r="U648" s="315"/>
      <c r="V648" s="315"/>
      <c r="W648" s="315"/>
      <c r="X648" s="315"/>
      <c r="Y648" s="315"/>
      <c r="Z648" s="315"/>
    </row>
    <row r="649">
      <c r="A649" s="315"/>
      <c r="B649" s="315"/>
      <c r="C649" s="315"/>
      <c r="D649" s="315"/>
      <c r="E649" s="315"/>
      <c r="F649" s="315"/>
      <c r="G649" s="315"/>
      <c r="H649" s="315"/>
      <c r="I649" s="315"/>
      <c r="J649" s="315"/>
      <c r="K649" s="315"/>
      <c r="L649" s="315"/>
      <c r="M649" s="315"/>
      <c r="N649" s="315"/>
      <c r="O649" s="315"/>
      <c r="P649" s="315"/>
      <c r="Q649" s="315"/>
      <c r="R649" s="315"/>
      <c r="S649" s="315"/>
      <c r="T649" s="315"/>
      <c r="U649" s="315"/>
      <c r="V649" s="315"/>
      <c r="W649" s="315"/>
      <c r="X649" s="315"/>
      <c r="Y649" s="315"/>
      <c r="Z649" s="315"/>
    </row>
    <row r="650">
      <c r="A650" s="315"/>
      <c r="B650" s="315"/>
      <c r="C650" s="315"/>
      <c r="D650" s="315"/>
      <c r="E650" s="315"/>
      <c r="F650" s="315"/>
      <c r="G650" s="315"/>
      <c r="H650" s="315"/>
      <c r="I650" s="315"/>
      <c r="J650" s="315"/>
      <c r="K650" s="315"/>
      <c r="L650" s="315"/>
      <c r="M650" s="315"/>
      <c r="N650" s="315"/>
      <c r="O650" s="315"/>
      <c r="P650" s="315"/>
      <c r="Q650" s="315"/>
      <c r="R650" s="315"/>
      <c r="S650" s="315"/>
      <c r="T650" s="315"/>
      <c r="U650" s="315"/>
      <c r="V650" s="315"/>
      <c r="W650" s="315"/>
      <c r="X650" s="315"/>
      <c r="Y650" s="315"/>
      <c r="Z650" s="315"/>
    </row>
    <row r="651">
      <c r="A651" s="315"/>
      <c r="B651" s="315"/>
      <c r="C651" s="315"/>
      <c r="D651" s="315"/>
      <c r="E651" s="315"/>
      <c r="F651" s="315"/>
      <c r="G651" s="315"/>
      <c r="H651" s="315"/>
      <c r="I651" s="315"/>
      <c r="J651" s="315"/>
      <c r="K651" s="315"/>
      <c r="L651" s="315"/>
      <c r="M651" s="315"/>
      <c r="N651" s="315"/>
      <c r="O651" s="315"/>
      <c r="P651" s="315"/>
      <c r="Q651" s="315"/>
      <c r="R651" s="315"/>
      <c r="S651" s="315"/>
      <c r="T651" s="315"/>
      <c r="U651" s="315"/>
      <c r="V651" s="315"/>
      <c r="W651" s="315"/>
      <c r="X651" s="315"/>
      <c r="Y651" s="315"/>
      <c r="Z651" s="315"/>
    </row>
    <row r="652">
      <c r="A652" s="315"/>
      <c r="B652" s="315"/>
      <c r="C652" s="315"/>
      <c r="D652" s="315"/>
      <c r="E652" s="315"/>
      <c r="F652" s="315"/>
      <c r="G652" s="315"/>
      <c r="H652" s="315"/>
      <c r="I652" s="315"/>
      <c r="J652" s="315"/>
      <c r="K652" s="315"/>
      <c r="L652" s="315"/>
      <c r="M652" s="315"/>
      <c r="N652" s="315"/>
      <c r="O652" s="315"/>
      <c r="P652" s="315"/>
      <c r="Q652" s="315"/>
      <c r="R652" s="315"/>
      <c r="S652" s="315"/>
      <c r="T652" s="315"/>
      <c r="U652" s="315"/>
      <c r="V652" s="315"/>
      <c r="W652" s="315"/>
      <c r="X652" s="315"/>
      <c r="Y652" s="315"/>
      <c r="Z652" s="315"/>
    </row>
    <row r="653">
      <c r="A653" s="315"/>
      <c r="B653" s="315"/>
      <c r="C653" s="315"/>
      <c r="D653" s="315"/>
      <c r="E653" s="315"/>
      <c r="F653" s="315"/>
      <c r="G653" s="315"/>
      <c r="H653" s="315"/>
      <c r="I653" s="315"/>
      <c r="J653" s="315"/>
      <c r="K653" s="315"/>
      <c r="L653" s="315"/>
      <c r="M653" s="315"/>
      <c r="N653" s="315"/>
      <c r="O653" s="315"/>
      <c r="P653" s="315"/>
      <c r="Q653" s="315"/>
      <c r="R653" s="315"/>
      <c r="S653" s="315"/>
      <c r="T653" s="315"/>
      <c r="U653" s="315"/>
      <c r="V653" s="315"/>
      <c r="W653" s="315"/>
      <c r="X653" s="315"/>
      <c r="Y653" s="315"/>
      <c r="Z653" s="315"/>
    </row>
    <row r="654">
      <c r="A654" s="315"/>
      <c r="B654" s="315"/>
      <c r="C654" s="315"/>
      <c r="D654" s="315"/>
      <c r="E654" s="315"/>
      <c r="F654" s="315"/>
      <c r="G654" s="315"/>
      <c r="H654" s="315"/>
      <c r="I654" s="315"/>
      <c r="J654" s="315"/>
      <c r="K654" s="315"/>
      <c r="L654" s="315"/>
      <c r="M654" s="315"/>
      <c r="N654" s="315"/>
      <c r="O654" s="315"/>
      <c r="P654" s="315"/>
      <c r="Q654" s="315"/>
      <c r="R654" s="315"/>
      <c r="S654" s="315"/>
      <c r="T654" s="315"/>
      <c r="U654" s="315"/>
      <c r="V654" s="315"/>
      <c r="W654" s="315"/>
      <c r="X654" s="315"/>
      <c r="Y654" s="315"/>
      <c r="Z654" s="315"/>
    </row>
    <row r="655">
      <c r="A655" s="315"/>
      <c r="B655" s="315"/>
      <c r="C655" s="315"/>
      <c r="D655" s="315"/>
      <c r="E655" s="315"/>
      <c r="F655" s="315"/>
      <c r="G655" s="315"/>
      <c r="H655" s="315"/>
      <c r="I655" s="315"/>
      <c r="J655" s="315"/>
      <c r="K655" s="315"/>
      <c r="L655" s="315"/>
      <c r="M655" s="315"/>
      <c r="N655" s="315"/>
      <c r="O655" s="315"/>
      <c r="P655" s="315"/>
      <c r="Q655" s="315"/>
      <c r="R655" s="315"/>
      <c r="S655" s="315"/>
      <c r="T655" s="315"/>
      <c r="U655" s="315"/>
      <c r="V655" s="315"/>
      <c r="W655" s="315"/>
      <c r="X655" s="315"/>
      <c r="Y655" s="315"/>
      <c r="Z655" s="315"/>
    </row>
    <row r="656">
      <c r="A656" s="315"/>
      <c r="B656" s="315"/>
      <c r="C656" s="315"/>
      <c r="D656" s="315"/>
      <c r="E656" s="315"/>
      <c r="F656" s="315"/>
      <c r="G656" s="315"/>
      <c r="H656" s="315"/>
      <c r="I656" s="315"/>
      <c r="J656" s="315"/>
      <c r="K656" s="315"/>
      <c r="L656" s="315"/>
      <c r="M656" s="315"/>
      <c r="N656" s="315"/>
      <c r="O656" s="315"/>
      <c r="P656" s="315"/>
      <c r="Q656" s="315"/>
      <c r="R656" s="315"/>
      <c r="S656" s="315"/>
      <c r="T656" s="315"/>
      <c r="U656" s="315"/>
      <c r="V656" s="315"/>
      <c r="W656" s="315"/>
      <c r="X656" s="315"/>
      <c r="Y656" s="315"/>
      <c r="Z656" s="315"/>
    </row>
    <row r="657">
      <c r="A657" s="315"/>
      <c r="B657" s="315"/>
      <c r="C657" s="315"/>
      <c r="D657" s="315"/>
      <c r="E657" s="315"/>
      <c r="F657" s="315"/>
      <c r="G657" s="315"/>
      <c r="H657" s="315"/>
      <c r="I657" s="315"/>
      <c r="J657" s="315"/>
      <c r="K657" s="315"/>
      <c r="L657" s="315"/>
      <c r="M657" s="315"/>
      <c r="N657" s="315"/>
      <c r="O657" s="315"/>
      <c r="P657" s="315"/>
      <c r="Q657" s="315"/>
      <c r="R657" s="315"/>
      <c r="S657" s="315"/>
      <c r="T657" s="315"/>
      <c r="U657" s="315"/>
      <c r="V657" s="315"/>
      <c r="W657" s="315"/>
      <c r="X657" s="315"/>
      <c r="Y657" s="315"/>
      <c r="Z657" s="315"/>
    </row>
    <row r="658">
      <c r="A658" s="315"/>
      <c r="B658" s="315"/>
      <c r="C658" s="315"/>
      <c r="D658" s="315"/>
      <c r="E658" s="315"/>
      <c r="F658" s="315"/>
      <c r="G658" s="315"/>
      <c r="H658" s="315"/>
      <c r="I658" s="315"/>
      <c r="J658" s="315"/>
      <c r="K658" s="315"/>
      <c r="L658" s="315"/>
      <c r="M658" s="315"/>
      <c r="N658" s="315"/>
      <c r="O658" s="315"/>
      <c r="P658" s="315"/>
      <c r="Q658" s="315"/>
      <c r="R658" s="315"/>
      <c r="S658" s="315"/>
      <c r="T658" s="315"/>
      <c r="U658" s="315"/>
      <c r="V658" s="315"/>
      <c r="W658" s="315"/>
      <c r="X658" s="315"/>
      <c r="Y658" s="315"/>
      <c r="Z658" s="315"/>
    </row>
    <row r="659">
      <c r="A659" s="315"/>
      <c r="B659" s="315"/>
      <c r="C659" s="315"/>
      <c r="D659" s="315"/>
      <c r="E659" s="315"/>
      <c r="F659" s="315"/>
      <c r="G659" s="315"/>
      <c r="H659" s="315"/>
      <c r="I659" s="315"/>
      <c r="J659" s="315"/>
      <c r="K659" s="315"/>
      <c r="L659" s="315"/>
      <c r="M659" s="315"/>
      <c r="N659" s="315"/>
      <c r="O659" s="315"/>
      <c r="P659" s="315"/>
      <c r="Q659" s="315"/>
      <c r="R659" s="315"/>
      <c r="S659" s="315"/>
      <c r="T659" s="315"/>
      <c r="U659" s="315"/>
      <c r="V659" s="315"/>
      <c r="W659" s="315"/>
      <c r="X659" s="315"/>
      <c r="Y659" s="315"/>
      <c r="Z659" s="315"/>
    </row>
    <row r="660">
      <c r="A660" s="315"/>
      <c r="B660" s="315"/>
      <c r="C660" s="315"/>
      <c r="D660" s="315"/>
      <c r="E660" s="315"/>
      <c r="F660" s="315"/>
      <c r="G660" s="315"/>
      <c r="H660" s="315"/>
      <c r="I660" s="315"/>
      <c r="J660" s="315"/>
      <c r="K660" s="315"/>
      <c r="L660" s="315"/>
      <c r="M660" s="315"/>
      <c r="N660" s="315"/>
      <c r="O660" s="315"/>
      <c r="P660" s="315"/>
      <c r="Q660" s="315"/>
      <c r="R660" s="315"/>
      <c r="S660" s="315"/>
      <c r="T660" s="315"/>
      <c r="U660" s="315"/>
      <c r="V660" s="315"/>
      <c r="W660" s="315"/>
      <c r="X660" s="315"/>
      <c r="Y660" s="315"/>
      <c r="Z660" s="315"/>
    </row>
    <row r="661">
      <c r="A661" s="315"/>
      <c r="B661" s="315"/>
      <c r="C661" s="315"/>
      <c r="D661" s="315"/>
      <c r="E661" s="315"/>
      <c r="F661" s="315"/>
      <c r="G661" s="315"/>
      <c r="H661" s="315"/>
      <c r="I661" s="315"/>
      <c r="J661" s="315"/>
      <c r="K661" s="315"/>
      <c r="L661" s="315"/>
      <c r="M661" s="315"/>
      <c r="N661" s="315"/>
      <c r="O661" s="315"/>
      <c r="P661" s="315"/>
      <c r="Q661" s="315"/>
      <c r="R661" s="315"/>
      <c r="S661" s="315"/>
      <c r="T661" s="315"/>
      <c r="U661" s="315"/>
      <c r="V661" s="315"/>
      <c r="W661" s="315"/>
      <c r="X661" s="315"/>
      <c r="Y661" s="315"/>
      <c r="Z661" s="315"/>
    </row>
    <row r="662">
      <c r="A662" s="315"/>
      <c r="B662" s="315"/>
      <c r="C662" s="315"/>
      <c r="D662" s="315"/>
      <c r="E662" s="315"/>
      <c r="F662" s="315"/>
      <c r="G662" s="315"/>
      <c r="H662" s="315"/>
      <c r="I662" s="315"/>
      <c r="J662" s="315"/>
      <c r="K662" s="315"/>
      <c r="L662" s="315"/>
      <c r="M662" s="315"/>
      <c r="N662" s="315"/>
      <c r="O662" s="315"/>
      <c r="P662" s="315"/>
      <c r="Q662" s="315"/>
      <c r="R662" s="315"/>
      <c r="S662" s="315"/>
      <c r="T662" s="315"/>
      <c r="U662" s="315"/>
      <c r="V662" s="315"/>
      <c r="W662" s="315"/>
      <c r="X662" s="315"/>
      <c r="Y662" s="315"/>
      <c r="Z662" s="315"/>
    </row>
    <row r="663">
      <c r="A663" s="315"/>
      <c r="B663" s="315"/>
      <c r="C663" s="315"/>
      <c r="D663" s="315"/>
      <c r="E663" s="315"/>
      <c r="F663" s="315"/>
      <c r="G663" s="315"/>
      <c r="H663" s="315"/>
      <c r="I663" s="315"/>
      <c r="J663" s="315"/>
      <c r="K663" s="315"/>
      <c r="L663" s="315"/>
      <c r="M663" s="315"/>
      <c r="N663" s="315"/>
      <c r="O663" s="315"/>
      <c r="P663" s="315"/>
      <c r="Q663" s="315"/>
      <c r="R663" s="315"/>
      <c r="S663" s="315"/>
      <c r="T663" s="315"/>
      <c r="U663" s="315"/>
      <c r="V663" s="315"/>
      <c r="W663" s="315"/>
      <c r="X663" s="315"/>
      <c r="Y663" s="315"/>
      <c r="Z663" s="315"/>
    </row>
    <row r="664">
      <c r="A664" s="315"/>
      <c r="B664" s="315"/>
      <c r="C664" s="315"/>
      <c r="D664" s="315"/>
      <c r="E664" s="315"/>
      <c r="F664" s="315"/>
      <c r="G664" s="315"/>
      <c r="H664" s="315"/>
      <c r="I664" s="315"/>
      <c r="J664" s="315"/>
      <c r="K664" s="315"/>
      <c r="L664" s="315"/>
      <c r="M664" s="315"/>
      <c r="N664" s="315"/>
      <c r="O664" s="315"/>
      <c r="P664" s="315"/>
      <c r="Q664" s="315"/>
      <c r="R664" s="315"/>
      <c r="S664" s="315"/>
      <c r="T664" s="315"/>
      <c r="U664" s="315"/>
      <c r="V664" s="315"/>
      <c r="W664" s="315"/>
      <c r="X664" s="315"/>
      <c r="Y664" s="315"/>
      <c r="Z664" s="315"/>
    </row>
    <row r="665">
      <c r="A665" s="315"/>
      <c r="B665" s="315"/>
      <c r="C665" s="315"/>
      <c r="D665" s="315"/>
      <c r="E665" s="315"/>
      <c r="F665" s="315"/>
      <c r="G665" s="315"/>
      <c r="H665" s="315"/>
      <c r="I665" s="315"/>
      <c r="J665" s="315"/>
      <c r="K665" s="315"/>
      <c r="L665" s="315"/>
      <c r="M665" s="315"/>
      <c r="N665" s="315"/>
      <c r="O665" s="315"/>
      <c r="P665" s="315"/>
      <c r="Q665" s="315"/>
      <c r="R665" s="315"/>
      <c r="S665" s="315"/>
      <c r="T665" s="315"/>
      <c r="U665" s="315"/>
      <c r="V665" s="315"/>
      <c r="W665" s="315"/>
      <c r="X665" s="315"/>
      <c r="Y665" s="315"/>
      <c r="Z665" s="315"/>
    </row>
    <row r="666">
      <c r="A666" s="315"/>
      <c r="B666" s="315"/>
      <c r="C666" s="315"/>
      <c r="D666" s="315"/>
      <c r="E666" s="315"/>
      <c r="F666" s="315"/>
      <c r="G666" s="315"/>
      <c r="H666" s="315"/>
      <c r="I666" s="315"/>
      <c r="J666" s="315"/>
      <c r="K666" s="315"/>
      <c r="L666" s="315"/>
      <c r="M666" s="315"/>
      <c r="N666" s="315"/>
      <c r="O666" s="315"/>
      <c r="P666" s="315"/>
      <c r="Q666" s="315"/>
      <c r="R666" s="315"/>
      <c r="S666" s="315"/>
      <c r="T666" s="315"/>
      <c r="U666" s="315"/>
      <c r="V666" s="315"/>
      <c r="W666" s="315"/>
      <c r="X666" s="315"/>
      <c r="Y666" s="315"/>
      <c r="Z666" s="315"/>
    </row>
    <row r="667">
      <c r="A667" s="315"/>
      <c r="B667" s="315"/>
      <c r="C667" s="315"/>
      <c r="D667" s="315"/>
      <c r="E667" s="315"/>
      <c r="F667" s="315"/>
      <c r="G667" s="315"/>
      <c r="H667" s="315"/>
      <c r="I667" s="315"/>
      <c r="J667" s="315"/>
      <c r="K667" s="315"/>
      <c r="L667" s="315"/>
      <c r="M667" s="315"/>
      <c r="N667" s="315"/>
      <c r="O667" s="315"/>
      <c r="P667" s="315"/>
      <c r="Q667" s="315"/>
      <c r="R667" s="315"/>
      <c r="S667" s="315"/>
      <c r="T667" s="315"/>
      <c r="U667" s="315"/>
      <c r="V667" s="315"/>
      <c r="W667" s="315"/>
      <c r="X667" s="315"/>
      <c r="Y667" s="315"/>
      <c r="Z667" s="315"/>
    </row>
    <row r="668">
      <c r="A668" s="315"/>
      <c r="B668" s="315"/>
      <c r="C668" s="315"/>
      <c r="D668" s="315"/>
      <c r="E668" s="315"/>
      <c r="F668" s="315"/>
      <c r="G668" s="315"/>
      <c r="H668" s="315"/>
      <c r="I668" s="315"/>
      <c r="J668" s="315"/>
      <c r="K668" s="315"/>
      <c r="L668" s="315"/>
      <c r="M668" s="315"/>
      <c r="N668" s="315"/>
      <c r="O668" s="315"/>
      <c r="P668" s="315"/>
      <c r="Q668" s="315"/>
      <c r="R668" s="315"/>
      <c r="S668" s="315"/>
      <c r="T668" s="315"/>
      <c r="U668" s="315"/>
      <c r="V668" s="315"/>
      <c r="W668" s="315"/>
      <c r="X668" s="315"/>
      <c r="Y668" s="315"/>
      <c r="Z668" s="315"/>
    </row>
    <row r="669">
      <c r="A669" s="315"/>
      <c r="B669" s="315"/>
      <c r="C669" s="315"/>
      <c r="D669" s="315"/>
      <c r="E669" s="315"/>
      <c r="F669" s="315"/>
      <c r="G669" s="315"/>
      <c r="H669" s="315"/>
      <c r="I669" s="315"/>
      <c r="J669" s="315"/>
      <c r="K669" s="315"/>
      <c r="L669" s="315"/>
      <c r="M669" s="315"/>
      <c r="N669" s="315"/>
      <c r="O669" s="315"/>
      <c r="P669" s="315"/>
      <c r="Q669" s="315"/>
      <c r="R669" s="315"/>
      <c r="S669" s="315"/>
      <c r="T669" s="315"/>
      <c r="U669" s="315"/>
      <c r="V669" s="315"/>
      <c r="W669" s="315"/>
      <c r="X669" s="315"/>
      <c r="Y669" s="315"/>
      <c r="Z669" s="315"/>
    </row>
    <row r="670">
      <c r="A670" s="315"/>
      <c r="B670" s="315"/>
      <c r="C670" s="315"/>
      <c r="D670" s="315"/>
      <c r="E670" s="315"/>
      <c r="F670" s="315"/>
      <c r="G670" s="315"/>
      <c r="H670" s="315"/>
      <c r="I670" s="315"/>
      <c r="J670" s="315"/>
      <c r="K670" s="315"/>
      <c r="L670" s="315"/>
      <c r="M670" s="315"/>
      <c r="N670" s="315"/>
      <c r="O670" s="315"/>
      <c r="P670" s="315"/>
      <c r="Q670" s="315"/>
      <c r="R670" s="315"/>
      <c r="S670" s="315"/>
      <c r="T670" s="315"/>
      <c r="U670" s="315"/>
      <c r="V670" s="315"/>
      <c r="W670" s="315"/>
      <c r="X670" s="315"/>
      <c r="Y670" s="315"/>
      <c r="Z670" s="315"/>
    </row>
    <row r="671">
      <c r="A671" s="315"/>
      <c r="B671" s="315"/>
      <c r="C671" s="315"/>
      <c r="D671" s="315"/>
      <c r="E671" s="315"/>
      <c r="F671" s="315"/>
      <c r="G671" s="315"/>
      <c r="H671" s="315"/>
      <c r="I671" s="315"/>
      <c r="J671" s="315"/>
      <c r="K671" s="315"/>
      <c r="L671" s="315"/>
      <c r="M671" s="315"/>
      <c r="N671" s="315"/>
      <c r="O671" s="315"/>
      <c r="P671" s="315"/>
      <c r="Q671" s="315"/>
      <c r="R671" s="315"/>
      <c r="S671" s="315"/>
      <c r="T671" s="315"/>
      <c r="U671" s="315"/>
      <c r="V671" s="315"/>
      <c r="W671" s="315"/>
      <c r="X671" s="315"/>
      <c r="Y671" s="315"/>
      <c r="Z671" s="315"/>
    </row>
    <row r="672">
      <c r="A672" s="315"/>
      <c r="B672" s="315"/>
      <c r="C672" s="315"/>
      <c r="D672" s="315"/>
      <c r="E672" s="315"/>
      <c r="F672" s="315"/>
      <c r="G672" s="315"/>
      <c r="H672" s="315"/>
      <c r="I672" s="315"/>
      <c r="J672" s="315"/>
      <c r="K672" s="315"/>
      <c r="L672" s="315"/>
      <c r="M672" s="315"/>
      <c r="N672" s="315"/>
      <c r="O672" s="315"/>
      <c r="P672" s="315"/>
      <c r="Q672" s="315"/>
      <c r="R672" s="315"/>
      <c r="S672" s="315"/>
      <c r="T672" s="315"/>
      <c r="U672" s="315"/>
      <c r="V672" s="315"/>
      <c r="W672" s="315"/>
      <c r="X672" s="315"/>
      <c r="Y672" s="315"/>
      <c r="Z672" s="315"/>
    </row>
    <row r="673">
      <c r="A673" s="315"/>
      <c r="B673" s="315"/>
      <c r="C673" s="315"/>
      <c r="D673" s="315"/>
      <c r="E673" s="315"/>
      <c r="F673" s="315"/>
      <c r="G673" s="315"/>
      <c r="H673" s="315"/>
      <c r="I673" s="315"/>
      <c r="J673" s="315"/>
      <c r="K673" s="315"/>
      <c r="L673" s="315"/>
      <c r="M673" s="315"/>
      <c r="N673" s="315"/>
      <c r="O673" s="315"/>
      <c r="P673" s="315"/>
      <c r="Q673" s="315"/>
      <c r="R673" s="315"/>
      <c r="S673" s="315"/>
      <c r="T673" s="315"/>
      <c r="U673" s="315"/>
      <c r="V673" s="315"/>
      <c r="W673" s="315"/>
      <c r="X673" s="315"/>
      <c r="Y673" s="315"/>
      <c r="Z673" s="315"/>
    </row>
    <row r="674">
      <c r="A674" s="315"/>
      <c r="B674" s="315"/>
      <c r="C674" s="315"/>
      <c r="D674" s="315"/>
      <c r="E674" s="315"/>
      <c r="F674" s="315"/>
      <c r="G674" s="315"/>
      <c r="H674" s="315"/>
      <c r="I674" s="315"/>
      <c r="J674" s="315"/>
      <c r="K674" s="315"/>
      <c r="L674" s="315"/>
      <c r="M674" s="315"/>
      <c r="N674" s="315"/>
      <c r="O674" s="315"/>
      <c r="P674" s="315"/>
      <c r="Q674" s="315"/>
      <c r="R674" s="315"/>
      <c r="S674" s="315"/>
      <c r="T674" s="315"/>
      <c r="U674" s="315"/>
      <c r="V674" s="315"/>
      <c r="W674" s="315"/>
      <c r="X674" s="315"/>
      <c r="Y674" s="315"/>
      <c r="Z674" s="315"/>
    </row>
    <row r="675">
      <c r="A675" s="315"/>
      <c r="B675" s="315"/>
      <c r="C675" s="315"/>
      <c r="D675" s="315"/>
      <c r="E675" s="315"/>
      <c r="F675" s="315"/>
      <c r="G675" s="315"/>
      <c r="H675" s="315"/>
      <c r="I675" s="315"/>
      <c r="J675" s="315"/>
      <c r="K675" s="315"/>
      <c r="L675" s="315"/>
      <c r="M675" s="315"/>
      <c r="N675" s="315"/>
      <c r="O675" s="315"/>
      <c r="P675" s="315"/>
      <c r="Q675" s="315"/>
      <c r="R675" s="315"/>
      <c r="S675" s="315"/>
      <c r="T675" s="315"/>
      <c r="U675" s="315"/>
      <c r="V675" s="315"/>
      <c r="W675" s="315"/>
      <c r="X675" s="315"/>
      <c r="Y675" s="315"/>
      <c r="Z675" s="315"/>
    </row>
    <row r="676">
      <c r="A676" s="315"/>
      <c r="B676" s="315"/>
      <c r="C676" s="315"/>
      <c r="D676" s="315"/>
      <c r="E676" s="315"/>
      <c r="F676" s="315"/>
      <c r="G676" s="315"/>
      <c r="H676" s="315"/>
      <c r="I676" s="315"/>
      <c r="J676" s="315"/>
      <c r="K676" s="315"/>
      <c r="L676" s="315"/>
      <c r="M676" s="315"/>
      <c r="N676" s="315"/>
      <c r="O676" s="315"/>
      <c r="P676" s="315"/>
      <c r="Q676" s="315"/>
      <c r="R676" s="315"/>
      <c r="S676" s="315"/>
      <c r="T676" s="315"/>
      <c r="U676" s="315"/>
      <c r="V676" s="315"/>
      <c r="W676" s="315"/>
      <c r="X676" s="315"/>
      <c r="Y676" s="315"/>
      <c r="Z676" s="315"/>
    </row>
    <row r="677">
      <c r="A677" s="315"/>
      <c r="B677" s="315"/>
      <c r="C677" s="315"/>
      <c r="D677" s="315"/>
      <c r="E677" s="315"/>
      <c r="F677" s="315"/>
      <c r="G677" s="315"/>
      <c r="H677" s="315"/>
      <c r="I677" s="315"/>
      <c r="J677" s="315"/>
      <c r="K677" s="315"/>
      <c r="L677" s="315"/>
      <c r="M677" s="315"/>
      <c r="N677" s="315"/>
      <c r="O677" s="315"/>
      <c r="P677" s="315"/>
      <c r="Q677" s="315"/>
      <c r="R677" s="315"/>
      <c r="S677" s="315"/>
      <c r="T677" s="315"/>
      <c r="U677" s="315"/>
      <c r="V677" s="315"/>
      <c r="W677" s="315"/>
      <c r="X677" s="315"/>
      <c r="Y677" s="315"/>
      <c r="Z677" s="315"/>
    </row>
    <row r="678">
      <c r="A678" s="315"/>
      <c r="B678" s="315"/>
      <c r="C678" s="315"/>
      <c r="D678" s="315"/>
      <c r="E678" s="315"/>
      <c r="F678" s="315"/>
      <c r="G678" s="315"/>
      <c r="H678" s="315"/>
      <c r="I678" s="315"/>
      <c r="J678" s="315"/>
      <c r="K678" s="315"/>
      <c r="L678" s="315"/>
      <c r="M678" s="315"/>
      <c r="N678" s="315"/>
      <c r="O678" s="315"/>
      <c r="P678" s="315"/>
      <c r="Q678" s="315"/>
      <c r="R678" s="315"/>
      <c r="S678" s="315"/>
      <c r="T678" s="315"/>
      <c r="U678" s="315"/>
      <c r="V678" s="315"/>
      <c r="W678" s="315"/>
      <c r="X678" s="315"/>
      <c r="Y678" s="315"/>
      <c r="Z678" s="315"/>
    </row>
    <row r="679">
      <c r="A679" s="315"/>
      <c r="B679" s="315"/>
      <c r="C679" s="315"/>
      <c r="D679" s="315"/>
      <c r="E679" s="315"/>
      <c r="F679" s="315"/>
      <c r="G679" s="315"/>
      <c r="H679" s="315"/>
      <c r="I679" s="315"/>
      <c r="J679" s="315"/>
      <c r="K679" s="315"/>
      <c r="L679" s="315"/>
      <c r="M679" s="315"/>
      <c r="N679" s="315"/>
      <c r="O679" s="315"/>
      <c r="P679" s="315"/>
      <c r="Q679" s="315"/>
      <c r="R679" s="315"/>
      <c r="S679" s="315"/>
      <c r="T679" s="315"/>
      <c r="U679" s="315"/>
      <c r="V679" s="315"/>
      <c r="W679" s="315"/>
      <c r="X679" s="315"/>
      <c r="Y679" s="315"/>
      <c r="Z679" s="315"/>
    </row>
    <row r="680">
      <c r="A680" s="315"/>
      <c r="B680" s="315"/>
      <c r="C680" s="315"/>
      <c r="D680" s="315"/>
      <c r="E680" s="315"/>
      <c r="F680" s="315"/>
      <c r="G680" s="315"/>
      <c r="H680" s="315"/>
      <c r="I680" s="315"/>
      <c r="J680" s="315"/>
      <c r="K680" s="315"/>
      <c r="L680" s="315"/>
      <c r="M680" s="315"/>
      <c r="N680" s="315"/>
      <c r="O680" s="315"/>
      <c r="P680" s="315"/>
      <c r="Q680" s="315"/>
      <c r="R680" s="315"/>
      <c r="S680" s="315"/>
      <c r="T680" s="315"/>
      <c r="U680" s="315"/>
      <c r="V680" s="315"/>
      <c r="W680" s="315"/>
      <c r="X680" s="315"/>
      <c r="Y680" s="315"/>
      <c r="Z680" s="315"/>
    </row>
    <row r="681">
      <c r="A681" s="315"/>
      <c r="B681" s="315"/>
      <c r="C681" s="315"/>
      <c r="D681" s="315"/>
      <c r="E681" s="315"/>
      <c r="F681" s="315"/>
      <c r="G681" s="315"/>
      <c r="H681" s="315"/>
      <c r="I681" s="315"/>
      <c r="J681" s="315"/>
      <c r="K681" s="315"/>
      <c r="L681" s="315"/>
      <c r="M681" s="315"/>
      <c r="N681" s="315"/>
      <c r="O681" s="315"/>
      <c r="P681" s="315"/>
      <c r="Q681" s="315"/>
      <c r="R681" s="315"/>
      <c r="S681" s="315"/>
      <c r="T681" s="315"/>
      <c r="U681" s="315"/>
      <c r="V681" s="315"/>
      <c r="W681" s="315"/>
      <c r="X681" s="315"/>
      <c r="Y681" s="315"/>
      <c r="Z681" s="315"/>
    </row>
    <row r="682">
      <c r="A682" s="315"/>
      <c r="B682" s="315"/>
      <c r="C682" s="315"/>
      <c r="D682" s="315"/>
      <c r="E682" s="315"/>
      <c r="F682" s="315"/>
      <c r="G682" s="315"/>
      <c r="H682" s="315"/>
      <c r="I682" s="315"/>
      <c r="J682" s="315"/>
      <c r="K682" s="315"/>
      <c r="L682" s="315"/>
      <c r="M682" s="315"/>
      <c r="N682" s="315"/>
      <c r="O682" s="315"/>
      <c r="P682" s="315"/>
      <c r="Q682" s="315"/>
      <c r="R682" s="315"/>
      <c r="S682" s="315"/>
      <c r="T682" s="315"/>
      <c r="U682" s="315"/>
      <c r="V682" s="315"/>
      <c r="W682" s="315"/>
      <c r="X682" s="315"/>
      <c r="Y682" s="315"/>
      <c r="Z682" s="315"/>
    </row>
    <row r="683">
      <c r="A683" s="315"/>
      <c r="B683" s="315"/>
      <c r="C683" s="315"/>
      <c r="D683" s="315"/>
      <c r="E683" s="315"/>
      <c r="F683" s="315"/>
      <c r="G683" s="315"/>
      <c r="H683" s="315"/>
      <c r="I683" s="315"/>
      <c r="J683" s="315"/>
      <c r="K683" s="315"/>
      <c r="L683" s="315"/>
      <c r="M683" s="315"/>
      <c r="N683" s="315"/>
      <c r="O683" s="315"/>
      <c r="P683" s="315"/>
      <c r="Q683" s="315"/>
      <c r="R683" s="315"/>
      <c r="S683" s="315"/>
      <c r="T683" s="315"/>
      <c r="U683" s="315"/>
      <c r="V683" s="315"/>
      <c r="W683" s="315"/>
      <c r="X683" s="315"/>
      <c r="Y683" s="315"/>
      <c r="Z683" s="315"/>
    </row>
    <row r="684">
      <c r="A684" s="315"/>
      <c r="B684" s="315"/>
      <c r="C684" s="315"/>
      <c r="D684" s="315"/>
      <c r="E684" s="315"/>
      <c r="F684" s="315"/>
      <c r="G684" s="315"/>
      <c r="H684" s="315"/>
      <c r="I684" s="315"/>
      <c r="J684" s="315"/>
      <c r="K684" s="315"/>
      <c r="L684" s="315"/>
      <c r="M684" s="315"/>
      <c r="N684" s="315"/>
      <c r="O684" s="315"/>
      <c r="P684" s="315"/>
      <c r="Q684" s="315"/>
      <c r="R684" s="315"/>
      <c r="S684" s="315"/>
      <c r="T684" s="315"/>
      <c r="U684" s="315"/>
      <c r="V684" s="315"/>
      <c r="W684" s="315"/>
      <c r="X684" s="315"/>
      <c r="Y684" s="315"/>
      <c r="Z684" s="315"/>
    </row>
    <row r="685">
      <c r="A685" s="315"/>
      <c r="B685" s="315"/>
      <c r="C685" s="315"/>
      <c r="D685" s="315"/>
      <c r="E685" s="315"/>
      <c r="F685" s="315"/>
      <c r="G685" s="315"/>
      <c r="H685" s="315"/>
      <c r="I685" s="315"/>
      <c r="J685" s="315"/>
      <c r="K685" s="315"/>
      <c r="L685" s="315"/>
      <c r="M685" s="315"/>
      <c r="N685" s="315"/>
      <c r="O685" s="315"/>
      <c r="P685" s="315"/>
      <c r="Q685" s="315"/>
      <c r="R685" s="315"/>
      <c r="S685" s="315"/>
      <c r="T685" s="315"/>
      <c r="U685" s="315"/>
      <c r="V685" s="315"/>
      <c r="W685" s="315"/>
      <c r="X685" s="315"/>
      <c r="Y685" s="315"/>
      <c r="Z685" s="315"/>
    </row>
    <row r="686">
      <c r="A686" s="315"/>
      <c r="B686" s="315"/>
      <c r="C686" s="315"/>
      <c r="D686" s="315"/>
      <c r="E686" s="315"/>
      <c r="F686" s="315"/>
      <c r="G686" s="315"/>
      <c r="H686" s="315"/>
      <c r="I686" s="315"/>
      <c r="J686" s="315"/>
      <c r="K686" s="315"/>
      <c r="L686" s="315"/>
      <c r="M686" s="315"/>
      <c r="N686" s="315"/>
      <c r="O686" s="315"/>
      <c r="P686" s="315"/>
      <c r="Q686" s="315"/>
      <c r="R686" s="315"/>
      <c r="S686" s="315"/>
      <c r="T686" s="315"/>
      <c r="U686" s="315"/>
      <c r="V686" s="315"/>
      <c r="W686" s="315"/>
      <c r="X686" s="315"/>
      <c r="Y686" s="315"/>
      <c r="Z686" s="315"/>
    </row>
    <row r="687">
      <c r="A687" s="315"/>
      <c r="B687" s="315"/>
      <c r="C687" s="315"/>
      <c r="D687" s="315"/>
      <c r="E687" s="315"/>
      <c r="F687" s="315"/>
      <c r="G687" s="315"/>
      <c r="H687" s="315"/>
      <c r="I687" s="315"/>
      <c r="J687" s="315"/>
      <c r="K687" s="315"/>
      <c r="L687" s="315"/>
      <c r="M687" s="315"/>
      <c r="N687" s="315"/>
      <c r="O687" s="315"/>
      <c r="P687" s="315"/>
      <c r="Q687" s="315"/>
      <c r="R687" s="315"/>
      <c r="S687" s="315"/>
      <c r="T687" s="315"/>
      <c r="U687" s="315"/>
      <c r="V687" s="315"/>
      <c r="W687" s="315"/>
      <c r="X687" s="315"/>
      <c r="Y687" s="315"/>
      <c r="Z687" s="315"/>
    </row>
    <row r="688">
      <c r="A688" s="315"/>
      <c r="B688" s="315"/>
      <c r="C688" s="315"/>
      <c r="D688" s="315"/>
      <c r="E688" s="315"/>
      <c r="F688" s="315"/>
      <c r="G688" s="315"/>
      <c r="H688" s="315"/>
      <c r="I688" s="315"/>
      <c r="J688" s="315"/>
      <c r="K688" s="315"/>
      <c r="L688" s="315"/>
      <c r="M688" s="315"/>
      <c r="N688" s="315"/>
      <c r="O688" s="315"/>
      <c r="P688" s="315"/>
      <c r="Q688" s="315"/>
      <c r="R688" s="315"/>
      <c r="S688" s="315"/>
      <c r="T688" s="315"/>
      <c r="U688" s="315"/>
      <c r="V688" s="315"/>
      <c r="W688" s="315"/>
      <c r="X688" s="315"/>
      <c r="Y688" s="315"/>
      <c r="Z688" s="315"/>
    </row>
    <row r="689">
      <c r="A689" s="315"/>
      <c r="B689" s="315"/>
      <c r="C689" s="315"/>
      <c r="D689" s="315"/>
      <c r="E689" s="315"/>
      <c r="F689" s="315"/>
      <c r="G689" s="315"/>
      <c r="H689" s="315"/>
      <c r="I689" s="315"/>
      <c r="J689" s="315"/>
      <c r="K689" s="315"/>
      <c r="L689" s="315"/>
      <c r="M689" s="315"/>
      <c r="N689" s="315"/>
      <c r="O689" s="315"/>
      <c r="P689" s="315"/>
      <c r="Q689" s="315"/>
      <c r="R689" s="315"/>
      <c r="S689" s="315"/>
      <c r="T689" s="315"/>
      <c r="U689" s="315"/>
      <c r="V689" s="315"/>
      <c r="W689" s="315"/>
      <c r="X689" s="315"/>
      <c r="Y689" s="315"/>
      <c r="Z689" s="315"/>
    </row>
    <row r="690">
      <c r="A690" s="315"/>
      <c r="B690" s="315"/>
      <c r="C690" s="315"/>
      <c r="D690" s="315"/>
      <c r="E690" s="315"/>
      <c r="F690" s="315"/>
      <c r="G690" s="315"/>
      <c r="H690" s="315"/>
      <c r="I690" s="315"/>
      <c r="J690" s="315"/>
      <c r="K690" s="315"/>
      <c r="L690" s="315"/>
      <c r="M690" s="315"/>
      <c r="N690" s="315"/>
      <c r="O690" s="315"/>
      <c r="P690" s="315"/>
      <c r="Q690" s="315"/>
      <c r="R690" s="315"/>
      <c r="S690" s="315"/>
      <c r="T690" s="315"/>
      <c r="U690" s="315"/>
      <c r="V690" s="315"/>
      <c r="W690" s="315"/>
      <c r="X690" s="315"/>
      <c r="Y690" s="315"/>
      <c r="Z690" s="315"/>
    </row>
    <row r="691">
      <c r="A691" s="315"/>
      <c r="B691" s="315"/>
      <c r="C691" s="315"/>
      <c r="D691" s="315"/>
      <c r="E691" s="315"/>
      <c r="F691" s="315"/>
      <c r="G691" s="315"/>
      <c r="H691" s="315"/>
      <c r="I691" s="315"/>
      <c r="J691" s="315"/>
      <c r="K691" s="315"/>
      <c r="L691" s="315"/>
      <c r="M691" s="315"/>
      <c r="N691" s="315"/>
      <c r="O691" s="315"/>
      <c r="P691" s="315"/>
      <c r="Q691" s="315"/>
      <c r="R691" s="315"/>
      <c r="S691" s="315"/>
      <c r="T691" s="315"/>
      <c r="U691" s="315"/>
      <c r="V691" s="315"/>
      <c r="W691" s="315"/>
      <c r="X691" s="315"/>
      <c r="Y691" s="315"/>
      <c r="Z691" s="315"/>
    </row>
    <row r="692">
      <c r="A692" s="315"/>
      <c r="B692" s="315"/>
      <c r="C692" s="315"/>
      <c r="D692" s="315"/>
      <c r="E692" s="315"/>
      <c r="F692" s="315"/>
      <c r="G692" s="315"/>
      <c r="H692" s="315"/>
      <c r="I692" s="315"/>
      <c r="J692" s="315"/>
      <c r="K692" s="315"/>
      <c r="L692" s="315"/>
      <c r="M692" s="315"/>
      <c r="N692" s="315"/>
      <c r="O692" s="315"/>
      <c r="P692" s="315"/>
      <c r="Q692" s="315"/>
      <c r="R692" s="315"/>
      <c r="S692" s="315"/>
      <c r="T692" s="315"/>
      <c r="U692" s="315"/>
      <c r="V692" s="315"/>
      <c r="W692" s="315"/>
      <c r="X692" s="315"/>
      <c r="Y692" s="315"/>
      <c r="Z692" s="315"/>
    </row>
    <row r="693">
      <c r="A693" s="315"/>
      <c r="B693" s="315"/>
      <c r="C693" s="315"/>
      <c r="D693" s="315"/>
      <c r="E693" s="315"/>
      <c r="F693" s="315"/>
      <c r="G693" s="315"/>
      <c r="H693" s="315"/>
      <c r="I693" s="315"/>
      <c r="J693" s="315"/>
      <c r="K693" s="315"/>
      <c r="L693" s="315"/>
      <c r="M693" s="315"/>
      <c r="N693" s="315"/>
      <c r="O693" s="315"/>
      <c r="P693" s="315"/>
      <c r="Q693" s="315"/>
      <c r="R693" s="315"/>
      <c r="S693" s="315"/>
      <c r="T693" s="315"/>
      <c r="U693" s="315"/>
      <c r="V693" s="315"/>
      <c r="W693" s="315"/>
      <c r="X693" s="315"/>
      <c r="Y693" s="315"/>
      <c r="Z693" s="315"/>
    </row>
    <row r="694">
      <c r="A694" s="315"/>
      <c r="B694" s="315"/>
      <c r="C694" s="315"/>
      <c r="D694" s="315"/>
      <c r="E694" s="315"/>
      <c r="F694" s="315"/>
      <c r="G694" s="315"/>
      <c r="H694" s="315"/>
      <c r="I694" s="315"/>
      <c r="J694" s="315"/>
      <c r="K694" s="315"/>
      <c r="L694" s="315"/>
      <c r="M694" s="315"/>
      <c r="N694" s="315"/>
      <c r="O694" s="315"/>
      <c r="P694" s="315"/>
      <c r="Q694" s="315"/>
      <c r="R694" s="315"/>
      <c r="S694" s="315"/>
      <c r="T694" s="315"/>
      <c r="U694" s="315"/>
      <c r="V694" s="315"/>
      <c r="W694" s="315"/>
      <c r="X694" s="315"/>
      <c r="Y694" s="315"/>
      <c r="Z694" s="315"/>
    </row>
    <row r="695">
      <c r="A695" s="315"/>
      <c r="B695" s="315"/>
      <c r="C695" s="315"/>
      <c r="D695" s="315"/>
      <c r="E695" s="315"/>
      <c r="F695" s="315"/>
      <c r="G695" s="315"/>
      <c r="H695" s="315"/>
      <c r="I695" s="315"/>
      <c r="J695" s="315"/>
      <c r="K695" s="315"/>
      <c r="L695" s="315"/>
      <c r="M695" s="315"/>
      <c r="N695" s="315"/>
      <c r="O695" s="315"/>
      <c r="P695" s="315"/>
      <c r="Q695" s="315"/>
      <c r="R695" s="315"/>
      <c r="S695" s="315"/>
      <c r="T695" s="315"/>
      <c r="U695" s="315"/>
      <c r="V695" s="315"/>
      <c r="W695" s="315"/>
      <c r="X695" s="315"/>
      <c r="Y695" s="315"/>
      <c r="Z695" s="315"/>
    </row>
    <row r="696">
      <c r="A696" s="315"/>
      <c r="B696" s="315"/>
      <c r="C696" s="315"/>
      <c r="D696" s="315"/>
      <c r="E696" s="315"/>
      <c r="F696" s="315"/>
      <c r="G696" s="315"/>
      <c r="H696" s="315"/>
      <c r="I696" s="315"/>
      <c r="J696" s="315"/>
      <c r="K696" s="315"/>
      <c r="L696" s="315"/>
      <c r="M696" s="315"/>
      <c r="N696" s="315"/>
      <c r="O696" s="315"/>
      <c r="P696" s="315"/>
      <c r="Q696" s="315"/>
      <c r="R696" s="315"/>
      <c r="S696" s="315"/>
      <c r="T696" s="315"/>
      <c r="U696" s="315"/>
      <c r="V696" s="315"/>
      <c r="W696" s="315"/>
      <c r="X696" s="315"/>
      <c r="Y696" s="315"/>
      <c r="Z696" s="315"/>
    </row>
    <row r="697">
      <c r="A697" s="315"/>
      <c r="B697" s="315"/>
      <c r="C697" s="315"/>
      <c r="D697" s="315"/>
      <c r="E697" s="315"/>
      <c r="F697" s="315"/>
      <c r="G697" s="315"/>
      <c r="H697" s="315"/>
      <c r="I697" s="315"/>
      <c r="J697" s="315"/>
      <c r="K697" s="315"/>
      <c r="L697" s="315"/>
      <c r="M697" s="315"/>
      <c r="N697" s="315"/>
      <c r="O697" s="315"/>
      <c r="P697" s="315"/>
      <c r="Q697" s="315"/>
      <c r="R697" s="315"/>
      <c r="S697" s="315"/>
      <c r="T697" s="315"/>
      <c r="U697" s="315"/>
      <c r="V697" s="315"/>
      <c r="W697" s="315"/>
      <c r="X697" s="315"/>
      <c r="Y697" s="315"/>
      <c r="Z697" s="315"/>
    </row>
    <row r="698">
      <c r="A698" s="315"/>
      <c r="B698" s="315"/>
      <c r="C698" s="315"/>
      <c r="D698" s="315"/>
      <c r="E698" s="315"/>
      <c r="F698" s="315"/>
      <c r="G698" s="315"/>
      <c r="H698" s="315"/>
      <c r="I698" s="315"/>
      <c r="J698" s="315"/>
      <c r="K698" s="315"/>
      <c r="L698" s="315"/>
      <c r="M698" s="315"/>
      <c r="N698" s="315"/>
      <c r="O698" s="315"/>
      <c r="P698" s="315"/>
      <c r="Q698" s="315"/>
      <c r="R698" s="315"/>
      <c r="S698" s="315"/>
      <c r="T698" s="315"/>
      <c r="U698" s="315"/>
      <c r="V698" s="315"/>
      <c r="W698" s="315"/>
      <c r="X698" s="315"/>
      <c r="Y698" s="315"/>
      <c r="Z698" s="315"/>
    </row>
    <row r="699">
      <c r="A699" s="315"/>
      <c r="B699" s="315"/>
      <c r="C699" s="315"/>
      <c r="D699" s="315"/>
      <c r="E699" s="315"/>
      <c r="F699" s="315"/>
      <c r="G699" s="315"/>
      <c r="H699" s="315"/>
      <c r="I699" s="315"/>
      <c r="J699" s="315"/>
      <c r="K699" s="315"/>
      <c r="L699" s="315"/>
      <c r="M699" s="315"/>
      <c r="N699" s="315"/>
      <c r="O699" s="315"/>
      <c r="P699" s="315"/>
      <c r="Q699" s="315"/>
      <c r="R699" s="315"/>
      <c r="S699" s="315"/>
      <c r="T699" s="315"/>
      <c r="U699" s="315"/>
      <c r="V699" s="315"/>
      <c r="W699" s="315"/>
      <c r="X699" s="315"/>
      <c r="Y699" s="315"/>
      <c r="Z699" s="315"/>
    </row>
    <row r="700">
      <c r="A700" s="315"/>
      <c r="B700" s="315"/>
      <c r="C700" s="315"/>
      <c r="D700" s="315"/>
      <c r="E700" s="315"/>
      <c r="F700" s="315"/>
      <c r="G700" s="315"/>
      <c r="H700" s="315"/>
      <c r="I700" s="315"/>
      <c r="J700" s="315"/>
      <c r="K700" s="315"/>
      <c r="L700" s="315"/>
      <c r="M700" s="315"/>
      <c r="N700" s="315"/>
      <c r="O700" s="315"/>
      <c r="P700" s="315"/>
      <c r="Q700" s="315"/>
      <c r="R700" s="315"/>
      <c r="S700" s="315"/>
      <c r="T700" s="315"/>
      <c r="U700" s="315"/>
      <c r="V700" s="315"/>
      <c r="W700" s="315"/>
      <c r="X700" s="315"/>
      <c r="Y700" s="315"/>
      <c r="Z700" s="315"/>
    </row>
    <row r="701">
      <c r="A701" s="315"/>
      <c r="B701" s="315"/>
      <c r="C701" s="315"/>
      <c r="D701" s="315"/>
      <c r="E701" s="315"/>
      <c r="F701" s="315"/>
      <c r="G701" s="315"/>
      <c r="H701" s="315"/>
      <c r="I701" s="315"/>
      <c r="J701" s="315"/>
      <c r="K701" s="315"/>
      <c r="L701" s="315"/>
      <c r="M701" s="315"/>
      <c r="N701" s="315"/>
      <c r="O701" s="315"/>
      <c r="P701" s="315"/>
      <c r="Q701" s="315"/>
      <c r="R701" s="315"/>
      <c r="S701" s="315"/>
      <c r="T701" s="315"/>
      <c r="U701" s="315"/>
      <c r="V701" s="315"/>
      <c r="W701" s="315"/>
      <c r="X701" s="315"/>
      <c r="Y701" s="315"/>
      <c r="Z701" s="315"/>
    </row>
    <row r="702">
      <c r="A702" s="315"/>
      <c r="B702" s="315"/>
      <c r="C702" s="315"/>
      <c r="D702" s="315"/>
      <c r="E702" s="315"/>
      <c r="F702" s="315"/>
      <c r="G702" s="315"/>
      <c r="H702" s="315"/>
      <c r="I702" s="315"/>
      <c r="J702" s="315"/>
      <c r="K702" s="315"/>
      <c r="L702" s="315"/>
      <c r="M702" s="315"/>
      <c r="N702" s="315"/>
      <c r="O702" s="315"/>
      <c r="P702" s="315"/>
      <c r="Q702" s="315"/>
      <c r="R702" s="315"/>
      <c r="S702" s="315"/>
      <c r="T702" s="315"/>
      <c r="U702" s="315"/>
      <c r="V702" s="315"/>
      <c r="W702" s="315"/>
      <c r="X702" s="315"/>
      <c r="Y702" s="315"/>
      <c r="Z702" s="315"/>
    </row>
    <row r="703">
      <c r="A703" s="315"/>
      <c r="B703" s="315"/>
      <c r="C703" s="315"/>
      <c r="D703" s="315"/>
      <c r="E703" s="315"/>
      <c r="F703" s="315"/>
      <c r="G703" s="315"/>
      <c r="H703" s="315"/>
      <c r="I703" s="315"/>
      <c r="J703" s="315"/>
      <c r="K703" s="315"/>
      <c r="L703" s="315"/>
      <c r="M703" s="315"/>
      <c r="N703" s="315"/>
      <c r="O703" s="315"/>
      <c r="P703" s="315"/>
      <c r="Q703" s="315"/>
      <c r="R703" s="315"/>
      <c r="S703" s="315"/>
      <c r="T703" s="315"/>
      <c r="U703" s="315"/>
      <c r="V703" s="315"/>
      <c r="W703" s="315"/>
      <c r="X703" s="315"/>
      <c r="Y703" s="315"/>
      <c r="Z703" s="315"/>
    </row>
    <row r="704">
      <c r="A704" s="315"/>
      <c r="B704" s="315"/>
      <c r="C704" s="315"/>
      <c r="D704" s="315"/>
      <c r="E704" s="315"/>
      <c r="F704" s="315"/>
      <c r="G704" s="315"/>
      <c r="H704" s="315"/>
      <c r="I704" s="315"/>
      <c r="J704" s="315"/>
      <c r="K704" s="315"/>
      <c r="L704" s="315"/>
      <c r="M704" s="315"/>
      <c r="N704" s="315"/>
      <c r="O704" s="315"/>
      <c r="P704" s="315"/>
      <c r="Q704" s="315"/>
      <c r="R704" s="315"/>
      <c r="S704" s="315"/>
      <c r="T704" s="315"/>
      <c r="U704" s="315"/>
      <c r="V704" s="315"/>
      <c r="W704" s="315"/>
      <c r="X704" s="315"/>
      <c r="Y704" s="315"/>
      <c r="Z704" s="315"/>
    </row>
    <row r="705">
      <c r="A705" s="315"/>
      <c r="B705" s="315"/>
      <c r="C705" s="315"/>
      <c r="D705" s="315"/>
      <c r="E705" s="315"/>
      <c r="F705" s="315"/>
      <c r="G705" s="315"/>
      <c r="H705" s="315"/>
      <c r="I705" s="315"/>
      <c r="J705" s="315"/>
      <c r="K705" s="315"/>
      <c r="L705" s="315"/>
      <c r="M705" s="315"/>
      <c r="N705" s="315"/>
      <c r="O705" s="315"/>
      <c r="P705" s="315"/>
      <c r="Q705" s="315"/>
      <c r="R705" s="315"/>
      <c r="S705" s="315"/>
      <c r="T705" s="315"/>
      <c r="U705" s="315"/>
      <c r="V705" s="315"/>
      <c r="W705" s="315"/>
      <c r="X705" s="315"/>
      <c r="Y705" s="315"/>
      <c r="Z705" s="315"/>
    </row>
    <row r="706">
      <c r="A706" s="315"/>
      <c r="B706" s="315"/>
      <c r="C706" s="315"/>
      <c r="D706" s="315"/>
      <c r="E706" s="315"/>
      <c r="F706" s="315"/>
      <c r="G706" s="315"/>
      <c r="H706" s="315"/>
      <c r="I706" s="315"/>
      <c r="J706" s="315"/>
      <c r="K706" s="315"/>
      <c r="L706" s="315"/>
      <c r="M706" s="315"/>
      <c r="N706" s="315"/>
      <c r="O706" s="315"/>
      <c r="P706" s="315"/>
      <c r="Q706" s="315"/>
      <c r="R706" s="315"/>
      <c r="S706" s="315"/>
      <c r="T706" s="315"/>
      <c r="U706" s="315"/>
      <c r="V706" s="315"/>
      <c r="W706" s="315"/>
      <c r="X706" s="315"/>
      <c r="Y706" s="315"/>
      <c r="Z706" s="315"/>
    </row>
    <row r="707">
      <c r="A707" s="315"/>
      <c r="B707" s="315"/>
      <c r="C707" s="315"/>
      <c r="D707" s="315"/>
      <c r="E707" s="315"/>
      <c r="F707" s="315"/>
      <c r="G707" s="315"/>
      <c r="H707" s="315"/>
      <c r="I707" s="315"/>
      <c r="J707" s="315"/>
      <c r="K707" s="315"/>
      <c r="L707" s="315"/>
      <c r="M707" s="315"/>
      <c r="N707" s="315"/>
      <c r="O707" s="315"/>
      <c r="P707" s="315"/>
      <c r="Q707" s="315"/>
      <c r="R707" s="315"/>
      <c r="S707" s="315"/>
      <c r="T707" s="315"/>
      <c r="U707" s="315"/>
      <c r="V707" s="315"/>
      <c r="W707" s="315"/>
      <c r="X707" s="315"/>
      <c r="Y707" s="315"/>
      <c r="Z707" s="315"/>
    </row>
    <row r="708">
      <c r="A708" s="315"/>
      <c r="B708" s="315"/>
      <c r="C708" s="315"/>
      <c r="D708" s="315"/>
      <c r="E708" s="315"/>
      <c r="F708" s="315"/>
      <c r="G708" s="315"/>
      <c r="H708" s="315"/>
      <c r="I708" s="315"/>
      <c r="J708" s="315"/>
      <c r="K708" s="315"/>
      <c r="L708" s="315"/>
      <c r="M708" s="315"/>
      <c r="N708" s="315"/>
      <c r="O708" s="315"/>
      <c r="P708" s="315"/>
      <c r="Q708" s="315"/>
      <c r="R708" s="315"/>
      <c r="S708" s="315"/>
      <c r="T708" s="315"/>
      <c r="U708" s="315"/>
      <c r="V708" s="315"/>
      <c r="W708" s="315"/>
      <c r="X708" s="315"/>
      <c r="Y708" s="315"/>
      <c r="Z708" s="315"/>
    </row>
    <row r="709">
      <c r="A709" s="315"/>
      <c r="B709" s="315"/>
      <c r="C709" s="315"/>
      <c r="D709" s="315"/>
      <c r="E709" s="315"/>
      <c r="F709" s="315"/>
      <c r="G709" s="315"/>
      <c r="H709" s="315"/>
      <c r="I709" s="315"/>
      <c r="J709" s="315"/>
      <c r="K709" s="315"/>
      <c r="L709" s="315"/>
      <c r="M709" s="315"/>
      <c r="N709" s="315"/>
      <c r="O709" s="315"/>
      <c r="P709" s="315"/>
      <c r="Q709" s="315"/>
      <c r="R709" s="315"/>
      <c r="S709" s="315"/>
      <c r="T709" s="315"/>
      <c r="U709" s="315"/>
      <c r="V709" s="315"/>
      <c r="W709" s="315"/>
      <c r="X709" s="315"/>
      <c r="Y709" s="315"/>
      <c r="Z709" s="315"/>
    </row>
    <row r="710">
      <c r="A710" s="315"/>
      <c r="B710" s="315"/>
      <c r="C710" s="315"/>
      <c r="D710" s="315"/>
      <c r="E710" s="315"/>
      <c r="F710" s="315"/>
      <c r="G710" s="315"/>
      <c r="H710" s="315"/>
      <c r="I710" s="315"/>
      <c r="J710" s="315"/>
      <c r="K710" s="315"/>
      <c r="L710" s="315"/>
      <c r="M710" s="315"/>
      <c r="N710" s="315"/>
      <c r="O710" s="315"/>
      <c r="P710" s="315"/>
      <c r="Q710" s="315"/>
      <c r="R710" s="315"/>
      <c r="S710" s="315"/>
      <c r="T710" s="315"/>
      <c r="U710" s="315"/>
      <c r="V710" s="315"/>
      <c r="W710" s="315"/>
      <c r="X710" s="315"/>
      <c r="Y710" s="315"/>
      <c r="Z710" s="315"/>
    </row>
    <row r="711">
      <c r="A711" s="315"/>
      <c r="B711" s="315"/>
      <c r="C711" s="315"/>
      <c r="D711" s="315"/>
      <c r="E711" s="315"/>
      <c r="F711" s="315"/>
      <c r="G711" s="315"/>
      <c r="H711" s="315"/>
      <c r="I711" s="315"/>
      <c r="J711" s="315"/>
      <c r="K711" s="315"/>
      <c r="L711" s="315"/>
      <c r="M711" s="315"/>
      <c r="N711" s="315"/>
      <c r="O711" s="315"/>
      <c r="P711" s="315"/>
      <c r="Q711" s="315"/>
      <c r="R711" s="315"/>
      <c r="S711" s="315"/>
      <c r="T711" s="315"/>
      <c r="U711" s="315"/>
      <c r="V711" s="315"/>
      <c r="W711" s="315"/>
      <c r="X711" s="315"/>
      <c r="Y711" s="315"/>
      <c r="Z711" s="315"/>
    </row>
    <row r="712">
      <c r="A712" s="315"/>
      <c r="B712" s="315"/>
      <c r="C712" s="315"/>
      <c r="D712" s="315"/>
      <c r="E712" s="315"/>
      <c r="F712" s="315"/>
      <c r="G712" s="315"/>
      <c r="H712" s="315"/>
      <c r="I712" s="315"/>
      <c r="J712" s="315"/>
      <c r="K712" s="315"/>
      <c r="L712" s="315"/>
      <c r="M712" s="315"/>
      <c r="N712" s="315"/>
      <c r="O712" s="315"/>
      <c r="P712" s="315"/>
      <c r="Q712" s="315"/>
      <c r="R712" s="315"/>
      <c r="S712" s="315"/>
      <c r="T712" s="315"/>
      <c r="U712" s="315"/>
      <c r="V712" s="315"/>
      <c r="W712" s="315"/>
      <c r="X712" s="315"/>
      <c r="Y712" s="315"/>
      <c r="Z712" s="315"/>
    </row>
    <row r="713">
      <c r="A713" s="315"/>
      <c r="B713" s="315"/>
      <c r="C713" s="315"/>
      <c r="D713" s="315"/>
      <c r="E713" s="315"/>
      <c r="F713" s="315"/>
      <c r="G713" s="315"/>
      <c r="H713" s="315"/>
      <c r="I713" s="315"/>
      <c r="J713" s="315"/>
      <c r="K713" s="315"/>
      <c r="L713" s="315"/>
      <c r="M713" s="315"/>
      <c r="N713" s="315"/>
      <c r="O713" s="315"/>
      <c r="P713" s="315"/>
      <c r="Q713" s="315"/>
      <c r="R713" s="315"/>
      <c r="S713" s="315"/>
      <c r="T713" s="315"/>
      <c r="U713" s="315"/>
      <c r="V713" s="315"/>
      <c r="W713" s="315"/>
      <c r="X713" s="315"/>
      <c r="Y713" s="315"/>
      <c r="Z713" s="315"/>
    </row>
    <row r="714">
      <c r="A714" s="315"/>
      <c r="B714" s="315"/>
      <c r="C714" s="315"/>
      <c r="D714" s="315"/>
      <c r="E714" s="315"/>
      <c r="F714" s="315"/>
      <c r="G714" s="315"/>
      <c r="H714" s="315"/>
      <c r="I714" s="315"/>
      <c r="J714" s="315"/>
      <c r="K714" s="315"/>
      <c r="L714" s="315"/>
      <c r="M714" s="315"/>
      <c r="N714" s="315"/>
      <c r="O714" s="315"/>
      <c r="P714" s="315"/>
      <c r="Q714" s="315"/>
      <c r="R714" s="315"/>
      <c r="S714" s="315"/>
      <c r="T714" s="315"/>
      <c r="U714" s="315"/>
      <c r="V714" s="315"/>
      <c r="W714" s="315"/>
      <c r="X714" s="315"/>
      <c r="Y714" s="315"/>
      <c r="Z714" s="315"/>
    </row>
    <row r="715">
      <c r="A715" s="315"/>
      <c r="B715" s="315"/>
      <c r="C715" s="315"/>
      <c r="D715" s="315"/>
      <c r="E715" s="315"/>
      <c r="F715" s="315"/>
      <c r="G715" s="315"/>
      <c r="H715" s="315"/>
      <c r="I715" s="315"/>
      <c r="J715" s="315"/>
      <c r="K715" s="315"/>
      <c r="L715" s="315"/>
      <c r="M715" s="315"/>
      <c r="N715" s="315"/>
      <c r="O715" s="315"/>
      <c r="P715" s="315"/>
      <c r="Q715" s="315"/>
      <c r="R715" s="315"/>
      <c r="S715" s="315"/>
      <c r="T715" s="315"/>
      <c r="U715" s="315"/>
      <c r="V715" s="315"/>
      <c r="W715" s="315"/>
      <c r="X715" s="315"/>
      <c r="Y715" s="315"/>
      <c r="Z715" s="315"/>
    </row>
    <row r="716">
      <c r="A716" s="315"/>
      <c r="B716" s="315"/>
      <c r="C716" s="315"/>
      <c r="D716" s="315"/>
      <c r="E716" s="315"/>
      <c r="F716" s="315"/>
      <c r="G716" s="315"/>
      <c r="H716" s="315"/>
      <c r="I716" s="315"/>
      <c r="J716" s="315"/>
      <c r="K716" s="315"/>
      <c r="L716" s="315"/>
      <c r="M716" s="315"/>
      <c r="N716" s="315"/>
      <c r="O716" s="315"/>
      <c r="P716" s="315"/>
      <c r="Q716" s="315"/>
      <c r="R716" s="315"/>
      <c r="S716" s="315"/>
      <c r="T716" s="315"/>
      <c r="U716" s="315"/>
      <c r="V716" s="315"/>
      <c r="W716" s="315"/>
      <c r="X716" s="315"/>
      <c r="Y716" s="315"/>
      <c r="Z716" s="315"/>
    </row>
    <row r="717">
      <c r="A717" s="315"/>
      <c r="B717" s="315"/>
      <c r="C717" s="315"/>
      <c r="D717" s="315"/>
      <c r="E717" s="315"/>
      <c r="F717" s="315"/>
      <c r="G717" s="315"/>
      <c r="H717" s="315"/>
      <c r="I717" s="315"/>
      <c r="J717" s="315"/>
      <c r="K717" s="315"/>
      <c r="L717" s="315"/>
      <c r="M717" s="315"/>
      <c r="N717" s="315"/>
      <c r="O717" s="315"/>
      <c r="P717" s="315"/>
      <c r="Q717" s="315"/>
      <c r="R717" s="315"/>
      <c r="S717" s="315"/>
      <c r="T717" s="315"/>
      <c r="U717" s="315"/>
      <c r="V717" s="315"/>
      <c r="W717" s="315"/>
      <c r="X717" s="315"/>
      <c r="Y717" s="315"/>
      <c r="Z717" s="315"/>
    </row>
    <row r="718">
      <c r="A718" s="315"/>
      <c r="B718" s="315"/>
      <c r="C718" s="315"/>
      <c r="D718" s="315"/>
      <c r="E718" s="315"/>
      <c r="F718" s="315"/>
      <c r="G718" s="315"/>
      <c r="H718" s="315"/>
      <c r="I718" s="315"/>
      <c r="J718" s="315"/>
      <c r="K718" s="315"/>
      <c r="L718" s="315"/>
      <c r="M718" s="315"/>
      <c r="N718" s="315"/>
      <c r="O718" s="315"/>
      <c r="P718" s="315"/>
      <c r="Q718" s="315"/>
      <c r="R718" s="315"/>
      <c r="S718" s="315"/>
      <c r="T718" s="315"/>
      <c r="U718" s="315"/>
      <c r="V718" s="315"/>
      <c r="W718" s="315"/>
      <c r="X718" s="315"/>
      <c r="Y718" s="315"/>
      <c r="Z718" s="315"/>
    </row>
    <row r="719">
      <c r="A719" s="315"/>
      <c r="B719" s="315"/>
      <c r="C719" s="315"/>
      <c r="D719" s="315"/>
      <c r="E719" s="315"/>
      <c r="F719" s="315"/>
      <c r="G719" s="315"/>
      <c r="H719" s="315"/>
      <c r="I719" s="315"/>
      <c r="J719" s="315"/>
      <c r="K719" s="315"/>
      <c r="L719" s="315"/>
      <c r="M719" s="315"/>
      <c r="N719" s="315"/>
      <c r="O719" s="315"/>
      <c r="P719" s="315"/>
      <c r="Q719" s="315"/>
      <c r="R719" s="315"/>
      <c r="S719" s="315"/>
      <c r="T719" s="315"/>
      <c r="U719" s="315"/>
      <c r="V719" s="315"/>
      <c r="W719" s="315"/>
      <c r="X719" s="315"/>
      <c r="Y719" s="315"/>
      <c r="Z719" s="315"/>
    </row>
    <row r="720">
      <c r="A720" s="315"/>
      <c r="B720" s="315"/>
      <c r="C720" s="315"/>
      <c r="D720" s="315"/>
      <c r="E720" s="315"/>
      <c r="F720" s="315"/>
      <c r="G720" s="315"/>
      <c r="H720" s="315"/>
      <c r="I720" s="315"/>
      <c r="J720" s="315"/>
      <c r="K720" s="315"/>
      <c r="L720" s="315"/>
      <c r="M720" s="315"/>
      <c r="N720" s="315"/>
      <c r="O720" s="315"/>
      <c r="P720" s="315"/>
      <c r="Q720" s="315"/>
      <c r="R720" s="315"/>
      <c r="S720" s="315"/>
      <c r="T720" s="315"/>
      <c r="U720" s="315"/>
      <c r="V720" s="315"/>
      <c r="W720" s="315"/>
      <c r="X720" s="315"/>
      <c r="Y720" s="315"/>
      <c r="Z720" s="315"/>
    </row>
    <row r="721">
      <c r="A721" s="315"/>
      <c r="B721" s="315"/>
      <c r="C721" s="315"/>
      <c r="D721" s="315"/>
      <c r="E721" s="315"/>
      <c r="F721" s="315"/>
      <c r="G721" s="315"/>
      <c r="H721" s="315"/>
      <c r="I721" s="315"/>
      <c r="J721" s="315"/>
      <c r="K721" s="315"/>
      <c r="L721" s="315"/>
      <c r="M721" s="315"/>
      <c r="N721" s="315"/>
      <c r="O721" s="315"/>
      <c r="P721" s="315"/>
      <c r="Q721" s="315"/>
      <c r="R721" s="315"/>
      <c r="S721" s="315"/>
      <c r="T721" s="315"/>
      <c r="U721" s="315"/>
      <c r="V721" s="315"/>
      <c r="W721" s="315"/>
      <c r="X721" s="315"/>
      <c r="Y721" s="315"/>
      <c r="Z721" s="315"/>
    </row>
    <row r="722">
      <c r="A722" s="315"/>
      <c r="B722" s="315"/>
      <c r="C722" s="315"/>
      <c r="D722" s="315"/>
      <c r="E722" s="315"/>
      <c r="F722" s="315"/>
      <c r="G722" s="315"/>
      <c r="H722" s="315"/>
      <c r="I722" s="315"/>
      <c r="J722" s="315"/>
      <c r="K722" s="315"/>
      <c r="L722" s="315"/>
      <c r="M722" s="315"/>
      <c r="N722" s="315"/>
      <c r="O722" s="315"/>
      <c r="P722" s="315"/>
      <c r="Q722" s="315"/>
      <c r="R722" s="315"/>
      <c r="S722" s="315"/>
      <c r="T722" s="315"/>
      <c r="U722" s="315"/>
      <c r="V722" s="315"/>
      <c r="W722" s="315"/>
      <c r="X722" s="315"/>
      <c r="Y722" s="315"/>
      <c r="Z722" s="315"/>
    </row>
    <row r="723">
      <c r="A723" s="315"/>
      <c r="B723" s="315"/>
      <c r="C723" s="315"/>
      <c r="D723" s="315"/>
      <c r="E723" s="315"/>
      <c r="F723" s="315"/>
      <c r="G723" s="315"/>
      <c r="H723" s="315"/>
      <c r="I723" s="315"/>
      <c r="J723" s="315"/>
      <c r="K723" s="315"/>
      <c r="L723" s="315"/>
      <c r="M723" s="315"/>
      <c r="N723" s="315"/>
      <c r="O723" s="315"/>
      <c r="P723" s="315"/>
      <c r="Q723" s="315"/>
      <c r="R723" s="315"/>
      <c r="S723" s="315"/>
      <c r="T723" s="315"/>
      <c r="U723" s="315"/>
      <c r="V723" s="315"/>
      <c r="W723" s="315"/>
      <c r="X723" s="315"/>
      <c r="Y723" s="315"/>
      <c r="Z723" s="315"/>
    </row>
    <row r="724">
      <c r="A724" s="315"/>
      <c r="B724" s="315"/>
      <c r="C724" s="315"/>
      <c r="D724" s="315"/>
      <c r="E724" s="315"/>
      <c r="F724" s="315"/>
      <c r="G724" s="315"/>
      <c r="H724" s="315"/>
      <c r="I724" s="315"/>
      <c r="J724" s="315"/>
      <c r="K724" s="315"/>
      <c r="L724" s="315"/>
      <c r="M724" s="315"/>
      <c r="N724" s="315"/>
      <c r="O724" s="315"/>
      <c r="P724" s="315"/>
      <c r="Q724" s="315"/>
      <c r="R724" s="315"/>
      <c r="S724" s="315"/>
      <c r="T724" s="315"/>
      <c r="U724" s="315"/>
      <c r="V724" s="315"/>
      <c r="W724" s="315"/>
      <c r="X724" s="315"/>
      <c r="Y724" s="315"/>
      <c r="Z724" s="315"/>
    </row>
    <row r="725">
      <c r="A725" s="315"/>
      <c r="B725" s="315"/>
      <c r="C725" s="315"/>
      <c r="D725" s="315"/>
      <c r="E725" s="315"/>
      <c r="F725" s="315"/>
      <c r="G725" s="315"/>
      <c r="H725" s="315"/>
      <c r="I725" s="315"/>
      <c r="J725" s="315"/>
      <c r="K725" s="315"/>
      <c r="L725" s="315"/>
      <c r="M725" s="315"/>
      <c r="N725" s="315"/>
      <c r="O725" s="315"/>
      <c r="P725" s="315"/>
      <c r="Q725" s="315"/>
      <c r="R725" s="315"/>
      <c r="S725" s="315"/>
      <c r="T725" s="315"/>
      <c r="U725" s="315"/>
      <c r="V725" s="315"/>
      <c r="W725" s="315"/>
      <c r="X725" s="315"/>
      <c r="Y725" s="315"/>
      <c r="Z725" s="315"/>
    </row>
    <row r="726">
      <c r="A726" s="315"/>
      <c r="B726" s="315"/>
      <c r="C726" s="315"/>
      <c r="D726" s="315"/>
      <c r="E726" s="315"/>
      <c r="F726" s="315"/>
      <c r="G726" s="315"/>
      <c r="H726" s="315"/>
      <c r="I726" s="315"/>
      <c r="J726" s="315"/>
      <c r="K726" s="315"/>
      <c r="L726" s="315"/>
      <c r="M726" s="315"/>
      <c r="N726" s="315"/>
      <c r="O726" s="315"/>
      <c r="P726" s="315"/>
      <c r="Q726" s="315"/>
      <c r="R726" s="315"/>
      <c r="S726" s="315"/>
      <c r="T726" s="315"/>
      <c r="U726" s="315"/>
      <c r="V726" s="315"/>
      <c r="W726" s="315"/>
      <c r="X726" s="315"/>
      <c r="Y726" s="315"/>
      <c r="Z726" s="315"/>
    </row>
    <row r="727">
      <c r="A727" s="315"/>
      <c r="B727" s="315"/>
      <c r="C727" s="315"/>
      <c r="D727" s="315"/>
      <c r="E727" s="315"/>
      <c r="F727" s="315"/>
      <c r="G727" s="315"/>
      <c r="H727" s="315"/>
      <c r="I727" s="315"/>
      <c r="J727" s="315"/>
      <c r="K727" s="315"/>
      <c r="L727" s="315"/>
      <c r="M727" s="315"/>
      <c r="N727" s="315"/>
      <c r="O727" s="315"/>
      <c r="P727" s="315"/>
      <c r="Q727" s="315"/>
      <c r="R727" s="315"/>
      <c r="S727" s="315"/>
      <c r="T727" s="315"/>
      <c r="U727" s="315"/>
      <c r="V727" s="315"/>
      <c r="W727" s="315"/>
      <c r="X727" s="315"/>
      <c r="Y727" s="315"/>
      <c r="Z727" s="315"/>
    </row>
    <row r="728">
      <c r="A728" s="315"/>
      <c r="B728" s="315"/>
      <c r="C728" s="315"/>
      <c r="D728" s="315"/>
      <c r="E728" s="315"/>
      <c r="F728" s="315"/>
      <c r="G728" s="315"/>
      <c r="H728" s="315"/>
      <c r="I728" s="315"/>
      <c r="J728" s="315"/>
      <c r="K728" s="315"/>
      <c r="L728" s="315"/>
      <c r="M728" s="315"/>
      <c r="N728" s="315"/>
      <c r="O728" s="315"/>
      <c r="P728" s="315"/>
      <c r="Q728" s="315"/>
      <c r="R728" s="315"/>
      <c r="S728" s="315"/>
      <c r="T728" s="315"/>
      <c r="U728" s="315"/>
      <c r="V728" s="315"/>
      <c r="W728" s="315"/>
      <c r="X728" s="315"/>
      <c r="Y728" s="315"/>
      <c r="Z728" s="315"/>
    </row>
    <row r="729">
      <c r="A729" s="315"/>
      <c r="B729" s="315"/>
      <c r="C729" s="315"/>
      <c r="D729" s="315"/>
      <c r="E729" s="315"/>
      <c r="F729" s="315"/>
      <c r="G729" s="315"/>
      <c r="H729" s="315"/>
      <c r="I729" s="315"/>
      <c r="J729" s="315"/>
      <c r="K729" s="315"/>
      <c r="L729" s="315"/>
      <c r="M729" s="315"/>
      <c r="N729" s="315"/>
      <c r="O729" s="315"/>
      <c r="P729" s="315"/>
      <c r="Q729" s="315"/>
      <c r="R729" s="315"/>
      <c r="S729" s="315"/>
      <c r="T729" s="315"/>
      <c r="U729" s="315"/>
      <c r="V729" s="315"/>
      <c r="W729" s="315"/>
      <c r="X729" s="315"/>
      <c r="Y729" s="315"/>
      <c r="Z729" s="315"/>
    </row>
    <row r="730">
      <c r="A730" s="315"/>
      <c r="B730" s="315"/>
      <c r="C730" s="315"/>
      <c r="D730" s="315"/>
      <c r="E730" s="315"/>
      <c r="F730" s="315"/>
      <c r="G730" s="315"/>
      <c r="H730" s="315"/>
      <c r="I730" s="315"/>
      <c r="J730" s="315"/>
      <c r="K730" s="315"/>
      <c r="L730" s="315"/>
      <c r="M730" s="315"/>
      <c r="N730" s="315"/>
      <c r="O730" s="315"/>
      <c r="P730" s="315"/>
      <c r="Q730" s="315"/>
      <c r="R730" s="315"/>
      <c r="S730" s="315"/>
      <c r="T730" s="315"/>
      <c r="U730" s="315"/>
      <c r="V730" s="315"/>
      <c r="W730" s="315"/>
      <c r="X730" s="315"/>
      <c r="Y730" s="315"/>
      <c r="Z730" s="315"/>
    </row>
    <row r="731">
      <c r="A731" s="315"/>
      <c r="B731" s="315"/>
      <c r="C731" s="315"/>
      <c r="D731" s="315"/>
      <c r="E731" s="315"/>
      <c r="F731" s="315"/>
      <c r="G731" s="315"/>
      <c r="H731" s="315"/>
      <c r="I731" s="315"/>
      <c r="J731" s="315"/>
      <c r="K731" s="315"/>
      <c r="L731" s="315"/>
      <c r="M731" s="315"/>
      <c r="N731" s="315"/>
      <c r="O731" s="315"/>
      <c r="P731" s="315"/>
      <c r="Q731" s="315"/>
      <c r="R731" s="315"/>
      <c r="S731" s="315"/>
      <c r="T731" s="315"/>
      <c r="U731" s="315"/>
      <c r="V731" s="315"/>
      <c r="W731" s="315"/>
      <c r="X731" s="315"/>
      <c r="Y731" s="315"/>
      <c r="Z731" s="315"/>
    </row>
    <row r="732">
      <c r="A732" s="315"/>
      <c r="B732" s="315"/>
      <c r="C732" s="315"/>
      <c r="D732" s="315"/>
      <c r="E732" s="315"/>
      <c r="F732" s="315"/>
      <c r="G732" s="315"/>
      <c r="H732" s="315"/>
      <c r="I732" s="315"/>
      <c r="J732" s="315"/>
      <c r="K732" s="315"/>
      <c r="L732" s="315"/>
      <c r="M732" s="315"/>
      <c r="N732" s="315"/>
      <c r="O732" s="315"/>
      <c r="P732" s="315"/>
      <c r="Q732" s="315"/>
      <c r="R732" s="315"/>
      <c r="S732" s="315"/>
      <c r="T732" s="315"/>
      <c r="U732" s="315"/>
      <c r="V732" s="315"/>
      <c r="W732" s="315"/>
      <c r="X732" s="315"/>
      <c r="Y732" s="315"/>
      <c r="Z732" s="315"/>
    </row>
    <row r="733">
      <c r="A733" s="315"/>
      <c r="B733" s="315"/>
      <c r="C733" s="315"/>
      <c r="D733" s="315"/>
      <c r="E733" s="315"/>
      <c r="F733" s="315"/>
      <c r="G733" s="315"/>
      <c r="H733" s="315"/>
      <c r="I733" s="315"/>
      <c r="J733" s="315"/>
      <c r="K733" s="315"/>
      <c r="L733" s="315"/>
      <c r="M733" s="315"/>
      <c r="N733" s="315"/>
      <c r="O733" s="315"/>
      <c r="P733" s="315"/>
      <c r="Q733" s="315"/>
      <c r="R733" s="315"/>
      <c r="S733" s="315"/>
      <c r="T733" s="315"/>
      <c r="U733" s="315"/>
      <c r="V733" s="315"/>
      <c r="W733" s="315"/>
      <c r="X733" s="315"/>
      <c r="Y733" s="315"/>
      <c r="Z733" s="315"/>
    </row>
    <row r="734">
      <c r="A734" s="315"/>
      <c r="B734" s="315"/>
      <c r="C734" s="315"/>
      <c r="D734" s="315"/>
      <c r="E734" s="315"/>
      <c r="F734" s="315"/>
      <c r="G734" s="315"/>
      <c r="H734" s="315"/>
      <c r="I734" s="315"/>
      <c r="J734" s="315"/>
      <c r="K734" s="315"/>
      <c r="L734" s="315"/>
      <c r="M734" s="315"/>
      <c r="N734" s="315"/>
      <c r="O734" s="315"/>
      <c r="P734" s="315"/>
      <c r="Q734" s="315"/>
      <c r="R734" s="315"/>
      <c r="S734" s="315"/>
      <c r="T734" s="315"/>
      <c r="U734" s="315"/>
      <c r="V734" s="315"/>
      <c r="W734" s="315"/>
      <c r="X734" s="315"/>
      <c r="Y734" s="315"/>
      <c r="Z734" s="315"/>
    </row>
    <row r="735">
      <c r="A735" s="315"/>
      <c r="B735" s="315"/>
      <c r="C735" s="315"/>
      <c r="D735" s="315"/>
      <c r="E735" s="315"/>
      <c r="F735" s="315"/>
      <c r="G735" s="315"/>
      <c r="H735" s="315"/>
      <c r="I735" s="315"/>
      <c r="J735" s="315"/>
      <c r="K735" s="315"/>
      <c r="L735" s="315"/>
      <c r="M735" s="315"/>
      <c r="N735" s="315"/>
      <c r="O735" s="315"/>
      <c r="P735" s="315"/>
      <c r="Q735" s="315"/>
      <c r="R735" s="315"/>
      <c r="S735" s="315"/>
      <c r="T735" s="315"/>
      <c r="U735" s="315"/>
      <c r="V735" s="315"/>
      <c r="W735" s="315"/>
      <c r="X735" s="315"/>
      <c r="Y735" s="315"/>
      <c r="Z735" s="315"/>
    </row>
    <row r="736">
      <c r="A736" s="315"/>
      <c r="B736" s="315"/>
      <c r="C736" s="315"/>
      <c r="D736" s="315"/>
      <c r="E736" s="315"/>
      <c r="F736" s="315"/>
      <c r="G736" s="315"/>
      <c r="H736" s="315"/>
      <c r="I736" s="315"/>
      <c r="J736" s="315"/>
      <c r="K736" s="315"/>
      <c r="L736" s="315"/>
      <c r="M736" s="315"/>
      <c r="N736" s="315"/>
      <c r="O736" s="315"/>
      <c r="P736" s="315"/>
      <c r="Q736" s="315"/>
      <c r="R736" s="315"/>
      <c r="S736" s="315"/>
      <c r="T736" s="315"/>
      <c r="U736" s="315"/>
      <c r="V736" s="315"/>
      <c r="W736" s="315"/>
      <c r="X736" s="315"/>
      <c r="Y736" s="315"/>
      <c r="Z736" s="315"/>
    </row>
    <row r="737">
      <c r="A737" s="315"/>
      <c r="B737" s="315"/>
      <c r="C737" s="315"/>
      <c r="D737" s="315"/>
      <c r="E737" s="315"/>
      <c r="F737" s="315"/>
      <c r="G737" s="315"/>
      <c r="H737" s="315"/>
      <c r="I737" s="315"/>
      <c r="J737" s="315"/>
      <c r="K737" s="315"/>
      <c r="L737" s="315"/>
      <c r="M737" s="315"/>
      <c r="N737" s="315"/>
      <c r="O737" s="315"/>
      <c r="P737" s="315"/>
      <c r="Q737" s="315"/>
      <c r="R737" s="315"/>
      <c r="S737" s="315"/>
      <c r="T737" s="315"/>
      <c r="U737" s="315"/>
      <c r="V737" s="315"/>
      <c r="W737" s="315"/>
      <c r="X737" s="315"/>
      <c r="Y737" s="315"/>
      <c r="Z737" s="315"/>
    </row>
    <row r="738">
      <c r="A738" s="315"/>
      <c r="B738" s="315"/>
      <c r="C738" s="315"/>
      <c r="D738" s="315"/>
      <c r="E738" s="315"/>
      <c r="F738" s="315"/>
      <c r="G738" s="315"/>
      <c r="H738" s="315"/>
      <c r="I738" s="315"/>
      <c r="J738" s="315"/>
      <c r="K738" s="315"/>
      <c r="L738" s="315"/>
      <c r="M738" s="315"/>
      <c r="N738" s="315"/>
      <c r="O738" s="315"/>
      <c r="P738" s="315"/>
      <c r="Q738" s="315"/>
      <c r="R738" s="315"/>
      <c r="S738" s="315"/>
      <c r="T738" s="315"/>
      <c r="U738" s="315"/>
      <c r="V738" s="315"/>
      <c r="W738" s="315"/>
      <c r="X738" s="315"/>
      <c r="Y738" s="315"/>
      <c r="Z738" s="315"/>
    </row>
    <row r="739">
      <c r="A739" s="315"/>
      <c r="B739" s="315"/>
      <c r="C739" s="315"/>
      <c r="D739" s="315"/>
      <c r="E739" s="315"/>
      <c r="F739" s="315"/>
      <c r="G739" s="315"/>
      <c r="H739" s="315"/>
      <c r="I739" s="315"/>
      <c r="J739" s="315"/>
      <c r="K739" s="315"/>
      <c r="L739" s="315"/>
      <c r="M739" s="315"/>
      <c r="N739" s="315"/>
      <c r="O739" s="315"/>
      <c r="P739" s="315"/>
      <c r="Q739" s="315"/>
      <c r="R739" s="315"/>
      <c r="S739" s="315"/>
      <c r="T739" s="315"/>
      <c r="U739" s="315"/>
      <c r="V739" s="315"/>
      <c r="W739" s="315"/>
      <c r="X739" s="315"/>
      <c r="Y739" s="315"/>
      <c r="Z739" s="315"/>
    </row>
    <row r="740">
      <c r="A740" s="315"/>
      <c r="B740" s="315"/>
      <c r="C740" s="315"/>
      <c r="D740" s="315"/>
      <c r="E740" s="315"/>
      <c r="F740" s="315"/>
      <c r="G740" s="315"/>
      <c r="H740" s="315"/>
      <c r="I740" s="315"/>
      <c r="J740" s="315"/>
      <c r="K740" s="315"/>
      <c r="L740" s="315"/>
      <c r="M740" s="315"/>
      <c r="N740" s="315"/>
      <c r="O740" s="315"/>
      <c r="P740" s="315"/>
      <c r="Q740" s="315"/>
      <c r="R740" s="315"/>
      <c r="S740" s="315"/>
      <c r="T740" s="315"/>
      <c r="U740" s="315"/>
      <c r="V740" s="315"/>
      <c r="W740" s="315"/>
      <c r="X740" s="315"/>
      <c r="Y740" s="315"/>
      <c r="Z740" s="315"/>
    </row>
    <row r="741">
      <c r="A741" s="315"/>
      <c r="B741" s="315"/>
      <c r="C741" s="315"/>
      <c r="D741" s="315"/>
      <c r="E741" s="315"/>
      <c r="F741" s="315"/>
      <c r="G741" s="315"/>
      <c r="H741" s="315"/>
      <c r="I741" s="315"/>
      <c r="J741" s="315"/>
      <c r="K741" s="315"/>
      <c r="L741" s="315"/>
      <c r="M741" s="315"/>
      <c r="N741" s="315"/>
      <c r="O741" s="315"/>
      <c r="P741" s="315"/>
      <c r="Q741" s="315"/>
      <c r="R741" s="315"/>
      <c r="S741" s="315"/>
      <c r="T741" s="315"/>
      <c r="U741" s="315"/>
      <c r="V741" s="315"/>
      <c r="W741" s="315"/>
      <c r="X741" s="315"/>
      <c r="Y741" s="315"/>
      <c r="Z741" s="315"/>
    </row>
    <row r="742">
      <c r="A742" s="315"/>
      <c r="B742" s="315"/>
      <c r="C742" s="315"/>
      <c r="D742" s="315"/>
      <c r="E742" s="315"/>
      <c r="F742" s="315"/>
      <c r="G742" s="315"/>
      <c r="H742" s="315"/>
      <c r="I742" s="315"/>
      <c r="J742" s="315"/>
      <c r="K742" s="315"/>
      <c r="L742" s="315"/>
      <c r="M742" s="315"/>
      <c r="N742" s="315"/>
      <c r="O742" s="315"/>
      <c r="P742" s="315"/>
      <c r="Q742" s="315"/>
      <c r="R742" s="315"/>
      <c r="S742" s="315"/>
      <c r="T742" s="315"/>
      <c r="U742" s="315"/>
      <c r="V742" s="315"/>
      <c r="W742" s="315"/>
      <c r="X742" s="315"/>
      <c r="Y742" s="315"/>
      <c r="Z742" s="315"/>
    </row>
    <row r="743">
      <c r="A743" s="315"/>
      <c r="B743" s="315"/>
      <c r="C743" s="315"/>
      <c r="D743" s="315"/>
      <c r="E743" s="315"/>
      <c r="F743" s="315"/>
      <c r="G743" s="315"/>
      <c r="H743" s="315"/>
      <c r="I743" s="315"/>
      <c r="J743" s="315"/>
      <c r="K743" s="315"/>
      <c r="L743" s="315"/>
      <c r="M743" s="315"/>
      <c r="N743" s="315"/>
      <c r="O743" s="315"/>
      <c r="P743" s="315"/>
      <c r="Q743" s="315"/>
      <c r="R743" s="315"/>
      <c r="S743" s="315"/>
      <c r="T743" s="315"/>
      <c r="U743" s="315"/>
      <c r="V743" s="315"/>
      <c r="W743" s="315"/>
      <c r="X743" s="315"/>
      <c r="Y743" s="315"/>
      <c r="Z743" s="315"/>
    </row>
    <row r="744">
      <c r="A744" s="315"/>
      <c r="B744" s="315"/>
      <c r="C744" s="315"/>
      <c r="D744" s="315"/>
      <c r="E744" s="315"/>
      <c r="F744" s="315"/>
      <c r="G744" s="315"/>
      <c r="H744" s="315"/>
      <c r="I744" s="315"/>
      <c r="J744" s="315"/>
      <c r="K744" s="315"/>
      <c r="L744" s="315"/>
      <c r="M744" s="315"/>
      <c r="N744" s="315"/>
      <c r="O744" s="315"/>
      <c r="P744" s="315"/>
      <c r="Q744" s="315"/>
      <c r="R744" s="315"/>
      <c r="S744" s="315"/>
      <c r="T744" s="315"/>
      <c r="U744" s="315"/>
      <c r="V744" s="315"/>
      <c r="W744" s="315"/>
      <c r="X744" s="315"/>
      <c r="Y744" s="315"/>
      <c r="Z744" s="315"/>
    </row>
    <row r="745">
      <c r="A745" s="315"/>
      <c r="B745" s="315"/>
      <c r="C745" s="315"/>
      <c r="D745" s="315"/>
      <c r="E745" s="315"/>
      <c r="F745" s="315"/>
      <c r="G745" s="315"/>
      <c r="H745" s="315"/>
      <c r="I745" s="315"/>
      <c r="J745" s="315"/>
      <c r="K745" s="315"/>
      <c r="L745" s="315"/>
      <c r="M745" s="315"/>
      <c r="N745" s="315"/>
      <c r="O745" s="315"/>
      <c r="P745" s="315"/>
      <c r="Q745" s="315"/>
      <c r="R745" s="315"/>
      <c r="S745" s="315"/>
      <c r="T745" s="315"/>
      <c r="U745" s="315"/>
      <c r="V745" s="315"/>
      <c r="W745" s="315"/>
      <c r="X745" s="315"/>
      <c r="Y745" s="315"/>
      <c r="Z745" s="315"/>
    </row>
    <row r="746">
      <c r="A746" s="315"/>
      <c r="B746" s="315"/>
      <c r="C746" s="315"/>
      <c r="D746" s="315"/>
      <c r="E746" s="315"/>
      <c r="F746" s="315"/>
      <c r="G746" s="315"/>
      <c r="H746" s="315"/>
      <c r="I746" s="315"/>
      <c r="J746" s="315"/>
      <c r="K746" s="315"/>
      <c r="L746" s="315"/>
      <c r="M746" s="315"/>
      <c r="N746" s="315"/>
      <c r="O746" s="315"/>
      <c r="P746" s="315"/>
      <c r="Q746" s="315"/>
      <c r="R746" s="315"/>
      <c r="S746" s="315"/>
      <c r="T746" s="315"/>
      <c r="U746" s="315"/>
      <c r="V746" s="315"/>
      <c r="W746" s="315"/>
      <c r="X746" s="315"/>
      <c r="Y746" s="315"/>
      <c r="Z746" s="315"/>
    </row>
    <row r="747">
      <c r="A747" s="315"/>
      <c r="B747" s="315"/>
      <c r="C747" s="315"/>
      <c r="D747" s="315"/>
      <c r="E747" s="315"/>
      <c r="F747" s="315"/>
      <c r="G747" s="315"/>
      <c r="H747" s="315"/>
      <c r="I747" s="315"/>
      <c r="J747" s="315"/>
      <c r="K747" s="315"/>
      <c r="L747" s="315"/>
      <c r="M747" s="315"/>
      <c r="N747" s="315"/>
      <c r="O747" s="315"/>
      <c r="P747" s="315"/>
      <c r="Q747" s="315"/>
      <c r="R747" s="315"/>
      <c r="S747" s="315"/>
      <c r="T747" s="315"/>
      <c r="U747" s="315"/>
      <c r="V747" s="315"/>
      <c r="W747" s="315"/>
      <c r="X747" s="315"/>
      <c r="Y747" s="315"/>
      <c r="Z747" s="315"/>
    </row>
    <row r="748">
      <c r="A748" s="315"/>
      <c r="B748" s="315"/>
      <c r="C748" s="315"/>
      <c r="D748" s="315"/>
      <c r="E748" s="315"/>
      <c r="F748" s="315"/>
      <c r="G748" s="315"/>
      <c r="H748" s="315"/>
      <c r="I748" s="315"/>
      <c r="J748" s="315"/>
      <c r="K748" s="315"/>
      <c r="L748" s="315"/>
      <c r="M748" s="315"/>
      <c r="N748" s="315"/>
      <c r="O748" s="315"/>
      <c r="P748" s="315"/>
      <c r="Q748" s="315"/>
      <c r="R748" s="315"/>
      <c r="S748" s="315"/>
      <c r="T748" s="315"/>
      <c r="U748" s="315"/>
      <c r="V748" s="315"/>
      <c r="W748" s="315"/>
      <c r="X748" s="315"/>
      <c r="Y748" s="315"/>
      <c r="Z748" s="315"/>
    </row>
    <row r="749">
      <c r="A749" s="315"/>
      <c r="B749" s="315"/>
      <c r="C749" s="315"/>
      <c r="D749" s="315"/>
      <c r="E749" s="315"/>
      <c r="F749" s="315"/>
      <c r="G749" s="315"/>
      <c r="H749" s="315"/>
      <c r="I749" s="315"/>
      <c r="J749" s="315"/>
      <c r="K749" s="315"/>
      <c r="L749" s="315"/>
      <c r="M749" s="315"/>
      <c r="N749" s="315"/>
      <c r="O749" s="315"/>
      <c r="P749" s="315"/>
      <c r="Q749" s="315"/>
      <c r="R749" s="315"/>
      <c r="S749" s="315"/>
      <c r="T749" s="315"/>
      <c r="U749" s="315"/>
      <c r="V749" s="315"/>
      <c r="W749" s="315"/>
      <c r="X749" s="315"/>
      <c r="Y749" s="315"/>
      <c r="Z749" s="315"/>
    </row>
    <row r="750">
      <c r="A750" s="315"/>
      <c r="B750" s="315"/>
      <c r="C750" s="315"/>
      <c r="D750" s="315"/>
      <c r="E750" s="315"/>
      <c r="F750" s="315"/>
      <c r="G750" s="315"/>
      <c r="H750" s="315"/>
      <c r="I750" s="315"/>
      <c r="J750" s="315"/>
      <c r="K750" s="315"/>
      <c r="L750" s="315"/>
      <c r="M750" s="315"/>
      <c r="N750" s="315"/>
      <c r="O750" s="315"/>
      <c r="P750" s="315"/>
      <c r="Q750" s="315"/>
      <c r="R750" s="315"/>
      <c r="S750" s="315"/>
      <c r="T750" s="315"/>
      <c r="U750" s="315"/>
      <c r="V750" s="315"/>
      <c r="W750" s="315"/>
      <c r="X750" s="315"/>
      <c r="Y750" s="315"/>
      <c r="Z750" s="315"/>
    </row>
    <row r="751">
      <c r="A751" s="315"/>
      <c r="B751" s="315"/>
      <c r="C751" s="315"/>
      <c r="D751" s="315"/>
      <c r="E751" s="315"/>
      <c r="F751" s="315"/>
      <c r="G751" s="315"/>
      <c r="H751" s="315"/>
      <c r="I751" s="315"/>
      <c r="J751" s="315"/>
      <c r="K751" s="315"/>
      <c r="L751" s="315"/>
      <c r="M751" s="315"/>
      <c r="N751" s="315"/>
      <c r="O751" s="315"/>
      <c r="P751" s="315"/>
      <c r="Q751" s="315"/>
      <c r="R751" s="315"/>
      <c r="S751" s="315"/>
      <c r="T751" s="315"/>
      <c r="U751" s="315"/>
      <c r="V751" s="315"/>
      <c r="W751" s="315"/>
      <c r="X751" s="315"/>
      <c r="Y751" s="315"/>
      <c r="Z751" s="315"/>
    </row>
    <row r="752">
      <c r="A752" s="315"/>
      <c r="B752" s="315"/>
      <c r="C752" s="315"/>
      <c r="D752" s="315"/>
      <c r="E752" s="315"/>
      <c r="F752" s="315"/>
      <c r="G752" s="315"/>
      <c r="H752" s="315"/>
      <c r="I752" s="315"/>
      <c r="J752" s="315"/>
      <c r="K752" s="315"/>
      <c r="L752" s="315"/>
      <c r="M752" s="315"/>
      <c r="N752" s="315"/>
      <c r="O752" s="315"/>
      <c r="P752" s="315"/>
      <c r="Q752" s="315"/>
      <c r="R752" s="315"/>
      <c r="S752" s="315"/>
      <c r="T752" s="315"/>
      <c r="U752" s="315"/>
      <c r="V752" s="315"/>
      <c r="W752" s="315"/>
      <c r="X752" s="315"/>
      <c r="Y752" s="315"/>
      <c r="Z752" s="315"/>
    </row>
    <row r="753">
      <c r="A753" s="315"/>
      <c r="B753" s="315"/>
      <c r="C753" s="315"/>
      <c r="D753" s="315"/>
      <c r="E753" s="315"/>
      <c r="F753" s="315"/>
      <c r="G753" s="315"/>
      <c r="H753" s="315"/>
      <c r="I753" s="315"/>
      <c r="J753" s="315"/>
      <c r="K753" s="315"/>
      <c r="L753" s="315"/>
      <c r="M753" s="315"/>
      <c r="N753" s="315"/>
      <c r="O753" s="315"/>
      <c r="P753" s="315"/>
      <c r="Q753" s="315"/>
      <c r="R753" s="315"/>
      <c r="S753" s="315"/>
      <c r="T753" s="315"/>
      <c r="U753" s="315"/>
      <c r="V753" s="315"/>
      <c r="W753" s="315"/>
      <c r="X753" s="315"/>
      <c r="Y753" s="315"/>
      <c r="Z753" s="315"/>
    </row>
    <row r="754">
      <c r="A754" s="315"/>
      <c r="B754" s="315"/>
      <c r="C754" s="315"/>
      <c r="D754" s="315"/>
      <c r="E754" s="315"/>
      <c r="F754" s="315"/>
      <c r="G754" s="315"/>
      <c r="H754" s="315"/>
      <c r="I754" s="315"/>
      <c r="J754" s="315"/>
      <c r="K754" s="315"/>
      <c r="L754" s="315"/>
      <c r="M754" s="315"/>
      <c r="N754" s="315"/>
      <c r="O754" s="315"/>
      <c r="P754" s="315"/>
      <c r="Q754" s="315"/>
      <c r="R754" s="315"/>
      <c r="S754" s="315"/>
      <c r="T754" s="315"/>
      <c r="U754" s="315"/>
      <c r="V754" s="315"/>
      <c r="W754" s="315"/>
      <c r="X754" s="315"/>
      <c r="Y754" s="315"/>
      <c r="Z754" s="315"/>
    </row>
    <row r="755">
      <c r="A755" s="315"/>
      <c r="B755" s="315"/>
      <c r="C755" s="315"/>
      <c r="D755" s="315"/>
      <c r="E755" s="315"/>
      <c r="F755" s="315"/>
      <c r="G755" s="315"/>
      <c r="H755" s="315"/>
      <c r="I755" s="315"/>
      <c r="J755" s="315"/>
      <c r="K755" s="315"/>
      <c r="L755" s="315"/>
      <c r="M755" s="315"/>
      <c r="N755" s="315"/>
      <c r="O755" s="315"/>
      <c r="P755" s="315"/>
      <c r="Q755" s="315"/>
      <c r="R755" s="315"/>
      <c r="S755" s="315"/>
      <c r="T755" s="315"/>
      <c r="U755" s="315"/>
      <c r="V755" s="315"/>
      <c r="W755" s="315"/>
      <c r="X755" s="315"/>
      <c r="Y755" s="315"/>
      <c r="Z755" s="315"/>
    </row>
    <row r="756">
      <c r="A756" s="315"/>
      <c r="B756" s="315"/>
      <c r="C756" s="315"/>
      <c r="D756" s="315"/>
      <c r="E756" s="315"/>
      <c r="F756" s="315"/>
      <c r="G756" s="315"/>
      <c r="H756" s="315"/>
      <c r="I756" s="315"/>
      <c r="J756" s="315"/>
      <c r="K756" s="315"/>
      <c r="L756" s="315"/>
      <c r="M756" s="315"/>
      <c r="N756" s="315"/>
      <c r="O756" s="315"/>
      <c r="P756" s="315"/>
      <c r="Q756" s="315"/>
      <c r="R756" s="315"/>
      <c r="S756" s="315"/>
      <c r="T756" s="315"/>
      <c r="U756" s="315"/>
      <c r="V756" s="315"/>
      <c r="W756" s="315"/>
      <c r="X756" s="315"/>
      <c r="Y756" s="315"/>
      <c r="Z756" s="315"/>
    </row>
    <row r="757">
      <c r="A757" s="315"/>
      <c r="B757" s="315"/>
      <c r="C757" s="315"/>
      <c r="D757" s="315"/>
      <c r="E757" s="315"/>
      <c r="F757" s="315"/>
      <c r="G757" s="315"/>
      <c r="H757" s="315"/>
      <c r="I757" s="315"/>
      <c r="J757" s="315"/>
      <c r="K757" s="315"/>
      <c r="L757" s="315"/>
      <c r="M757" s="315"/>
      <c r="N757" s="315"/>
      <c r="O757" s="315"/>
      <c r="P757" s="315"/>
      <c r="Q757" s="315"/>
      <c r="R757" s="315"/>
      <c r="S757" s="315"/>
      <c r="T757" s="315"/>
      <c r="U757" s="315"/>
      <c r="V757" s="315"/>
      <c r="W757" s="315"/>
      <c r="X757" s="315"/>
      <c r="Y757" s="315"/>
      <c r="Z757" s="315"/>
    </row>
    <row r="758">
      <c r="A758" s="315"/>
      <c r="B758" s="315"/>
      <c r="C758" s="315"/>
      <c r="D758" s="315"/>
      <c r="E758" s="315"/>
      <c r="F758" s="315"/>
      <c r="G758" s="315"/>
      <c r="H758" s="315"/>
      <c r="I758" s="315"/>
      <c r="J758" s="315"/>
      <c r="K758" s="315"/>
      <c r="L758" s="315"/>
      <c r="M758" s="315"/>
      <c r="N758" s="315"/>
      <c r="O758" s="315"/>
      <c r="P758" s="315"/>
      <c r="Q758" s="315"/>
      <c r="R758" s="315"/>
      <c r="S758" s="315"/>
      <c r="T758" s="315"/>
      <c r="U758" s="315"/>
      <c r="V758" s="315"/>
      <c r="W758" s="315"/>
      <c r="X758" s="315"/>
      <c r="Y758" s="315"/>
      <c r="Z758" s="315"/>
    </row>
    <row r="759">
      <c r="A759" s="315"/>
      <c r="B759" s="315"/>
      <c r="C759" s="315"/>
      <c r="D759" s="315"/>
      <c r="E759" s="315"/>
      <c r="F759" s="315"/>
      <c r="G759" s="315"/>
      <c r="H759" s="315"/>
      <c r="I759" s="315"/>
      <c r="J759" s="315"/>
      <c r="K759" s="315"/>
      <c r="L759" s="315"/>
      <c r="M759" s="315"/>
      <c r="N759" s="315"/>
      <c r="O759" s="315"/>
      <c r="P759" s="315"/>
      <c r="Q759" s="315"/>
      <c r="R759" s="315"/>
      <c r="S759" s="315"/>
      <c r="T759" s="315"/>
      <c r="U759" s="315"/>
      <c r="V759" s="315"/>
      <c r="W759" s="315"/>
      <c r="X759" s="315"/>
      <c r="Y759" s="315"/>
      <c r="Z759" s="315"/>
    </row>
    <row r="760">
      <c r="A760" s="315"/>
      <c r="B760" s="315"/>
      <c r="C760" s="315"/>
      <c r="D760" s="315"/>
      <c r="E760" s="315"/>
      <c r="F760" s="315"/>
      <c r="G760" s="315"/>
      <c r="H760" s="315"/>
      <c r="I760" s="315"/>
      <c r="J760" s="315"/>
      <c r="K760" s="315"/>
      <c r="L760" s="315"/>
      <c r="M760" s="315"/>
      <c r="N760" s="315"/>
      <c r="O760" s="315"/>
      <c r="P760" s="315"/>
      <c r="Q760" s="315"/>
      <c r="R760" s="315"/>
      <c r="S760" s="315"/>
      <c r="T760" s="315"/>
      <c r="U760" s="315"/>
      <c r="V760" s="315"/>
      <c r="W760" s="315"/>
      <c r="X760" s="315"/>
      <c r="Y760" s="315"/>
      <c r="Z760" s="315"/>
    </row>
    <row r="761">
      <c r="A761" s="315"/>
      <c r="B761" s="315"/>
      <c r="C761" s="315"/>
      <c r="D761" s="315"/>
      <c r="E761" s="315"/>
      <c r="F761" s="315"/>
      <c r="G761" s="315"/>
      <c r="H761" s="315"/>
      <c r="I761" s="315"/>
      <c r="J761" s="315"/>
      <c r="K761" s="315"/>
      <c r="L761" s="315"/>
      <c r="M761" s="315"/>
      <c r="N761" s="315"/>
      <c r="O761" s="315"/>
      <c r="P761" s="315"/>
      <c r="Q761" s="315"/>
      <c r="R761" s="315"/>
      <c r="S761" s="315"/>
      <c r="T761" s="315"/>
      <c r="U761" s="315"/>
      <c r="V761" s="315"/>
      <c r="W761" s="315"/>
      <c r="X761" s="315"/>
      <c r="Y761" s="315"/>
      <c r="Z761" s="315"/>
    </row>
    <row r="762">
      <c r="A762" s="315"/>
      <c r="B762" s="315"/>
      <c r="C762" s="315"/>
      <c r="D762" s="315"/>
      <c r="E762" s="315"/>
      <c r="F762" s="315"/>
      <c r="G762" s="315"/>
      <c r="H762" s="315"/>
      <c r="I762" s="315"/>
      <c r="J762" s="315"/>
      <c r="K762" s="315"/>
      <c r="L762" s="315"/>
      <c r="M762" s="315"/>
      <c r="N762" s="315"/>
      <c r="O762" s="315"/>
      <c r="P762" s="315"/>
      <c r="Q762" s="315"/>
      <c r="R762" s="315"/>
      <c r="S762" s="315"/>
      <c r="T762" s="315"/>
      <c r="U762" s="315"/>
      <c r="V762" s="315"/>
      <c r="W762" s="315"/>
      <c r="X762" s="315"/>
      <c r="Y762" s="315"/>
      <c r="Z762" s="315"/>
    </row>
    <row r="763">
      <c r="A763" s="315"/>
      <c r="B763" s="315"/>
      <c r="C763" s="315"/>
      <c r="D763" s="315"/>
      <c r="E763" s="315"/>
      <c r="F763" s="315"/>
      <c r="G763" s="315"/>
      <c r="H763" s="315"/>
      <c r="I763" s="315"/>
      <c r="J763" s="315"/>
      <c r="K763" s="315"/>
      <c r="L763" s="315"/>
      <c r="M763" s="315"/>
      <c r="N763" s="315"/>
      <c r="O763" s="315"/>
      <c r="P763" s="315"/>
      <c r="Q763" s="315"/>
      <c r="R763" s="315"/>
      <c r="S763" s="315"/>
      <c r="T763" s="315"/>
      <c r="U763" s="315"/>
      <c r="V763" s="315"/>
      <c r="W763" s="315"/>
      <c r="X763" s="315"/>
      <c r="Y763" s="315"/>
      <c r="Z763" s="315"/>
    </row>
    <row r="764">
      <c r="A764" s="315"/>
      <c r="B764" s="315"/>
      <c r="C764" s="315"/>
      <c r="D764" s="315"/>
      <c r="E764" s="315"/>
      <c r="F764" s="315"/>
      <c r="G764" s="315"/>
      <c r="H764" s="315"/>
      <c r="I764" s="315"/>
      <c r="J764" s="315"/>
      <c r="K764" s="315"/>
      <c r="L764" s="315"/>
      <c r="M764" s="315"/>
      <c r="N764" s="315"/>
      <c r="O764" s="315"/>
      <c r="P764" s="315"/>
      <c r="Q764" s="315"/>
      <c r="R764" s="315"/>
      <c r="S764" s="315"/>
      <c r="T764" s="315"/>
      <c r="U764" s="315"/>
      <c r="V764" s="315"/>
      <c r="W764" s="315"/>
      <c r="X764" s="315"/>
      <c r="Y764" s="315"/>
      <c r="Z764" s="315"/>
    </row>
    <row r="765">
      <c r="A765" s="315"/>
      <c r="B765" s="315"/>
      <c r="C765" s="315"/>
      <c r="D765" s="315"/>
      <c r="E765" s="315"/>
      <c r="F765" s="315"/>
      <c r="G765" s="315"/>
      <c r="H765" s="315"/>
      <c r="I765" s="315"/>
      <c r="J765" s="315"/>
      <c r="K765" s="315"/>
      <c r="L765" s="315"/>
      <c r="M765" s="315"/>
      <c r="N765" s="315"/>
      <c r="O765" s="315"/>
      <c r="P765" s="315"/>
      <c r="Q765" s="315"/>
      <c r="R765" s="315"/>
      <c r="S765" s="315"/>
      <c r="T765" s="315"/>
      <c r="U765" s="315"/>
      <c r="V765" s="315"/>
      <c r="W765" s="315"/>
      <c r="X765" s="315"/>
      <c r="Y765" s="315"/>
      <c r="Z765" s="315"/>
    </row>
    <row r="766">
      <c r="A766" s="315"/>
      <c r="B766" s="315"/>
      <c r="C766" s="315"/>
      <c r="D766" s="315"/>
      <c r="E766" s="315"/>
      <c r="F766" s="315"/>
      <c r="G766" s="315"/>
      <c r="H766" s="315"/>
      <c r="I766" s="315"/>
      <c r="J766" s="315"/>
      <c r="K766" s="315"/>
      <c r="L766" s="315"/>
      <c r="M766" s="315"/>
      <c r="N766" s="315"/>
      <c r="O766" s="315"/>
      <c r="P766" s="315"/>
      <c r="Q766" s="315"/>
      <c r="R766" s="315"/>
      <c r="S766" s="315"/>
      <c r="T766" s="315"/>
      <c r="U766" s="315"/>
      <c r="V766" s="315"/>
      <c r="W766" s="315"/>
      <c r="X766" s="315"/>
      <c r="Y766" s="315"/>
      <c r="Z766" s="315"/>
    </row>
    <row r="767">
      <c r="A767" s="315"/>
      <c r="B767" s="315"/>
      <c r="C767" s="315"/>
      <c r="D767" s="315"/>
      <c r="E767" s="315"/>
      <c r="F767" s="315"/>
      <c r="G767" s="315"/>
      <c r="H767" s="315"/>
      <c r="I767" s="315"/>
      <c r="J767" s="315"/>
      <c r="K767" s="315"/>
      <c r="L767" s="315"/>
      <c r="M767" s="315"/>
      <c r="N767" s="315"/>
      <c r="O767" s="315"/>
      <c r="P767" s="315"/>
      <c r="Q767" s="315"/>
      <c r="R767" s="315"/>
      <c r="S767" s="315"/>
      <c r="T767" s="315"/>
      <c r="U767" s="315"/>
      <c r="V767" s="315"/>
      <c r="W767" s="315"/>
      <c r="X767" s="315"/>
      <c r="Y767" s="315"/>
      <c r="Z767" s="315"/>
    </row>
    <row r="768">
      <c r="A768" s="315"/>
      <c r="B768" s="315"/>
      <c r="C768" s="315"/>
      <c r="D768" s="315"/>
      <c r="E768" s="315"/>
      <c r="F768" s="315"/>
      <c r="G768" s="315"/>
      <c r="H768" s="315"/>
      <c r="I768" s="315"/>
      <c r="J768" s="315"/>
      <c r="K768" s="315"/>
      <c r="L768" s="315"/>
      <c r="M768" s="315"/>
      <c r="N768" s="315"/>
      <c r="O768" s="315"/>
      <c r="P768" s="315"/>
      <c r="Q768" s="315"/>
      <c r="R768" s="315"/>
      <c r="S768" s="315"/>
      <c r="T768" s="315"/>
      <c r="U768" s="315"/>
      <c r="V768" s="315"/>
      <c r="W768" s="315"/>
      <c r="X768" s="315"/>
      <c r="Y768" s="315"/>
      <c r="Z768" s="315"/>
    </row>
    <row r="769">
      <c r="A769" s="315"/>
      <c r="B769" s="315"/>
      <c r="C769" s="315"/>
      <c r="D769" s="315"/>
      <c r="E769" s="315"/>
      <c r="F769" s="315"/>
      <c r="G769" s="315"/>
      <c r="H769" s="315"/>
      <c r="I769" s="315"/>
      <c r="J769" s="315"/>
      <c r="K769" s="315"/>
      <c r="L769" s="315"/>
      <c r="M769" s="315"/>
      <c r="N769" s="315"/>
      <c r="O769" s="315"/>
      <c r="P769" s="315"/>
      <c r="Q769" s="315"/>
      <c r="R769" s="315"/>
      <c r="S769" s="315"/>
      <c r="T769" s="315"/>
      <c r="U769" s="315"/>
      <c r="V769" s="315"/>
      <c r="W769" s="315"/>
      <c r="X769" s="315"/>
      <c r="Y769" s="315"/>
      <c r="Z769" s="315"/>
    </row>
    <row r="770">
      <c r="A770" s="315"/>
      <c r="B770" s="315"/>
      <c r="C770" s="315"/>
      <c r="D770" s="315"/>
      <c r="E770" s="315"/>
      <c r="F770" s="315"/>
      <c r="G770" s="315"/>
      <c r="H770" s="315"/>
      <c r="I770" s="315"/>
      <c r="J770" s="315"/>
      <c r="K770" s="315"/>
      <c r="L770" s="315"/>
      <c r="M770" s="315"/>
      <c r="N770" s="315"/>
      <c r="O770" s="315"/>
      <c r="P770" s="315"/>
      <c r="Q770" s="315"/>
      <c r="R770" s="315"/>
      <c r="S770" s="315"/>
      <c r="T770" s="315"/>
      <c r="U770" s="315"/>
      <c r="V770" s="315"/>
      <c r="W770" s="315"/>
      <c r="X770" s="315"/>
      <c r="Y770" s="315"/>
      <c r="Z770" s="315"/>
    </row>
    <row r="771">
      <c r="A771" s="315"/>
      <c r="B771" s="315"/>
      <c r="C771" s="315"/>
      <c r="D771" s="315"/>
      <c r="E771" s="315"/>
      <c r="F771" s="315"/>
      <c r="G771" s="315"/>
      <c r="H771" s="315"/>
      <c r="I771" s="315"/>
      <c r="J771" s="315"/>
      <c r="K771" s="315"/>
      <c r="L771" s="315"/>
      <c r="M771" s="315"/>
      <c r="N771" s="315"/>
      <c r="O771" s="315"/>
      <c r="P771" s="315"/>
      <c r="Q771" s="315"/>
      <c r="R771" s="315"/>
      <c r="S771" s="315"/>
      <c r="T771" s="315"/>
      <c r="U771" s="315"/>
      <c r="V771" s="315"/>
      <c r="W771" s="315"/>
      <c r="X771" s="315"/>
      <c r="Y771" s="315"/>
      <c r="Z771" s="315"/>
    </row>
    <row r="772">
      <c r="A772" s="315"/>
      <c r="B772" s="315"/>
      <c r="C772" s="315"/>
      <c r="D772" s="315"/>
      <c r="E772" s="315"/>
      <c r="F772" s="315"/>
      <c r="G772" s="315"/>
      <c r="H772" s="315"/>
      <c r="I772" s="315"/>
      <c r="J772" s="315"/>
      <c r="K772" s="315"/>
      <c r="L772" s="315"/>
      <c r="M772" s="315"/>
      <c r="N772" s="315"/>
      <c r="O772" s="315"/>
      <c r="P772" s="315"/>
      <c r="Q772" s="315"/>
      <c r="R772" s="315"/>
      <c r="S772" s="315"/>
      <c r="T772" s="315"/>
      <c r="U772" s="315"/>
      <c r="V772" s="315"/>
      <c r="W772" s="315"/>
      <c r="X772" s="315"/>
      <c r="Y772" s="315"/>
      <c r="Z772" s="315"/>
    </row>
    <row r="773">
      <c r="A773" s="315"/>
      <c r="B773" s="315"/>
      <c r="C773" s="315"/>
      <c r="D773" s="315"/>
      <c r="E773" s="315"/>
      <c r="F773" s="315"/>
      <c r="G773" s="315"/>
      <c r="H773" s="315"/>
      <c r="I773" s="315"/>
      <c r="J773" s="315"/>
      <c r="K773" s="315"/>
      <c r="L773" s="315"/>
      <c r="M773" s="315"/>
      <c r="N773" s="315"/>
      <c r="O773" s="315"/>
      <c r="P773" s="315"/>
      <c r="Q773" s="315"/>
      <c r="R773" s="315"/>
      <c r="S773" s="315"/>
      <c r="T773" s="315"/>
      <c r="U773" s="315"/>
      <c r="V773" s="315"/>
      <c r="W773" s="315"/>
      <c r="X773" s="315"/>
      <c r="Y773" s="315"/>
      <c r="Z773" s="315"/>
    </row>
    <row r="774">
      <c r="A774" s="315"/>
      <c r="B774" s="315"/>
      <c r="C774" s="315"/>
      <c r="D774" s="315"/>
      <c r="E774" s="315"/>
      <c r="F774" s="315"/>
      <c r="G774" s="315"/>
      <c r="H774" s="315"/>
      <c r="I774" s="315"/>
      <c r="J774" s="315"/>
      <c r="K774" s="315"/>
      <c r="L774" s="315"/>
      <c r="M774" s="315"/>
      <c r="N774" s="315"/>
      <c r="O774" s="315"/>
      <c r="P774" s="315"/>
      <c r="Q774" s="315"/>
      <c r="R774" s="315"/>
      <c r="S774" s="315"/>
      <c r="T774" s="315"/>
      <c r="U774" s="315"/>
      <c r="V774" s="315"/>
      <c r="W774" s="315"/>
      <c r="X774" s="315"/>
      <c r="Y774" s="315"/>
      <c r="Z774" s="315"/>
    </row>
    <row r="775">
      <c r="A775" s="315"/>
      <c r="B775" s="315"/>
      <c r="C775" s="315"/>
      <c r="D775" s="315"/>
      <c r="E775" s="315"/>
      <c r="F775" s="315"/>
      <c r="G775" s="315"/>
      <c r="H775" s="315"/>
      <c r="I775" s="315"/>
      <c r="J775" s="315"/>
      <c r="K775" s="315"/>
      <c r="L775" s="315"/>
      <c r="M775" s="315"/>
      <c r="N775" s="315"/>
      <c r="O775" s="315"/>
      <c r="P775" s="315"/>
      <c r="Q775" s="315"/>
      <c r="R775" s="315"/>
      <c r="S775" s="315"/>
      <c r="T775" s="315"/>
      <c r="U775" s="315"/>
      <c r="V775" s="315"/>
      <c r="W775" s="315"/>
      <c r="X775" s="315"/>
      <c r="Y775" s="315"/>
      <c r="Z775" s="315"/>
    </row>
    <row r="776">
      <c r="A776" s="315"/>
      <c r="B776" s="315"/>
      <c r="C776" s="315"/>
      <c r="D776" s="315"/>
      <c r="E776" s="315"/>
      <c r="F776" s="315"/>
      <c r="G776" s="315"/>
      <c r="H776" s="315"/>
      <c r="I776" s="315"/>
      <c r="J776" s="315"/>
      <c r="K776" s="315"/>
      <c r="L776" s="315"/>
      <c r="M776" s="315"/>
      <c r="N776" s="315"/>
      <c r="O776" s="315"/>
      <c r="P776" s="315"/>
      <c r="Q776" s="315"/>
      <c r="R776" s="315"/>
      <c r="S776" s="315"/>
      <c r="T776" s="315"/>
      <c r="U776" s="315"/>
      <c r="V776" s="315"/>
      <c r="W776" s="315"/>
      <c r="X776" s="315"/>
      <c r="Y776" s="315"/>
      <c r="Z776" s="315"/>
    </row>
    <row r="777">
      <c r="A777" s="315"/>
      <c r="B777" s="315"/>
      <c r="C777" s="315"/>
      <c r="D777" s="315"/>
      <c r="E777" s="315"/>
      <c r="F777" s="315"/>
      <c r="G777" s="315"/>
      <c r="H777" s="315"/>
      <c r="I777" s="315"/>
      <c r="J777" s="315"/>
      <c r="K777" s="315"/>
      <c r="L777" s="315"/>
      <c r="M777" s="315"/>
      <c r="N777" s="315"/>
      <c r="O777" s="315"/>
      <c r="P777" s="315"/>
      <c r="Q777" s="315"/>
      <c r="R777" s="315"/>
      <c r="S777" s="315"/>
      <c r="T777" s="315"/>
      <c r="U777" s="315"/>
      <c r="V777" s="315"/>
      <c r="W777" s="315"/>
      <c r="X777" s="315"/>
      <c r="Y777" s="315"/>
      <c r="Z777" s="315"/>
    </row>
    <row r="778">
      <c r="A778" s="315"/>
      <c r="B778" s="315"/>
      <c r="C778" s="315"/>
      <c r="D778" s="315"/>
      <c r="E778" s="315"/>
      <c r="F778" s="315"/>
      <c r="G778" s="315"/>
      <c r="H778" s="315"/>
      <c r="I778" s="315"/>
      <c r="J778" s="315"/>
      <c r="K778" s="315"/>
      <c r="L778" s="315"/>
      <c r="M778" s="315"/>
      <c r="N778" s="315"/>
      <c r="O778" s="315"/>
      <c r="P778" s="315"/>
      <c r="Q778" s="315"/>
      <c r="R778" s="315"/>
      <c r="S778" s="315"/>
      <c r="T778" s="315"/>
      <c r="U778" s="315"/>
      <c r="V778" s="315"/>
      <c r="W778" s="315"/>
      <c r="X778" s="315"/>
      <c r="Y778" s="315"/>
      <c r="Z778" s="315"/>
    </row>
    <row r="779">
      <c r="A779" s="315"/>
      <c r="B779" s="315"/>
      <c r="C779" s="315"/>
      <c r="D779" s="315"/>
      <c r="E779" s="315"/>
      <c r="F779" s="315"/>
      <c r="G779" s="315"/>
      <c r="H779" s="315"/>
      <c r="I779" s="315"/>
      <c r="J779" s="315"/>
      <c r="K779" s="315"/>
      <c r="L779" s="315"/>
      <c r="M779" s="315"/>
      <c r="N779" s="315"/>
      <c r="O779" s="315"/>
      <c r="P779" s="315"/>
      <c r="Q779" s="315"/>
      <c r="R779" s="315"/>
      <c r="S779" s="315"/>
      <c r="T779" s="315"/>
      <c r="U779" s="315"/>
      <c r="V779" s="315"/>
      <c r="W779" s="315"/>
      <c r="X779" s="315"/>
      <c r="Y779" s="315"/>
      <c r="Z779" s="315"/>
    </row>
    <row r="780">
      <c r="A780" s="315"/>
      <c r="B780" s="315"/>
      <c r="C780" s="315"/>
      <c r="D780" s="315"/>
      <c r="E780" s="315"/>
      <c r="F780" s="315"/>
      <c r="G780" s="315"/>
      <c r="H780" s="315"/>
      <c r="I780" s="315"/>
      <c r="J780" s="315"/>
      <c r="K780" s="315"/>
      <c r="L780" s="315"/>
      <c r="M780" s="315"/>
      <c r="N780" s="315"/>
      <c r="O780" s="315"/>
      <c r="P780" s="315"/>
      <c r="Q780" s="315"/>
      <c r="R780" s="315"/>
      <c r="S780" s="315"/>
      <c r="T780" s="315"/>
      <c r="U780" s="315"/>
      <c r="V780" s="315"/>
      <c r="W780" s="315"/>
      <c r="X780" s="315"/>
      <c r="Y780" s="315"/>
      <c r="Z780" s="315"/>
    </row>
    <row r="781">
      <c r="A781" s="315"/>
      <c r="B781" s="315"/>
      <c r="C781" s="315"/>
      <c r="D781" s="315"/>
      <c r="E781" s="315"/>
      <c r="F781" s="315"/>
      <c r="G781" s="315"/>
      <c r="H781" s="315"/>
      <c r="I781" s="315"/>
      <c r="J781" s="315"/>
      <c r="K781" s="315"/>
      <c r="L781" s="315"/>
      <c r="M781" s="315"/>
      <c r="N781" s="315"/>
      <c r="O781" s="315"/>
      <c r="P781" s="315"/>
      <c r="Q781" s="315"/>
      <c r="R781" s="315"/>
      <c r="S781" s="315"/>
      <c r="T781" s="315"/>
      <c r="U781" s="315"/>
      <c r="V781" s="315"/>
      <c r="W781" s="315"/>
      <c r="X781" s="315"/>
      <c r="Y781" s="315"/>
      <c r="Z781" s="315"/>
    </row>
    <row r="782">
      <c r="A782" s="315"/>
      <c r="B782" s="315"/>
      <c r="C782" s="315"/>
      <c r="D782" s="315"/>
      <c r="E782" s="315"/>
      <c r="F782" s="315"/>
      <c r="G782" s="315"/>
      <c r="H782" s="315"/>
      <c r="I782" s="315"/>
      <c r="J782" s="315"/>
      <c r="K782" s="315"/>
      <c r="L782" s="315"/>
      <c r="M782" s="315"/>
      <c r="N782" s="315"/>
      <c r="O782" s="315"/>
      <c r="P782" s="315"/>
      <c r="Q782" s="315"/>
      <c r="R782" s="315"/>
      <c r="S782" s="315"/>
      <c r="T782" s="315"/>
      <c r="U782" s="315"/>
      <c r="V782" s="315"/>
      <c r="W782" s="315"/>
      <c r="X782" s="315"/>
      <c r="Y782" s="315"/>
      <c r="Z782" s="315"/>
    </row>
    <row r="783">
      <c r="A783" s="315"/>
      <c r="B783" s="315"/>
      <c r="C783" s="315"/>
      <c r="D783" s="315"/>
      <c r="E783" s="315"/>
      <c r="F783" s="315"/>
      <c r="G783" s="315"/>
      <c r="H783" s="315"/>
      <c r="I783" s="315"/>
      <c r="J783" s="315"/>
      <c r="K783" s="315"/>
      <c r="L783" s="315"/>
      <c r="M783" s="315"/>
      <c r="N783" s="315"/>
      <c r="O783" s="315"/>
      <c r="P783" s="315"/>
      <c r="Q783" s="315"/>
      <c r="R783" s="315"/>
      <c r="S783" s="315"/>
      <c r="T783" s="315"/>
      <c r="U783" s="315"/>
      <c r="V783" s="315"/>
      <c r="W783" s="315"/>
      <c r="X783" s="315"/>
      <c r="Y783" s="315"/>
      <c r="Z783" s="315"/>
    </row>
    <row r="784">
      <c r="A784" s="315"/>
      <c r="B784" s="315"/>
      <c r="C784" s="315"/>
      <c r="D784" s="315"/>
      <c r="E784" s="315"/>
      <c r="F784" s="315"/>
      <c r="G784" s="315"/>
      <c r="H784" s="315"/>
      <c r="I784" s="315"/>
      <c r="J784" s="315"/>
      <c r="K784" s="315"/>
      <c r="L784" s="315"/>
      <c r="M784" s="315"/>
      <c r="N784" s="315"/>
      <c r="O784" s="315"/>
      <c r="P784" s="315"/>
      <c r="Q784" s="315"/>
      <c r="R784" s="315"/>
      <c r="S784" s="315"/>
      <c r="T784" s="315"/>
      <c r="U784" s="315"/>
      <c r="V784" s="315"/>
      <c r="W784" s="315"/>
      <c r="X784" s="315"/>
      <c r="Y784" s="315"/>
      <c r="Z784" s="315"/>
    </row>
    <row r="785">
      <c r="A785" s="315"/>
      <c r="B785" s="315"/>
      <c r="C785" s="315"/>
      <c r="D785" s="315"/>
      <c r="E785" s="315"/>
      <c r="F785" s="315"/>
      <c r="G785" s="315"/>
      <c r="H785" s="315"/>
      <c r="I785" s="315"/>
      <c r="J785" s="315"/>
      <c r="K785" s="315"/>
      <c r="L785" s="315"/>
      <c r="M785" s="315"/>
      <c r="N785" s="315"/>
      <c r="O785" s="315"/>
      <c r="P785" s="315"/>
      <c r="Q785" s="315"/>
      <c r="R785" s="315"/>
      <c r="S785" s="315"/>
      <c r="T785" s="315"/>
      <c r="U785" s="315"/>
      <c r="V785" s="315"/>
      <c r="W785" s="315"/>
      <c r="X785" s="315"/>
      <c r="Y785" s="315"/>
      <c r="Z785" s="315"/>
    </row>
    <row r="786">
      <c r="A786" s="315"/>
      <c r="B786" s="315"/>
      <c r="C786" s="315"/>
      <c r="D786" s="315"/>
      <c r="E786" s="315"/>
      <c r="F786" s="315"/>
      <c r="G786" s="315"/>
      <c r="H786" s="315"/>
      <c r="I786" s="315"/>
      <c r="J786" s="315"/>
      <c r="K786" s="315"/>
      <c r="L786" s="315"/>
      <c r="M786" s="315"/>
      <c r="N786" s="315"/>
      <c r="O786" s="315"/>
      <c r="P786" s="315"/>
      <c r="Q786" s="315"/>
      <c r="R786" s="315"/>
      <c r="S786" s="315"/>
      <c r="T786" s="315"/>
      <c r="U786" s="315"/>
      <c r="V786" s="315"/>
      <c r="W786" s="315"/>
      <c r="X786" s="315"/>
      <c r="Y786" s="315"/>
      <c r="Z786" s="315"/>
    </row>
    <row r="787">
      <c r="A787" s="315"/>
      <c r="B787" s="315"/>
      <c r="C787" s="315"/>
      <c r="D787" s="315"/>
      <c r="E787" s="315"/>
      <c r="F787" s="315"/>
      <c r="G787" s="315"/>
      <c r="H787" s="315"/>
      <c r="I787" s="315"/>
      <c r="J787" s="315"/>
      <c r="K787" s="315"/>
      <c r="L787" s="315"/>
      <c r="M787" s="315"/>
      <c r="N787" s="315"/>
      <c r="O787" s="315"/>
      <c r="P787" s="315"/>
      <c r="Q787" s="315"/>
      <c r="R787" s="315"/>
      <c r="S787" s="315"/>
      <c r="T787" s="315"/>
      <c r="U787" s="315"/>
      <c r="V787" s="315"/>
      <c r="W787" s="315"/>
      <c r="X787" s="315"/>
      <c r="Y787" s="315"/>
      <c r="Z787" s="315"/>
    </row>
    <row r="788">
      <c r="A788" s="315"/>
      <c r="B788" s="315"/>
      <c r="C788" s="315"/>
      <c r="D788" s="315"/>
      <c r="E788" s="315"/>
      <c r="F788" s="315"/>
      <c r="G788" s="315"/>
      <c r="H788" s="315"/>
      <c r="I788" s="315"/>
      <c r="J788" s="315"/>
      <c r="K788" s="315"/>
      <c r="L788" s="315"/>
      <c r="M788" s="315"/>
      <c r="N788" s="315"/>
      <c r="O788" s="315"/>
      <c r="P788" s="315"/>
      <c r="Q788" s="315"/>
      <c r="R788" s="315"/>
      <c r="S788" s="315"/>
      <c r="T788" s="315"/>
      <c r="U788" s="315"/>
      <c r="V788" s="315"/>
      <c r="W788" s="315"/>
      <c r="X788" s="315"/>
      <c r="Y788" s="315"/>
      <c r="Z788" s="315"/>
    </row>
    <row r="789">
      <c r="A789" s="315"/>
      <c r="B789" s="315"/>
      <c r="C789" s="315"/>
      <c r="D789" s="315"/>
      <c r="E789" s="315"/>
      <c r="F789" s="315"/>
      <c r="G789" s="315"/>
      <c r="H789" s="315"/>
      <c r="I789" s="315"/>
      <c r="J789" s="315"/>
      <c r="K789" s="315"/>
      <c r="L789" s="315"/>
      <c r="M789" s="315"/>
      <c r="N789" s="315"/>
      <c r="O789" s="315"/>
      <c r="P789" s="315"/>
      <c r="Q789" s="315"/>
      <c r="R789" s="315"/>
      <c r="S789" s="315"/>
      <c r="T789" s="315"/>
      <c r="U789" s="315"/>
      <c r="V789" s="315"/>
      <c r="W789" s="315"/>
      <c r="X789" s="315"/>
      <c r="Y789" s="315"/>
      <c r="Z789" s="315"/>
    </row>
    <row r="790">
      <c r="A790" s="315"/>
      <c r="B790" s="315"/>
      <c r="C790" s="315"/>
      <c r="D790" s="315"/>
      <c r="E790" s="315"/>
      <c r="F790" s="315"/>
      <c r="G790" s="315"/>
      <c r="H790" s="315"/>
      <c r="I790" s="315"/>
      <c r="J790" s="315"/>
      <c r="K790" s="315"/>
      <c r="L790" s="315"/>
      <c r="M790" s="315"/>
      <c r="N790" s="315"/>
      <c r="O790" s="315"/>
      <c r="P790" s="315"/>
      <c r="Q790" s="315"/>
      <c r="R790" s="315"/>
      <c r="S790" s="315"/>
      <c r="T790" s="315"/>
      <c r="U790" s="315"/>
      <c r="V790" s="315"/>
      <c r="W790" s="315"/>
      <c r="X790" s="315"/>
      <c r="Y790" s="315"/>
      <c r="Z790" s="315"/>
    </row>
    <row r="791">
      <c r="A791" s="315"/>
      <c r="B791" s="315"/>
      <c r="C791" s="315"/>
      <c r="D791" s="315"/>
      <c r="E791" s="315"/>
      <c r="F791" s="315"/>
      <c r="G791" s="315"/>
      <c r="H791" s="315"/>
      <c r="I791" s="315"/>
      <c r="J791" s="315"/>
      <c r="K791" s="315"/>
      <c r="L791" s="315"/>
      <c r="M791" s="315"/>
      <c r="N791" s="315"/>
      <c r="O791" s="315"/>
      <c r="P791" s="315"/>
      <c r="Q791" s="315"/>
      <c r="R791" s="315"/>
      <c r="S791" s="315"/>
      <c r="T791" s="315"/>
      <c r="U791" s="315"/>
      <c r="V791" s="315"/>
      <c r="W791" s="315"/>
      <c r="X791" s="315"/>
      <c r="Y791" s="315"/>
      <c r="Z791" s="315"/>
    </row>
    <row r="792">
      <c r="A792" s="315"/>
      <c r="B792" s="315"/>
      <c r="C792" s="315"/>
      <c r="D792" s="315"/>
      <c r="E792" s="315"/>
      <c r="F792" s="315"/>
      <c r="G792" s="315"/>
      <c r="H792" s="315"/>
      <c r="I792" s="315"/>
      <c r="J792" s="315"/>
      <c r="K792" s="315"/>
      <c r="L792" s="315"/>
      <c r="M792" s="315"/>
      <c r="N792" s="315"/>
      <c r="O792" s="315"/>
      <c r="P792" s="315"/>
      <c r="Q792" s="315"/>
      <c r="R792" s="315"/>
      <c r="S792" s="315"/>
      <c r="T792" s="315"/>
      <c r="U792" s="315"/>
      <c r="V792" s="315"/>
      <c r="W792" s="315"/>
      <c r="X792" s="315"/>
      <c r="Y792" s="315"/>
      <c r="Z792" s="315"/>
    </row>
    <row r="793">
      <c r="A793" s="315"/>
      <c r="B793" s="315"/>
      <c r="C793" s="315"/>
      <c r="D793" s="315"/>
      <c r="E793" s="315"/>
      <c r="F793" s="315"/>
      <c r="G793" s="315"/>
      <c r="H793" s="315"/>
      <c r="I793" s="315"/>
      <c r="J793" s="315"/>
      <c r="K793" s="315"/>
      <c r="L793" s="315"/>
      <c r="M793" s="315"/>
      <c r="N793" s="315"/>
      <c r="O793" s="315"/>
      <c r="P793" s="315"/>
      <c r="Q793" s="315"/>
      <c r="R793" s="315"/>
      <c r="S793" s="315"/>
      <c r="T793" s="315"/>
      <c r="U793" s="315"/>
      <c r="V793" s="315"/>
      <c r="W793" s="315"/>
      <c r="X793" s="315"/>
      <c r="Y793" s="315"/>
      <c r="Z793" s="315"/>
    </row>
    <row r="794">
      <c r="A794" s="315"/>
      <c r="B794" s="315"/>
      <c r="C794" s="315"/>
      <c r="D794" s="315"/>
      <c r="E794" s="315"/>
      <c r="F794" s="315"/>
      <c r="G794" s="315"/>
      <c r="H794" s="315"/>
      <c r="I794" s="315"/>
      <c r="J794" s="315"/>
      <c r="K794" s="315"/>
      <c r="L794" s="315"/>
      <c r="M794" s="315"/>
      <c r="N794" s="315"/>
      <c r="O794" s="315"/>
      <c r="P794" s="315"/>
      <c r="Q794" s="315"/>
      <c r="R794" s="315"/>
      <c r="S794" s="315"/>
      <c r="T794" s="315"/>
      <c r="U794" s="315"/>
      <c r="V794" s="315"/>
      <c r="W794" s="315"/>
      <c r="X794" s="315"/>
      <c r="Y794" s="315"/>
      <c r="Z794" s="315"/>
    </row>
    <row r="795">
      <c r="A795" s="315"/>
      <c r="B795" s="315"/>
      <c r="C795" s="315"/>
      <c r="D795" s="315"/>
      <c r="E795" s="315"/>
      <c r="F795" s="315"/>
      <c r="G795" s="315"/>
      <c r="H795" s="315"/>
      <c r="I795" s="315"/>
      <c r="J795" s="315"/>
      <c r="K795" s="315"/>
      <c r="L795" s="315"/>
      <c r="M795" s="315"/>
      <c r="N795" s="315"/>
      <c r="O795" s="315"/>
      <c r="P795" s="315"/>
      <c r="Q795" s="315"/>
      <c r="R795" s="315"/>
      <c r="S795" s="315"/>
      <c r="T795" s="315"/>
      <c r="U795" s="315"/>
      <c r="V795" s="315"/>
      <c r="W795" s="315"/>
      <c r="X795" s="315"/>
      <c r="Y795" s="315"/>
      <c r="Z795" s="315"/>
    </row>
    <row r="796">
      <c r="A796" s="315"/>
      <c r="B796" s="315"/>
      <c r="C796" s="315"/>
      <c r="D796" s="315"/>
      <c r="E796" s="315"/>
      <c r="F796" s="315"/>
      <c r="G796" s="315"/>
      <c r="H796" s="315"/>
      <c r="I796" s="315"/>
      <c r="J796" s="315"/>
      <c r="K796" s="315"/>
      <c r="L796" s="315"/>
      <c r="M796" s="315"/>
      <c r="N796" s="315"/>
      <c r="O796" s="315"/>
      <c r="P796" s="315"/>
      <c r="Q796" s="315"/>
      <c r="R796" s="315"/>
      <c r="S796" s="315"/>
      <c r="T796" s="315"/>
      <c r="U796" s="315"/>
      <c r="V796" s="315"/>
      <c r="W796" s="315"/>
      <c r="X796" s="315"/>
      <c r="Y796" s="315"/>
      <c r="Z796" s="315"/>
    </row>
    <row r="797">
      <c r="A797" s="315"/>
      <c r="B797" s="315"/>
      <c r="C797" s="315"/>
      <c r="D797" s="315"/>
      <c r="E797" s="315"/>
      <c r="F797" s="315"/>
      <c r="G797" s="315"/>
      <c r="H797" s="315"/>
      <c r="I797" s="315"/>
      <c r="J797" s="315"/>
      <c r="K797" s="315"/>
      <c r="L797" s="315"/>
      <c r="M797" s="315"/>
      <c r="N797" s="315"/>
      <c r="O797" s="315"/>
      <c r="P797" s="315"/>
      <c r="Q797" s="315"/>
      <c r="R797" s="315"/>
      <c r="S797" s="315"/>
      <c r="T797" s="315"/>
      <c r="U797" s="315"/>
      <c r="V797" s="315"/>
      <c r="W797" s="315"/>
      <c r="X797" s="315"/>
      <c r="Y797" s="315"/>
      <c r="Z797" s="315"/>
    </row>
    <row r="798">
      <c r="A798" s="315"/>
      <c r="B798" s="315"/>
      <c r="C798" s="315"/>
      <c r="D798" s="315"/>
      <c r="E798" s="315"/>
      <c r="F798" s="315"/>
      <c r="G798" s="315"/>
      <c r="H798" s="315"/>
      <c r="I798" s="315"/>
      <c r="J798" s="315"/>
      <c r="K798" s="315"/>
      <c r="L798" s="315"/>
      <c r="M798" s="315"/>
      <c r="N798" s="315"/>
      <c r="O798" s="315"/>
      <c r="P798" s="315"/>
      <c r="Q798" s="315"/>
      <c r="R798" s="315"/>
      <c r="S798" s="315"/>
      <c r="T798" s="315"/>
      <c r="U798" s="315"/>
      <c r="V798" s="315"/>
      <c r="W798" s="315"/>
      <c r="X798" s="315"/>
      <c r="Y798" s="315"/>
      <c r="Z798" s="315"/>
    </row>
    <row r="799">
      <c r="A799" s="315"/>
      <c r="B799" s="315"/>
      <c r="C799" s="315"/>
      <c r="D799" s="315"/>
      <c r="E799" s="315"/>
      <c r="F799" s="315"/>
      <c r="G799" s="315"/>
      <c r="H799" s="315"/>
      <c r="I799" s="315"/>
      <c r="J799" s="315"/>
      <c r="K799" s="315"/>
      <c r="L799" s="315"/>
      <c r="M799" s="315"/>
      <c r="N799" s="315"/>
      <c r="O799" s="315"/>
      <c r="P799" s="315"/>
      <c r="Q799" s="315"/>
      <c r="R799" s="315"/>
      <c r="S799" s="315"/>
      <c r="T799" s="315"/>
      <c r="U799" s="315"/>
      <c r="V799" s="315"/>
      <c r="W799" s="315"/>
      <c r="X799" s="315"/>
      <c r="Y799" s="315"/>
      <c r="Z799" s="315"/>
    </row>
    <row r="800">
      <c r="A800" s="315"/>
      <c r="B800" s="315"/>
      <c r="C800" s="315"/>
      <c r="D800" s="315"/>
      <c r="E800" s="315"/>
      <c r="F800" s="315"/>
      <c r="G800" s="315"/>
      <c r="H800" s="315"/>
      <c r="I800" s="315"/>
      <c r="J800" s="315"/>
      <c r="K800" s="315"/>
      <c r="L800" s="315"/>
      <c r="M800" s="315"/>
      <c r="N800" s="315"/>
      <c r="O800" s="315"/>
      <c r="P800" s="315"/>
      <c r="Q800" s="315"/>
      <c r="R800" s="315"/>
      <c r="S800" s="315"/>
      <c r="T800" s="315"/>
      <c r="U800" s="315"/>
      <c r="V800" s="315"/>
      <c r="W800" s="315"/>
      <c r="X800" s="315"/>
      <c r="Y800" s="315"/>
      <c r="Z800" s="315"/>
    </row>
    <row r="801">
      <c r="A801" s="315"/>
      <c r="B801" s="315"/>
      <c r="C801" s="315"/>
      <c r="D801" s="315"/>
      <c r="E801" s="315"/>
      <c r="F801" s="315"/>
      <c r="G801" s="315"/>
      <c r="H801" s="315"/>
      <c r="I801" s="315"/>
      <c r="J801" s="315"/>
      <c r="K801" s="315"/>
      <c r="L801" s="315"/>
      <c r="M801" s="315"/>
      <c r="N801" s="315"/>
      <c r="O801" s="315"/>
      <c r="P801" s="315"/>
      <c r="Q801" s="315"/>
      <c r="R801" s="315"/>
      <c r="S801" s="315"/>
      <c r="T801" s="315"/>
      <c r="U801" s="315"/>
      <c r="V801" s="315"/>
      <c r="W801" s="315"/>
      <c r="X801" s="315"/>
      <c r="Y801" s="315"/>
      <c r="Z801" s="315"/>
    </row>
    <row r="802">
      <c r="A802" s="315"/>
      <c r="B802" s="315"/>
      <c r="C802" s="315"/>
      <c r="D802" s="315"/>
      <c r="E802" s="315"/>
      <c r="F802" s="315"/>
      <c r="G802" s="315"/>
      <c r="H802" s="315"/>
      <c r="I802" s="315"/>
      <c r="J802" s="315"/>
      <c r="K802" s="315"/>
      <c r="L802" s="315"/>
      <c r="M802" s="315"/>
      <c r="N802" s="315"/>
      <c r="O802" s="315"/>
      <c r="P802" s="315"/>
      <c r="Q802" s="315"/>
      <c r="R802" s="315"/>
      <c r="S802" s="315"/>
      <c r="T802" s="315"/>
      <c r="U802" s="315"/>
      <c r="V802" s="315"/>
      <c r="W802" s="315"/>
      <c r="X802" s="315"/>
      <c r="Y802" s="315"/>
      <c r="Z802" s="315"/>
    </row>
    <row r="803">
      <c r="A803" s="315"/>
      <c r="B803" s="315"/>
      <c r="C803" s="315"/>
      <c r="D803" s="315"/>
      <c r="E803" s="315"/>
      <c r="F803" s="315"/>
      <c r="G803" s="315"/>
      <c r="H803" s="315"/>
      <c r="I803" s="315"/>
      <c r="J803" s="315"/>
      <c r="K803" s="315"/>
      <c r="L803" s="315"/>
      <c r="M803" s="315"/>
      <c r="N803" s="315"/>
      <c r="O803" s="315"/>
      <c r="P803" s="315"/>
      <c r="Q803" s="315"/>
      <c r="R803" s="315"/>
      <c r="S803" s="315"/>
      <c r="T803" s="315"/>
      <c r="U803" s="315"/>
      <c r="V803" s="315"/>
      <c r="W803" s="315"/>
      <c r="X803" s="315"/>
      <c r="Y803" s="315"/>
      <c r="Z803" s="315"/>
    </row>
    <row r="804">
      <c r="A804" s="315"/>
      <c r="B804" s="315"/>
      <c r="C804" s="315"/>
      <c r="D804" s="315"/>
      <c r="E804" s="315"/>
      <c r="F804" s="315"/>
      <c r="G804" s="315"/>
      <c r="H804" s="315"/>
      <c r="I804" s="315"/>
      <c r="J804" s="315"/>
      <c r="K804" s="315"/>
      <c r="L804" s="315"/>
      <c r="M804" s="315"/>
      <c r="N804" s="315"/>
      <c r="O804" s="315"/>
      <c r="P804" s="315"/>
      <c r="Q804" s="315"/>
      <c r="R804" s="315"/>
      <c r="S804" s="315"/>
      <c r="T804" s="315"/>
      <c r="U804" s="315"/>
      <c r="V804" s="315"/>
      <c r="W804" s="315"/>
      <c r="X804" s="315"/>
      <c r="Y804" s="315"/>
      <c r="Z804" s="315"/>
    </row>
    <row r="805">
      <c r="A805" s="315"/>
      <c r="B805" s="315"/>
      <c r="C805" s="315"/>
      <c r="D805" s="315"/>
      <c r="E805" s="315"/>
      <c r="F805" s="315"/>
      <c r="G805" s="315"/>
      <c r="H805" s="315"/>
      <c r="I805" s="315"/>
      <c r="J805" s="315"/>
      <c r="K805" s="315"/>
      <c r="L805" s="315"/>
      <c r="M805" s="315"/>
      <c r="N805" s="315"/>
      <c r="O805" s="315"/>
      <c r="P805" s="315"/>
      <c r="Q805" s="315"/>
      <c r="R805" s="315"/>
      <c r="S805" s="315"/>
      <c r="T805" s="315"/>
      <c r="U805" s="315"/>
      <c r="V805" s="315"/>
      <c r="W805" s="315"/>
      <c r="X805" s="315"/>
      <c r="Y805" s="315"/>
      <c r="Z805" s="315"/>
    </row>
    <row r="806">
      <c r="A806" s="315"/>
      <c r="B806" s="315"/>
      <c r="C806" s="315"/>
      <c r="D806" s="315"/>
      <c r="E806" s="315"/>
      <c r="F806" s="315"/>
      <c r="G806" s="315"/>
      <c r="H806" s="315"/>
      <c r="I806" s="315"/>
      <c r="J806" s="315"/>
      <c r="K806" s="315"/>
      <c r="L806" s="315"/>
      <c r="M806" s="315"/>
      <c r="N806" s="315"/>
      <c r="O806" s="315"/>
      <c r="P806" s="315"/>
      <c r="Q806" s="315"/>
      <c r="R806" s="315"/>
      <c r="S806" s="315"/>
      <c r="T806" s="315"/>
      <c r="U806" s="315"/>
      <c r="V806" s="315"/>
      <c r="W806" s="315"/>
      <c r="X806" s="315"/>
      <c r="Y806" s="315"/>
      <c r="Z806" s="315"/>
    </row>
    <row r="807">
      <c r="A807" s="315"/>
      <c r="B807" s="315"/>
      <c r="C807" s="315"/>
      <c r="D807" s="315"/>
      <c r="E807" s="315"/>
      <c r="F807" s="315"/>
      <c r="G807" s="315"/>
      <c r="H807" s="315"/>
      <c r="I807" s="315"/>
      <c r="J807" s="315"/>
      <c r="K807" s="315"/>
      <c r="L807" s="315"/>
      <c r="M807" s="315"/>
      <c r="N807" s="315"/>
      <c r="O807" s="315"/>
      <c r="P807" s="315"/>
      <c r="Q807" s="315"/>
      <c r="R807" s="315"/>
      <c r="S807" s="315"/>
      <c r="T807" s="315"/>
      <c r="U807" s="315"/>
      <c r="V807" s="315"/>
      <c r="W807" s="315"/>
      <c r="X807" s="315"/>
      <c r="Y807" s="315"/>
      <c r="Z807" s="315"/>
    </row>
    <row r="808">
      <c r="A808" s="315"/>
      <c r="B808" s="315"/>
      <c r="C808" s="315"/>
      <c r="D808" s="315"/>
      <c r="E808" s="315"/>
      <c r="F808" s="315"/>
      <c r="G808" s="315"/>
      <c r="H808" s="315"/>
      <c r="I808" s="315"/>
      <c r="J808" s="315"/>
      <c r="K808" s="315"/>
      <c r="L808" s="315"/>
      <c r="M808" s="315"/>
      <c r="N808" s="315"/>
      <c r="O808" s="315"/>
      <c r="P808" s="315"/>
      <c r="Q808" s="315"/>
      <c r="R808" s="315"/>
      <c r="S808" s="315"/>
      <c r="T808" s="315"/>
      <c r="U808" s="315"/>
      <c r="V808" s="315"/>
      <c r="W808" s="315"/>
      <c r="X808" s="315"/>
      <c r="Y808" s="315"/>
      <c r="Z808" s="315"/>
    </row>
    <row r="809">
      <c r="A809" s="315"/>
      <c r="B809" s="315"/>
      <c r="C809" s="315"/>
      <c r="D809" s="315"/>
      <c r="E809" s="315"/>
      <c r="F809" s="315"/>
      <c r="G809" s="315"/>
      <c r="H809" s="315"/>
      <c r="I809" s="315"/>
      <c r="J809" s="315"/>
      <c r="K809" s="315"/>
      <c r="L809" s="315"/>
      <c r="M809" s="315"/>
      <c r="N809" s="315"/>
      <c r="O809" s="315"/>
      <c r="P809" s="315"/>
      <c r="Q809" s="315"/>
      <c r="R809" s="315"/>
      <c r="S809" s="315"/>
      <c r="T809" s="315"/>
      <c r="U809" s="315"/>
      <c r="V809" s="315"/>
      <c r="W809" s="315"/>
      <c r="X809" s="315"/>
      <c r="Y809" s="315"/>
      <c r="Z809" s="315"/>
    </row>
    <row r="810">
      <c r="A810" s="315"/>
      <c r="B810" s="315"/>
      <c r="C810" s="315"/>
      <c r="D810" s="315"/>
      <c r="E810" s="315"/>
      <c r="F810" s="315"/>
      <c r="G810" s="315"/>
      <c r="H810" s="315"/>
      <c r="I810" s="315"/>
      <c r="J810" s="315"/>
      <c r="K810" s="315"/>
      <c r="L810" s="315"/>
      <c r="M810" s="315"/>
      <c r="N810" s="315"/>
      <c r="O810" s="315"/>
      <c r="P810" s="315"/>
      <c r="Q810" s="315"/>
      <c r="R810" s="315"/>
      <c r="S810" s="315"/>
      <c r="T810" s="315"/>
      <c r="U810" s="315"/>
      <c r="V810" s="315"/>
      <c r="W810" s="315"/>
      <c r="X810" s="315"/>
      <c r="Y810" s="315"/>
      <c r="Z810" s="315"/>
    </row>
    <row r="811">
      <c r="A811" s="315"/>
      <c r="B811" s="315"/>
      <c r="C811" s="315"/>
      <c r="D811" s="315"/>
      <c r="E811" s="315"/>
      <c r="F811" s="315"/>
      <c r="G811" s="315"/>
      <c r="H811" s="315"/>
      <c r="I811" s="315"/>
      <c r="J811" s="315"/>
      <c r="K811" s="315"/>
      <c r="L811" s="315"/>
      <c r="M811" s="315"/>
      <c r="N811" s="315"/>
      <c r="O811" s="315"/>
      <c r="P811" s="315"/>
      <c r="Q811" s="315"/>
      <c r="R811" s="315"/>
      <c r="S811" s="315"/>
      <c r="T811" s="315"/>
      <c r="U811" s="315"/>
      <c r="V811" s="315"/>
      <c r="W811" s="315"/>
      <c r="X811" s="315"/>
      <c r="Y811" s="315"/>
      <c r="Z811" s="315"/>
    </row>
    <row r="812">
      <c r="A812" s="315"/>
      <c r="B812" s="315"/>
      <c r="C812" s="315"/>
      <c r="D812" s="315"/>
      <c r="E812" s="315"/>
      <c r="F812" s="315"/>
      <c r="G812" s="315"/>
      <c r="H812" s="315"/>
      <c r="I812" s="315"/>
      <c r="J812" s="315"/>
      <c r="K812" s="315"/>
      <c r="L812" s="315"/>
      <c r="M812" s="315"/>
      <c r="N812" s="315"/>
      <c r="O812" s="315"/>
      <c r="P812" s="315"/>
      <c r="Q812" s="315"/>
      <c r="R812" s="315"/>
      <c r="S812" s="315"/>
      <c r="T812" s="315"/>
      <c r="U812" s="315"/>
      <c r="V812" s="315"/>
      <c r="W812" s="315"/>
      <c r="X812" s="315"/>
      <c r="Y812" s="315"/>
      <c r="Z812" s="315"/>
    </row>
    <row r="813">
      <c r="A813" s="315"/>
      <c r="B813" s="315"/>
      <c r="C813" s="315"/>
      <c r="D813" s="315"/>
      <c r="E813" s="315"/>
      <c r="F813" s="315"/>
      <c r="G813" s="315"/>
      <c r="H813" s="315"/>
      <c r="I813" s="315"/>
      <c r="J813" s="315"/>
      <c r="K813" s="315"/>
      <c r="L813" s="315"/>
      <c r="M813" s="315"/>
      <c r="N813" s="315"/>
      <c r="O813" s="315"/>
      <c r="P813" s="315"/>
      <c r="Q813" s="315"/>
      <c r="R813" s="315"/>
      <c r="S813" s="315"/>
      <c r="T813" s="315"/>
      <c r="U813" s="315"/>
      <c r="V813" s="315"/>
      <c r="W813" s="315"/>
      <c r="X813" s="315"/>
      <c r="Y813" s="315"/>
      <c r="Z813" s="315"/>
    </row>
    <row r="814">
      <c r="A814" s="315"/>
      <c r="B814" s="315"/>
      <c r="C814" s="315"/>
      <c r="D814" s="315"/>
      <c r="E814" s="315"/>
      <c r="F814" s="315"/>
      <c r="G814" s="315"/>
      <c r="H814" s="315"/>
      <c r="I814" s="315"/>
      <c r="J814" s="315"/>
      <c r="K814" s="315"/>
      <c r="L814" s="315"/>
      <c r="M814" s="315"/>
      <c r="N814" s="315"/>
      <c r="O814" s="315"/>
      <c r="P814" s="315"/>
      <c r="Q814" s="315"/>
      <c r="R814" s="315"/>
      <c r="S814" s="315"/>
      <c r="T814" s="315"/>
      <c r="U814" s="315"/>
      <c r="V814" s="315"/>
      <c r="W814" s="315"/>
      <c r="X814" s="315"/>
      <c r="Y814" s="315"/>
      <c r="Z814" s="315"/>
    </row>
    <row r="815">
      <c r="A815" s="315"/>
      <c r="B815" s="315"/>
      <c r="C815" s="315"/>
      <c r="D815" s="315"/>
      <c r="E815" s="315"/>
      <c r="F815" s="315"/>
      <c r="G815" s="315"/>
      <c r="H815" s="315"/>
      <c r="I815" s="315"/>
      <c r="J815" s="315"/>
      <c r="K815" s="315"/>
      <c r="L815" s="315"/>
      <c r="M815" s="315"/>
      <c r="N815" s="315"/>
      <c r="O815" s="315"/>
      <c r="P815" s="315"/>
      <c r="Q815" s="315"/>
      <c r="R815" s="315"/>
      <c r="S815" s="315"/>
      <c r="T815" s="315"/>
      <c r="U815" s="315"/>
      <c r="V815" s="315"/>
      <c r="W815" s="315"/>
      <c r="X815" s="315"/>
      <c r="Y815" s="315"/>
      <c r="Z815" s="315"/>
    </row>
    <row r="816">
      <c r="A816" s="315"/>
      <c r="B816" s="315"/>
      <c r="C816" s="315"/>
      <c r="D816" s="315"/>
      <c r="E816" s="315"/>
      <c r="F816" s="315"/>
      <c r="G816" s="315"/>
      <c r="H816" s="315"/>
      <c r="I816" s="315"/>
      <c r="J816" s="315"/>
      <c r="K816" s="315"/>
      <c r="L816" s="315"/>
      <c r="M816" s="315"/>
      <c r="N816" s="315"/>
      <c r="O816" s="315"/>
      <c r="P816" s="315"/>
      <c r="Q816" s="315"/>
      <c r="R816" s="315"/>
      <c r="S816" s="315"/>
      <c r="T816" s="315"/>
      <c r="U816" s="315"/>
      <c r="V816" s="315"/>
      <c r="W816" s="315"/>
      <c r="X816" s="315"/>
      <c r="Y816" s="315"/>
      <c r="Z816" s="315"/>
    </row>
    <row r="817">
      <c r="A817" s="315"/>
      <c r="B817" s="315"/>
      <c r="C817" s="315"/>
      <c r="D817" s="315"/>
      <c r="E817" s="315"/>
      <c r="F817" s="315"/>
      <c r="G817" s="315"/>
      <c r="H817" s="315"/>
      <c r="I817" s="315"/>
      <c r="J817" s="315"/>
      <c r="K817" s="315"/>
      <c r="L817" s="315"/>
      <c r="M817" s="315"/>
      <c r="N817" s="315"/>
      <c r="O817" s="315"/>
      <c r="P817" s="315"/>
      <c r="Q817" s="315"/>
      <c r="R817" s="315"/>
      <c r="S817" s="315"/>
      <c r="T817" s="315"/>
      <c r="U817" s="315"/>
      <c r="V817" s="315"/>
      <c r="W817" s="315"/>
      <c r="X817" s="315"/>
      <c r="Y817" s="315"/>
      <c r="Z817" s="315"/>
    </row>
    <row r="818">
      <c r="A818" s="315"/>
      <c r="B818" s="315"/>
      <c r="C818" s="315"/>
      <c r="D818" s="315"/>
      <c r="E818" s="315"/>
      <c r="F818" s="315"/>
      <c r="G818" s="315"/>
      <c r="H818" s="315"/>
      <c r="I818" s="315"/>
      <c r="J818" s="315"/>
      <c r="K818" s="315"/>
      <c r="L818" s="315"/>
      <c r="M818" s="315"/>
      <c r="N818" s="315"/>
      <c r="O818" s="315"/>
      <c r="P818" s="315"/>
      <c r="Q818" s="315"/>
      <c r="R818" s="315"/>
      <c r="S818" s="315"/>
      <c r="T818" s="315"/>
      <c r="U818" s="315"/>
      <c r="V818" s="315"/>
      <c r="W818" s="315"/>
      <c r="X818" s="315"/>
      <c r="Y818" s="315"/>
      <c r="Z818" s="315"/>
    </row>
    <row r="819">
      <c r="A819" s="315"/>
      <c r="B819" s="315"/>
      <c r="C819" s="315"/>
      <c r="D819" s="315"/>
      <c r="E819" s="315"/>
      <c r="F819" s="315"/>
      <c r="G819" s="315"/>
      <c r="H819" s="315"/>
      <c r="I819" s="315"/>
      <c r="J819" s="315"/>
      <c r="K819" s="315"/>
      <c r="L819" s="315"/>
      <c r="M819" s="315"/>
      <c r="N819" s="315"/>
      <c r="O819" s="315"/>
      <c r="P819" s="315"/>
      <c r="Q819" s="315"/>
      <c r="R819" s="315"/>
      <c r="S819" s="315"/>
      <c r="T819" s="315"/>
      <c r="U819" s="315"/>
      <c r="V819" s="315"/>
      <c r="W819" s="315"/>
      <c r="X819" s="315"/>
      <c r="Y819" s="315"/>
      <c r="Z819" s="315"/>
    </row>
    <row r="820">
      <c r="A820" s="315"/>
      <c r="B820" s="315"/>
      <c r="C820" s="315"/>
      <c r="D820" s="315"/>
      <c r="E820" s="315"/>
      <c r="F820" s="315"/>
      <c r="G820" s="315"/>
      <c r="H820" s="315"/>
      <c r="I820" s="315"/>
      <c r="J820" s="315"/>
      <c r="K820" s="315"/>
      <c r="L820" s="315"/>
      <c r="M820" s="315"/>
      <c r="N820" s="315"/>
      <c r="O820" s="315"/>
      <c r="P820" s="315"/>
      <c r="Q820" s="315"/>
      <c r="R820" s="315"/>
      <c r="S820" s="315"/>
      <c r="T820" s="315"/>
      <c r="U820" s="315"/>
      <c r="V820" s="315"/>
      <c r="W820" s="315"/>
      <c r="X820" s="315"/>
      <c r="Y820" s="315"/>
      <c r="Z820" s="315"/>
    </row>
    <row r="821">
      <c r="A821" s="315"/>
      <c r="B821" s="315"/>
      <c r="C821" s="315"/>
      <c r="D821" s="315"/>
      <c r="E821" s="315"/>
      <c r="F821" s="315"/>
      <c r="G821" s="315"/>
      <c r="H821" s="315"/>
      <c r="I821" s="315"/>
      <c r="J821" s="315"/>
      <c r="K821" s="315"/>
      <c r="L821" s="315"/>
      <c r="M821" s="315"/>
      <c r="N821" s="315"/>
      <c r="O821" s="315"/>
      <c r="P821" s="315"/>
      <c r="Q821" s="315"/>
      <c r="R821" s="315"/>
      <c r="S821" s="315"/>
      <c r="T821" s="315"/>
      <c r="U821" s="315"/>
      <c r="V821" s="315"/>
      <c r="W821" s="315"/>
      <c r="X821" s="315"/>
      <c r="Y821" s="315"/>
      <c r="Z821" s="315"/>
    </row>
    <row r="822">
      <c r="A822" s="315"/>
      <c r="B822" s="315"/>
      <c r="C822" s="315"/>
      <c r="D822" s="315"/>
      <c r="E822" s="315"/>
      <c r="F822" s="315"/>
      <c r="G822" s="315"/>
      <c r="H822" s="315"/>
      <c r="I822" s="315"/>
      <c r="J822" s="315"/>
      <c r="K822" s="315"/>
      <c r="L822" s="315"/>
      <c r="M822" s="315"/>
      <c r="N822" s="315"/>
      <c r="O822" s="315"/>
      <c r="P822" s="315"/>
      <c r="Q822" s="315"/>
      <c r="R822" s="315"/>
      <c r="S822" s="315"/>
      <c r="T822" s="315"/>
      <c r="U822" s="315"/>
      <c r="V822" s="315"/>
      <c r="W822" s="315"/>
      <c r="X822" s="315"/>
      <c r="Y822" s="315"/>
      <c r="Z822" s="315"/>
    </row>
    <row r="823">
      <c r="A823" s="315"/>
      <c r="B823" s="315"/>
      <c r="C823" s="315"/>
      <c r="D823" s="315"/>
      <c r="E823" s="315"/>
      <c r="F823" s="315"/>
      <c r="G823" s="315"/>
      <c r="H823" s="315"/>
      <c r="I823" s="315"/>
      <c r="J823" s="315"/>
      <c r="K823" s="315"/>
      <c r="L823" s="315"/>
      <c r="M823" s="315"/>
      <c r="N823" s="315"/>
      <c r="O823" s="315"/>
      <c r="P823" s="315"/>
      <c r="Q823" s="315"/>
      <c r="R823" s="315"/>
      <c r="S823" s="315"/>
      <c r="T823" s="315"/>
      <c r="U823" s="315"/>
      <c r="V823" s="315"/>
      <c r="W823" s="315"/>
      <c r="X823" s="315"/>
      <c r="Y823" s="315"/>
      <c r="Z823" s="315"/>
    </row>
    <row r="824">
      <c r="A824" s="315"/>
      <c r="B824" s="315"/>
      <c r="C824" s="315"/>
      <c r="D824" s="315"/>
      <c r="E824" s="315"/>
      <c r="F824" s="315"/>
      <c r="G824" s="315"/>
      <c r="H824" s="315"/>
      <c r="I824" s="315"/>
      <c r="J824" s="315"/>
      <c r="K824" s="315"/>
      <c r="L824" s="315"/>
      <c r="M824" s="315"/>
      <c r="N824" s="315"/>
      <c r="O824" s="315"/>
      <c r="P824" s="315"/>
      <c r="Q824" s="315"/>
      <c r="R824" s="315"/>
      <c r="S824" s="315"/>
      <c r="T824" s="315"/>
      <c r="U824" s="315"/>
      <c r="V824" s="315"/>
      <c r="W824" s="315"/>
      <c r="X824" s="315"/>
      <c r="Y824" s="315"/>
      <c r="Z824" s="315"/>
    </row>
    <row r="825">
      <c r="A825" s="315"/>
      <c r="B825" s="315"/>
      <c r="C825" s="315"/>
      <c r="D825" s="315"/>
      <c r="E825" s="315"/>
      <c r="F825" s="315"/>
      <c r="G825" s="315"/>
      <c r="H825" s="315"/>
      <c r="I825" s="315"/>
      <c r="J825" s="315"/>
      <c r="K825" s="315"/>
      <c r="L825" s="315"/>
      <c r="M825" s="315"/>
      <c r="N825" s="315"/>
      <c r="O825" s="315"/>
      <c r="P825" s="315"/>
      <c r="Q825" s="315"/>
      <c r="R825" s="315"/>
      <c r="S825" s="315"/>
      <c r="T825" s="315"/>
      <c r="U825" s="315"/>
      <c r="V825" s="315"/>
      <c r="W825" s="315"/>
      <c r="X825" s="315"/>
      <c r="Y825" s="315"/>
      <c r="Z825" s="315"/>
    </row>
    <row r="826">
      <c r="A826" s="315"/>
      <c r="B826" s="315"/>
      <c r="C826" s="315"/>
      <c r="D826" s="315"/>
      <c r="E826" s="315"/>
      <c r="F826" s="315"/>
      <c r="G826" s="315"/>
      <c r="H826" s="315"/>
      <c r="I826" s="315"/>
      <c r="J826" s="315"/>
      <c r="K826" s="315"/>
      <c r="L826" s="315"/>
      <c r="M826" s="315"/>
      <c r="N826" s="315"/>
      <c r="O826" s="315"/>
      <c r="P826" s="315"/>
      <c r="Q826" s="315"/>
      <c r="R826" s="315"/>
      <c r="S826" s="315"/>
      <c r="T826" s="315"/>
      <c r="U826" s="315"/>
      <c r="V826" s="315"/>
      <c r="W826" s="315"/>
      <c r="X826" s="315"/>
      <c r="Y826" s="315"/>
      <c r="Z826" s="315"/>
    </row>
    <row r="827">
      <c r="A827" s="315"/>
      <c r="B827" s="315"/>
      <c r="C827" s="315"/>
      <c r="D827" s="315"/>
      <c r="E827" s="315"/>
      <c r="F827" s="315"/>
      <c r="G827" s="315"/>
      <c r="H827" s="315"/>
      <c r="I827" s="315"/>
      <c r="J827" s="315"/>
      <c r="K827" s="315"/>
      <c r="L827" s="315"/>
      <c r="M827" s="315"/>
      <c r="N827" s="315"/>
      <c r="O827" s="315"/>
      <c r="P827" s="315"/>
      <c r="Q827" s="315"/>
      <c r="R827" s="315"/>
      <c r="S827" s="315"/>
      <c r="T827" s="315"/>
      <c r="U827" s="315"/>
      <c r="V827" s="315"/>
      <c r="W827" s="315"/>
      <c r="X827" s="315"/>
      <c r="Y827" s="315"/>
      <c r="Z827" s="315"/>
    </row>
    <row r="828">
      <c r="A828" s="315"/>
      <c r="B828" s="315"/>
      <c r="C828" s="315"/>
      <c r="D828" s="315"/>
      <c r="E828" s="315"/>
      <c r="F828" s="315"/>
      <c r="G828" s="315"/>
      <c r="H828" s="315"/>
      <c r="I828" s="315"/>
      <c r="J828" s="315"/>
      <c r="K828" s="315"/>
      <c r="L828" s="315"/>
      <c r="M828" s="315"/>
      <c r="N828" s="315"/>
      <c r="O828" s="315"/>
      <c r="P828" s="315"/>
      <c r="Q828" s="315"/>
      <c r="R828" s="315"/>
      <c r="S828" s="315"/>
      <c r="T828" s="315"/>
      <c r="U828" s="315"/>
      <c r="V828" s="315"/>
      <c r="W828" s="315"/>
      <c r="X828" s="315"/>
      <c r="Y828" s="315"/>
      <c r="Z828" s="315"/>
    </row>
    <row r="829">
      <c r="A829" s="315"/>
      <c r="B829" s="315"/>
      <c r="C829" s="315"/>
      <c r="D829" s="315"/>
      <c r="E829" s="315"/>
      <c r="F829" s="315"/>
      <c r="G829" s="315"/>
      <c r="H829" s="315"/>
      <c r="I829" s="315"/>
      <c r="J829" s="315"/>
      <c r="K829" s="315"/>
      <c r="L829" s="315"/>
      <c r="M829" s="315"/>
      <c r="N829" s="315"/>
      <c r="O829" s="315"/>
      <c r="P829" s="315"/>
      <c r="Q829" s="315"/>
      <c r="R829" s="315"/>
      <c r="S829" s="315"/>
      <c r="T829" s="315"/>
      <c r="U829" s="315"/>
      <c r="V829" s="315"/>
      <c r="W829" s="315"/>
      <c r="X829" s="315"/>
      <c r="Y829" s="315"/>
      <c r="Z829" s="315"/>
    </row>
    <row r="830">
      <c r="A830" s="315"/>
      <c r="B830" s="315"/>
      <c r="C830" s="315"/>
      <c r="D830" s="315"/>
      <c r="E830" s="315"/>
      <c r="F830" s="315"/>
      <c r="G830" s="315"/>
      <c r="H830" s="315"/>
      <c r="I830" s="315"/>
      <c r="J830" s="315"/>
      <c r="K830" s="315"/>
      <c r="L830" s="315"/>
      <c r="M830" s="315"/>
      <c r="N830" s="315"/>
      <c r="O830" s="315"/>
      <c r="P830" s="315"/>
      <c r="Q830" s="315"/>
      <c r="R830" s="315"/>
      <c r="S830" s="315"/>
      <c r="T830" s="315"/>
      <c r="U830" s="315"/>
      <c r="V830" s="315"/>
      <c r="W830" s="315"/>
      <c r="X830" s="315"/>
      <c r="Y830" s="315"/>
      <c r="Z830" s="315"/>
    </row>
    <row r="831">
      <c r="A831" s="315"/>
      <c r="B831" s="315"/>
      <c r="C831" s="315"/>
      <c r="D831" s="315"/>
      <c r="E831" s="315"/>
      <c r="F831" s="315"/>
      <c r="G831" s="315"/>
      <c r="H831" s="315"/>
      <c r="I831" s="315"/>
      <c r="J831" s="315"/>
      <c r="K831" s="315"/>
      <c r="L831" s="315"/>
      <c r="M831" s="315"/>
      <c r="N831" s="315"/>
      <c r="O831" s="315"/>
      <c r="P831" s="315"/>
      <c r="Q831" s="315"/>
      <c r="R831" s="315"/>
      <c r="S831" s="315"/>
      <c r="T831" s="315"/>
      <c r="U831" s="315"/>
      <c r="V831" s="315"/>
      <c r="W831" s="315"/>
      <c r="X831" s="315"/>
      <c r="Y831" s="315"/>
      <c r="Z831" s="315"/>
    </row>
    <row r="832">
      <c r="A832" s="315"/>
      <c r="B832" s="315"/>
      <c r="C832" s="315"/>
      <c r="D832" s="315"/>
      <c r="E832" s="315"/>
      <c r="F832" s="315"/>
      <c r="G832" s="315"/>
      <c r="H832" s="315"/>
      <c r="I832" s="315"/>
      <c r="J832" s="315"/>
      <c r="K832" s="315"/>
      <c r="L832" s="315"/>
      <c r="M832" s="315"/>
      <c r="N832" s="315"/>
      <c r="O832" s="315"/>
      <c r="P832" s="315"/>
      <c r="Q832" s="315"/>
      <c r="R832" s="315"/>
      <c r="S832" s="315"/>
      <c r="T832" s="315"/>
      <c r="U832" s="315"/>
      <c r="V832" s="315"/>
      <c r="W832" s="315"/>
      <c r="X832" s="315"/>
      <c r="Y832" s="315"/>
      <c r="Z832" s="315"/>
    </row>
    <row r="833">
      <c r="A833" s="315"/>
      <c r="B833" s="315"/>
      <c r="C833" s="315"/>
      <c r="D833" s="315"/>
      <c r="E833" s="315"/>
      <c r="F833" s="315"/>
      <c r="G833" s="315"/>
      <c r="H833" s="315"/>
      <c r="I833" s="315"/>
      <c r="J833" s="315"/>
      <c r="K833" s="315"/>
      <c r="L833" s="315"/>
      <c r="M833" s="315"/>
      <c r="N833" s="315"/>
      <c r="O833" s="315"/>
      <c r="P833" s="315"/>
      <c r="Q833" s="315"/>
      <c r="R833" s="315"/>
      <c r="S833" s="315"/>
      <c r="T833" s="315"/>
      <c r="U833" s="315"/>
      <c r="V833" s="315"/>
      <c r="W833" s="315"/>
      <c r="X833" s="315"/>
      <c r="Y833" s="315"/>
      <c r="Z833" s="315"/>
    </row>
    <row r="834">
      <c r="A834" s="315"/>
      <c r="B834" s="315"/>
      <c r="C834" s="315"/>
      <c r="D834" s="315"/>
      <c r="E834" s="315"/>
      <c r="F834" s="315"/>
      <c r="G834" s="315"/>
      <c r="H834" s="315"/>
      <c r="I834" s="315"/>
      <c r="J834" s="315"/>
      <c r="K834" s="315"/>
      <c r="L834" s="315"/>
      <c r="M834" s="315"/>
      <c r="N834" s="315"/>
      <c r="O834" s="315"/>
      <c r="P834" s="315"/>
      <c r="Q834" s="315"/>
      <c r="R834" s="315"/>
      <c r="S834" s="315"/>
      <c r="T834" s="315"/>
      <c r="U834" s="315"/>
      <c r="V834" s="315"/>
      <c r="W834" s="315"/>
      <c r="X834" s="315"/>
      <c r="Y834" s="315"/>
      <c r="Z834" s="315"/>
    </row>
    <row r="835">
      <c r="A835" s="315"/>
      <c r="B835" s="315"/>
      <c r="C835" s="315"/>
      <c r="D835" s="315"/>
      <c r="E835" s="315"/>
      <c r="F835" s="315"/>
      <c r="G835" s="315"/>
      <c r="H835" s="315"/>
      <c r="I835" s="315"/>
      <c r="J835" s="315"/>
      <c r="K835" s="315"/>
      <c r="L835" s="315"/>
      <c r="M835" s="315"/>
      <c r="N835" s="315"/>
      <c r="O835" s="315"/>
      <c r="P835" s="315"/>
      <c r="Q835" s="315"/>
      <c r="R835" s="315"/>
      <c r="S835" s="315"/>
      <c r="T835" s="315"/>
      <c r="U835" s="315"/>
      <c r="V835" s="315"/>
      <c r="W835" s="315"/>
      <c r="X835" s="315"/>
      <c r="Y835" s="315"/>
      <c r="Z835" s="315"/>
    </row>
    <row r="836">
      <c r="A836" s="315"/>
      <c r="B836" s="315"/>
      <c r="C836" s="315"/>
      <c r="D836" s="315"/>
      <c r="E836" s="315"/>
      <c r="F836" s="315"/>
      <c r="G836" s="315"/>
      <c r="H836" s="315"/>
      <c r="I836" s="315"/>
      <c r="J836" s="315"/>
      <c r="K836" s="315"/>
      <c r="L836" s="315"/>
      <c r="M836" s="315"/>
      <c r="N836" s="315"/>
      <c r="O836" s="315"/>
      <c r="P836" s="315"/>
      <c r="Q836" s="315"/>
      <c r="R836" s="315"/>
      <c r="S836" s="315"/>
      <c r="T836" s="315"/>
      <c r="U836" s="315"/>
      <c r="V836" s="315"/>
      <c r="W836" s="315"/>
      <c r="X836" s="315"/>
      <c r="Y836" s="315"/>
      <c r="Z836" s="315"/>
    </row>
    <row r="837">
      <c r="A837" s="315"/>
      <c r="B837" s="315"/>
      <c r="C837" s="315"/>
      <c r="D837" s="315"/>
      <c r="E837" s="315"/>
      <c r="F837" s="315"/>
      <c r="G837" s="315"/>
      <c r="H837" s="315"/>
      <c r="I837" s="315"/>
      <c r="J837" s="315"/>
      <c r="K837" s="315"/>
      <c r="L837" s="315"/>
      <c r="M837" s="315"/>
      <c r="N837" s="315"/>
      <c r="O837" s="315"/>
      <c r="P837" s="315"/>
      <c r="Q837" s="315"/>
      <c r="R837" s="315"/>
      <c r="S837" s="315"/>
      <c r="T837" s="315"/>
      <c r="U837" s="315"/>
      <c r="V837" s="315"/>
      <c r="W837" s="315"/>
      <c r="X837" s="315"/>
      <c r="Y837" s="315"/>
      <c r="Z837" s="315"/>
    </row>
    <row r="838">
      <c r="A838" s="315"/>
      <c r="B838" s="315"/>
      <c r="C838" s="315"/>
      <c r="D838" s="315"/>
      <c r="E838" s="315"/>
      <c r="F838" s="315"/>
      <c r="G838" s="315"/>
      <c r="H838" s="315"/>
      <c r="I838" s="315"/>
      <c r="J838" s="315"/>
      <c r="K838" s="315"/>
      <c r="L838" s="315"/>
      <c r="M838" s="315"/>
      <c r="N838" s="315"/>
      <c r="O838" s="315"/>
      <c r="P838" s="315"/>
      <c r="Q838" s="315"/>
      <c r="R838" s="315"/>
      <c r="S838" s="315"/>
      <c r="T838" s="315"/>
      <c r="U838" s="315"/>
      <c r="V838" s="315"/>
      <c r="W838" s="315"/>
      <c r="X838" s="315"/>
      <c r="Y838" s="315"/>
      <c r="Z838" s="315"/>
    </row>
    <row r="839">
      <c r="A839" s="315"/>
      <c r="B839" s="315"/>
      <c r="C839" s="315"/>
      <c r="D839" s="315"/>
      <c r="E839" s="315"/>
      <c r="F839" s="315"/>
      <c r="G839" s="315"/>
      <c r="H839" s="315"/>
      <c r="I839" s="315"/>
      <c r="J839" s="315"/>
      <c r="K839" s="315"/>
      <c r="L839" s="315"/>
      <c r="M839" s="315"/>
      <c r="N839" s="315"/>
      <c r="O839" s="315"/>
      <c r="P839" s="315"/>
      <c r="Q839" s="315"/>
      <c r="R839" s="315"/>
      <c r="S839" s="315"/>
      <c r="T839" s="315"/>
      <c r="U839" s="315"/>
      <c r="V839" s="315"/>
      <c r="W839" s="315"/>
      <c r="X839" s="315"/>
      <c r="Y839" s="315"/>
      <c r="Z839" s="315"/>
    </row>
    <row r="840">
      <c r="A840" s="315"/>
      <c r="B840" s="315"/>
      <c r="C840" s="315"/>
      <c r="D840" s="315"/>
      <c r="E840" s="315"/>
      <c r="F840" s="315"/>
      <c r="G840" s="315"/>
      <c r="H840" s="315"/>
      <c r="I840" s="315"/>
      <c r="J840" s="315"/>
      <c r="K840" s="315"/>
      <c r="L840" s="315"/>
      <c r="M840" s="315"/>
      <c r="N840" s="315"/>
      <c r="O840" s="315"/>
      <c r="P840" s="315"/>
      <c r="Q840" s="315"/>
      <c r="R840" s="315"/>
      <c r="S840" s="315"/>
      <c r="T840" s="315"/>
      <c r="U840" s="315"/>
      <c r="V840" s="315"/>
      <c r="W840" s="315"/>
      <c r="X840" s="315"/>
      <c r="Y840" s="315"/>
      <c r="Z840" s="315"/>
    </row>
    <row r="841">
      <c r="A841" s="315"/>
      <c r="B841" s="315"/>
      <c r="C841" s="315"/>
      <c r="D841" s="315"/>
      <c r="E841" s="315"/>
      <c r="F841" s="315"/>
      <c r="G841" s="315"/>
      <c r="H841" s="315"/>
      <c r="I841" s="315"/>
      <c r="J841" s="315"/>
      <c r="K841" s="315"/>
      <c r="L841" s="315"/>
      <c r="M841" s="315"/>
      <c r="N841" s="315"/>
      <c r="O841" s="315"/>
      <c r="P841" s="315"/>
      <c r="Q841" s="315"/>
      <c r="R841" s="315"/>
      <c r="S841" s="315"/>
      <c r="T841" s="315"/>
      <c r="U841" s="315"/>
      <c r="V841" s="315"/>
      <c r="W841" s="315"/>
      <c r="X841" s="315"/>
      <c r="Y841" s="315"/>
      <c r="Z841" s="315"/>
    </row>
    <row r="842">
      <c r="A842" s="315"/>
      <c r="B842" s="315"/>
      <c r="C842" s="315"/>
      <c r="D842" s="315"/>
      <c r="E842" s="315"/>
      <c r="F842" s="315"/>
      <c r="G842" s="315"/>
      <c r="H842" s="315"/>
      <c r="I842" s="315"/>
      <c r="J842" s="315"/>
      <c r="K842" s="315"/>
      <c r="L842" s="315"/>
      <c r="M842" s="315"/>
      <c r="N842" s="315"/>
      <c r="O842" s="315"/>
      <c r="P842" s="315"/>
      <c r="Q842" s="315"/>
      <c r="R842" s="315"/>
      <c r="S842" s="315"/>
      <c r="T842" s="315"/>
      <c r="U842" s="315"/>
      <c r="V842" s="315"/>
      <c r="W842" s="315"/>
      <c r="X842" s="315"/>
      <c r="Y842" s="315"/>
      <c r="Z842" s="315"/>
    </row>
    <row r="843">
      <c r="A843" s="315"/>
      <c r="B843" s="315"/>
      <c r="C843" s="315"/>
      <c r="D843" s="315"/>
      <c r="E843" s="315"/>
      <c r="F843" s="315"/>
      <c r="G843" s="315"/>
      <c r="H843" s="315"/>
      <c r="I843" s="315"/>
      <c r="J843" s="315"/>
      <c r="K843" s="315"/>
      <c r="L843" s="315"/>
      <c r="M843" s="315"/>
      <c r="N843" s="315"/>
      <c r="O843" s="315"/>
      <c r="P843" s="315"/>
      <c r="Q843" s="315"/>
      <c r="R843" s="315"/>
      <c r="S843" s="315"/>
      <c r="T843" s="315"/>
      <c r="U843" s="315"/>
      <c r="V843" s="315"/>
      <c r="W843" s="315"/>
      <c r="X843" s="315"/>
      <c r="Y843" s="315"/>
      <c r="Z843" s="315"/>
    </row>
    <row r="844">
      <c r="A844" s="315"/>
      <c r="B844" s="315"/>
      <c r="C844" s="315"/>
      <c r="D844" s="315"/>
      <c r="E844" s="315"/>
      <c r="F844" s="315"/>
      <c r="G844" s="315"/>
      <c r="H844" s="315"/>
      <c r="I844" s="315"/>
      <c r="J844" s="315"/>
      <c r="K844" s="315"/>
      <c r="L844" s="315"/>
      <c r="M844" s="315"/>
      <c r="N844" s="315"/>
      <c r="O844" s="315"/>
      <c r="P844" s="315"/>
      <c r="Q844" s="315"/>
      <c r="R844" s="315"/>
      <c r="S844" s="315"/>
      <c r="T844" s="315"/>
      <c r="U844" s="315"/>
      <c r="V844" s="315"/>
      <c r="W844" s="315"/>
      <c r="X844" s="315"/>
      <c r="Y844" s="315"/>
      <c r="Z844" s="315"/>
    </row>
    <row r="845">
      <c r="A845" s="315"/>
      <c r="B845" s="315"/>
      <c r="C845" s="315"/>
      <c r="D845" s="315"/>
      <c r="E845" s="315"/>
      <c r="F845" s="315"/>
      <c r="G845" s="315"/>
      <c r="H845" s="315"/>
      <c r="I845" s="315"/>
      <c r="J845" s="315"/>
      <c r="K845" s="315"/>
      <c r="L845" s="315"/>
      <c r="M845" s="315"/>
      <c r="N845" s="315"/>
      <c r="O845" s="315"/>
      <c r="P845" s="315"/>
      <c r="Q845" s="315"/>
      <c r="R845" s="315"/>
      <c r="S845" s="315"/>
      <c r="T845" s="315"/>
      <c r="U845" s="315"/>
      <c r="V845" s="315"/>
      <c r="W845" s="315"/>
      <c r="X845" s="315"/>
      <c r="Y845" s="315"/>
      <c r="Z845" s="315"/>
    </row>
    <row r="846">
      <c r="A846" s="315"/>
      <c r="B846" s="315"/>
      <c r="C846" s="315"/>
      <c r="D846" s="315"/>
      <c r="E846" s="315"/>
      <c r="F846" s="315"/>
      <c r="G846" s="315"/>
      <c r="H846" s="315"/>
      <c r="I846" s="315"/>
      <c r="J846" s="315"/>
      <c r="K846" s="315"/>
      <c r="L846" s="315"/>
      <c r="M846" s="315"/>
      <c r="N846" s="315"/>
      <c r="O846" s="315"/>
      <c r="P846" s="315"/>
      <c r="Q846" s="315"/>
      <c r="R846" s="315"/>
      <c r="S846" s="315"/>
      <c r="T846" s="315"/>
      <c r="U846" s="315"/>
      <c r="V846" s="315"/>
      <c r="W846" s="315"/>
      <c r="X846" s="315"/>
      <c r="Y846" s="315"/>
      <c r="Z846" s="315"/>
    </row>
    <row r="847">
      <c r="A847" s="315"/>
      <c r="B847" s="315"/>
      <c r="C847" s="315"/>
      <c r="D847" s="315"/>
      <c r="E847" s="315"/>
      <c r="F847" s="315"/>
      <c r="G847" s="315"/>
      <c r="H847" s="315"/>
      <c r="I847" s="315"/>
      <c r="J847" s="315"/>
      <c r="K847" s="315"/>
      <c r="L847" s="315"/>
      <c r="M847" s="315"/>
      <c r="N847" s="315"/>
      <c r="O847" s="315"/>
      <c r="P847" s="315"/>
      <c r="Q847" s="315"/>
      <c r="R847" s="315"/>
      <c r="S847" s="315"/>
      <c r="T847" s="315"/>
      <c r="U847" s="315"/>
      <c r="V847" s="315"/>
      <c r="W847" s="315"/>
      <c r="X847" s="315"/>
      <c r="Y847" s="315"/>
      <c r="Z847" s="315"/>
    </row>
    <row r="848">
      <c r="A848" s="315"/>
      <c r="B848" s="315"/>
      <c r="C848" s="315"/>
      <c r="D848" s="315"/>
      <c r="E848" s="315"/>
      <c r="F848" s="315"/>
      <c r="G848" s="315"/>
      <c r="H848" s="315"/>
      <c r="I848" s="315"/>
      <c r="J848" s="315"/>
      <c r="K848" s="315"/>
      <c r="L848" s="315"/>
      <c r="M848" s="315"/>
      <c r="N848" s="315"/>
      <c r="O848" s="315"/>
      <c r="P848" s="315"/>
      <c r="Q848" s="315"/>
      <c r="R848" s="315"/>
      <c r="S848" s="315"/>
      <c r="T848" s="315"/>
      <c r="U848" s="315"/>
      <c r="V848" s="315"/>
      <c r="W848" s="315"/>
      <c r="X848" s="315"/>
      <c r="Y848" s="315"/>
      <c r="Z848" s="315"/>
    </row>
    <row r="849">
      <c r="A849" s="315"/>
      <c r="B849" s="315"/>
      <c r="C849" s="315"/>
      <c r="D849" s="315"/>
      <c r="E849" s="315"/>
      <c r="F849" s="315"/>
      <c r="G849" s="315"/>
      <c r="H849" s="315"/>
      <c r="I849" s="315"/>
      <c r="J849" s="315"/>
      <c r="K849" s="315"/>
      <c r="L849" s="315"/>
      <c r="M849" s="315"/>
      <c r="N849" s="315"/>
      <c r="O849" s="315"/>
      <c r="P849" s="315"/>
      <c r="Q849" s="315"/>
      <c r="R849" s="315"/>
      <c r="S849" s="315"/>
      <c r="T849" s="315"/>
      <c r="U849" s="315"/>
      <c r="V849" s="315"/>
      <c r="W849" s="315"/>
      <c r="X849" s="315"/>
      <c r="Y849" s="315"/>
      <c r="Z849" s="315"/>
    </row>
    <row r="850">
      <c r="A850" s="315"/>
      <c r="B850" s="315"/>
      <c r="C850" s="315"/>
      <c r="D850" s="315"/>
      <c r="E850" s="315"/>
      <c r="F850" s="315"/>
      <c r="G850" s="315"/>
      <c r="H850" s="315"/>
      <c r="I850" s="315"/>
      <c r="J850" s="315"/>
      <c r="K850" s="315"/>
      <c r="L850" s="315"/>
      <c r="M850" s="315"/>
      <c r="N850" s="315"/>
      <c r="O850" s="315"/>
      <c r="P850" s="315"/>
      <c r="Q850" s="315"/>
      <c r="R850" s="315"/>
      <c r="S850" s="315"/>
      <c r="T850" s="315"/>
      <c r="U850" s="315"/>
      <c r="V850" s="315"/>
      <c r="W850" s="315"/>
      <c r="X850" s="315"/>
      <c r="Y850" s="315"/>
      <c r="Z850" s="315"/>
    </row>
    <row r="851">
      <c r="A851" s="315"/>
      <c r="B851" s="315"/>
      <c r="C851" s="315"/>
      <c r="D851" s="315"/>
      <c r="E851" s="315"/>
      <c r="F851" s="315"/>
      <c r="G851" s="315"/>
      <c r="H851" s="315"/>
      <c r="I851" s="315"/>
      <c r="J851" s="315"/>
      <c r="K851" s="315"/>
      <c r="L851" s="315"/>
      <c r="M851" s="315"/>
      <c r="N851" s="315"/>
      <c r="O851" s="315"/>
      <c r="P851" s="315"/>
      <c r="Q851" s="315"/>
      <c r="R851" s="315"/>
      <c r="S851" s="315"/>
      <c r="T851" s="315"/>
      <c r="U851" s="315"/>
      <c r="V851" s="315"/>
      <c r="W851" s="315"/>
      <c r="X851" s="315"/>
      <c r="Y851" s="315"/>
      <c r="Z851" s="315"/>
    </row>
    <row r="852">
      <c r="A852" s="315"/>
      <c r="B852" s="315"/>
      <c r="C852" s="315"/>
      <c r="D852" s="315"/>
      <c r="E852" s="315"/>
      <c r="F852" s="315"/>
      <c r="G852" s="315"/>
      <c r="H852" s="315"/>
      <c r="I852" s="315"/>
      <c r="J852" s="315"/>
      <c r="K852" s="315"/>
      <c r="L852" s="315"/>
      <c r="M852" s="315"/>
      <c r="N852" s="315"/>
      <c r="O852" s="315"/>
      <c r="P852" s="315"/>
      <c r="Q852" s="315"/>
      <c r="R852" s="315"/>
      <c r="S852" s="315"/>
      <c r="T852" s="315"/>
      <c r="U852" s="315"/>
      <c r="V852" s="315"/>
      <c r="W852" s="315"/>
      <c r="X852" s="315"/>
      <c r="Y852" s="315"/>
      <c r="Z852" s="315"/>
    </row>
    <row r="853">
      <c r="A853" s="315"/>
      <c r="B853" s="315"/>
      <c r="C853" s="315"/>
      <c r="D853" s="315"/>
      <c r="E853" s="315"/>
      <c r="F853" s="315"/>
      <c r="G853" s="315"/>
      <c r="H853" s="315"/>
      <c r="I853" s="315"/>
      <c r="J853" s="315"/>
      <c r="K853" s="315"/>
      <c r="L853" s="315"/>
      <c r="M853" s="315"/>
      <c r="N853" s="315"/>
      <c r="O853" s="315"/>
      <c r="P853" s="315"/>
      <c r="Q853" s="315"/>
      <c r="R853" s="315"/>
      <c r="S853" s="315"/>
      <c r="T853" s="315"/>
      <c r="U853" s="315"/>
      <c r="V853" s="315"/>
      <c r="W853" s="315"/>
      <c r="X853" s="315"/>
      <c r="Y853" s="315"/>
      <c r="Z853" s="315"/>
    </row>
    <row r="854">
      <c r="A854" s="315"/>
      <c r="B854" s="315"/>
      <c r="C854" s="315"/>
      <c r="D854" s="315"/>
      <c r="E854" s="315"/>
      <c r="F854" s="315"/>
      <c r="G854" s="315"/>
      <c r="H854" s="315"/>
      <c r="I854" s="315"/>
      <c r="J854" s="315"/>
      <c r="K854" s="315"/>
      <c r="L854" s="315"/>
      <c r="M854" s="315"/>
      <c r="N854" s="315"/>
      <c r="O854" s="315"/>
      <c r="P854" s="315"/>
      <c r="Q854" s="315"/>
      <c r="R854" s="315"/>
      <c r="S854" s="315"/>
      <c r="T854" s="315"/>
      <c r="U854" s="315"/>
      <c r="V854" s="315"/>
      <c r="W854" s="315"/>
      <c r="X854" s="315"/>
      <c r="Y854" s="315"/>
      <c r="Z854" s="315"/>
    </row>
    <row r="855">
      <c r="A855" s="315"/>
      <c r="B855" s="315"/>
      <c r="C855" s="315"/>
      <c r="D855" s="315"/>
      <c r="E855" s="315"/>
      <c r="F855" s="315"/>
      <c r="G855" s="315"/>
      <c r="H855" s="315"/>
      <c r="I855" s="315"/>
      <c r="J855" s="315"/>
      <c r="K855" s="315"/>
      <c r="L855" s="315"/>
      <c r="M855" s="315"/>
      <c r="N855" s="315"/>
      <c r="O855" s="315"/>
      <c r="P855" s="315"/>
      <c r="Q855" s="315"/>
      <c r="R855" s="315"/>
      <c r="S855" s="315"/>
      <c r="T855" s="315"/>
      <c r="U855" s="315"/>
      <c r="V855" s="315"/>
      <c r="W855" s="315"/>
      <c r="X855" s="315"/>
      <c r="Y855" s="315"/>
      <c r="Z855" s="315"/>
    </row>
    <row r="856">
      <c r="A856" s="315"/>
      <c r="B856" s="315"/>
      <c r="C856" s="315"/>
      <c r="D856" s="315"/>
      <c r="E856" s="315"/>
      <c r="F856" s="315"/>
      <c r="G856" s="315"/>
      <c r="H856" s="315"/>
      <c r="I856" s="315"/>
      <c r="J856" s="315"/>
      <c r="K856" s="315"/>
      <c r="L856" s="315"/>
      <c r="M856" s="315"/>
      <c r="N856" s="315"/>
      <c r="O856" s="315"/>
      <c r="P856" s="315"/>
      <c r="Q856" s="315"/>
      <c r="R856" s="315"/>
      <c r="S856" s="315"/>
      <c r="T856" s="315"/>
      <c r="U856" s="315"/>
      <c r="V856" s="315"/>
      <c r="W856" s="315"/>
      <c r="X856" s="315"/>
      <c r="Y856" s="315"/>
      <c r="Z856" s="315"/>
    </row>
    <row r="857">
      <c r="A857" s="315"/>
      <c r="B857" s="315"/>
      <c r="C857" s="315"/>
      <c r="D857" s="315"/>
      <c r="E857" s="315"/>
      <c r="F857" s="315"/>
      <c r="G857" s="315"/>
      <c r="H857" s="315"/>
      <c r="I857" s="315"/>
      <c r="J857" s="315"/>
      <c r="K857" s="315"/>
      <c r="L857" s="315"/>
      <c r="M857" s="315"/>
      <c r="N857" s="315"/>
      <c r="O857" s="315"/>
      <c r="P857" s="315"/>
      <c r="Q857" s="315"/>
      <c r="R857" s="315"/>
      <c r="S857" s="315"/>
      <c r="T857" s="315"/>
      <c r="U857" s="315"/>
      <c r="V857" s="315"/>
      <c r="W857" s="315"/>
      <c r="X857" s="315"/>
      <c r="Y857" s="315"/>
      <c r="Z857" s="315"/>
    </row>
    <row r="858">
      <c r="A858" s="315"/>
      <c r="B858" s="315"/>
      <c r="C858" s="315"/>
      <c r="D858" s="315"/>
      <c r="E858" s="315"/>
      <c r="F858" s="315"/>
      <c r="G858" s="315"/>
      <c r="H858" s="315"/>
      <c r="I858" s="315"/>
      <c r="J858" s="315"/>
      <c r="K858" s="315"/>
      <c r="L858" s="315"/>
      <c r="M858" s="315"/>
      <c r="N858" s="315"/>
      <c r="O858" s="315"/>
      <c r="P858" s="315"/>
      <c r="Q858" s="315"/>
      <c r="R858" s="315"/>
      <c r="S858" s="315"/>
      <c r="T858" s="315"/>
      <c r="U858" s="315"/>
      <c r="V858" s="315"/>
      <c r="W858" s="315"/>
      <c r="X858" s="315"/>
      <c r="Y858" s="315"/>
      <c r="Z858" s="315"/>
    </row>
    <row r="859">
      <c r="A859" s="315"/>
      <c r="B859" s="315"/>
      <c r="C859" s="315"/>
      <c r="D859" s="315"/>
      <c r="E859" s="315"/>
      <c r="F859" s="315"/>
      <c r="G859" s="315"/>
      <c r="H859" s="315"/>
      <c r="I859" s="315"/>
      <c r="J859" s="315"/>
      <c r="K859" s="315"/>
      <c r="L859" s="315"/>
      <c r="M859" s="315"/>
      <c r="N859" s="315"/>
      <c r="O859" s="315"/>
      <c r="P859" s="315"/>
      <c r="Q859" s="315"/>
      <c r="R859" s="315"/>
      <c r="S859" s="315"/>
      <c r="T859" s="315"/>
      <c r="U859" s="315"/>
      <c r="V859" s="315"/>
      <c r="W859" s="315"/>
      <c r="X859" s="315"/>
      <c r="Y859" s="315"/>
      <c r="Z859" s="315"/>
    </row>
    <row r="860">
      <c r="A860" s="315"/>
      <c r="B860" s="315"/>
      <c r="C860" s="315"/>
      <c r="D860" s="315"/>
      <c r="E860" s="315"/>
      <c r="F860" s="315"/>
      <c r="G860" s="315"/>
      <c r="H860" s="315"/>
      <c r="I860" s="315"/>
      <c r="J860" s="315"/>
      <c r="K860" s="315"/>
      <c r="L860" s="315"/>
      <c r="M860" s="315"/>
      <c r="N860" s="315"/>
      <c r="O860" s="315"/>
      <c r="P860" s="315"/>
      <c r="Q860" s="315"/>
      <c r="R860" s="315"/>
      <c r="S860" s="315"/>
      <c r="T860" s="315"/>
      <c r="U860" s="315"/>
      <c r="V860" s="315"/>
      <c r="W860" s="315"/>
      <c r="X860" s="315"/>
      <c r="Y860" s="315"/>
      <c r="Z860" s="315"/>
    </row>
    <row r="861">
      <c r="A861" s="315"/>
      <c r="B861" s="315"/>
      <c r="C861" s="315"/>
      <c r="D861" s="315"/>
      <c r="E861" s="315"/>
      <c r="F861" s="315"/>
      <c r="G861" s="315"/>
      <c r="H861" s="315"/>
      <c r="I861" s="315"/>
      <c r="J861" s="315"/>
      <c r="K861" s="315"/>
      <c r="L861" s="315"/>
      <c r="M861" s="315"/>
      <c r="N861" s="315"/>
      <c r="O861" s="315"/>
      <c r="P861" s="315"/>
      <c r="Q861" s="315"/>
      <c r="R861" s="315"/>
      <c r="S861" s="315"/>
      <c r="T861" s="315"/>
      <c r="U861" s="315"/>
      <c r="V861" s="315"/>
      <c r="W861" s="315"/>
      <c r="X861" s="315"/>
      <c r="Y861" s="315"/>
      <c r="Z861" s="315"/>
    </row>
    <row r="862">
      <c r="A862" s="315"/>
      <c r="B862" s="315"/>
      <c r="C862" s="315"/>
      <c r="D862" s="315"/>
      <c r="E862" s="315"/>
      <c r="F862" s="315"/>
      <c r="G862" s="315"/>
      <c r="H862" s="315"/>
      <c r="I862" s="315"/>
      <c r="J862" s="315"/>
      <c r="K862" s="315"/>
      <c r="L862" s="315"/>
      <c r="M862" s="315"/>
      <c r="N862" s="315"/>
      <c r="O862" s="315"/>
      <c r="P862" s="315"/>
      <c r="Q862" s="315"/>
      <c r="R862" s="315"/>
      <c r="S862" s="315"/>
      <c r="T862" s="315"/>
      <c r="U862" s="315"/>
      <c r="V862" s="315"/>
      <c r="W862" s="315"/>
      <c r="X862" s="315"/>
      <c r="Y862" s="315"/>
      <c r="Z862" s="315"/>
    </row>
    <row r="863">
      <c r="A863" s="315"/>
      <c r="B863" s="315"/>
      <c r="C863" s="315"/>
      <c r="D863" s="315"/>
      <c r="E863" s="315"/>
      <c r="F863" s="315"/>
      <c r="G863" s="315"/>
      <c r="H863" s="315"/>
      <c r="I863" s="315"/>
      <c r="J863" s="315"/>
      <c r="K863" s="315"/>
      <c r="L863" s="315"/>
      <c r="M863" s="315"/>
      <c r="N863" s="315"/>
      <c r="O863" s="315"/>
      <c r="P863" s="315"/>
      <c r="Q863" s="315"/>
      <c r="R863" s="315"/>
      <c r="S863" s="315"/>
      <c r="T863" s="315"/>
      <c r="U863" s="315"/>
      <c r="V863" s="315"/>
      <c r="W863" s="315"/>
      <c r="X863" s="315"/>
      <c r="Y863" s="315"/>
      <c r="Z863" s="315"/>
    </row>
    <row r="864">
      <c r="A864" s="315"/>
      <c r="B864" s="315"/>
      <c r="C864" s="315"/>
      <c r="D864" s="315"/>
      <c r="E864" s="315"/>
      <c r="F864" s="315"/>
      <c r="G864" s="315"/>
      <c r="H864" s="315"/>
      <c r="I864" s="315"/>
      <c r="J864" s="315"/>
      <c r="K864" s="315"/>
      <c r="L864" s="315"/>
      <c r="M864" s="315"/>
      <c r="N864" s="315"/>
      <c r="O864" s="315"/>
      <c r="P864" s="315"/>
      <c r="Q864" s="315"/>
      <c r="R864" s="315"/>
      <c r="S864" s="315"/>
      <c r="T864" s="315"/>
      <c r="U864" s="315"/>
      <c r="V864" s="315"/>
      <c r="W864" s="315"/>
      <c r="X864" s="315"/>
      <c r="Y864" s="315"/>
      <c r="Z864" s="315"/>
    </row>
    <row r="865">
      <c r="A865" s="315"/>
      <c r="B865" s="315"/>
      <c r="C865" s="315"/>
      <c r="D865" s="315"/>
      <c r="E865" s="315"/>
      <c r="F865" s="315"/>
      <c r="G865" s="315"/>
      <c r="H865" s="315"/>
      <c r="I865" s="315"/>
      <c r="J865" s="315"/>
      <c r="K865" s="315"/>
      <c r="L865" s="315"/>
      <c r="M865" s="315"/>
      <c r="N865" s="315"/>
      <c r="O865" s="315"/>
      <c r="P865" s="315"/>
      <c r="Q865" s="315"/>
      <c r="R865" s="315"/>
      <c r="S865" s="315"/>
      <c r="T865" s="315"/>
      <c r="U865" s="315"/>
      <c r="V865" s="315"/>
      <c r="W865" s="315"/>
      <c r="X865" s="315"/>
      <c r="Y865" s="315"/>
      <c r="Z865" s="315"/>
    </row>
    <row r="866">
      <c r="A866" s="315"/>
      <c r="B866" s="315"/>
      <c r="C866" s="315"/>
      <c r="D866" s="315"/>
      <c r="E866" s="315"/>
      <c r="F866" s="315"/>
      <c r="G866" s="315"/>
      <c r="H866" s="315"/>
      <c r="I866" s="315"/>
      <c r="J866" s="315"/>
      <c r="K866" s="315"/>
      <c r="L866" s="315"/>
      <c r="M866" s="315"/>
      <c r="N866" s="315"/>
      <c r="O866" s="315"/>
      <c r="P866" s="315"/>
      <c r="Q866" s="315"/>
      <c r="R866" s="315"/>
      <c r="S866" s="315"/>
      <c r="T866" s="315"/>
      <c r="U866" s="315"/>
      <c r="V866" s="315"/>
      <c r="W866" s="315"/>
      <c r="X866" s="315"/>
      <c r="Y866" s="315"/>
      <c r="Z866" s="315"/>
    </row>
    <row r="867">
      <c r="A867" s="315"/>
      <c r="B867" s="315"/>
      <c r="C867" s="315"/>
      <c r="D867" s="315"/>
      <c r="E867" s="315"/>
      <c r="F867" s="315"/>
      <c r="G867" s="315"/>
      <c r="H867" s="315"/>
      <c r="I867" s="315"/>
      <c r="J867" s="315"/>
      <c r="K867" s="315"/>
      <c r="L867" s="315"/>
      <c r="M867" s="315"/>
      <c r="N867" s="315"/>
      <c r="O867" s="315"/>
      <c r="P867" s="315"/>
      <c r="Q867" s="315"/>
      <c r="R867" s="315"/>
      <c r="S867" s="315"/>
      <c r="T867" s="315"/>
      <c r="U867" s="315"/>
      <c r="V867" s="315"/>
      <c r="W867" s="315"/>
      <c r="X867" s="315"/>
      <c r="Y867" s="315"/>
      <c r="Z867" s="315"/>
    </row>
    <row r="868">
      <c r="A868" s="315"/>
      <c r="B868" s="315"/>
      <c r="C868" s="315"/>
      <c r="D868" s="315"/>
      <c r="E868" s="315"/>
      <c r="F868" s="315"/>
      <c r="G868" s="315"/>
      <c r="H868" s="315"/>
      <c r="I868" s="315"/>
      <c r="J868" s="315"/>
      <c r="K868" s="315"/>
      <c r="L868" s="315"/>
      <c r="M868" s="315"/>
      <c r="N868" s="315"/>
      <c r="O868" s="315"/>
      <c r="P868" s="315"/>
      <c r="Q868" s="315"/>
      <c r="R868" s="315"/>
      <c r="S868" s="315"/>
      <c r="T868" s="315"/>
      <c r="U868" s="315"/>
      <c r="V868" s="315"/>
      <c r="W868" s="315"/>
      <c r="X868" s="315"/>
      <c r="Y868" s="315"/>
      <c r="Z868" s="315"/>
    </row>
    <row r="869">
      <c r="A869" s="315"/>
      <c r="B869" s="315"/>
      <c r="C869" s="315"/>
      <c r="D869" s="315"/>
      <c r="E869" s="315"/>
      <c r="F869" s="315"/>
      <c r="G869" s="315"/>
      <c r="H869" s="315"/>
      <c r="I869" s="315"/>
      <c r="J869" s="315"/>
      <c r="K869" s="315"/>
      <c r="L869" s="315"/>
      <c r="M869" s="315"/>
      <c r="N869" s="315"/>
      <c r="O869" s="315"/>
      <c r="P869" s="315"/>
      <c r="Q869" s="315"/>
      <c r="R869" s="315"/>
      <c r="S869" s="315"/>
      <c r="T869" s="315"/>
      <c r="U869" s="315"/>
      <c r="V869" s="315"/>
      <c r="W869" s="315"/>
      <c r="X869" s="315"/>
      <c r="Y869" s="315"/>
      <c r="Z869" s="315"/>
    </row>
    <row r="870">
      <c r="A870" s="315"/>
      <c r="B870" s="315"/>
      <c r="C870" s="315"/>
      <c r="D870" s="315"/>
      <c r="E870" s="315"/>
      <c r="F870" s="315"/>
      <c r="G870" s="315"/>
      <c r="H870" s="315"/>
      <c r="I870" s="315"/>
      <c r="J870" s="315"/>
      <c r="K870" s="315"/>
      <c r="L870" s="315"/>
      <c r="M870" s="315"/>
      <c r="N870" s="315"/>
      <c r="O870" s="315"/>
      <c r="P870" s="315"/>
      <c r="Q870" s="315"/>
      <c r="R870" s="315"/>
      <c r="S870" s="315"/>
      <c r="T870" s="315"/>
      <c r="U870" s="315"/>
      <c r="V870" s="315"/>
      <c r="W870" s="315"/>
      <c r="X870" s="315"/>
      <c r="Y870" s="315"/>
      <c r="Z870" s="315"/>
    </row>
    <row r="871">
      <c r="A871" s="315"/>
      <c r="B871" s="315"/>
      <c r="C871" s="315"/>
      <c r="D871" s="315"/>
      <c r="E871" s="315"/>
      <c r="F871" s="315"/>
      <c r="G871" s="315"/>
      <c r="H871" s="315"/>
      <c r="I871" s="315"/>
      <c r="J871" s="315"/>
      <c r="K871" s="315"/>
      <c r="L871" s="315"/>
      <c r="M871" s="315"/>
      <c r="N871" s="315"/>
      <c r="O871" s="315"/>
      <c r="P871" s="315"/>
      <c r="Q871" s="315"/>
      <c r="R871" s="315"/>
      <c r="S871" s="315"/>
      <c r="T871" s="315"/>
      <c r="U871" s="315"/>
      <c r="V871" s="315"/>
      <c r="W871" s="315"/>
      <c r="X871" s="315"/>
      <c r="Y871" s="315"/>
      <c r="Z871" s="315"/>
    </row>
    <row r="872">
      <c r="A872" s="315"/>
      <c r="B872" s="315"/>
      <c r="C872" s="315"/>
      <c r="D872" s="315"/>
      <c r="E872" s="315"/>
      <c r="F872" s="315"/>
      <c r="G872" s="315"/>
      <c r="H872" s="315"/>
      <c r="I872" s="315"/>
      <c r="J872" s="315"/>
      <c r="K872" s="315"/>
      <c r="L872" s="315"/>
      <c r="M872" s="315"/>
      <c r="N872" s="315"/>
      <c r="O872" s="315"/>
      <c r="P872" s="315"/>
      <c r="Q872" s="315"/>
      <c r="R872" s="315"/>
      <c r="S872" s="315"/>
      <c r="T872" s="315"/>
      <c r="U872" s="315"/>
      <c r="V872" s="315"/>
      <c r="W872" s="315"/>
      <c r="X872" s="315"/>
      <c r="Y872" s="315"/>
      <c r="Z872" s="315"/>
    </row>
    <row r="873">
      <c r="A873" s="315"/>
      <c r="B873" s="315"/>
      <c r="C873" s="315"/>
      <c r="D873" s="315"/>
      <c r="E873" s="315"/>
      <c r="F873" s="315"/>
      <c r="G873" s="315"/>
      <c r="H873" s="315"/>
      <c r="I873" s="315"/>
      <c r="J873" s="315"/>
      <c r="K873" s="315"/>
      <c r="L873" s="315"/>
      <c r="M873" s="315"/>
      <c r="N873" s="315"/>
      <c r="O873" s="315"/>
      <c r="P873" s="315"/>
      <c r="Q873" s="315"/>
      <c r="R873" s="315"/>
      <c r="S873" s="315"/>
      <c r="T873" s="315"/>
      <c r="U873" s="315"/>
      <c r="V873" s="315"/>
      <c r="W873" s="315"/>
      <c r="X873" s="315"/>
      <c r="Y873" s="315"/>
      <c r="Z873" s="315"/>
    </row>
    <row r="874">
      <c r="A874" s="315"/>
      <c r="B874" s="315"/>
      <c r="C874" s="315"/>
      <c r="D874" s="315"/>
      <c r="E874" s="315"/>
      <c r="F874" s="315"/>
      <c r="G874" s="315"/>
      <c r="H874" s="315"/>
      <c r="I874" s="315"/>
      <c r="J874" s="315"/>
      <c r="K874" s="315"/>
      <c r="L874" s="315"/>
      <c r="M874" s="315"/>
      <c r="N874" s="315"/>
      <c r="O874" s="315"/>
      <c r="P874" s="315"/>
      <c r="Q874" s="315"/>
      <c r="R874" s="315"/>
      <c r="S874" s="315"/>
      <c r="T874" s="315"/>
      <c r="U874" s="315"/>
      <c r="V874" s="315"/>
      <c r="W874" s="315"/>
      <c r="X874" s="315"/>
      <c r="Y874" s="315"/>
      <c r="Z874" s="315"/>
    </row>
    <row r="875">
      <c r="A875" s="315"/>
      <c r="B875" s="315"/>
      <c r="C875" s="315"/>
      <c r="D875" s="315"/>
      <c r="E875" s="315"/>
      <c r="F875" s="315"/>
      <c r="G875" s="315"/>
      <c r="H875" s="315"/>
      <c r="I875" s="315"/>
      <c r="J875" s="315"/>
      <c r="K875" s="315"/>
      <c r="L875" s="315"/>
      <c r="M875" s="315"/>
      <c r="N875" s="315"/>
      <c r="O875" s="315"/>
      <c r="P875" s="315"/>
      <c r="Q875" s="315"/>
      <c r="R875" s="315"/>
      <c r="S875" s="315"/>
      <c r="T875" s="315"/>
      <c r="U875" s="315"/>
      <c r="V875" s="315"/>
      <c r="W875" s="315"/>
      <c r="X875" s="315"/>
      <c r="Y875" s="315"/>
      <c r="Z875" s="315"/>
    </row>
    <row r="876">
      <c r="A876" s="315"/>
      <c r="B876" s="315"/>
      <c r="C876" s="315"/>
      <c r="D876" s="315"/>
      <c r="E876" s="315"/>
      <c r="F876" s="315"/>
      <c r="G876" s="315"/>
      <c r="H876" s="315"/>
      <c r="I876" s="315"/>
      <c r="J876" s="315"/>
      <c r="K876" s="315"/>
      <c r="L876" s="315"/>
      <c r="M876" s="315"/>
      <c r="N876" s="315"/>
      <c r="O876" s="315"/>
      <c r="P876" s="315"/>
      <c r="Q876" s="315"/>
      <c r="R876" s="315"/>
      <c r="S876" s="315"/>
      <c r="T876" s="315"/>
      <c r="U876" s="315"/>
      <c r="V876" s="315"/>
      <c r="W876" s="315"/>
      <c r="X876" s="315"/>
      <c r="Y876" s="315"/>
      <c r="Z876" s="315"/>
    </row>
    <row r="877">
      <c r="A877" s="315"/>
      <c r="B877" s="315"/>
      <c r="C877" s="315"/>
      <c r="D877" s="315"/>
      <c r="E877" s="315"/>
      <c r="F877" s="315"/>
      <c r="G877" s="315"/>
      <c r="H877" s="315"/>
      <c r="I877" s="315"/>
      <c r="J877" s="315"/>
      <c r="K877" s="315"/>
      <c r="L877" s="315"/>
      <c r="M877" s="315"/>
      <c r="N877" s="315"/>
      <c r="O877" s="315"/>
      <c r="P877" s="315"/>
      <c r="Q877" s="315"/>
      <c r="R877" s="315"/>
      <c r="S877" s="315"/>
      <c r="T877" s="315"/>
      <c r="U877" s="315"/>
      <c r="V877" s="315"/>
      <c r="W877" s="315"/>
      <c r="X877" s="315"/>
      <c r="Y877" s="315"/>
      <c r="Z877" s="315"/>
    </row>
    <row r="878">
      <c r="A878" s="315"/>
      <c r="B878" s="315"/>
      <c r="C878" s="315"/>
      <c r="D878" s="315"/>
      <c r="E878" s="315"/>
      <c r="F878" s="315"/>
      <c r="G878" s="315"/>
      <c r="H878" s="315"/>
      <c r="I878" s="315"/>
      <c r="J878" s="315"/>
      <c r="K878" s="315"/>
      <c r="L878" s="315"/>
      <c r="M878" s="315"/>
      <c r="N878" s="315"/>
      <c r="O878" s="315"/>
      <c r="P878" s="315"/>
      <c r="Q878" s="315"/>
      <c r="R878" s="315"/>
      <c r="S878" s="315"/>
      <c r="T878" s="315"/>
      <c r="U878" s="315"/>
      <c r="V878" s="315"/>
      <c r="W878" s="315"/>
      <c r="X878" s="315"/>
      <c r="Y878" s="315"/>
      <c r="Z878" s="315"/>
    </row>
    <row r="879">
      <c r="A879" s="315"/>
      <c r="B879" s="315"/>
      <c r="C879" s="315"/>
      <c r="D879" s="315"/>
      <c r="E879" s="315"/>
      <c r="F879" s="315"/>
      <c r="G879" s="315"/>
      <c r="H879" s="315"/>
      <c r="I879" s="315"/>
      <c r="J879" s="315"/>
      <c r="K879" s="315"/>
      <c r="L879" s="315"/>
      <c r="M879" s="315"/>
      <c r="N879" s="315"/>
      <c r="O879" s="315"/>
      <c r="P879" s="315"/>
      <c r="Q879" s="315"/>
      <c r="R879" s="315"/>
      <c r="S879" s="315"/>
      <c r="T879" s="315"/>
      <c r="U879" s="315"/>
      <c r="V879" s="315"/>
      <c r="W879" s="315"/>
      <c r="X879" s="315"/>
      <c r="Y879" s="315"/>
      <c r="Z879" s="315"/>
    </row>
    <row r="880">
      <c r="A880" s="315"/>
      <c r="B880" s="315"/>
      <c r="C880" s="315"/>
      <c r="D880" s="315"/>
      <c r="E880" s="315"/>
      <c r="F880" s="315"/>
      <c r="G880" s="315"/>
      <c r="H880" s="315"/>
      <c r="I880" s="315"/>
      <c r="J880" s="315"/>
      <c r="K880" s="315"/>
      <c r="L880" s="315"/>
      <c r="M880" s="315"/>
      <c r="N880" s="315"/>
      <c r="O880" s="315"/>
      <c r="P880" s="315"/>
      <c r="Q880" s="315"/>
      <c r="R880" s="315"/>
      <c r="S880" s="315"/>
      <c r="T880" s="315"/>
      <c r="U880" s="315"/>
      <c r="V880" s="315"/>
      <c r="W880" s="315"/>
      <c r="X880" s="315"/>
      <c r="Y880" s="315"/>
      <c r="Z880" s="315"/>
    </row>
    <row r="881">
      <c r="A881" s="315"/>
      <c r="B881" s="315"/>
      <c r="C881" s="315"/>
      <c r="D881" s="315"/>
      <c r="E881" s="315"/>
      <c r="F881" s="315"/>
      <c r="G881" s="315"/>
      <c r="H881" s="315"/>
      <c r="I881" s="315"/>
      <c r="J881" s="315"/>
      <c r="K881" s="315"/>
      <c r="L881" s="315"/>
      <c r="M881" s="315"/>
      <c r="N881" s="315"/>
      <c r="O881" s="315"/>
      <c r="P881" s="315"/>
      <c r="Q881" s="315"/>
      <c r="R881" s="315"/>
      <c r="S881" s="315"/>
      <c r="T881" s="315"/>
      <c r="U881" s="315"/>
      <c r="V881" s="315"/>
      <c r="W881" s="315"/>
      <c r="X881" s="315"/>
      <c r="Y881" s="315"/>
      <c r="Z881" s="315"/>
    </row>
    <row r="882">
      <c r="A882" s="315"/>
      <c r="B882" s="315"/>
      <c r="C882" s="315"/>
      <c r="D882" s="315"/>
      <c r="E882" s="315"/>
      <c r="F882" s="315"/>
      <c r="G882" s="315"/>
      <c r="H882" s="315"/>
      <c r="I882" s="315"/>
      <c r="J882" s="315"/>
      <c r="K882" s="315"/>
      <c r="L882" s="315"/>
      <c r="M882" s="315"/>
      <c r="N882" s="315"/>
      <c r="O882" s="315"/>
      <c r="P882" s="315"/>
      <c r="Q882" s="315"/>
      <c r="R882" s="315"/>
      <c r="S882" s="315"/>
      <c r="T882" s="315"/>
      <c r="U882" s="315"/>
      <c r="V882" s="315"/>
      <c r="W882" s="315"/>
      <c r="X882" s="315"/>
      <c r="Y882" s="315"/>
      <c r="Z882" s="315"/>
    </row>
    <row r="883">
      <c r="A883" s="315"/>
      <c r="B883" s="315"/>
      <c r="C883" s="315"/>
      <c r="D883" s="315"/>
      <c r="E883" s="315"/>
      <c r="F883" s="315"/>
      <c r="G883" s="315"/>
      <c r="H883" s="315"/>
      <c r="I883" s="315"/>
      <c r="J883" s="315"/>
      <c r="K883" s="315"/>
      <c r="L883" s="315"/>
      <c r="M883" s="315"/>
      <c r="N883" s="315"/>
      <c r="O883" s="315"/>
      <c r="P883" s="315"/>
      <c r="Q883" s="315"/>
      <c r="R883" s="315"/>
      <c r="S883" s="315"/>
      <c r="T883" s="315"/>
      <c r="U883" s="315"/>
      <c r="V883" s="315"/>
      <c r="W883" s="315"/>
      <c r="X883" s="315"/>
      <c r="Y883" s="315"/>
      <c r="Z883" s="315"/>
    </row>
    <row r="884">
      <c r="A884" s="315"/>
      <c r="B884" s="315"/>
      <c r="C884" s="315"/>
      <c r="D884" s="315"/>
      <c r="E884" s="315"/>
      <c r="F884" s="315"/>
      <c r="G884" s="315"/>
      <c r="H884" s="315"/>
      <c r="I884" s="315"/>
      <c r="J884" s="315"/>
      <c r="K884" s="315"/>
      <c r="L884" s="315"/>
      <c r="M884" s="315"/>
      <c r="N884" s="315"/>
      <c r="O884" s="315"/>
      <c r="P884" s="315"/>
      <c r="Q884" s="315"/>
      <c r="R884" s="315"/>
      <c r="S884" s="315"/>
      <c r="T884" s="315"/>
      <c r="U884" s="315"/>
      <c r="V884" s="315"/>
      <c r="W884" s="315"/>
      <c r="X884" s="315"/>
      <c r="Y884" s="315"/>
      <c r="Z884" s="315"/>
    </row>
    <row r="885">
      <c r="A885" s="315"/>
      <c r="B885" s="315"/>
      <c r="C885" s="315"/>
      <c r="D885" s="315"/>
      <c r="E885" s="315"/>
      <c r="F885" s="315"/>
      <c r="G885" s="315"/>
      <c r="H885" s="315"/>
      <c r="I885" s="315"/>
      <c r="J885" s="315"/>
      <c r="K885" s="315"/>
      <c r="L885" s="315"/>
      <c r="M885" s="315"/>
      <c r="N885" s="315"/>
      <c r="O885" s="315"/>
      <c r="P885" s="315"/>
      <c r="Q885" s="315"/>
      <c r="R885" s="315"/>
      <c r="S885" s="315"/>
      <c r="T885" s="315"/>
      <c r="U885" s="315"/>
      <c r="V885" s="315"/>
      <c r="W885" s="315"/>
      <c r="X885" s="315"/>
      <c r="Y885" s="315"/>
      <c r="Z885" s="315"/>
    </row>
    <row r="886">
      <c r="A886" s="315"/>
      <c r="B886" s="315"/>
      <c r="C886" s="315"/>
      <c r="D886" s="315"/>
      <c r="E886" s="315"/>
      <c r="F886" s="315"/>
      <c r="G886" s="315"/>
      <c r="H886" s="315"/>
      <c r="I886" s="315"/>
      <c r="J886" s="315"/>
      <c r="K886" s="315"/>
      <c r="L886" s="315"/>
      <c r="M886" s="315"/>
      <c r="N886" s="315"/>
      <c r="O886" s="315"/>
      <c r="P886" s="315"/>
      <c r="Q886" s="315"/>
      <c r="R886" s="315"/>
      <c r="S886" s="315"/>
      <c r="T886" s="315"/>
      <c r="U886" s="315"/>
      <c r="V886" s="315"/>
      <c r="W886" s="315"/>
      <c r="X886" s="315"/>
      <c r="Y886" s="315"/>
      <c r="Z886" s="315"/>
    </row>
    <row r="887">
      <c r="A887" s="315"/>
      <c r="B887" s="315"/>
      <c r="C887" s="315"/>
      <c r="D887" s="315"/>
      <c r="E887" s="315"/>
      <c r="F887" s="315"/>
      <c r="G887" s="315"/>
      <c r="H887" s="315"/>
      <c r="I887" s="315"/>
      <c r="J887" s="315"/>
      <c r="K887" s="315"/>
      <c r="L887" s="315"/>
      <c r="M887" s="315"/>
      <c r="N887" s="315"/>
      <c r="O887" s="315"/>
      <c r="P887" s="315"/>
      <c r="Q887" s="315"/>
      <c r="R887" s="315"/>
      <c r="S887" s="315"/>
      <c r="T887" s="315"/>
      <c r="U887" s="315"/>
      <c r="V887" s="315"/>
      <c r="W887" s="315"/>
      <c r="X887" s="315"/>
      <c r="Y887" s="315"/>
      <c r="Z887" s="315"/>
    </row>
    <row r="888">
      <c r="A888" s="315"/>
      <c r="B888" s="315"/>
      <c r="C888" s="315"/>
      <c r="D888" s="315"/>
      <c r="E888" s="315"/>
      <c r="F888" s="315"/>
      <c r="G888" s="315"/>
      <c r="H888" s="315"/>
      <c r="I888" s="315"/>
      <c r="J888" s="315"/>
      <c r="K888" s="315"/>
      <c r="L888" s="315"/>
      <c r="M888" s="315"/>
      <c r="N888" s="315"/>
      <c r="O888" s="315"/>
      <c r="P888" s="315"/>
      <c r="Q888" s="315"/>
      <c r="R888" s="315"/>
      <c r="S888" s="315"/>
      <c r="T888" s="315"/>
      <c r="U888" s="315"/>
      <c r="V888" s="315"/>
      <c r="W888" s="315"/>
      <c r="X888" s="315"/>
      <c r="Y888" s="315"/>
      <c r="Z888" s="315"/>
    </row>
    <row r="889">
      <c r="A889" s="315"/>
      <c r="B889" s="315"/>
      <c r="C889" s="315"/>
      <c r="D889" s="315"/>
      <c r="E889" s="315"/>
      <c r="F889" s="315"/>
      <c r="G889" s="315"/>
      <c r="H889" s="315"/>
      <c r="I889" s="315"/>
      <c r="J889" s="315"/>
      <c r="K889" s="315"/>
      <c r="L889" s="315"/>
      <c r="M889" s="315"/>
      <c r="N889" s="315"/>
      <c r="O889" s="315"/>
      <c r="P889" s="315"/>
      <c r="Q889" s="315"/>
      <c r="R889" s="315"/>
      <c r="S889" s="315"/>
      <c r="T889" s="315"/>
      <c r="U889" s="315"/>
      <c r="V889" s="315"/>
      <c r="W889" s="315"/>
      <c r="X889" s="315"/>
      <c r="Y889" s="315"/>
      <c r="Z889" s="315"/>
    </row>
    <row r="890">
      <c r="A890" s="315"/>
      <c r="B890" s="315"/>
      <c r="C890" s="315"/>
      <c r="D890" s="315"/>
      <c r="E890" s="315"/>
      <c r="F890" s="315"/>
      <c r="G890" s="315"/>
      <c r="H890" s="315"/>
      <c r="I890" s="315"/>
      <c r="J890" s="315"/>
      <c r="K890" s="315"/>
      <c r="L890" s="315"/>
      <c r="M890" s="315"/>
      <c r="N890" s="315"/>
      <c r="O890" s="315"/>
      <c r="P890" s="315"/>
      <c r="Q890" s="315"/>
      <c r="R890" s="315"/>
      <c r="S890" s="315"/>
      <c r="T890" s="315"/>
      <c r="U890" s="315"/>
      <c r="V890" s="315"/>
      <c r="W890" s="315"/>
      <c r="X890" s="315"/>
      <c r="Y890" s="315"/>
      <c r="Z890" s="315"/>
    </row>
    <row r="891">
      <c r="A891" s="315"/>
      <c r="B891" s="315"/>
      <c r="C891" s="315"/>
      <c r="D891" s="315"/>
      <c r="E891" s="315"/>
      <c r="F891" s="315"/>
      <c r="G891" s="315"/>
      <c r="H891" s="315"/>
      <c r="I891" s="315"/>
      <c r="J891" s="315"/>
      <c r="K891" s="315"/>
      <c r="L891" s="315"/>
      <c r="M891" s="315"/>
      <c r="N891" s="315"/>
      <c r="O891" s="315"/>
      <c r="P891" s="315"/>
      <c r="Q891" s="315"/>
      <c r="R891" s="315"/>
      <c r="S891" s="315"/>
      <c r="T891" s="315"/>
      <c r="U891" s="315"/>
      <c r="V891" s="315"/>
      <c r="W891" s="315"/>
      <c r="X891" s="315"/>
      <c r="Y891" s="315"/>
      <c r="Z891" s="315"/>
    </row>
    <row r="892">
      <c r="A892" s="315"/>
      <c r="B892" s="315"/>
      <c r="C892" s="315"/>
      <c r="D892" s="315"/>
      <c r="E892" s="315"/>
      <c r="F892" s="315"/>
      <c r="G892" s="315"/>
      <c r="H892" s="315"/>
      <c r="I892" s="315"/>
      <c r="J892" s="315"/>
      <c r="K892" s="315"/>
      <c r="L892" s="315"/>
      <c r="M892" s="315"/>
      <c r="N892" s="315"/>
      <c r="O892" s="315"/>
      <c r="P892" s="315"/>
      <c r="Q892" s="315"/>
      <c r="R892" s="315"/>
      <c r="S892" s="315"/>
      <c r="T892" s="315"/>
      <c r="U892" s="315"/>
      <c r="V892" s="315"/>
      <c r="W892" s="315"/>
      <c r="X892" s="315"/>
      <c r="Y892" s="315"/>
      <c r="Z892" s="315"/>
    </row>
    <row r="893">
      <c r="A893" s="315"/>
      <c r="B893" s="315"/>
      <c r="C893" s="315"/>
      <c r="D893" s="315"/>
      <c r="E893" s="315"/>
      <c r="F893" s="315"/>
      <c r="G893" s="315"/>
      <c r="H893" s="315"/>
      <c r="I893" s="315"/>
      <c r="J893" s="315"/>
      <c r="K893" s="315"/>
      <c r="L893" s="315"/>
      <c r="M893" s="315"/>
      <c r="N893" s="315"/>
      <c r="O893" s="315"/>
      <c r="P893" s="315"/>
      <c r="Q893" s="315"/>
      <c r="R893" s="315"/>
      <c r="S893" s="315"/>
      <c r="T893" s="315"/>
      <c r="U893" s="315"/>
      <c r="V893" s="315"/>
      <c r="W893" s="315"/>
      <c r="X893" s="315"/>
      <c r="Y893" s="315"/>
      <c r="Z893" s="315"/>
    </row>
    <row r="894">
      <c r="A894" s="315"/>
      <c r="B894" s="315"/>
      <c r="C894" s="315"/>
      <c r="D894" s="315"/>
      <c r="E894" s="315"/>
      <c r="F894" s="315"/>
      <c r="G894" s="315"/>
      <c r="H894" s="315"/>
      <c r="I894" s="315"/>
      <c r="J894" s="315"/>
      <c r="K894" s="315"/>
      <c r="L894" s="315"/>
      <c r="M894" s="315"/>
      <c r="N894" s="315"/>
      <c r="O894" s="315"/>
      <c r="P894" s="315"/>
      <c r="Q894" s="315"/>
      <c r="R894" s="315"/>
      <c r="S894" s="315"/>
      <c r="T894" s="315"/>
      <c r="U894" s="315"/>
      <c r="V894" s="315"/>
      <c r="W894" s="315"/>
      <c r="X894" s="315"/>
      <c r="Y894" s="315"/>
      <c r="Z894" s="315"/>
    </row>
    <row r="895">
      <c r="A895" s="315"/>
      <c r="B895" s="315"/>
      <c r="C895" s="315"/>
      <c r="D895" s="315"/>
      <c r="E895" s="315"/>
      <c r="F895" s="315"/>
      <c r="G895" s="315"/>
      <c r="H895" s="315"/>
      <c r="I895" s="315"/>
      <c r="J895" s="315"/>
      <c r="K895" s="315"/>
      <c r="L895" s="315"/>
      <c r="M895" s="315"/>
      <c r="N895" s="315"/>
      <c r="O895" s="315"/>
      <c r="P895" s="315"/>
      <c r="Q895" s="315"/>
      <c r="R895" s="315"/>
      <c r="S895" s="315"/>
      <c r="T895" s="315"/>
      <c r="U895" s="315"/>
      <c r="V895" s="315"/>
      <c r="W895" s="315"/>
      <c r="X895" s="315"/>
      <c r="Y895" s="315"/>
      <c r="Z895" s="315"/>
    </row>
    <row r="896">
      <c r="A896" s="315"/>
      <c r="B896" s="315"/>
      <c r="C896" s="315"/>
      <c r="D896" s="315"/>
      <c r="E896" s="315"/>
      <c r="F896" s="315"/>
      <c r="G896" s="315"/>
      <c r="H896" s="315"/>
      <c r="I896" s="315"/>
      <c r="J896" s="315"/>
      <c r="K896" s="315"/>
      <c r="L896" s="315"/>
      <c r="M896" s="315"/>
      <c r="N896" s="315"/>
      <c r="O896" s="315"/>
      <c r="P896" s="315"/>
      <c r="Q896" s="315"/>
      <c r="R896" s="315"/>
      <c r="S896" s="315"/>
      <c r="T896" s="315"/>
      <c r="U896" s="315"/>
      <c r="V896" s="315"/>
      <c r="W896" s="315"/>
      <c r="X896" s="315"/>
      <c r="Y896" s="315"/>
      <c r="Z896" s="315"/>
    </row>
    <row r="897">
      <c r="A897" s="315"/>
      <c r="B897" s="315"/>
      <c r="C897" s="315"/>
      <c r="D897" s="315"/>
      <c r="E897" s="315"/>
      <c r="F897" s="315"/>
      <c r="G897" s="315"/>
      <c r="H897" s="315"/>
      <c r="I897" s="315"/>
      <c r="J897" s="315"/>
      <c r="K897" s="315"/>
      <c r="L897" s="315"/>
      <c r="M897" s="315"/>
      <c r="N897" s="315"/>
      <c r="O897" s="315"/>
      <c r="P897" s="315"/>
      <c r="Q897" s="315"/>
      <c r="R897" s="315"/>
      <c r="S897" s="315"/>
      <c r="T897" s="315"/>
      <c r="U897" s="315"/>
      <c r="V897" s="315"/>
      <c r="W897" s="315"/>
      <c r="X897" s="315"/>
      <c r="Y897" s="315"/>
      <c r="Z897" s="315"/>
    </row>
    <row r="898">
      <c r="A898" s="315"/>
      <c r="B898" s="315"/>
      <c r="C898" s="315"/>
      <c r="D898" s="315"/>
      <c r="E898" s="315"/>
      <c r="F898" s="315"/>
      <c r="G898" s="315"/>
      <c r="H898" s="315"/>
      <c r="I898" s="315"/>
      <c r="J898" s="315"/>
      <c r="K898" s="315"/>
      <c r="L898" s="315"/>
      <c r="M898" s="315"/>
      <c r="N898" s="315"/>
      <c r="O898" s="315"/>
      <c r="P898" s="315"/>
      <c r="Q898" s="315"/>
      <c r="R898" s="315"/>
      <c r="S898" s="315"/>
      <c r="T898" s="315"/>
      <c r="U898" s="315"/>
      <c r="V898" s="315"/>
      <c r="W898" s="315"/>
      <c r="X898" s="315"/>
      <c r="Y898" s="315"/>
      <c r="Z898" s="315"/>
    </row>
    <row r="899">
      <c r="A899" s="315"/>
      <c r="B899" s="315"/>
      <c r="C899" s="315"/>
      <c r="D899" s="315"/>
      <c r="E899" s="315"/>
      <c r="F899" s="315"/>
      <c r="G899" s="315"/>
      <c r="H899" s="315"/>
      <c r="I899" s="315"/>
      <c r="J899" s="315"/>
      <c r="K899" s="315"/>
      <c r="L899" s="315"/>
      <c r="M899" s="315"/>
      <c r="N899" s="315"/>
      <c r="O899" s="315"/>
      <c r="P899" s="315"/>
      <c r="Q899" s="315"/>
      <c r="R899" s="315"/>
      <c r="S899" s="315"/>
      <c r="T899" s="315"/>
      <c r="U899" s="315"/>
      <c r="V899" s="315"/>
      <c r="W899" s="315"/>
      <c r="X899" s="315"/>
      <c r="Y899" s="315"/>
      <c r="Z899" s="315"/>
    </row>
    <row r="900">
      <c r="A900" s="315"/>
      <c r="B900" s="315"/>
      <c r="C900" s="315"/>
      <c r="D900" s="315"/>
      <c r="E900" s="315"/>
      <c r="F900" s="315"/>
      <c r="G900" s="315"/>
      <c r="H900" s="315"/>
      <c r="I900" s="315"/>
      <c r="J900" s="315"/>
      <c r="K900" s="315"/>
      <c r="L900" s="315"/>
      <c r="M900" s="315"/>
      <c r="N900" s="315"/>
      <c r="O900" s="315"/>
      <c r="P900" s="315"/>
      <c r="Q900" s="315"/>
      <c r="R900" s="315"/>
      <c r="S900" s="315"/>
      <c r="T900" s="315"/>
      <c r="U900" s="315"/>
      <c r="V900" s="315"/>
      <c r="W900" s="315"/>
      <c r="X900" s="315"/>
      <c r="Y900" s="315"/>
      <c r="Z900" s="315"/>
    </row>
    <row r="901">
      <c r="A901" s="315"/>
      <c r="B901" s="315"/>
      <c r="C901" s="315"/>
      <c r="D901" s="315"/>
      <c r="E901" s="315"/>
      <c r="F901" s="315"/>
      <c r="G901" s="315"/>
      <c r="H901" s="315"/>
      <c r="I901" s="315"/>
      <c r="J901" s="315"/>
      <c r="K901" s="315"/>
      <c r="L901" s="315"/>
      <c r="M901" s="315"/>
      <c r="N901" s="315"/>
      <c r="O901" s="315"/>
      <c r="P901" s="315"/>
      <c r="Q901" s="315"/>
      <c r="R901" s="315"/>
      <c r="S901" s="315"/>
      <c r="T901" s="315"/>
      <c r="U901" s="315"/>
      <c r="V901" s="315"/>
      <c r="W901" s="315"/>
      <c r="X901" s="315"/>
      <c r="Y901" s="315"/>
      <c r="Z901" s="315"/>
    </row>
    <row r="902">
      <c r="A902" s="315"/>
      <c r="B902" s="315"/>
      <c r="C902" s="315"/>
      <c r="D902" s="315"/>
      <c r="E902" s="315"/>
      <c r="F902" s="315"/>
      <c r="G902" s="315"/>
      <c r="H902" s="315"/>
      <c r="I902" s="315"/>
      <c r="J902" s="315"/>
      <c r="K902" s="315"/>
      <c r="L902" s="315"/>
      <c r="M902" s="315"/>
      <c r="N902" s="315"/>
      <c r="O902" s="315"/>
      <c r="P902" s="315"/>
      <c r="Q902" s="315"/>
      <c r="R902" s="315"/>
      <c r="S902" s="315"/>
      <c r="T902" s="315"/>
      <c r="U902" s="315"/>
      <c r="V902" s="315"/>
      <c r="W902" s="315"/>
      <c r="X902" s="315"/>
      <c r="Y902" s="315"/>
      <c r="Z902" s="315"/>
    </row>
    <row r="903">
      <c r="A903" s="315"/>
      <c r="B903" s="315"/>
      <c r="C903" s="315"/>
      <c r="D903" s="315"/>
      <c r="E903" s="315"/>
      <c r="F903" s="315"/>
      <c r="G903" s="315"/>
      <c r="H903" s="315"/>
      <c r="I903" s="315"/>
      <c r="J903" s="315"/>
      <c r="K903" s="315"/>
      <c r="L903" s="315"/>
      <c r="M903" s="315"/>
      <c r="N903" s="315"/>
      <c r="O903" s="315"/>
      <c r="P903" s="315"/>
      <c r="Q903" s="315"/>
      <c r="R903" s="315"/>
      <c r="S903" s="315"/>
      <c r="T903" s="315"/>
      <c r="U903" s="315"/>
      <c r="V903" s="315"/>
      <c r="W903" s="315"/>
      <c r="X903" s="315"/>
      <c r="Y903" s="315"/>
      <c r="Z903" s="315"/>
    </row>
    <row r="904">
      <c r="A904" s="315"/>
      <c r="B904" s="315"/>
      <c r="C904" s="315"/>
      <c r="D904" s="315"/>
      <c r="E904" s="315"/>
      <c r="F904" s="315"/>
      <c r="G904" s="315"/>
      <c r="H904" s="315"/>
      <c r="I904" s="315"/>
      <c r="J904" s="315"/>
      <c r="K904" s="315"/>
      <c r="L904" s="315"/>
      <c r="M904" s="315"/>
      <c r="N904" s="315"/>
      <c r="O904" s="315"/>
      <c r="P904" s="315"/>
      <c r="Q904" s="315"/>
      <c r="R904" s="315"/>
      <c r="S904" s="315"/>
      <c r="T904" s="315"/>
      <c r="U904" s="315"/>
      <c r="V904" s="315"/>
      <c r="W904" s="315"/>
      <c r="X904" s="315"/>
      <c r="Y904" s="315"/>
      <c r="Z904" s="315"/>
    </row>
    <row r="905">
      <c r="A905" s="315"/>
      <c r="B905" s="315"/>
      <c r="C905" s="315"/>
      <c r="D905" s="315"/>
      <c r="E905" s="315"/>
      <c r="F905" s="315"/>
      <c r="G905" s="315"/>
      <c r="H905" s="315"/>
      <c r="I905" s="315"/>
      <c r="J905" s="315"/>
      <c r="K905" s="315"/>
      <c r="L905" s="315"/>
      <c r="M905" s="315"/>
      <c r="N905" s="315"/>
      <c r="O905" s="315"/>
      <c r="P905" s="315"/>
      <c r="Q905" s="315"/>
      <c r="R905" s="315"/>
      <c r="S905" s="315"/>
      <c r="T905" s="315"/>
      <c r="U905" s="315"/>
      <c r="V905" s="315"/>
      <c r="W905" s="315"/>
      <c r="X905" s="315"/>
      <c r="Y905" s="315"/>
      <c r="Z905" s="315"/>
    </row>
    <row r="906">
      <c r="A906" s="315"/>
      <c r="B906" s="315"/>
      <c r="C906" s="315"/>
      <c r="D906" s="315"/>
      <c r="E906" s="315"/>
      <c r="F906" s="315"/>
      <c r="G906" s="315"/>
      <c r="H906" s="315"/>
      <c r="I906" s="315"/>
      <c r="J906" s="315"/>
      <c r="K906" s="315"/>
      <c r="L906" s="315"/>
      <c r="M906" s="315"/>
      <c r="N906" s="315"/>
      <c r="O906" s="315"/>
      <c r="P906" s="315"/>
      <c r="Q906" s="315"/>
      <c r="R906" s="315"/>
      <c r="S906" s="315"/>
      <c r="T906" s="315"/>
      <c r="U906" s="315"/>
      <c r="V906" s="315"/>
      <c r="W906" s="315"/>
      <c r="X906" s="315"/>
      <c r="Y906" s="315"/>
      <c r="Z906" s="315"/>
    </row>
    <row r="907">
      <c r="A907" s="315"/>
      <c r="B907" s="315"/>
      <c r="C907" s="315"/>
      <c r="D907" s="315"/>
      <c r="E907" s="315"/>
      <c r="F907" s="315"/>
      <c r="G907" s="315"/>
      <c r="H907" s="315"/>
      <c r="I907" s="315"/>
      <c r="J907" s="315"/>
      <c r="K907" s="315"/>
      <c r="L907" s="315"/>
      <c r="M907" s="315"/>
      <c r="N907" s="315"/>
      <c r="O907" s="315"/>
      <c r="P907" s="315"/>
      <c r="Q907" s="315"/>
      <c r="R907" s="315"/>
      <c r="S907" s="315"/>
      <c r="T907" s="315"/>
      <c r="U907" s="315"/>
      <c r="V907" s="315"/>
      <c r="W907" s="315"/>
      <c r="X907" s="315"/>
      <c r="Y907" s="315"/>
      <c r="Z907" s="315"/>
    </row>
    <row r="908">
      <c r="A908" s="315"/>
      <c r="B908" s="315"/>
      <c r="C908" s="315"/>
      <c r="D908" s="315"/>
      <c r="E908" s="315"/>
      <c r="F908" s="315"/>
      <c r="G908" s="315"/>
      <c r="H908" s="315"/>
      <c r="I908" s="315"/>
      <c r="J908" s="315"/>
      <c r="K908" s="315"/>
      <c r="L908" s="315"/>
      <c r="M908" s="315"/>
      <c r="N908" s="315"/>
      <c r="O908" s="315"/>
      <c r="P908" s="315"/>
      <c r="Q908" s="315"/>
      <c r="R908" s="315"/>
      <c r="S908" s="315"/>
      <c r="T908" s="315"/>
      <c r="U908" s="315"/>
      <c r="V908" s="315"/>
      <c r="W908" s="315"/>
      <c r="X908" s="315"/>
      <c r="Y908" s="315"/>
      <c r="Z908" s="315"/>
    </row>
    <row r="909">
      <c r="A909" s="315"/>
      <c r="B909" s="315"/>
      <c r="C909" s="315"/>
      <c r="D909" s="315"/>
      <c r="E909" s="315"/>
      <c r="F909" s="315"/>
      <c r="G909" s="315"/>
      <c r="H909" s="315"/>
      <c r="I909" s="315"/>
      <c r="J909" s="315"/>
      <c r="K909" s="315"/>
      <c r="L909" s="315"/>
      <c r="M909" s="315"/>
      <c r="N909" s="315"/>
      <c r="O909" s="315"/>
      <c r="P909" s="315"/>
      <c r="Q909" s="315"/>
      <c r="R909" s="315"/>
      <c r="S909" s="315"/>
      <c r="T909" s="315"/>
      <c r="U909" s="315"/>
      <c r="V909" s="315"/>
      <c r="W909" s="315"/>
      <c r="X909" s="315"/>
      <c r="Y909" s="315"/>
      <c r="Z909" s="315"/>
    </row>
    <row r="910">
      <c r="A910" s="315"/>
      <c r="B910" s="315"/>
      <c r="C910" s="315"/>
      <c r="D910" s="315"/>
      <c r="E910" s="315"/>
      <c r="F910" s="315"/>
      <c r="G910" s="315"/>
      <c r="H910" s="315"/>
      <c r="I910" s="315"/>
      <c r="J910" s="315"/>
      <c r="K910" s="315"/>
      <c r="L910" s="315"/>
      <c r="M910" s="315"/>
      <c r="N910" s="315"/>
      <c r="O910" s="315"/>
      <c r="P910" s="315"/>
      <c r="Q910" s="315"/>
      <c r="R910" s="315"/>
      <c r="S910" s="315"/>
      <c r="T910" s="315"/>
      <c r="U910" s="315"/>
      <c r="V910" s="315"/>
      <c r="W910" s="315"/>
      <c r="X910" s="315"/>
      <c r="Y910" s="315"/>
      <c r="Z910" s="315"/>
    </row>
    <row r="911">
      <c r="A911" s="315"/>
      <c r="B911" s="315"/>
      <c r="C911" s="315"/>
      <c r="D911" s="315"/>
      <c r="E911" s="315"/>
      <c r="F911" s="315"/>
      <c r="G911" s="315"/>
      <c r="H911" s="315"/>
      <c r="I911" s="315"/>
      <c r="J911" s="315"/>
      <c r="K911" s="315"/>
      <c r="L911" s="315"/>
      <c r="M911" s="315"/>
      <c r="N911" s="315"/>
      <c r="O911" s="315"/>
      <c r="P911" s="315"/>
      <c r="Q911" s="315"/>
      <c r="R911" s="315"/>
      <c r="S911" s="315"/>
      <c r="T911" s="315"/>
      <c r="U911" s="315"/>
      <c r="V911" s="315"/>
      <c r="W911" s="315"/>
      <c r="X911" s="315"/>
      <c r="Y911" s="315"/>
      <c r="Z911" s="315"/>
    </row>
    <row r="912">
      <c r="A912" s="315"/>
      <c r="B912" s="315"/>
      <c r="C912" s="315"/>
      <c r="D912" s="315"/>
      <c r="E912" s="315"/>
      <c r="F912" s="315"/>
      <c r="G912" s="315"/>
      <c r="H912" s="315"/>
      <c r="I912" s="315"/>
      <c r="J912" s="315"/>
      <c r="K912" s="315"/>
      <c r="L912" s="315"/>
      <c r="M912" s="315"/>
      <c r="N912" s="315"/>
      <c r="O912" s="315"/>
      <c r="P912" s="315"/>
      <c r="Q912" s="315"/>
      <c r="R912" s="315"/>
      <c r="S912" s="315"/>
      <c r="T912" s="315"/>
      <c r="U912" s="315"/>
      <c r="V912" s="315"/>
      <c r="W912" s="315"/>
      <c r="X912" s="315"/>
      <c r="Y912" s="315"/>
      <c r="Z912" s="315"/>
    </row>
    <row r="913">
      <c r="A913" s="315"/>
      <c r="B913" s="315"/>
      <c r="C913" s="315"/>
      <c r="D913" s="315"/>
      <c r="E913" s="315"/>
      <c r="F913" s="315"/>
      <c r="G913" s="315"/>
      <c r="H913" s="315"/>
      <c r="I913" s="315"/>
      <c r="J913" s="315"/>
      <c r="K913" s="315"/>
      <c r="L913" s="315"/>
      <c r="M913" s="315"/>
      <c r="N913" s="315"/>
      <c r="O913" s="315"/>
      <c r="P913" s="315"/>
      <c r="Q913" s="315"/>
      <c r="R913" s="315"/>
      <c r="S913" s="315"/>
      <c r="T913" s="315"/>
      <c r="U913" s="315"/>
      <c r="V913" s="315"/>
      <c r="W913" s="315"/>
      <c r="X913" s="315"/>
      <c r="Y913" s="315"/>
      <c r="Z913" s="315"/>
    </row>
    <row r="914">
      <c r="A914" s="315"/>
      <c r="B914" s="315"/>
      <c r="C914" s="315"/>
      <c r="D914" s="315"/>
      <c r="E914" s="315"/>
      <c r="F914" s="315"/>
      <c r="G914" s="315"/>
      <c r="H914" s="315"/>
      <c r="I914" s="315"/>
      <c r="J914" s="315"/>
      <c r="K914" s="315"/>
      <c r="L914" s="315"/>
      <c r="M914" s="315"/>
      <c r="N914" s="315"/>
      <c r="O914" s="315"/>
      <c r="P914" s="315"/>
      <c r="Q914" s="315"/>
      <c r="R914" s="315"/>
      <c r="S914" s="315"/>
      <c r="T914" s="315"/>
      <c r="U914" s="315"/>
      <c r="V914" s="315"/>
      <c r="W914" s="315"/>
      <c r="X914" s="315"/>
      <c r="Y914" s="315"/>
      <c r="Z914" s="315"/>
    </row>
    <row r="915">
      <c r="A915" s="315"/>
      <c r="B915" s="315"/>
      <c r="C915" s="315"/>
      <c r="D915" s="315"/>
      <c r="E915" s="315"/>
      <c r="F915" s="315"/>
      <c r="G915" s="315"/>
      <c r="H915" s="315"/>
      <c r="I915" s="315"/>
      <c r="J915" s="315"/>
      <c r="K915" s="315"/>
      <c r="L915" s="315"/>
      <c r="M915" s="315"/>
      <c r="N915" s="315"/>
      <c r="O915" s="315"/>
      <c r="P915" s="315"/>
      <c r="Q915" s="315"/>
      <c r="R915" s="315"/>
      <c r="S915" s="315"/>
      <c r="T915" s="315"/>
      <c r="U915" s="315"/>
      <c r="V915" s="315"/>
      <c r="W915" s="315"/>
      <c r="X915" s="315"/>
      <c r="Y915" s="315"/>
      <c r="Z915" s="315"/>
    </row>
    <row r="916">
      <c r="A916" s="315"/>
      <c r="B916" s="315"/>
      <c r="C916" s="315"/>
      <c r="D916" s="315"/>
      <c r="E916" s="315"/>
      <c r="F916" s="315"/>
      <c r="G916" s="315"/>
      <c r="H916" s="315"/>
      <c r="I916" s="315"/>
      <c r="J916" s="315"/>
      <c r="K916" s="315"/>
      <c r="L916" s="315"/>
      <c r="M916" s="315"/>
      <c r="N916" s="315"/>
      <c r="O916" s="315"/>
      <c r="P916" s="315"/>
      <c r="Q916" s="315"/>
      <c r="R916" s="315"/>
      <c r="S916" s="315"/>
      <c r="T916" s="315"/>
      <c r="U916" s="315"/>
      <c r="V916" s="315"/>
      <c r="W916" s="315"/>
      <c r="X916" s="315"/>
      <c r="Y916" s="315"/>
      <c r="Z916" s="315"/>
    </row>
    <row r="917">
      <c r="A917" s="315"/>
      <c r="B917" s="315"/>
      <c r="C917" s="315"/>
      <c r="D917" s="315"/>
      <c r="E917" s="315"/>
      <c r="F917" s="315"/>
      <c r="G917" s="315"/>
      <c r="H917" s="315"/>
      <c r="I917" s="315"/>
      <c r="J917" s="315"/>
      <c r="K917" s="315"/>
      <c r="L917" s="315"/>
      <c r="M917" s="315"/>
      <c r="N917" s="315"/>
      <c r="O917" s="315"/>
      <c r="P917" s="315"/>
      <c r="Q917" s="315"/>
      <c r="R917" s="315"/>
      <c r="S917" s="315"/>
      <c r="T917" s="315"/>
      <c r="U917" s="315"/>
      <c r="V917" s="315"/>
      <c r="W917" s="315"/>
      <c r="X917" s="315"/>
      <c r="Y917" s="315"/>
      <c r="Z917" s="315"/>
    </row>
    <row r="918">
      <c r="A918" s="315"/>
      <c r="B918" s="315"/>
      <c r="C918" s="315"/>
      <c r="D918" s="315"/>
      <c r="E918" s="315"/>
      <c r="F918" s="315"/>
      <c r="G918" s="315"/>
      <c r="H918" s="315"/>
      <c r="I918" s="315"/>
      <c r="J918" s="315"/>
      <c r="K918" s="315"/>
      <c r="L918" s="315"/>
      <c r="M918" s="315"/>
      <c r="N918" s="315"/>
      <c r="O918" s="315"/>
      <c r="P918" s="315"/>
      <c r="Q918" s="315"/>
      <c r="R918" s="315"/>
      <c r="S918" s="315"/>
      <c r="T918" s="315"/>
      <c r="U918" s="315"/>
      <c r="V918" s="315"/>
      <c r="W918" s="315"/>
      <c r="X918" s="315"/>
      <c r="Y918" s="315"/>
      <c r="Z918" s="315"/>
    </row>
    <row r="919">
      <c r="A919" s="315"/>
      <c r="B919" s="315"/>
      <c r="C919" s="315"/>
      <c r="D919" s="315"/>
      <c r="E919" s="315"/>
      <c r="F919" s="315"/>
      <c r="G919" s="315"/>
      <c r="H919" s="315"/>
      <c r="I919" s="315"/>
      <c r="J919" s="315"/>
      <c r="K919" s="315"/>
      <c r="L919" s="315"/>
      <c r="M919" s="315"/>
      <c r="N919" s="315"/>
      <c r="O919" s="315"/>
      <c r="P919" s="315"/>
      <c r="Q919" s="315"/>
      <c r="R919" s="315"/>
      <c r="S919" s="315"/>
      <c r="T919" s="315"/>
      <c r="U919" s="315"/>
      <c r="V919" s="315"/>
      <c r="W919" s="315"/>
      <c r="X919" s="315"/>
      <c r="Y919" s="315"/>
      <c r="Z919" s="315"/>
    </row>
    <row r="920">
      <c r="A920" s="315"/>
      <c r="B920" s="315"/>
      <c r="C920" s="315"/>
      <c r="D920" s="315"/>
      <c r="E920" s="315"/>
      <c r="F920" s="315"/>
      <c r="G920" s="315"/>
      <c r="H920" s="315"/>
      <c r="I920" s="315"/>
      <c r="J920" s="315"/>
      <c r="K920" s="315"/>
      <c r="L920" s="315"/>
      <c r="M920" s="315"/>
      <c r="N920" s="315"/>
      <c r="O920" s="315"/>
      <c r="P920" s="315"/>
      <c r="Q920" s="315"/>
      <c r="R920" s="315"/>
      <c r="S920" s="315"/>
      <c r="T920" s="315"/>
      <c r="U920" s="315"/>
      <c r="V920" s="315"/>
      <c r="W920" s="315"/>
      <c r="X920" s="315"/>
      <c r="Y920" s="315"/>
      <c r="Z920" s="315"/>
    </row>
    <row r="921">
      <c r="A921" s="315"/>
      <c r="B921" s="315"/>
      <c r="C921" s="315"/>
      <c r="D921" s="315"/>
      <c r="E921" s="315"/>
      <c r="F921" s="315"/>
      <c r="G921" s="315"/>
      <c r="H921" s="315"/>
      <c r="I921" s="315"/>
      <c r="J921" s="315"/>
      <c r="K921" s="315"/>
      <c r="L921" s="315"/>
      <c r="M921" s="315"/>
      <c r="N921" s="315"/>
      <c r="O921" s="315"/>
      <c r="P921" s="315"/>
      <c r="Q921" s="315"/>
      <c r="R921" s="315"/>
      <c r="S921" s="315"/>
      <c r="T921" s="315"/>
      <c r="U921" s="315"/>
      <c r="V921" s="315"/>
      <c r="W921" s="315"/>
      <c r="X921" s="315"/>
      <c r="Y921" s="315"/>
      <c r="Z921" s="315"/>
    </row>
    <row r="922">
      <c r="A922" s="315"/>
      <c r="B922" s="315"/>
      <c r="C922" s="315"/>
      <c r="D922" s="315"/>
      <c r="E922" s="315"/>
      <c r="F922" s="315"/>
      <c r="G922" s="315"/>
      <c r="H922" s="315"/>
      <c r="I922" s="315"/>
      <c r="J922" s="315"/>
      <c r="K922" s="315"/>
      <c r="L922" s="315"/>
      <c r="M922" s="315"/>
      <c r="N922" s="315"/>
      <c r="O922" s="315"/>
      <c r="P922" s="315"/>
      <c r="Q922" s="315"/>
      <c r="R922" s="315"/>
      <c r="S922" s="315"/>
      <c r="T922" s="315"/>
      <c r="U922" s="315"/>
      <c r="V922" s="315"/>
      <c r="W922" s="315"/>
      <c r="X922" s="315"/>
      <c r="Y922" s="315"/>
      <c r="Z922" s="315"/>
    </row>
    <row r="923">
      <c r="A923" s="315"/>
      <c r="B923" s="315"/>
      <c r="C923" s="315"/>
      <c r="D923" s="315"/>
      <c r="E923" s="315"/>
      <c r="F923" s="315"/>
      <c r="G923" s="315"/>
      <c r="H923" s="315"/>
      <c r="I923" s="315"/>
      <c r="J923" s="315"/>
      <c r="K923" s="315"/>
      <c r="L923" s="315"/>
      <c r="M923" s="315"/>
      <c r="N923" s="315"/>
      <c r="O923" s="315"/>
      <c r="P923" s="315"/>
      <c r="Q923" s="315"/>
      <c r="R923" s="315"/>
      <c r="S923" s="315"/>
      <c r="T923" s="315"/>
      <c r="U923" s="315"/>
      <c r="V923" s="315"/>
      <c r="W923" s="315"/>
      <c r="X923" s="315"/>
      <c r="Y923" s="315"/>
      <c r="Z923" s="315"/>
    </row>
    <row r="924">
      <c r="A924" s="315"/>
      <c r="B924" s="315"/>
      <c r="C924" s="315"/>
      <c r="D924" s="315"/>
      <c r="E924" s="315"/>
      <c r="F924" s="315"/>
      <c r="G924" s="315"/>
      <c r="H924" s="315"/>
      <c r="I924" s="315"/>
      <c r="J924" s="315"/>
      <c r="K924" s="315"/>
      <c r="L924" s="315"/>
      <c r="M924" s="315"/>
      <c r="N924" s="315"/>
      <c r="O924" s="315"/>
      <c r="P924" s="315"/>
      <c r="Q924" s="315"/>
      <c r="R924" s="315"/>
      <c r="S924" s="315"/>
      <c r="T924" s="315"/>
      <c r="U924" s="315"/>
      <c r="V924" s="315"/>
      <c r="W924" s="315"/>
      <c r="X924" s="315"/>
      <c r="Y924" s="315"/>
      <c r="Z924" s="315"/>
    </row>
    <row r="925">
      <c r="A925" s="315"/>
      <c r="B925" s="315"/>
      <c r="C925" s="315"/>
      <c r="D925" s="315"/>
      <c r="E925" s="315"/>
      <c r="F925" s="315"/>
      <c r="G925" s="315"/>
      <c r="H925" s="315"/>
      <c r="I925" s="315"/>
      <c r="J925" s="315"/>
      <c r="K925" s="315"/>
      <c r="L925" s="315"/>
      <c r="M925" s="315"/>
      <c r="N925" s="315"/>
      <c r="O925" s="315"/>
      <c r="P925" s="315"/>
      <c r="Q925" s="315"/>
      <c r="R925" s="315"/>
      <c r="S925" s="315"/>
      <c r="T925" s="315"/>
      <c r="U925" s="315"/>
      <c r="V925" s="315"/>
      <c r="W925" s="315"/>
      <c r="X925" s="315"/>
      <c r="Y925" s="315"/>
      <c r="Z925" s="315"/>
    </row>
    <row r="926">
      <c r="A926" s="315"/>
      <c r="B926" s="315"/>
      <c r="C926" s="315"/>
      <c r="D926" s="315"/>
      <c r="E926" s="315"/>
      <c r="F926" s="315"/>
      <c r="G926" s="315"/>
      <c r="H926" s="315"/>
      <c r="I926" s="315"/>
      <c r="J926" s="315"/>
      <c r="K926" s="315"/>
      <c r="L926" s="315"/>
      <c r="M926" s="315"/>
      <c r="N926" s="315"/>
      <c r="O926" s="315"/>
      <c r="P926" s="315"/>
      <c r="Q926" s="315"/>
      <c r="R926" s="315"/>
      <c r="S926" s="315"/>
      <c r="T926" s="315"/>
      <c r="U926" s="315"/>
      <c r="V926" s="315"/>
      <c r="W926" s="315"/>
      <c r="X926" s="315"/>
      <c r="Y926" s="315"/>
      <c r="Z926" s="315"/>
    </row>
    <row r="927">
      <c r="A927" s="315"/>
      <c r="B927" s="315"/>
      <c r="C927" s="315"/>
      <c r="D927" s="315"/>
      <c r="E927" s="315"/>
      <c r="F927" s="315"/>
      <c r="G927" s="315"/>
      <c r="H927" s="315"/>
      <c r="I927" s="315"/>
      <c r="J927" s="315"/>
      <c r="K927" s="315"/>
      <c r="L927" s="315"/>
      <c r="M927" s="315"/>
      <c r="N927" s="315"/>
      <c r="O927" s="315"/>
      <c r="P927" s="315"/>
      <c r="Q927" s="315"/>
      <c r="R927" s="315"/>
      <c r="S927" s="315"/>
      <c r="T927" s="315"/>
      <c r="U927" s="315"/>
      <c r="V927" s="315"/>
      <c r="W927" s="315"/>
      <c r="X927" s="315"/>
      <c r="Y927" s="315"/>
      <c r="Z927" s="315"/>
    </row>
    <row r="928">
      <c r="A928" s="315"/>
      <c r="B928" s="315"/>
      <c r="C928" s="315"/>
      <c r="D928" s="315"/>
      <c r="E928" s="315"/>
      <c r="F928" s="315"/>
      <c r="G928" s="315"/>
      <c r="H928" s="315"/>
      <c r="I928" s="315"/>
      <c r="J928" s="315"/>
      <c r="K928" s="315"/>
      <c r="L928" s="315"/>
      <c r="M928" s="315"/>
      <c r="N928" s="315"/>
      <c r="O928" s="315"/>
      <c r="P928" s="315"/>
      <c r="Q928" s="315"/>
      <c r="R928" s="315"/>
      <c r="S928" s="315"/>
      <c r="T928" s="315"/>
      <c r="U928" s="315"/>
      <c r="V928" s="315"/>
      <c r="W928" s="315"/>
      <c r="X928" s="315"/>
      <c r="Y928" s="315"/>
      <c r="Z928" s="315"/>
    </row>
    <row r="929">
      <c r="A929" s="315"/>
      <c r="B929" s="315"/>
      <c r="C929" s="315"/>
      <c r="D929" s="315"/>
      <c r="E929" s="315"/>
      <c r="F929" s="315"/>
      <c r="G929" s="315"/>
      <c r="H929" s="315"/>
      <c r="I929" s="315"/>
      <c r="J929" s="315"/>
      <c r="K929" s="315"/>
      <c r="L929" s="315"/>
      <c r="M929" s="315"/>
      <c r="N929" s="315"/>
      <c r="O929" s="315"/>
      <c r="P929" s="315"/>
      <c r="Q929" s="315"/>
      <c r="R929" s="315"/>
      <c r="S929" s="315"/>
      <c r="T929" s="315"/>
      <c r="U929" s="315"/>
      <c r="V929" s="315"/>
      <c r="W929" s="315"/>
      <c r="X929" s="315"/>
      <c r="Y929" s="315"/>
      <c r="Z929" s="315"/>
    </row>
    <row r="930">
      <c r="A930" s="315"/>
      <c r="B930" s="315"/>
      <c r="C930" s="315"/>
      <c r="D930" s="315"/>
      <c r="E930" s="315"/>
      <c r="F930" s="315"/>
      <c r="G930" s="315"/>
      <c r="H930" s="315"/>
      <c r="I930" s="315"/>
      <c r="J930" s="315"/>
      <c r="K930" s="315"/>
      <c r="L930" s="315"/>
      <c r="M930" s="315"/>
      <c r="N930" s="315"/>
      <c r="O930" s="315"/>
      <c r="P930" s="315"/>
      <c r="Q930" s="315"/>
      <c r="R930" s="315"/>
      <c r="S930" s="315"/>
      <c r="T930" s="315"/>
      <c r="U930" s="315"/>
      <c r="V930" s="315"/>
      <c r="W930" s="315"/>
      <c r="X930" s="315"/>
      <c r="Y930" s="315"/>
      <c r="Z930" s="315"/>
    </row>
    <row r="931">
      <c r="A931" s="315"/>
      <c r="B931" s="315"/>
      <c r="C931" s="315"/>
      <c r="D931" s="315"/>
      <c r="E931" s="315"/>
      <c r="F931" s="315"/>
      <c r="G931" s="315"/>
      <c r="H931" s="315"/>
      <c r="I931" s="315"/>
      <c r="J931" s="315"/>
      <c r="K931" s="315"/>
      <c r="L931" s="315"/>
      <c r="M931" s="315"/>
      <c r="N931" s="315"/>
      <c r="O931" s="315"/>
      <c r="P931" s="315"/>
      <c r="Q931" s="315"/>
      <c r="R931" s="315"/>
      <c r="S931" s="315"/>
      <c r="T931" s="315"/>
      <c r="U931" s="315"/>
      <c r="V931" s="315"/>
      <c r="W931" s="315"/>
      <c r="X931" s="315"/>
      <c r="Y931" s="315"/>
      <c r="Z931" s="315"/>
    </row>
    <row r="932">
      <c r="A932" s="315"/>
      <c r="B932" s="315"/>
      <c r="C932" s="315"/>
      <c r="D932" s="315"/>
      <c r="E932" s="315"/>
      <c r="F932" s="315"/>
      <c r="G932" s="315"/>
      <c r="H932" s="315"/>
      <c r="I932" s="315"/>
      <c r="J932" s="315"/>
      <c r="K932" s="315"/>
      <c r="L932" s="315"/>
      <c r="M932" s="315"/>
      <c r="N932" s="315"/>
      <c r="O932" s="315"/>
      <c r="P932" s="315"/>
      <c r="Q932" s="315"/>
      <c r="R932" s="315"/>
      <c r="S932" s="315"/>
      <c r="T932" s="315"/>
      <c r="U932" s="315"/>
      <c r="V932" s="315"/>
      <c r="W932" s="315"/>
      <c r="X932" s="315"/>
      <c r="Y932" s="315"/>
      <c r="Z932" s="315"/>
    </row>
    <row r="933">
      <c r="A933" s="315"/>
      <c r="B933" s="315"/>
      <c r="C933" s="315"/>
      <c r="D933" s="315"/>
      <c r="E933" s="315"/>
      <c r="F933" s="315"/>
      <c r="G933" s="315"/>
      <c r="H933" s="315"/>
      <c r="I933" s="315"/>
      <c r="J933" s="315"/>
      <c r="K933" s="315"/>
      <c r="L933" s="315"/>
      <c r="M933" s="315"/>
      <c r="N933" s="315"/>
      <c r="O933" s="315"/>
      <c r="P933" s="315"/>
      <c r="Q933" s="315"/>
      <c r="R933" s="315"/>
      <c r="S933" s="315"/>
      <c r="T933" s="315"/>
      <c r="U933" s="315"/>
      <c r="V933" s="315"/>
      <c r="W933" s="315"/>
      <c r="X933" s="315"/>
      <c r="Y933" s="315"/>
      <c r="Z933" s="315"/>
    </row>
    <row r="934">
      <c r="A934" s="315"/>
      <c r="B934" s="315"/>
      <c r="C934" s="315"/>
      <c r="D934" s="315"/>
      <c r="E934" s="315"/>
      <c r="F934" s="315"/>
      <c r="G934" s="315"/>
      <c r="H934" s="315"/>
      <c r="I934" s="315"/>
      <c r="J934" s="315"/>
      <c r="K934" s="315"/>
      <c r="L934" s="315"/>
      <c r="M934" s="315"/>
      <c r="N934" s="315"/>
      <c r="O934" s="315"/>
      <c r="P934" s="315"/>
      <c r="Q934" s="315"/>
      <c r="R934" s="315"/>
      <c r="S934" s="315"/>
      <c r="T934" s="315"/>
      <c r="U934" s="315"/>
      <c r="V934" s="315"/>
      <c r="W934" s="315"/>
      <c r="X934" s="315"/>
      <c r="Y934" s="315"/>
      <c r="Z934" s="315"/>
    </row>
    <row r="935">
      <c r="A935" s="315"/>
      <c r="B935" s="315"/>
      <c r="C935" s="315"/>
      <c r="D935" s="315"/>
      <c r="E935" s="315"/>
      <c r="F935" s="315"/>
      <c r="G935" s="315"/>
      <c r="H935" s="315"/>
      <c r="I935" s="315"/>
      <c r="J935" s="315"/>
      <c r="K935" s="315"/>
      <c r="L935" s="315"/>
      <c r="M935" s="315"/>
      <c r="N935" s="315"/>
      <c r="O935" s="315"/>
      <c r="P935" s="315"/>
      <c r="Q935" s="315"/>
      <c r="R935" s="315"/>
      <c r="S935" s="315"/>
      <c r="T935" s="315"/>
      <c r="U935" s="315"/>
      <c r="V935" s="315"/>
      <c r="W935" s="315"/>
      <c r="X935" s="315"/>
      <c r="Y935" s="315"/>
      <c r="Z935" s="315"/>
    </row>
    <row r="936">
      <c r="A936" s="315"/>
      <c r="B936" s="315"/>
      <c r="C936" s="315"/>
      <c r="D936" s="315"/>
      <c r="E936" s="315"/>
      <c r="F936" s="315"/>
      <c r="G936" s="315"/>
      <c r="H936" s="315"/>
      <c r="I936" s="315"/>
      <c r="J936" s="315"/>
      <c r="K936" s="315"/>
      <c r="L936" s="315"/>
      <c r="M936" s="315"/>
      <c r="N936" s="315"/>
      <c r="O936" s="315"/>
      <c r="P936" s="315"/>
      <c r="Q936" s="315"/>
      <c r="R936" s="315"/>
      <c r="S936" s="315"/>
      <c r="T936" s="315"/>
      <c r="U936" s="315"/>
      <c r="V936" s="315"/>
      <c r="W936" s="315"/>
      <c r="X936" s="315"/>
      <c r="Y936" s="315"/>
      <c r="Z936" s="315"/>
    </row>
    <row r="937">
      <c r="A937" s="315"/>
      <c r="B937" s="315"/>
      <c r="C937" s="315"/>
      <c r="D937" s="315"/>
      <c r="E937" s="315"/>
      <c r="F937" s="315"/>
      <c r="G937" s="315"/>
      <c r="H937" s="315"/>
      <c r="I937" s="315"/>
      <c r="J937" s="315"/>
      <c r="K937" s="315"/>
      <c r="L937" s="315"/>
      <c r="M937" s="315"/>
      <c r="N937" s="315"/>
      <c r="O937" s="315"/>
      <c r="P937" s="315"/>
      <c r="Q937" s="315"/>
      <c r="R937" s="315"/>
      <c r="S937" s="315"/>
      <c r="T937" s="315"/>
      <c r="U937" s="315"/>
      <c r="V937" s="315"/>
      <c r="W937" s="315"/>
      <c r="X937" s="315"/>
      <c r="Y937" s="315"/>
      <c r="Z937" s="315"/>
    </row>
    <row r="938">
      <c r="A938" s="315"/>
      <c r="B938" s="315"/>
      <c r="C938" s="315"/>
      <c r="D938" s="315"/>
      <c r="E938" s="315"/>
      <c r="F938" s="315"/>
      <c r="G938" s="315"/>
      <c r="H938" s="315"/>
      <c r="I938" s="315"/>
      <c r="J938" s="315"/>
      <c r="K938" s="315"/>
      <c r="L938" s="315"/>
      <c r="M938" s="315"/>
      <c r="N938" s="315"/>
      <c r="O938" s="315"/>
      <c r="P938" s="315"/>
      <c r="Q938" s="315"/>
      <c r="R938" s="315"/>
      <c r="S938" s="315"/>
      <c r="T938" s="315"/>
      <c r="U938" s="315"/>
      <c r="V938" s="315"/>
      <c r="W938" s="315"/>
      <c r="X938" s="315"/>
      <c r="Y938" s="315"/>
      <c r="Z938" s="315"/>
    </row>
    <row r="939">
      <c r="A939" s="315"/>
      <c r="B939" s="315"/>
      <c r="C939" s="315"/>
      <c r="D939" s="315"/>
      <c r="E939" s="315"/>
      <c r="F939" s="315"/>
      <c r="G939" s="315"/>
      <c r="H939" s="315"/>
      <c r="I939" s="315"/>
      <c r="J939" s="315"/>
      <c r="K939" s="315"/>
      <c r="L939" s="315"/>
      <c r="M939" s="315"/>
      <c r="N939" s="315"/>
      <c r="O939" s="315"/>
      <c r="P939" s="315"/>
      <c r="Q939" s="315"/>
      <c r="R939" s="315"/>
      <c r="S939" s="315"/>
      <c r="T939" s="315"/>
      <c r="U939" s="315"/>
      <c r="V939" s="315"/>
      <c r="W939" s="315"/>
      <c r="X939" s="315"/>
      <c r="Y939" s="315"/>
      <c r="Z939" s="315"/>
    </row>
    <row r="940">
      <c r="A940" s="315"/>
      <c r="B940" s="315"/>
      <c r="C940" s="315"/>
      <c r="D940" s="315"/>
      <c r="E940" s="315"/>
      <c r="F940" s="315"/>
      <c r="G940" s="315"/>
      <c r="H940" s="315"/>
      <c r="I940" s="315"/>
      <c r="J940" s="315"/>
      <c r="K940" s="315"/>
      <c r="L940" s="315"/>
      <c r="M940" s="315"/>
      <c r="N940" s="315"/>
      <c r="O940" s="315"/>
      <c r="P940" s="315"/>
      <c r="Q940" s="315"/>
      <c r="R940" s="315"/>
      <c r="S940" s="315"/>
      <c r="T940" s="315"/>
      <c r="U940" s="315"/>
      <c r="V940" s="315"/>
      <c r="W940" s="315"/>
      <c r="X940" s="315"/>
      <c r="Y940" s="315"/>
      <c r="Z940" s="315"/>
    </row>
    <row r="941">
      <c r="A941" s="315"/>
      <c r="B941" s="315"/>
      <c r="C941" s="315"/>
      <c r="D941" s="315"/>
      <c r="E941" s="315"/>
      <c r="F941" s="315"/>
      <c r="G941" s="315"/>
      <c r="H941" s="315"/>
      <c r="I941" s="315"/>
      <c r="J941" s="315"/>
      <c r="K941" s="315"/>
      <c r="L941" s="315"/>
      <c r="M941" s="315"/>
      <c r="N941" s="315"/>
      <c r="O941" s="315"/>
      <c r="P941" s="315"/>
      <c r="Q941" s="315"/>
      <c r="R941" s="315"/>
      <c r="S941" s="315"/>
      <c r="T941" s="315"/>
      <c r="U941" s="315"/>
      <c r="V941" s="315"/>
      <c r="W941" s="315"/>
      <c r="X941" s="315"/>
      <c r="Y941" s="315"/>
      <c r="Z941" s="315"/>
    </row>
    <row r="942">
      <c r="A942" s="315"/>
      <c r="B942" s="315"/>
      <c r="C942" s="315"/>
      <c r="D942" s="315"/>
      <c r="E942" s="315"/>
      <c r="F942" s="315"/>
      <c r="G942" s="315"/>
      <c r="H942" s="315"/>
      <c r="I942" s="315"/>
      <c r="J942" s="315"/>
      <c r="K942" s="315"/>
      <c r="L942" s="315"/>
      <c r="M942" s="315"/>
      <c r="N942" s="315"/>
      <c r="O942" s="315"/>
      <c r="P942" s="315"/>
      <c r="Q942" s="315"/>
      <c r="R942" s="315"/>
      <c r="S942" s="315"/>
      <c r="T942" s="315"/>
      <c r="U942" s="315"/>
      <c r="V942" s="315"/>
      <c r="W942" s="315"/>
      <c r="X942" s="315"/>
      <c r="Y942" s="315"/>
      <c r="Z942" s="315"/>
    </row>
    <row r="943">
      <c r="A943" s="315"/>
      <c r="B943" s="315"/>
      <c r="C943" s="315"/>
      <c r="D943" s="315"/>
      <c r="E943" s="315"/>
      <c r="F943" s="315"/>
      <c r="G943" s="315"/>
      <c r="H943" s="315"/>
      <c r="I943" s="315"/>
      <c r="J943" s="315"/>
      <c r="K943" s="315"/>
      <c r="L943" s="315"/>
      <c r="M943" s="315"/>
      <c r="N943" s="315"/>
      <c r="O943" s="315"/>
      <c r="P943" s="315"/>
      <c r="Q943" s="315"/>
      <c r="R943" s="315"/>
      <c r="S943" s="315"/>
      <c r="T943" s="315"/>
      <c r="U943" s="315"/>
      <c r="V943" s="315"/>
      <c r="W943" s="315"/>
      <c r="X943" s="315"/>
      <c r="Y943" s="315"/>
      <c r="Z943" s="315"/>
    </row>
    <row r="944">
      <c r="A944" s="315"/>
      <c r="B944" s="315"/>
      <c r="C944" s="315"/>
      <c r="D944" s="315"/>
      <c r="E944" s="315"/>
      <c r="F944" s="315"/>
      <c r="G944" s="315"/>
      <c r="H944" s="315"/>
      <c r="I944" s="315"/>
      <c r="J944" s="315"/>
      <c r="K944" s="315"/>
      <c r="L944" s="315"/>
      <c r="M944" s="315"/>
      <c r="N944" s="315"/>
      <c r="O944" s="315"/>
      <c r="P944" s="315"/>
      <c r="Q944" s="315"/>
      <c r="R944" s="315"/>
      <c r="S944" s="315"/>
      <c r="T944" s="315"/>
      <c r="U944" s="315"/>
      <c r="V944" s="315"/>
      <c r="W944" s="315"/>
      <c r="X944" s="315"/>
      <c r="Y944" s="315"/>
      <c r="Z944" s="315"/>
    </row>
    <row r="945">
      <c r="A945" s="315"/>
      <c r="B945" s="315"/>
      <c r="C945" s="315"/>
      <c r="D945" s="315"/>
      <c r="E945" s="315"/>
      <c r="F945" s="315"/>
      <c r="G945" s="315"/>
      <c r="H945" s="315"/>
      <c r="I945" s="315"/>
      <c r="J945" s="315"/>
      <c r="K945" s="315"/>
      <c r="L945" s="315"/>
      <c r="M945" s="315"/>
      <c r="N945" s="315"/>
      <c r="O945" s="315"/>
      <c r="P945" s="315"/>
      <c r="Q945" s="315"/>
      <c r="R945" s="315"/>
      <c r="S945" s="315"/>
      <c r="T945" s="315"/>
      <c r="U945" s="315"/>
      <c r="V945" s="315"/>
      <c r="W945" s="315"/>
      <c r="X945" s="315"/>
      <c r="Y945" s="315"/>
      <c r="Z945" s="315"/>
    </row>
    <row r="946">
      <c r="A946" s="315"/>
      <c r="B946" s="315"/>
      <c r="C946" s="315"/>
      <c r="D946" s="315"/>
      <c r="E946" s="315"/>
      <c r="F946" s="315"/>
      <c r="G946" s="315"/>
      <c r="H946" s="315"/>
      <c r="I946" s="315"/>
      <c r="J946" s="315"/>
      <c r="K946" s="315"/>
      <c r="L946" s="315"/>
      <c r="M946" s="315"/>
      <c r="N946" s="315"/>
      <c r="O946" s="315"/>
      <c r="P946" s="315"/>
      <c r="Q946" s="315"/>
      <c r="R946" s="315"/>
      <c r="S946" s="315"/>
      <c r="T946" s="315"/>
      <c r="U946" s="315"/>
      <c r="V946" s="315"/>
      <c r="W946" s="315"/>
      <c r="X946" s="315"/>
      <c r="Y946" s="315"/>
      <c r="Z946" s="315"/>
    </row>
    <row r="947">
      <c r="A947" s="315"/>
      <c r="B947" s="315"/>
      <c r="C947" s="315"/>
      <c r="D947" s="315"/>
      <c r="E947" s="315"/>
      <c r="F947" s="315"/>
      <c r="G947" s="315"/>
      <c r="H947" s="315"/>
      <c r="I947" s="315"/>
      <c r="J947" s="315"/>
      <c r="K947" s="315"/>
      <c r="L947" s="315"/>
      <c r="M947" s="315"/>
      <c r="N947" s="315"/>
      <c r="O947" s="315"/>
      <c r="P947" s="315"/>
      <c r="Q947" s="315"/>
      <c r="R947" s="315"/>
      <c r="S947" s="315"/>
      <c r="T947" s="315"/>
      <c r="U947" s="315"/>
      <c r="V947" s="315"/>
      <c r="W947" s="315"/>
      <c r="X947" s="315"/>
      <c r="Y947" s="315"/>
      <c r="Z947" s="315"/>
    </row>
    <row r="948">
      <c r="A948" s="315"/>
      <c r="B948" s="315"/>
      <c r="C948" s="315"/>
      <c r="D948" s="315"/>
      <c r="E948" s="315"/>
      <c r="F948" s="315"/>
      <c r="G948" s="315"/>
      <c r="H948" s="315"/>
      <c r="I948" s="315"/>
      <c r="J948" s="315"/>
      <c r="K948" s="315"/>
      <c r="L948" s="315"/>
      <c r="M948" s="315"/>
      <c r="N948" s="315"/>
      <c r="O948" s="315"/>
      <c r="P948" s="315"/>
      <c r="Q948" s="315"/>
      <c r="R948" s="315"/>
      <c r="S948" s="315"/>
      <c r="T948" s="315"/>
      <c r="U948" s="315"/>
      <c r="V948" s="315"/>
      <c r="W948" s="315"/>
      <c r="X948" s="315"/>
      <c r="Y948" s="315"/>
      <c r="Z948" s="315"/>
    </row>
    <row r="949">
      <c r="A949" s="315"/>
      <c r="B949" s="315"/>
      <c r="C949" s="315"/>
      <c r="D949" s="315"/>
      <c r="E949" s="315"/>
      <c r="F949" s="315"/>
      <c r="G949" s="315"/>
      <c r="H949" s="315"/>
      <c r="I949" s="315"/>
      <c r="J949" s="315"/>
      <c r="K949" s="315"/>
      <c r="L949" s="315"/>
      <c r="M949" s="315"/>
      <c r="N949" s="315"/>
      <c r="O949" s="315"/>
      <c r="P949" s="315"/>
      <c r="Q949" s="315"/>
      <c r="R949" s="315"/>
      <c r="S949" s="315"/>
      <c r="T949" s="315"/>
      <c r="U949" s="315"/>
      <c r="V949" s="315"/>
      <c r="W949" s="315"/>
      <c r="X949" s="315"/>
      <c r="Y949" s="315"/>
      <c r="Z949" s="315"/>
    </row>
    <row r="950">
      <c r="A950" s="315"/>
      <c r="B950" s="315"/>
      <c r="C950" s="315"/>
      <c r="D950" s="315"/>
      <c r="E950" s="315"/>
      <c r="F950" s="315"/>
      <c r="G950" s="315"/>
      <c r="H950" s="315"/>
      <c r="I950" s="315"/>
      <c r="J950" s="315"/>
      <c r="K950" s="315"/>
      <c r="L950" s="315"/>
      <c r="M950" s="315"/>
      <c r="N950" s="315"/>
      <c r="O950" s="315"/>
      <c r="P950" s="315"/>
      <c r="Q950" s="315"/>
      <c r="R950" s="315"/>
      <c r="S950" s="315"/>
      <c r="T950" s="315"/>
      <c r="U950" s="315"/>
      <c r="V950" s="315"/>
      <c r="W950" s="315"/>
      <c r="X950" s="315"/>
      <c r="Y950" s="315"/>
      <c r="Z950" s="315"/>
    </row>
    <row r="951">
      <c r="A951" s="315"/>
      <c r="B951" s="315"/>
      <c r="C951" s="315"/>
      <c r="D951" s="315"/>
      <c r="E951" s="315"/>
      <c r="F951" s="315"/>
      <c r="G951" s="315"/>
      <c r="H951" s="315"/>
      <c r="I951" s="315"/>
      <c r="J951" s="315"/>
      <c r="K951" s="315"/>
      <c r="L951" s="315"/>
      <c r="M951" s="315"/>
      <c r="N951" s="315"/>
      <c r="O951" s="315"/>
      <c r="P951" s="315"/>
      <c r="Q951" s="315"/>
      <c r="R951" s="315"/>
      <c r="S951" s="315"/>
      <c r="T951" s="315"/>
      <c r="U951" s="315"/>
      <c r="V951" s="315"/>
      <c r="W951" s="315"/>
      <c r="X951" s="315"/>
      <c r="Y951" s="315"/>
      <c r="Z951" s="315"/>
    </row>
    <row r="952">
      <c r="A952" s="315"/>
      <c r="B952" s="315"/>
      <c r="C952" s="315"/>
      <c r="D952" s="315"/>
      <c r="E952" s="315"/>
      <c r="F952" s="315"/>
      <c r="G952" s="315"/>
      <c r="H952" s="315"/>
      <c r="I952" s="315"/>
      <c r="J952" s="315"/>
      <c r="K952" s="315"/>
      <c r="L952" s="315"/>
      <c r="M952" s="315"/>
      <c r="N952" s="315"/>
      <c r="O952" s="315"/>
      <c r="P952" s="315"/>
      <c r="Q952" s="315"/>
      <c r="R952" s="315"/>
      <c r="S952" s="315"/>
      <c r="T952" s="315"/>
      <c r="U952" s="315"/>
      <c r="V952" s="315"/>
      <c r="W952" s="315"/>
      <c r="X952" s="315"/>
      <c r="Y952" s="315"/>
      <c r="Z952" s="315"/>
    </row>
    <row r="953">
      <c r="A953" s="315"/>
      <c r="B953" s="315"/>
      <c r="C953" s="315"/>
      <c r="D953" s="315"/>
      <c r="E953" s="315"/>
      <c r="F953" s="315"/>
      <c r="G953" s="315"/>
      <c r="H953" s="315"/>
      <c r="I953" s="315"/>
      <c r="J953" s="315"/>
      <c r="K953" s="315"/>
      <c r="L953" s="315"/>
      <c r="M953" s="315"/>
      <c r="N953" s="315"/>
      <c r="O953" s="315"/>
      <c r="P953" s="315"/>
      <c r="Q953" s="315"/>
      <c r="R953" s="315"/>
      <c r="S953" s="315"/>
      <c r="T953" s="315"/>
      <c r="U953" s="315"/>
      <c r="V953" s="315"/>
      <c r="W953" s="315"/>
      <c r="X953" s="315"/>
      <c r="Y953" s="315"/>
      <c r="Z953" s="315"/>
    </row>
    <row r="954">
      <c r="A954" s="315"/>
      <c r="B954" s="315"/>
      <c r="C954" s="315"/>
      <c r="D954" s="315"/>
      <c r="E954" s="315"/>
      <c r="F954" s="315"/>
      <c r="G954" s="315"/>
      <c r="H954" s="315"/>
      <c r="I954" s="315"/>
      <c r="J954" s="315"/>
      <c r="K954" s="315"/>
      <c r="L954" s="315"/>
      <c r="M954" s="315"/>
      <c r="N954" s="315"/>
      <c r="O954" s="315"/>
      <c r="P954" s="315"/>
      <c r="Q954" s="315"/>
      <c r="R954" s="315"/>
      <c r="S954" s="315"/>
      <c r="T954" s="315"/>
      <c r="U954" s="315"/>
      <c r="V954" s="315"/>
      <c r="W954" s="315"/>
      <c r="X954" s="315"/>
      <c r="Y954" s="315"/>
      <c r="Z954" s="315"/>
    </row>
    <row r="955">
      <c r="A955" s="315"/>
      <c r="B955" s="315"/>
      <c r="C955" s="315"/>
      <c r="D955" s="315"/>
      <c r="E955" s="315"/>
      <c r="F955" s="315"/>
      <c r="G955" s="315"/>
      <c r="H955" s="315"/>
      <c r="I955" s="315"/>
      <c r="J955" s="315"/>
      <c r="K955" s="315"/>
      <c r="L955" s="315"/>
      <c r="M955" s="315"/>
      <c r="N955" s="315"/>
      <c r="O955" s="315"/>
      <c r="P955" s="315"/>
      <c r="Q955" s="315"/>
      <c r="R955" s="315"/>
      <c r="S955" s="315"/>
      <c r="T955" s="315"/>
      <c r="U955" s="315"/>
      <c r="V955" s="315"/>
      <c r="W955" s="315"/>
      <c r="X955" s="315"/>
      <c r="Y955" s="315"/>
      <c r="Z955" s="315"/>
    </row>
    <row r="956">
      <c r="A956" s="315"/>
      <c r="B956" s="315"/>
      <c r="C956" s="315"/>
      <c r="D956" s="315"/>
      <c r="E956" s="315"/>
      <c r="F956" s="315"/>
      <c r="G956" s="315"/>
      <c r="H956" s="315"/>
      <c r="I956" s="315"/>
      <c r="J956" s="315"/>
      <c r="K956" s="315"/>
      <c r="L956" s="315"/>
      <c r="M956" s="315"/>
      <c r="N956" s="315"/>
      <c r="O956" s="315"/>
      <c r="P956" s="315"/>
      <c r="Q956" s="315"/>
      <c r="R956" s="315"/>
      <c r="S956" s="315"/>
      <c r="T956" s="315"/>
      <c r="U956" s="315"/>
      <c r="V956" s="315"/>
      <c r="W956" s="315"/>
      <c r="X956" s="315"/>
      <c r="Y956" s="315"/>
      <c r="Z956" s="315"/>
    </row>
    <row r="957">
      <c r="A957" s="315"/>
      <c r="B957" s="315"/>
      <c r="C957" s="315"/>
      <c r="D957" s="315"/>
      <c r="E957" s="315"/>
      <c r="F957" s="315"/>
      <c r="G957" s="315"/>
      <c r="H957" s="315"/>
      <c r="I957" s="315"/>
      <c r="J957" s="315"/>
      <c r="K957" s="315"/>
      <c r="L957" s="315"/>
      <c r="M957" s="315"/>
      <c r="N957" s="315"/>
      <c r="O957" s="315"/>
      <c r="P957" s="315"/>
      <c r="Q957" s="315"/>
      <c r="R957" s="315"/>
      <c r="S957" s="315"/>
      <c r="T957" s="315"/>
      <c r="U957" s="315"/>
      <c r="V957" s="315"/>
      <c r="W957" s="315"/>
      <c r="X957" s="315"/>
      <c r="Y957" s="315"/>
      <c r="Z957" s="315"/>
    </row>
    <row r="958">
      <c r="A958" s="315"/>
      <c r="B958" s="315"/>
      <c r="C958" s="315"/>
      <c r="D958" s="315"/>
      <c r="E958" s="315"/>
      <c r="F958" s="315"/>
      <c r="G958" s="315"/>
      <c r="H958" s="315"/>
      <c r="I958" s="315"/>
      <c r="J958" s="315"/>
      <c r="K958" s="315"/>
      <c r="L958" s="315"/>
      <c r="M958" s="315"/>
      <c r="N958" s="315"/>
      <c r="O958" s="315"/>
      <c r="P958" s="315"/>
      <c r="Q958" s="315"/>
      <c r="R958" s="315"/>
      <c r="S958" s="315"/>
      <c r="T958" s="315"/>
      <c r="U958" s="315"/>
      <c r="V958" s="315"/>
      <c r="W958" s="315"/>
      <c r="X958" s="315"/>
      <c r="Y958" s="315"/>
      <c r="Z958" s="315"/>
    </row>
    <row r="959">
      <c r="A959" s="315"/>
      <c r="B959" s="315"/>
      <c r="C959" s="315"/>
      <c r="D959" s="315"/>
      <c r="E959" s="315"/>
      <c r="F959" s="315"/>
      <c r="G959" s="315"/>
      <c r="H959" s="315"/>
      <c r="I959" s="315"/>
      <c r="J959" s="315"/>
      <c r="K959" s="315"/>
      <c r="L959" s="315"/>
      <c r="M959" s="315"/>
      <c r="N959" s="315"/>
      <c r="O959" s="315"/>
      <c r="P959" s="315"/>
      <c r="Q959" s="315"/>
      <c r="R959" s="315"/>
      <c r="S959" s="315"/>
      <c r="T959" s="315"/>
      <c r="U959" s="315"/>
      <c r="V959" s="315"/>
      <c r="W959" s="315"/>
      <c r="X959" s="315"/>
      <c r="Y959" s="315"/>
      <c r="Z959" s="315"/>
    </row>
    <row r="960">
      <c r="A960" s="315"/>
      <c r="B960" s="315"/>
      <c r="C960" s="315"/>
      <c r="D960" s="315"/>
      <c r="E960" s="315"/>
      <c r="F960" s="315"/>
      <c r="G960" s="315"/>
      <c r="H960" s="315"/>
      <c r="I960" s="315"/>
      <c r="J960" s="315"/>
      <c r="K960" s="315"/>
      <c r="L960" s="315"/>
      <c r="M960" s="315"/>
      <c r="N960" s="315"/>
      <c r="O960" s="315"/>
      <c r="P960" s="315"/>
      <c r="Q960" s="315"/>
      <c r="R960" s="315"/>
      <c r="S960" s="315"/>
      <c r="T960" s="315"/>
      <c r="U960" s="315"/>
      <c r="V960" s="315"/>
      <c r="W960" s="315"/>
      <c r="X960" s="315"/>
      <c r="Y960" s="315"/>
      <c r="Z960" s="315"/>
    </row>
    <row r="961">
      <c r="A961" s="315"/>
      <c r="B961" s="315"/>
      <c r="C961" s="315"/>
      <c r="D961" s="315"/>
      <c r="E961" s="315"/>
      <c r="F961" s="315"/>
      <c r="G961" s="315"/>
      <c r="H961" s="315"/>
      <c r="I961" s="315"/>
      <c r="J961" s="315"/>
      <c r="K961" s="315"/>
      <c r="L961" s="315"/>
      <c r="M961" s="315"/>
      <c r="N961" s="315"/>
      <c r="O961" s="315"/>
      <c r="P961" s="315"/>
      <c r="Q961" s="315"/>
      <c r="R961" s="315"/>
      <c r="S961" s="315"/>
      <c r="T961" s="315"/>
      <c r="U961" s="315"/>
      <c r="V961" s="315"/>
      <c r="W961" s="315"/>
      <c r="X961" s="315"/>
      <c r="Y961" s="315"/>
      <c r="Z961" s="315"/>
    </row>
    <row r="962">
      <c r="A962" s="315"/>
      <c r="B962" s="315"/>
      <c r="C962" s="315"/>
      <c r="D962" s="315"/>
      <c r="E962" s="315"/>
      <c r="F962" s="315"/>
      <c r="G962" s="315"/>
      <c r="H962" s="315"/>
      <c r="I962" s="315"/>
      <c r="J962" s="315"/>
      <c r="K962" s="315"/>
      <c r="L962" s="315"/>
      <c r="M962" s="315"/>
      <c r="N962" s="315"/>
      <c r="O962" s="315"/>
      <c r="P962" s="315"/>
      <c r="Q962" s="315"/>
      <c r="R962" s="315"/>
      <c r="S962" s="315"/>
      <c r="T962" s="315"/>
      <c r="U962" s="315"/>
      <c r="V962" s="315"/>
      <c r="W962" s="315"/>
      <c r="X962" s="315"/>
      <c r="Y962" s="315"/>
      <c r="Z962" s="315"/>
    </row>
    <row r="963">
      <c r="A963" s="315"/>
      <c r="B963" s="315"/>
      <c r="C963" s="315"/>
      <c r="D963" s="315"/>
      <c r="E963" s="315"/>
      <c r="F963" s="315"/>
      <c r="G963" s="315"/>
      <c r="H963" s="315"/>
      <c r="I963" s="315"/>
      <c r="J963" s="315"/>
      <c r="K963" s="315"/>
      <c r="L963" s="315"/>
      <c r="M963" s="315"/>
      <c r="N963" s="315"/>
      <c r="O963" s="315"/>
      <c r="P963" s="315"/>
      <c r="Q963" s="315"/>
      <c r="R963" s="315"/>
      <c r="S963" s="315"/>
      <c r="T963" s="315"/>
      <c r="U963" s="315"/>
      <c r="V963" s="315"/>
      <c r="W963" s="315"/>
      <c r="X963" s="315"/>
      <c r="Y963" s="315"/>
      <c r="Z963" s="315"/>
    </row>
    <row r="964">
      <c r="A964" s="315"/>
      <c r="B964" s="315"/>
      <c r="C964" s="315"/>
      <c r="D964" s="315"/>
      <c r="E964" s="315"/>
      <c r="F964" s="315"/>
      <c r="G964" s="315"/>
      <c r="H964" s="315"/>
      <c r="I964" s="315"/>
      <c r="J964" s="315"/>
      <c r="K964" s="315"/>
      <c r="L964" s="315"/>
      <c r="M964" s="315"/>
      <c r="N964" s="315"/>
      <c r="O964" s="315"/>
      <c r="P964" s="315"/>
      <c r="Q964" s="315"/>
      <c r="R964" s="315"/>
      <c r="S964" s="315"/>
      <c r="T964" s="315"/>
      <c r="U964" s="315"/>
      <c r="V964" s="315"/>
      <c r="W964" s="315"/>
      <c r="X964" s="315"/>
      <c r="Y964" s="315"/>
      <c r="Z964" s="315"/>
    </row>
    <row r="965">
      <c r="A965" s="315"/>
      <c r="B965" s="315"/>
      <c r="C965" s="315"/>
      <c r="D965" s="315"/>
      <c r="E965" s="315"/>
      <c r="F965" s="315"/>
      <c r="G965" s="315"/>
      <c r="H965" s="315"/>
      <c r="I965" s="315"/>
      <c r="J965" s="315"/>
      <c r="K965" s="315"/>
      <c r="L965" s="315"/>
      <c r="M965" s="315"/>
      <c r="N965" s="315"/>
      <c r="O965" s="315"/>
      <c r="P965" s="315"/>
      <c r="Q965" s="315"/>
      <c r="R965" s="315"/>
      <c r="S965" s="315"/>
      <c r="T965" s="315"/>
      <c r="U965" s="315"/>
      <c r="V965" s="315"/>
      <c r="W965" s="315"/>
      <c r="X965" s="315"/>
      <c r="Y965" s="315"/>
      <c r="Z965" s="315"/>
    </row>
    <row r="966">
      <c r="A966" s="315"/>
      <c r="B966" s="315"/>
      <c r="C966" s="315"/>
      <c r="D966" s="315"/>
      <c r="E966" s="315"/>
      <c r="F966" s="315"/>
      <c r="G966" s="315"/>
      <c r="H966" s="315"/>
      <c r="I966" s="315"/>
      <c r="J966" s="315"/>
      <c r="K966" s="315"/>
      <c r="L966" s="315"/>
      <c r="M966" s="315"/>
      <c r="N966" s="315"/>
      <c r="O966" s="315"/>
      <c r="P966" s="315"/>
      <c r="Q966" s="315"/>
      <c r="R966" s="315"/>
      <c r="S966" s="315"/>
      <c r="T966" s="315"/>
      <c r="U966" s="315"/>
      <c r="V966" s="315"/>
      <c r="W966" s="315"/>
      <c r="X966" s="315"/>
      <c r="Y966" s="315"/>
      <c r="Z966" s="315"/>
    </row>
    <row r="967">
      <c r="A967" s="315"/>
      <c r="B967" s="315"/>
      <c r="C967" s="315"/>
      <c r="D967" s="315"/>
      <c r="E967" s="315"/>
      <c r="F967" s="315"/>
      <c r="G967" s="315"/>
      <c r="H967" s="315"/>
      <c r="I967" s="315"/>
      <c r="J967" s="315"/>
      <c r="K967" s="315"/>
      <c r="L967" s="315"/>
      <c r="M967" s="315"/>
      <c r="N967" s="315"/>
      <c r="O967" s="315"/>
      <c r="P967" s="315"/>
      <c r="Q967" s="315"/>
      <c r="R967" s="315"/>
      <c r="S967" s="315"/>
      <c r="T967" s="315"/>
      <c r="U967" s="315"/>
      <c r="V967" s="315"/>
      <c r="W967" s="315"/>
      <c r="X967" s="315"/>
      <c r="Y967" s="315"/>
      <c r="Z967" s="315"/>
    </row>
    <row r="968">
      <c r="A968" s="315"/>
      <c r="B968" s="315"/>
      <c r="C968" s="315"/>
      <c r="D968" s="315"/>
      <c r="E968" s="315"/>
      <c r="F968" s="315"/>
      <c r="G968" s="315"/>
      <c r="H968" s="315"/>
      <c r="I968" s="315"/>
      <c r="J968" s="315"/>
      <c r="K968" s="315"/>
      <c r="L968" s="315"/>
      <c r="M968" s="315"/>
      <c r="N968" s="315"/>
      <c r="O968" s="315"/>
      <c r="P968" s="315"/>
      <c r="Q968" s="315"/>
      <c r="R968" s="315"/>
      <c r="S968" s="315"/>
      <c r="T968" s="315"/>
      <c r="U968" s="315"/>
      <c r="V968" s="315"/>
      <c r="W968" s="315"/>
      <c r="X968" s="315"/>
      <c r="Y968" s="315"/>
      <c r="Z968" s="315"/>
    </row>
    <row r="969">
      <c r="A969" s="315"/>
      <c r="B969" s="315"/>
      <c r="C969" s="315"/>
      <c r="D969" s="315"/>
      <c r="E969" s="315"/>
      <c r="F969" s="315"/>
      <c r="G969" s="315"/>
      <c r="H969" s="315"/>
      <c r="I969" s="315"/>
      <c r="J969" s="315"/>
      <c r="K969" s="315"/>
      <c r="L969" s="315"/>
      <c r="M969" s="315"/>
      <c r="N969" s="315"/>
      <c r="O969" s="315"/>
      <c r="P969" s="315"/>
      <c r="Q969" s="315"/>
      <c r="R969" s="315"/>
      <c r="S969" s="315"/>
      <c r="T969" s="315"/>
      <c r="U969" s="315"/>
      <c r="V969" s="315"/>
      <c r="W969" s="315"/>
      <c r="X969" s="315"/>
      <c r="Y969" s="315"/>
      <c r="Z969" s="315"/>
    </row>
    <row r="970">
      <c r="A970" s="315"/>
      <c r="B970" s="315"/>
      <c r="C970" s="315"/>
      <c r="D970" s="315"/>
      <c r="E970" s="315"/>
      <c r="F970" s="315"/>
      <c r="G970" s="315"/>
      <c r="H970" s="315"/>
      <c r="I970" s="315"/>
      <c r="J970" s="315"/>
      <c r="K970" s="315"/>
      <c r="L970" s="315"/>
      <c r="M970" s="315"/>
      <c r="N970" s="315"/>
      <c r="O970" s="315"/>
      <c r="P970" s="315"/>
      <c r="Q970" s="315"/>
      <c r="R970" s="315"/>
      <c r="S970" s="315"/>
      <c r="T970" s="315"/>
      <c r="U970" s="315"/>
      <c r="V970" s="315"/>
      <c r="W970" s="315"/>
      <c r="X970" s="315"/>
      <c r="Y970" s="315"/>
      <c r="Z970" s="315"/>
    </row>
    <row r="971">
      <c r="A971" s="315"/>
      <c r="B971" s="315"/>
      <c r="C971" s="315"/>
      <c r="D971" s="315"/>
      <c r="E971" s="315"/>
      <c r="F971" s="315"/>
      <c r="G971" s="315"/>
      <c r="H971" s="315"/>
      <c r="I971" s="315"/>
      <c r="J971" s="315"/>
      <c r="K971" s="315"/>
      <c r="L971" s="315"/>
      <c r="M971" s="315"/>
      <c r="N971" s="315"/>
      <c r="O971" s="315"/>
      <c r="P971" s="315"/>
      <c r="Q971" s="315"/>
      <c r="R971" s="315"/>
      <c r="S971" s="315"/>
      <c r="T971" s="315"/>
      <c r="U971" s="315"/>
      <c r="V971" s="315"/>
      <c r="W971" s="315"/>
      <c r="X971" s="315"/>
      <c r="Y971" s="315"/>
      <c r="Z971" s="315"/>
    </row>
    <row r="972">
      <c r="A972" s="315"/>
      <c r="B972" s="315"/>
      <c r="C972" s="315"/>
      <c r="D972" s="315"/>
      <c r="E972" s="315"/>
      <c r="F972" s="315"/>
      <c r="G972" s="315"/>
      <c r="H972" s="315"/>
      <c r="I972" s="315"/>
      <c r="J972" s="315"/>
      <c r="K972" s="315"/>
      <c r="L972" s="315"/>
      <c r="M972" s="315"/>
      <c r="N972" s="315"/>
      <c r="O972" s="315"/>
      <c r="P972" s="315"/>
      <c r="Q972" s="315"/>
      <c r="R972" s="315"/>
      <c r="S972" s="315"/>
      <c r="T972" s="315"/>
      <c r="U972" s="315"/>
      <c r="V972" s="315"/>
      <c r="W972" s="315"/>
      <c r="X972" s="315"/>
      <c r="Y972" s="315"/>
      <c r="Z972" s="315"/>
    </row>
    <row r="973">
      <c r="A973" s="315"/>
      <c r="B973" s="315"/>
      <c r="C973" s="315"/>
      <c r="D973" s="315"/>
      <c r="E973" s="315"/>
      <c r="F973" s="315"/>
      <c r="G973" s="315"/>
      <c r="H973" s="315"/>
      <c r="I973" s="315"/>
      <c r="J973" s="315"/>
      <c r="K973" s="315"/>
      <c r="L973" s="315"/>
      <c r="M973" s="315"/>
      <c r="N973" s="315"/>
      <c r="O973" s="315"/>
      <c r="P973" s="315"/>
      <c r="Q973" s="315"/>
      <c r="R973" s="315"/>
      <c r="S973" s="315"/>
      <c r="T973" s="315"/>
      <c r="U973" s="315"/>
      <c r="V973" s="315"/>
      <c r="W973" s="315"/>
      <c r="X973" s="315"/>
      <c r="Y973" s="315"/>
      <c r="Z973" s="315"/>
    </row>
    <row r="974">
      <c r="A974" s="315"/>
      <c r="B974" s="315"/>
      <c r="C974" s="315"/>
      <c r="D974" s="315"/>
      <c r="E974" s="315"/>
      <c r="F974" s="315"/>
      <c r="G974" s="315"/>
      <c r="H974" s="315"/>
      <c r="I974" s="315"/>
      <c r="J974" s="315"/>
      <c r="K974" s="315"/>
      <c r="L974" s="315"/>
      <c r="M974" s="315"/>
      <c r="N974" s="315"/>
      <c r="O974" s="315"/>
      <c r="P974" s="315"/>
      <c r="Q974" s="315"/>
      <c r="R974" s="315"/>
      <c r="S974" s="315"/>
      <c r="T974" s="315"/>
      <c r="U974" s="315"/>
      <c r="V974" s="315"/>
      <c r="W974" s="315"/>
      <c r="X974" s="315"/>
      <c r="Y974" s="315"/>
      <c r="Z974" s="315"/>
    </row>
    <row r="975">
      <c r="A975" s="315"/>
      <c r="B975" s="315"/>
      <c r="C975" s="315"/>
      <c r="D975" s="315"/>
      <c r="E975" s="315"/>
      <c r="F975" s="315"/>
      <c r="G975" s="315"/>
      <c r="H975" s="315"/>
      <c r="I975" s="315"/>
      <c r="J975" s="315"/>
      <c r="K975" s="315"/>
      <c r="L975" s="315"/>
      <c r="M975" s="315"/>
      <c r="N975" s="315"/>
      <c r="O975" s="315"/>
      <c r="P975" s="315"/>
      <c r="Q975" s="315"/>
      <c r="R975" s="315"/>
      <c r="S975" s="315"/>
      <c r="T975" s="315"/>
      <c r="U975" s="315"/>
      <c r="V975" s="315"/>
      <c r="W975" s="315"/>
      <c r="X975" s="315"/>
      <c r="Y975" s="315"/>
      <c r="Z975" s="315"/>
    </row>
    <row r="976">
      <c r="A976" s="315"/>
      <c r="B976" s="315"/>
      <c r="C976" s="315"/>
      <c r="D976" s="315"/>
      <c r="E976" s="315"/>
      <c r="F976" s="315"/>
      <c r="G976" s="315"/>
      <c r="H976" s="315"/>
      <c r="I976" s="315"/>
      <c r="J976" s="315"/>
      <c r="K976" s="315"/>
      <c r="L976" s="315"/>
      <c r="M976" s="315"/>
      <c r="N976" s="315"/>
      <c r="O976" s="315"/>
      <c r="P976" s="315"/>
      <c r="Q976" s="315"/>
      <c r="R976" s="315"/>
      <c r="S976" s="315"/>
      <c r="T976" s="315"/>
      <c r="U976" s="315"/>
      <c r="V976" s="315"/>
      <c r="W976" s="315"/>
      <c r="X976" s="315"/>
      <c r="Y976" s="315"/>
      <c r="Z976" s="315"/>
    </row>
    <row r="977">
      <c r="A977" s="315"/>
      <c r="B977" s="315"/>
      <c r="C977" s="315"/>
      <c r="D977" s="315"/>
      <c r="E977" s="315"/>
      <c r="F977" s="315"/>
      <c r="G977" s="315"/>
      <c r="H977" s="315"/>
      <c r="I977" s="315"/>
      <c r="J977" s="315"/>
      <c r="K977" s="315"/>
      <c r="L977" s="315"/>
      <c r="M977" s="315"/>
      <c r="N977" s="315"/>
      <c r="O977" s="315"/>
      <c r="P977" s="315"/>
      <c r="Q977" s="315"/>
      <c r="R977" s="315"/>
      <c r="S977" s="315"/>
      <c r="T977" s="315"/>
      <c r="U977" s="315"/>
      <c r="V977" s="315"/>
      <c r="W977" s="315"/>
      <c r="X977" s="315"/>
      <c r="Y977" s="315"/>
      <c r="Z977" s="315"/>
    </row>
    <row r="978">
      <c r="A978" s="315"/>
      <c r="B978" s="315"/>
      <c r="C978" s="315"/>
      <c r="D978" s="315"/>
      <c r="E978" s="315"/>
      <c r="F978" s="315"/>
      <c r="G978" s="315"/>
      <c r="H978" s="315"/>
      <c r="I978" s="315"/>
      <c r="J978" s="315"/>
      <c r="K978" s="315"/>
      <c r="L978" s="315"/>
      <c r="M978" s="315"/>
      <c r="N978" s="315"/>
      <c r="O978" s="315"/>
      <c r="P978" s="315"/>
      <c r="Q978" s="315"/>
      <c r="R978" s="315"/>
      <c r="S978" s="315"/>
      <c r="T978" s="315"/>
      <c r="U978" s="315"/>
      <c r="V978" s="315"/>
      <c r="W978" s="315"/>
      <c r="X978" s="315"/>
      <c r="Y978" s="315"/>
      <c r="Z978" s="315"/>
    </row>
    <row r="979">
      <c r="A979" s="315"/>
      <c r="B979" s="315"/>
      <c r="C979" s="315"/>
      <c r="D979" s="315"/>
      <c r="E979" s="315"/>
      <c r="F979" s="315"/>
      <c r="G979" s="315"/>
      <c r="H979" s="315"/>
      <c r="I979" s="315"/>
      <c r="J979" s="315"/>
      <c r="K979" s="315"/>
      <c r="L979" s="315"/>
      <c r="M979" s="315"/>
      <c r="N979" s="315"/>
      <c r="O979" s="315"/>
      <c r="P979" s="315"/>
      <c r="Q979" s="315"/>
      <c r="R979" s="315"/>
      <c r="S979" s="315"/>
      <c r="T979" s="315"/>
      <c r="U979" s="315"/>
      <c r="V979" s="315"/>
      <c r="W979" s="315"/>
      <c r="X979" s="315"/>
      <c r="Y979" s="315"/>
      <c r="Z979" s="315"/>
    </row>
    <row r="980">
      <c r="A980" s="315"/>
      <c r="B980" s="315"/>
      <c r="C980" s="315"/>
      <c r="D980" s="315"/>
      <c r="E980" s="315"/>
      <c r="F980" s="315"/>
      <c r="G980" s="315"/>
      <c r="H980" s="315"/>
      <c r="I980" s="315"/>
      <c r="J980" s="315"/>
      <c r="K980" s="315"/>
      <c r="L980" s="315"/>
      <c r="M980" s="315"/>
      <c r="N980" s="315"/>
      <c r="O980" s="315"/>
      <c r="P980" s="315"/>
      <c r="Q980" s="315"/>
      <c r="R980" s="315"/>
      <c r="S980" s="315"/>
      <c r="T980" s="315"/>
      <c r="U980" s="315"/>
      <c r="V980" s="315"/>
      <c r="W980" s="315"/>
      <c r="X980" s="315"/>
      <c r="Y980" s="315"/>
      <c r="Z980" s="315"/>
    </row>
    <row r="981">
      <c r="A981" s="315"/>
      <c r="B981" s="315"/>
      <c r="C981" s="315"/>
      <c r="D981" s="315"/>
      <c r="E981" s="315"/>
      <c r="F981" s="315"/>
      <c r="G981" s="315"/>
      <c r="H981" s="315"/>
      <c r="I981" s="315"/>
      <c r="J981" s="315"/>
      <c r="K981" s="315"/>
      <c r="L981" s="315"/>
      <c r="M981" s="315"/>
      <c r="N981" s="315"/>
      <c r="O981" s="315"/>
      <c r="P981" s="315"/>
      <c r="Q981" s="315"/>
      <c r="R981" s="315"/>
      <c r="S981" s="315"/>
      <c r="T981" s="315"/>
      <c r="U981" s="315"/>
      <c r="V981" s="315"/>
      <c r="W981" s="315"/>
      <c r="X981" s="315"/>
      <c r="Y981" s="315"/>
      <c r="Z981" s="315"/>
    </row>
    <row r="982">
      <c r="A982" s="315"/>
      <c r="B982" s="315"/>
      <c r="C982" s="315"/>
      <c r="D982" s="315"/>
      <c r="E982" s="315"/>
      <c r="F982" s="315"/>
      <c r="G982" s="315"/>
      <c r="H982" s="315"/>
      <c r="I982" s="315"/>
      <c r="J982" s="315"/>
      <c r="K982" s="315"/>
      <c r="L982" s="315"/>
      <c r="M982" s="315"/>
      <c r="N982" s="315"/>
      <c r="O982" s="315"/>
      <c r="P982" s="315"/>
      <c r="Q982" s="315"/>
      <c r="R982" s="315"/>
      <c r="S982" s="315"/>
      <c r="T982" s="315"/>
      <c r="U982" s="315"/>
      <c r="V982" s="315"/>
      <c r="W982" s="315"/>
      <c r="X982" s="315"/>
      <c r="Y982" s="315"/>
      <c r="Z982" s="315"/>
    </row>
    <row r="983">
      <c r="A983" s="315"/>
      <c r="B983" s="315"/>
      <c r="C983" s="315"/>
      <c r="D983" s="315"/>
      <c r="E983" s="315"/>
      <c r="F983" s="315"/>
      <c r="G983" s="315"/>
      <c r="H983" s="315"/>
      <c r="I983" s="315"/>
      <c r="J983" s="315"/>
      <c r="K983" s="315"/>
      <c r="L983" s="315"/>
      <c r="M983" s="315"/>
      <c r="N983" s="315"/>
      <c r="O983" s="315"/>
      <c r="P983" s="315"/>
      <c r="Q983" s="315"/>
      <c r="R983" s="315"/>
      <c r="S983" s="315"/>
      <c r="T983" s="315"/>
      <c r="U983" s="315"/>
      <c r="V983" s="315"/>
      <c r="W983" s="315"/>
      <c r="X983" s="315"/>
      <c r="Y983" s="315"/>
      <c r="Z983" s="315"/>
    </row>
    <row r="984">
      <c r="A984" s="315"/>
      <c r="B984" s="315"/>
      <c r="C984" s="315"/>
      <c r="D984" s="315"/>
      <c r="E984" s="315"/>
      <c r="F984" s="315"/>
      <c r="G984" s="315"/>
      <c r="H984" s="315"/>
      <c r="I984" s="315"/>
      <c r="J984" s="315"/>
      <c r="K984" s="315"/>
      <c r="L984" s="315"/>
      <c r="M984" s="315"/>
      <c r="N984" s="315"/>
      <c r="O984" s="315"/>
      <c r="P984" s="315"/>
      <c r="Q984" s="315"/>
      <c r="R984" s="315"/>
      <c r="S984" s="315"/>
      <c r="T984" s="315"/>
      <c r="U984" s="315"/>
      <c r="V984" s="315"/>
      <c r="W984" s="315"/>
      <c r="X984" s="315"/>
      <c r="Y984" s="315"/>
      <c r="Z984" s="315"/>
    </row>
    <row r="985">
      <c r="A985" s="315"/>
      <c r="B985" s="315"/>
      <c r="C985" s="315"/>
      <c r="D985" s="315"/>
      <c r="E985" s="315"/>
      <c r="F985" s="315"/>
      <c r="G985" s="315"/>
      <c r="H985" s="315"/>
      <c r="I985" s="315"/>
      <c r="J985" s="315"/>
      <c r="K985" s="315"/>
      <c r="L985" s="315"/>
      <c r="M985" s="315"/>
      <c r="N985" s="315"/>
      <c r="O985" s="315"/>
      <c r="P985" s="315"/>
      <c r="Q985" s="315"/>
      <c r="R985" s="315"/>
      <c r="S985" s="315"/>
      <c r="T985" s="315"/>
      <c r="U985" s="315"/>
      <c r="V985" s="315"/>
      <c r="W985" s="315"/>
      <c r="X985" s="315"/>
      <c r="Y985" s="315"/>
      <c r="Z985" s="315"/>
    </row>
    <row r="986">
      <c r="A986" s="315"/>
      <c r="B986" s="315"/>
      <c r="C986" s="315"/>
      <c r="D986" s="315"/>
      <c r="E986" s="315"/>
      <c r="F986" s="315"/>
      <c r="G986" s="315"/>
      <c r="H986" s="315"/>
      <c r="I986" s="315"/>
      <c r="J986" s="315"/>
      <c r="K986" s="315"/>
      <c r="L986" s="315"/>
      <c r="M986" s="315"/>
      <c r="N986" s="315"/>
      <c r="O986" s="315"/>
      <c r="P986" s="315"/>
      <c r="Q986" s="315"/>
      <c r="R986" s="315"/>
      <c r="S986" s="315"/>
      <c r="T986" s="315"/>
      <c r="U986" s="315"/>
      <c r="V986" s="315"/>
      <c r="W986" s="315"/>
      <c r="X986" s="315"/>
      <c r="Y986" s="315"/>
      <c r="Z986" s="315"/>
    </row>
    <row r="987">
      <c r="A987" s="315"/>
      <c r="B987" s="315"/>
      <c r="C987" s="315"/>
      <c r="D987" s="315"/>
      <c r="E987" s="315"/>
      <c r="F987" s="315"/>
      <c r="G987" s="315"/>
      <c r="H987" s="315"/>
      <c r="I987" s="315"/>
      <c r="J987" s="315"/>
      <c r="K987" s="315"/>
      <c r="L987" s="315"/>
      <c r="M987" s="315"/>
      <c r="N987" s="315"/>
      <c r="O987" s="315"/>
      <c r="P987" s="315"/>
      <c r="Q987" s="315"/>
      <c r="R987" s="315"/>
      <c r="S987" s="315"/>
      <c r="T987" s="315"/>
      <c r="U987" s="315"/>
      <c r="V987" s="315"/>
      <c r="W987" s="315"/>
      <c r="X987" s="315"/>
      <c r="Y987" s="315"/>
      <c r="Z987" s="315"/>
    </row>
    <row r="988">
      <c r="A988" s="315"/>
      <c r="B988" s="315"/>
      <c r="C988" s="315"/>
      <c r="D988" s="315"/>
      <c r="E988" s="315"/>
      <c r="F988" s="315"/>
      <c r="G988" s="315"/>
      <c r="H988" s="315"/>
      <c r="I988" s="315"/>
      <c r="J988" s="315"/>
      <c r="K988" s="315"/>
      <c r="L988" s="315"/>
      <c r="M988" s="315"/>
      <c r="N988" s="315"/>
      <c r="O988" s="315"/>
      <c r="P988" s="315"/>
      <c r="Q988" s="315"/>
      <c r="R988" s="315"/>
      <c r="S988" s="315"/>
      <c r="T988" s="315"/>
      <c r="U988" s="315"/>
      <c r="V988" s="315"/>
      <c r="W988" s="315"/>
      <c r="X988" s="315"/>
      <c r="Y988" s="315"/>
      <c r="Z988" s="315"/>
    </row>
    <row r="989">
      <c r="A989" s="315"/>
      <c r="B989" s="315"/>
      <c r="C989" s="315"/>
      <c r="D989" s="315"/>
      <c r="E989" s="315"/>
      <c r="F989" s="315"/>
      <c r="G989" s="315"/>
      <c r="H989" s="315"/>
      <c r="I989" s="315"/>
      <c r="J989" s="315"/>
      <c r="K989" s="315"/>
      <c r="L989" s="315"/>
      <c r="M989" s="315"/>
      <c r="N989" s="315"/>
      <c r="O989" s="315"/>
      <c r="P989" s="315"/>
      <c r="Q989" s="315"/>
      <c r="R989" s="315"/>
      <c r="S989" s="315"/>
      <c r="T989" s="315"/>
      <c r="U989" s="315"/>
      <c r="V989" s="315"/>
      <c r="W989" s="315"/>
      <c r="X989" s="315"/>
      <c r="Y989" s="315"/>
      <c r="Z989" s="315"/>
    </row>
    <row r="990">
      <c r="A990" s="315"/>
      <c r="B990" s="315"/>
      <c r="C990" s="315"/>
      <c r="D990" s="315"/>
      <c r="E990" s="315"/>
      <c r="F990" s="315"/>
      <c r="G990" s="315"/>
      <c r="H990" s="315"/>
      <c r="I990" s="315"/>
      <c r="J990" s="315"/>
      <c r="K990" s="315"/>
      <c r="L990" s="315"/>
      <c r="M990" s="315"/>
      <c r="N990" s="315"/>
      <c r="O990" s="315"/>
      <c r="P990" s="315"/>
      <c r="Q990" s="315"/>
      <c r="R990" s="315"/>
      <c r="S990" s="315"/>
      <c r="T990" s="315"/>
      <c r="U990" s="315"/>
      <c r="V990" s="315"/>
      <c r="W990" s="315"/>
      <c r="X990" s="315"/>
      <c r="Y990" s="315"/>
      <c r="Z990" s="315"/>
    </row>
    <row r="991">
      <c r="A991" s="315"/>
      <c r="B991" s="315"/>
      <c r="C991" s="315"/>
      <c r="D991" s="315"/>
      <c r="E991" s="315"/>
      <c r="F991" s="315"/>
      <c r="G991" s="315"/>
      <c r="H991" s="315"/>
      <c r="I991" s="315"/>
      <c r="J991" s="315"/>
      <c r="K991" s="315"/>
      <c r="L991" s="315"/>
      <c r="M991" s="315"/>
      <c r="N991" s="315"/>
      <c r="O991" s="315"/>
      <c r="P991" s="315"/>
      <c r="Q991" s="315"/>
      <c r="R991" s="315"/>
      <c r="S991" s="315"/>
      <c r="T991" s="315"/>
      <c r="U991" s="315"/>
      <c r="V991" s="315"/>
      <c r="W991" s="315"/>
      <c r="X991" s="315"/>
      <c r="Y991" s="315"/>
      <c r="Z991" s="315"/>
    </row>
    <row r="992">
      <c r="A992" s="315"/>
      <c r="B992" s="315"/>
      <c r="C992" s="315"/>
      <c r="D992" s="315"/>
      <c r="E992" s="315"/>
      <c r="F992" s="315"/>
      <c r="G992" s="315"/>
      <c r="H992" s="315"/>
      <c r="I992" s="315"/>
      <c r="J992" s="315"/>
      <c r="K992" s="315"/>
      <c r="L992" s="315"/>
      <c r="M992" s="315"/>
      <c r="N992" s="315"/>
      <c r="O992" s="315"/>
      <c r="P992" s="315"/>
      <c r="Q992" s="315"/>
      <c r="R992" s="315"/>
      <c r="S992" s="315"/>
      <c r="T992" s="315"/>
      <c r="U992" s="315"/>
      <c r="V992" s="315"/>
      <c r="W992" s="315"/>
      <c r="X992" s="315"/>
      <c r="Y992" s="315"/>
      <c r="Z992" s="315"/>
    </row>
    <row r="993">
      <c r="A993" s="315"/>
      <c r="B993" s="315"/>
      <c r="C993" s="315"/>
      <c r="D993" s="315"/>
      <c r="E993" s="315"/>
      <c r="F993" s="315"/>
      <c r="G993" s="315"/>
      <c r="H993" s="315"/>
      <c r="I993" s="315"/>
      <c r="J993" s="315"/>
      <c r="K993" s="315"/>
      <c r="L993" s="315"/>
      <c r="M993" s="315"/>
      <c r="N993" s="315"/>
      <c r="O993" s="315"/>
      <c r="P993" s="315"/>
      <c r="Q993" s="315"/>
      <c r="R993" s="315"/>
      <c r="S993" s="315"/>
      <c r="T993" s="315"/>
      <c r="U993" s="315"/>
      <c r="V993" s="315"/>
      <c r="W993" s="315"/>
      <c r="X993" s="315"/>
      <c r="Y993" s="315"/>
      <c r="Z993" s="315"/>
    </row>
    <row r="994">
      <c r="A994" s="315"/>
      <c r="B994" s="315"/>
      <c r="C994" s="315"/>
      <c r="D994" s="315"/>
      <c r="E994" s="315"/>
      <c r="F994" s="315"/>
      <c r="G994" s="315"/>
      <c r="H994" s="315"/>
      <c r="I994" s="315"/>
      <c r="J994" s="315"/>
      <c r="K994" s="315"/>
      <c r="L994" s="315"/>
      <c r="M994" s="315"/>
      <c r="N994" s="315"/>
      <c r="O994" s="315"/>
      <c r="P994" s="315"/>
      <c r="Q994" s="315"/>
      <c r="R994" s="315"/>
      <c r="S994" s="315"/>
      <c r="T994" s="315"/>
      <c r="U994" s="315"/>
      <c r="V994" s="315"/>
      <c r="W994" s="315"/>
      <c r="X994" s="315"/>
      <c r="Y994" s="315"/>
      <c r="Z994" s="315"/>
    </row>
    <row r="995">
      <c r="A995" s="315"/>
      <c r="B995" s="315"/>
      <c r="C995" s="315"/>
      <c r="D995" s="315"/>
      <c r="E995" s="315"/>
      <c r="F995" s="315"/>
      <c r="G995" s="315"/>
      <c r="H995" s="315"/>
      <c r="I995" s="315"/>
      <c r="J995" s="315"/>
      <c r="K995" s="315"/>
      <c r="L995" s="315"/>
      <c r="M995" s="315"/>
      <c r="N995" s="315"/>
      <c r="O995" s="315"/>
      <c r="P995" s="315"/>
      <c r="Q995" s="315"/>
      <c r="R995" s="315"/>
      <c r="S995" s="315"/>
      <c r="T995" s="315"/>
      <c r="U995" s="315"/>
      <c r="V995" s="315"/>
      <c r="W995" s="315"/>
      <c r="X995" s="315"/>
      <c r="Y995" s="315"/>
      <c r="Z995" s="315"/>
    </row>
    <row r="996">
      <c r="A996" s="315"/>
      <c r="B996" s="315"/>
      <c r="C996" s="315"/>
      <c r="D996" s="315"/>
      <c r="E996" s="315"/>
      <c r="F996" s="315"/>
      <c r="G996" s="315"/>
      <c r="H996" s="315"/>
      <c r="I996" s="315"/>
      <c r="J996" s="315"/>
      <c r="K996" s="315"/>
      <c r="L996" s="315"/>
      <c r="M996" s="315"/>
      <c r="N996" s="315"/>
      <c r="O996" s="315"/>
      <c r="P996" s="315"/>
      <c r="Q996" s="315"/>
      <c r="R996" s="315"/>
      <c r="S996" s="315"/>
      <c r="T996" s="315"/>
      <c r="U996" s="315"/>
      <c r="V996" s="315"/>
      <c r="W996" s="315"/>
      <c r="X996" s="315"/>
      <c r="Y996" s="315"/>
      <c r="Z996" s="315"/>
    </row>
    <row r="997">
      <c r="A997" s="315"/>
      <c r="B997" s="315"/>
      <c r="C997" s="315"/>
      <c r="D997" s="315"/>
      <c r="E997" s="315"/>
      <c r="F997" s="315"/>
      <c r="G997" s="315"/>
      <c r="H997" s="315"/>
      <c r="I997" s="315"/>
      <c r="J997" s="315"/>
      <c r="K997" s="315"/>
      <c r="L997" s="315"/>
      <c r="M997" s="315"/>
      <c r="N997" s="315"/>
      <c r="O997" s="315"/>
      <c r="P997" s="315"/>
      <c r="Q997" s="315"/>
      <c r="R997" s="315"/>
      <c r="S997" s="315"/>
      <c r="T997" s="315"/>
      <c r="U997" s="315"/>
      <c r="V997" s="315"/>
      <c r="W997" s="315"/>
      <c r="X997" s="315"/>
      <c r="Y997" s="315"/>
      <c r="Z997" s="315"/>
    </row>
    <row r="998">
      <c r="A998" s="315"/>
      <c r="B998" s="315"/>
      <c r="C998" s="315"/>
      <c r="D998" s="315"/>
      <c r="E998" s="315"/>
      <c r="F998" s="315"/>
      <c r="G998" s="315"/>
      <c r="H998" s="315"/>
      <c r="I998" s="315"/>
      <c r="J998" s="315"/>
      <c r="K998" s="315"/>
      <c r="L998" s="315"/>
      <c r="M998" s="315"/>
      <c r="N998" s="315"/>
      <c r="O998" s="315"/>
      <c r="P998" s="315"/>
      <c r="Q998" s="315"/>
      <c r="R998" s="315"/>
      <c r="S998" s="315"/>
      <c r="T998" s="315"/>
      <c r="U998" s="315"/>
      <c r="V998" s="315"/>
      <c r="W998" s="315"/>
      <c r="X998" s="315"/>
      <c r="Y998" s="315"/>
      <c r="Z998" s="315"/>
    </row>
    <row r="999">
      <c r="A999" s="315"/>
      <c r="B999" s="315"/>
      <c r="C999" s="315"/>
      <c r="D999" s="315"/>
      <c r="E999" s="315"/>
      <c r="F999" s="315"/>
      <c r="G999" s="315"/>
      <c r="H999" s="315"/>
      <c r="I999" s="315"/>
      <c r="J999" s="315"/>
      <c r="K999" s="315"/>
      <c r="L999" s="315"/>
      <c r="M999" s="315"/>
      <c r="N999" s="315"/>
      <c r="O999" s="315"/>
      <c r="P999" s="315"/>
      <c r="Q999" s="315"/>
      <c r="R999" s="315"/>
      <c r="S999" s="315"/>
      <c r="T999" s="315"/>
      <c r="U999" s="315"/>
      <c r="V999" s="315"/>
      <c r="W999" s="315"/>
      <c r="X999" s="315"/>
      <c r="Y999" s="315"/>
      <c r="Z999" s="31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3" max="3" width="13.88"/>
  </cols>
  <sheetData>
    <row r="1">
      <c r="A1" s="223" t="s">
        <v>283</v>
      </c>
      <c r="B1" s="17"/>
      <c r="C1" s="17"/>
      <c r="D1" s="17"/>
      <c r="E1" s="17"/>
      <c r="F1" s="17"/>
      <c r="G1" s="17"/>
      <c r="H1" s="17"/>
      <c r="I1" s="17"/>
      <c r="J1" s="17"/>
      <c r="K1" s="17"/>
      <c r="L1" s="17"/>
      <c r="M1" s="17"/>
      <c r="N1" s="17"/>
      <c r="O1" s="17"/>
      <c r="P1" s="17"/>
      <c r="Q1" s="17"/>
      <c r="R1" s="17"/>
      <c r="S1" s="17"/>
      <c r="T1" s="17"/>
      <c r="U1" s="17"/>
      <c r="V1" s="17"/>
      <c r="W1" s="17"/>
      <c r="X1" s="17"/>
      <c r="Y1" s="17"/>
      <c r="Z1" s="17"/>
    </row>
    <row r="2">
      <c r="A2" s="196" t="s">
        <v>284</v>
      </c>
      <c r="B2" s="11"/>
      <c r="C2" s="12"/>
      <c r="D2" s="17"/>
      <c r="E2" s="17"/>
      <c r="F2" s="17"/>
      <c r="G2" s="17"/>
      <c r="H2" s="17"/>
      <c r="I2" s="17"/>
      <c r="J2" s="17"/>
      <c r="K2" s="17"/>
      <c r="L2" s="17"/>
      <c r="M2" s="17"/>
      <c r="N2" s="17"/>
      <c r="O2" s="17"/>
      <c r="P2" s="17"/>
      <c r="Q2" s="17"/>
      <c r="R2" s="17"/>
      <c r="S2" s="17"/>
      <c r="T2" s="17"/>
      <c r="U2" s="17"/>
      <c r="V2" s="17"/>
      <c r="W2" s="17"/>
      <c r="X2" s="17"/>
      <c r="Y2" s="17"/>
      <c r="Z2" s="17"/>
    </row>
    <row r="3">
      <c r="A3" s="197" t="s">
        <v>21</v>
      </c>
      <c r="B3" s="197" t="s">
        <v>23</v>
      </c>
      <c r="C3" s="197" t="s">
        <v>285</v>
      </c>
      <c r="D3" s="17"/>
      <c r="E3" s="17"/>
      <c r="F3" s="17"/>
      <c r="G3" s="17"/>
      <c r="H3" s="17"/>
      <c r="I3" s="17"/>
      <c r="J3" s="17"/>
      <c r="K3" s="17"/>
      <c r="L3" s="17"/>
      <c r="M3" s="17"/>
      <c r="N3" s="17"/>
      <c r="O3" s="17"/>
      <c r="P3" s="17"/>
      <c r="Q3" s="17"/>
      <c r="R3" s="17"/>
      <c r="S3" s="17"/>
      <c r="T3" s="17"/>
      <c r="U3" s="17"/>
      <c r="V3" s="17"/>
      <c r="W3" s="17"/>
      <c r="X3" s="17"/>
      <c r="Y3" s="17"/>
      <c r="Z3" s="17"/>
    </row>
    <row r="4">
      <c r="A4" s="200" t="s">
        <v>286</v>
      </c>
      <c r="B4" s="200" t="s">
        <v>287</v>
      </c>
      <c r="C4" s="200">
        <v>0.0</v>
      </c>
      <c r="D4" s="17"/>
      <c r="E4" s="17"/>
      <c r="F4" s="17"/>
      <c r="G4" s="17"/>
      <c r="H4" s="17"/>
      <c r="I4" s="17"/>
      <c r="J4" s="17"/>
      <c r="K4" s="17"/>
      <c r="L4" s="17"/>
      <c r="M4" s="17"/>
      <c r="N4" s="17"/>
      <c r="O4" s="17"/>
      <c r="P4" s="17"/>
      <c r="Q4" s="17"/>
      <c r="R4" s="17"/>
      <c r="S4" s="17"/>
      <c r="T4" s="17"/>
      <c r="U4" s="17"/>
      <c r="V4" s="17"/>
      <c r="W4" s="17"/>
      <c r="X4" s="17"/>
      <c r="Y4" s="17"/>
      <c r="Z4" s="17"/>
    </row>
    <row r="5">
      <c r="A5" s="197" t="s">
        <v>288</v>
      </c>
      <c r="B5" s="197" t="s">
        <v>289</v>
      </c>
      <c r="C5" s="197">
        <v>0.0</v>
      </c>
      <c r="D5" s="17"/>
      <c r="E5" s="17"/>
      <c r="F5" s="17"/>
      <c r="G5" s="17"/>
      <c r="H5" s="17"/>
      <c r="I5" s="17"/>
      <c r="J5" s="17"/>
      <c r="K5" s="17"/>
      <c r="L5" s="17"/>
      <c r="M5" s="17"/>
      <c r="N5" s="17"/>
      <c r="O5" s="17"/>
      <c r="P5" s="17"/>
      <c r="Q5" s="17"/>
      <c r="R5" s="17"/>
      <c r="S5" s="17"/>
      <c r="T5" s="17"/>
      <c r="U5" s="17"/>
      <c r="V5" s="17"/>
      <c r="W5" s="17"/>
      <c r="X5" s="17"/>
      <c r="Y5" s="17"/>
      <c r="Z5" s="17"/>
    </row>
    <row r="6">
      <c r="A6" s="197" t="s">
        <v>290</v>
      </c>
      <c r="B6" s="197" t="s">
        <v>43</v>
      </c>
      <c r="C6" s="327">
        <v>0.0</v>
      </c>
      <c r="D6" s="17"/>
      <c r="E6" s="17"/>
      <c r="F6" s="17"/>
      <c r="G6" s="17"/>
      <c r="H6" s="17"/>
      <c r="I6" s="17"/>
      <c r="J6" s="17"/>
      <c r="K6" s="17"/>
      <c r="L6" s="17"/>
      <c r="M6" s="17"/>
      <c r="N6" s="17"/>
      <c r="O6" s="17"/>
      <c r="P6" s="17"/>
      <c r="Q6" s="17"/>
      <c r="R6" s="17"/>
      <c r="S6" s="17"/>
      <c r="T6" s="17"/>
      <c r="U6" s="17"/>
      <c r="V6" s="17"/>
      <c r="W6" s="17"/>
      <c r="X6" s="17"/>
      <c r="Y6" s="17"/>
      <c r="Z6" s="17"/>
    </row>
    <row r="7">
      <c r="A7" s="17"/>
      <c r="B7" s="17"/>
      <c r="C7" s="328">
        <f>AVERAGE(C4:C6)</f>
        <v>0</v>
      </c>
      <c r="D7" s="17"/>
      <c r="E7" s="17"/>
      <c r="F7" s="17"/>
      <c r="G7" s="17"/>
      <c r="H7" s="17"/>
      <c r="I7" s="17"/>
      <c r="J7" s="17"/>
      <c r="K7" s="17"/>
      <c r="L7" s="17"/>
      <c r="M7" s="17"/>
      <c r="N7" s="17"/>
      <c r="O7" s="17"/>
      <c r="P7" s="17"/>
      <c r="Q7" s="17"/>
      <c r="R7" s="17"/>
      <c r="S7" s="17"/>
      <c r="T7" s="17"/>
      <c r="U7" s="17"/>
      <c r="V7" s="17"/>
      <c r="W7" s="17"/>
      <c r="X7" s="17"/>
      <c r="Y7" s="17"/>
      <c r="Z7" s="17"/>
    </row>
    <row r="8">
      <c r="A8" s="17"/>
      <c r="B8" s="17"/>
      <c r="C8" s="17"/>
      <c r="D8" s="17"/>
      <c r="E8" s="17"/>
      <c r="F8" s="17"/>
      <c r="G8" s="17"/>
      <c r="H8" s="17"/>
      <c r="I8" s="17"/>
      <c r="J8" s="17"/>
      <c r="K8" s="17"/>
      <c r="L8" s="17"/>
      <c r="M8" s="17"/>
      <c r="N8" s="17"/>
      <c r="O8" s="17"/>
      <c r="P8" s="17"/>
      <c r="Q8" s="17"/>
      <c r="R8" s="17"/>
      <c r="S8" s="17"/>
      <c r="T8" s="17"/>
      <c r="U8" s="17"/>
      <c r="V8" s="17"/>
      <c r="W8" s="17"/>
      <c r="X8" s="17"/>
      <c r="Y8" s="17"/>
      <c r="Z8" s="17"/>
    </row>
    <row r="9">
      <c r="A9" s="17"/>
      <c r="B9" s="17"/>
      <c r="C9" s="17"/>
      <c r="D9" s="17"/>
      <c r="E9" s="17"/>
      <c r="F9" s="17"/>
      <c r="G9" s="17"/>
      <c r="H9" s="17"/>
      <c r="I9" s="17"/>
      <c r="J9" s="17"/>
      <c r="K9" s="17"/>
      <c r="L9" s="17"/>
      <c r="M9" s="17"/>
      <c r="N9" s="17"/>
      <c r="O9" s="17"/>
      <c r="P9" s="17"/>
      <c r="Q9" s="17"/>
      <c r="R9" s="17"/>
      <c r="S9" s="17"/>
      <c r="T9" s="17"/>
      <c r="U9" s="17"/>
      <c r="V9" s="17"/>
      <c r="W9" s="17"/>
      <c r="X9" s="17"/>
      <c r="Y9" s="17"/>
      <c r="Z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sheetData>
  <mergeCells count="1">
    <mergeCell ref="A2:C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13"/>
    <col customWidth="1" min="3" max="3" width="26.13"/>
    <col customWidth="1" min="5" max="5" width="25.5"/>
  </cols>
  <sheetData>
    <row r="1">
      <c r="A1" s="80"/>
      <c r="B1" s="329" t="s">
        <v>20</v>
      </c>
      <c r="C1" s="329" t="s">
        <v>21</v>
      </c>
      <c r="D1" s="329" t="s">
        <v>22</v>
      </c>
      <c r="E1" s="329" t="s">
        <v>23</v>
      </c>
      <c r="F1" s="329" t="s">
        <v>291</v>
      </c>
      <c r="G1" s="80"/>
      <c r="H1" s="80"/>
      <c r="I1" s="80"/>
      <c r="J1" s="80"/>
      <c r="K1" s="80"/>
      <c r="L1" s="80"/>
      <c r="M1" s="80"/>
      <c r="N1" s="80"/>
      <c r="O1" s="80"/>
      <c r="P1" s="80"/>
      <c r="Q1" s="80"/>
      <c r="R1" s="80"/>
      <c r="S1" s="80"/>
      <c r="T1" s="80"/>
      <c r="U1" s="80"/>
      <c r="V1" s="80"/>
      <c r="W1" s="80"/>
      <c r="X1" s="80"/>
      <c r="Y1" s="80"/>
      <c r="Z1" s="80"/>
    </row>
    <row r="2">
      <c r="A2" s="80"/>
      <c r="B2" s="74"/>
      <c r="C2" s="74"/>
      <c r="D2" s="74"/>
      <c r="E2" s="74"/>
      <c r="F2" s="330" t="s">
        <v>210</v>
      </c>
      <c r="G2" s="80"/>
      <c r="H2" s="80"/>
      <c r="I2" s="80"/>
      <c r="J2" s="80"/>
      <c r="K2" s="80"/>
      <c r="L2" s="80"/>
      <c r="M2" s="80"/>
      <c r="N2" s="80"/>
      <c r="O2" s="80"/>
      <c r="P2" s="80"/>
      <c r="Q2" s="80"/>
      <c r="R2" s="80"/>
      <c r="S2" s="80"/>
      <c r="T2" s="80"/>
      <c r="U2" s="80"/>
      <c r="V2" s="80"/>
      <c r="W2" s="80"/>
      <c r="X2" s="80"/>
      <c r="Y2" s="80"/>
      <c r="Z2" s="80"/>
    </row>
    <row r="3">
      <c r="A3" s="80"/>
      <c r="B3" s="331" t="s">
        <v>292</v>
      </c>
      <c r="C3" s="11"/>
      <c r="D3" s="11"/>
      <c r="E3" s="11"/>
      <c r="F3" s="12"/>
      <c r="G3" s="80"/>
      <c r="H3" s="80"/>
      <c r="I3" s="80"/>
      <c r="J3" s="80"/>
      <c r="K3" s="80"/>
      <c r="L3" s="80"/>
      <c r="M3" s="80"/>
      <c r="N3" s="80"/>
      <c r="O3" s="80"/>
      <c r="P3" s="80"/>
      <c r="Q3" s="80"/>
      <c r="R3" s="80"/>
      <c r="S3" s="80"/>
      <c r="T3" s="80"/>
      <c r="U3" s="80"/>
      <c r="V3" s="80"/>
      <c r="W3" s="80"/>
      <c r="X3" s="80"/>
      <c r="Y3" s="80"/>
      <c r="Z3" s="80"/>
    </row>
    <row r="4">
      <c r="A4" s="80"/>
      <c r="B4" s="329" t="s">
        <v>26</v>
      </c>
      <c r="C4" s="332" t="s">
        <v>213</v>
      </c>
      <c r="D4" s="333" t="s">
        <v>28</v>
      </c>
      <c r="E4" s="334"/>
      <c r="F4" s="335">
        <v>-1.0</v>
      </c>
      <c r="G4" s="80"/>
      <c r="H4" s="80"/>
      <c r="I4" s="80"/>
      <c r="J4" s="80"/>
      <c r="K4" s="80"/>
      <c r="L4" s="80"/>
      <c r="M4" s="80"/>
      <c r="N4" s="80"/>
      <c r="O4" s="80"/>
      <c r="P4" s="80"/>
      <c r="Q4" s="80"/>
      <c r="R4" s="80"/>
      <c r="S4" s="80"/>
      <c r="T4" s="80"/>
      <c r="U4" s="80"/>
      <c r="V4" s="80"/>
      <c r="W4" s="80"/>
      <c r="X4" s="80"/>
      <c r="Y4" s="80"/>
      <c r="Z4" s="80"/>
    </row>
    <row r="5">
      <c r="A5" s="80"/>
      <c r="B5" s="329" t="s">
        <v>26</v>
      </c>
      <c r="C5" s="332" t="s">
        <v>293</v>
      </c>
      <c r="D5" s="333" t="s">
        <v>28</v>
      </c>
      <c r="E5" s="334"/>
      <c r="F5" s="335">
        <v>-1.0</v>
      </c>
      <c r="G5" s="80"/>
      <c r="H5" s="80"/>
      <c r="I5" s="80"/>
      <c r="J5" s="80"/>
      <c r="K5" s="80"/>
      <c r="L5" s="80"/>
      <c r="M5" s="80"/>
      <c r="N5" s="80"/>
      <c r="O5" s="80"/>
      <c r="P5" s="80"/>
      <c r="Q5" s="80"/>
      <c r="R5" s="80"/>
      <c r="S5" s="80"/>
      <c r="T5" s="80"/>
      <c r="U5" s="80"/>
      <c r="V5" s="80"/>
      <c r="W5" s="80"/>
      <c r="X5" s="80"/>
      <c r="Y5" s="80"/>
      <c r="Z5" s="80"/>
    </row>
    <row r="6">
      <c r="A6" s="80"/>
      <c r="B6" s="329" t="s">
        <v>26</v>
      </c>
      <c r="C6" s="332" t="s">
        <v>294</v>
      </c>
      <c r="D6" s="333" t="s">
        <v>28</v>
      </c>
      <c r="E6" s="329"/>
      <c r="F6" s="335">
        <v>1.0</v>
      </c>
      <c r="G6" s="80"/>
      <c r="H6" s="80"/>
      <c r="I6" s="80"/>
      <c r="J6" s="80"/>
      <c r="K6" s="80"/>
      <c r="L6" s="80"/>
      <c r="M6" s="80"/>
      <c r="N6" s="80"/>
      <c r="O6" s="80"/>
      <c r="P6" s="80"/>
      <c r="Q6" s="80"/>
      <c r="R6" s="80"/>
      <c r="S6" s="80"/>
      <c r="T6" s="80"/>
      <c r="U6" s="80"/>
      <c r="V6" s="80"/>
      <c r="W6" s="80"/>
      <c r="X6" s="80"/>
      <c r="Y6" s="80"/>
      <c r="Z6" s="80"/>
    </row>
    <row r="7">
      <c r="A7" s="80"/>
      <c r="B7" s="329" t="s">
        <v>26</v>
      </c>
      <c r="C7" s="329" t="s">
        <v>215</v>
      </c>
      <c r="D7" s="333" t="s">
        <v>28</v>
      </c>
      <c r="E7" s="336"/>
      <c r="F7" s="335">
        <v>-1.0</v>
      </c>
      <c r="G7" s="80"/>
      <c r="H7" s="80"/>
      <c r="I7" s="80"/>
      <c r="J7" s="80"/>
      <c r="K7" s="80"/>
      <c r="L7" s="80"/>
      <c r="M7" s="80"/>
      <c r="N7" s="80"/>
      <c r="O7" s="80"/>
      <c r="P7" s="80"/>
      <c r="Q7" s="80"/>
      <c r="R7" s="80"/>
      <c r="S7" s="80"/>
      <c r="T7" s="80"/>
      <c r="U7" s="80"/>
      <c r="V7" s="80"/>
      <c r="W7" s="80"/>
      <c r="X7" s="80"/>
      <c r="Y7" s="80"/>
      <c r="Z7" s="80"/>
    </row>
    <row r="8">
      <c r="A8" s="80"/>
      <c r="B8" s="332" t="s">
        <v>40</v>
      </c>
      <c r="C8" s="110" t="s">
        <v>295</v>
      </c>
      <c r="D8" s="333" t="s">
        <v>28</v>
      </c>
      <c r="E8" s="178"/>
      <c r="F8" s="337">
        <v>-1.0</v>
      </c>
      <c r="G8" s="80"/>
      <c r="H8" s="80"/>
      <c r="I8" s="80"/>
      <c r="J8" s="80"/>
      <c r="K8" s="80"/>
      <c r="L8" s="80"/>
      <c r="M8" s="80"/>
      <c r="N8" s="80"/>
      <c r="O8" s="80"/>
      <c r="P8" s="80"/>
      <c r="Q8" s="80"/>
      <c r="R8" s="80"/>
      <c r="S8" s="80"/>
      <c r="T8" s="80"/>
      <c r="U8" s="80"/>
      <c r="V8" s="80"/>
      <c r="W8" s="80"/>
      <c r="X8" s="80"/>
      <c r="Y8" s="80"/>
      <c r="Z8" s="80"/>
    </row>
    <row r="9">
      <c r="A9" s="80"/>
      <c r="B9" s="74"/>
      <c r="C9" s="74"/>
      <c r="D9" s="74"/>
      <c r="E9" s="74"/>
      <c r="F9" s="338"/>
      <c r="G9" s="80"/>
      <c r="H9" s="80"/>
      <c r="I9" s="80"/>
      <c r="J9" s="80"/>
      <c r="K9" s="80"/>
      <c r="L9" s="80"/>
      <c r="M9" s="80"/>
      <c r="N9" s="80"/>
      <c r="O9" s="80"/>
      <c r="P9" s="80"/>
      <c r="Q9" s="80"/>
      <c r="R9" s="80"/>
      <c r="S9" s="80"/>
      <c r="T9" s="80"/>
      <c r="U9" s="80"/>
      <c r="V9" s="80"/>
      <c r="W9" s="80"/>
      <c r="X9" s="80"/>
      <c r="Y9" s="80"/>
      <c r="Z9" s="80"/>
    </row>
    <row r="10">
      <c r="A10" s="80"/>
      <c r="B10" s="74"/>
      <c r="C10" s="74"/>
      <c r="D10" s="74"/>
      <c r="E10" s="339" t="s">
        <v>55</v>
      </c>
      <c r="F10" s="340">
        <f>AVERAGE(F4:F8)</f>
        <v>-0.6</v>
      </c>
      <c r="G10" s="80"/>
      <c r="H10" s="80"/>
      <c r="I10" s="80"/>
      <c r="J10" s="80"/>
      <c r="K10" s="80"/>
      <c r="L10" s="80"/>
      <c r="M10" s="80"/>
      <c r="N10" s="80"/>
      <c r="O10" s="80"/>
      <c r="P10" s="80"/>
      <c r="Q10" s="80"/>
      <c r="R10" s="80"/>
      <c r="S10" s="80"/>
      <c r="T10" s="80"/>
      <c r="U10" s="80"/>
      <c r="V10" s="80"/>
      <c r="W10" s="80"/>
      <c r="X10" s="80"/>
      <c r="Y10" s="80"/>
      <c r="Z10" s="80"/>
    </row>
    <row r="11">
      <c r="A11" s="80"/>
      <c r="B11" s="74"/>
      <c r="C11" s="74"/>
      <c r="D11" s="74"/>
      <c r="E11" s="74"/>
      <c r="F11" s="74"/>
      <c r="G11" s="80"/>
      <c r="H11" s="80"/>
      <c r="I11" s="80"/>
      <c r="J11" s="80"/>
      <c r="K11" s="80"/>
      <c r="L11" s="80"/>
      <c r="M11" s="80"/>
      <c r="N11" s="80"/>
      <c r="O11" s="80"/>
      <c r="P11" s="80"/>
      <c r="Q11" s="80"/>
      <c r="R11" s="80"/>
      <c r="S11" s="80"/>
      <c r="T11" s="80"/>
      <c r="U11" s="80"/>
      <c r="V11" s="80"/>
      <c r="W11" s="80"/>
      <c r="X11" s="80"/>
      <c r="Y11" s="80"/>
      <c r="Z11" s="80"/>
    </row>
    <row r="12">
      <c r="A12" s="80"/>
      <c r="B12" s="74"/>
      <c r="C12" s="74"/>
      <c r="D12" s="74"/>
      <c r="E12" s="74"/>
      <c r="F12" s="74"/>
      <c r="G12" s="80"/>
      <c r="H12" s="80"/>
      <c r="I12" s="80"/>
      <c r="J12" s="80"/>
      <c r="K12" s="80"/>
      <c r="L12" s="80"/>
      <c r="M12" s="80"/>
      <c r="N12" s="80"/>
      <c r="O12" s="80"/>
      <c r="P12" s="80"/>
      <c r="Q12" s="80"/>
      <c r="R12" s="80"/>
      <c r="S12" s="80"/>
      <c r="T12" s="80"/>
      <c r="U12" s="80"/>
      <c r="V12" s="80"/>
      <c r="W12" s="80"/>
      <c r="X12" s="80"/>
      <c r="Y12" s="80"/>
      <c r="Z12" s="80"/>
    </row>
    <row r="13">
      <c r="A13" s="80"/>
      <c r="B13" s="74"/>
      <c r="C13" s="74"/>
      <c r="D13" s="74"/>
      <c r="E13" s="74"/>
      <c r="F13" s="74"/>
      <c r="G13" s="80"/>
      <c r="H13" s="80"/>
      <c r="I13" s="80"/>
      <c r="J13" s="80"/>
      <c r="K13" s="80"/>
      <c r="L13" s="80"/>
      <c r="M13" s="80"/>
      <c r="N13" s="80"/>
      <c r="O13" s="80"/>
      <c r="P13" s="80"/>
      <c r="Q13" s="80"/>
      <c r="R13" s="80"/>
      <c r="S13" s="80"/>
      <c r="T13" s="80"/>
      <c r="U13" s="80"/>
      <c r="V13" s="80"/>
      <c r="W13" s="80"/>
      <c r="X13" s="80"/>
      <c r="Y13" s="80"/>
      <c r="Z13" s="80"/>
    </row>
    <row r="14">
      <c r="A14" s="80"/>
      <c r="B14" s="74"/>
      <c r="C14" s="341" t="s">
        <v>296</v>
      </c>
      <c r="D14" s="342">
        <v>0.1</v>
      </c>
      <c r="E14" s="74"/>
      <c r="F14" s="74"/>
      <c r="G14" s="80"/>
      <c r="H14" s="80"/>
      <c r="I14" s="80"/>
      <c r="J14" s="80"/>
      <c r="K14" s="80"/>
      <c r="L14" s="80"/>
      <c r="M14" s="80"/>
      <c r="N14" s="80"/>
      <c r="O14" s="80"/>
      <c r="P14" s="80"/>
      <c r="Q14" s="80"/>
      <c r="R14" s="80"/>
      <c r="S14" s="80"/>
      <c r="T14" s="80"/>
      <c r="U14" s="80"/>
      <c r="V14" s="80"/>
      <c r="W14" s="80"/>
      <c r="X14" s="80"/>
      <c r="Y14" s="80"/>
      <c r="Z14" s="80"/>
    </row>
    <row r="15">
      <c r="A15" s="80"/>
      <c r="B15" s="74"/>
      <c r="C15" s="341" t="s">
        <v>297</v>
      </c>
      <c r="D15" s="343">
        <f>F10</f>
        <v>-0.6</v>
      </c>
      <c r="E15" s="74"/>
      <c r="F15" s="74"/>
      <c r="G15" s="80"/>
      <c r="H15" s="80"/>
      <c r="I15" s="80"/>
      <c r="J15" s="80"/>
      <c r="K15" s="80"/>
      <c r="L15" s="80"/>
      <c r="M15" s="80"/>
      <c r="N15" s="80"/>
      <c r="O15" s="80"/>
      <c r="P15" s="80"/>
      <c r="Q15" s="80"/>
      <c r="R15" s="80"/>
      <c r="S15" s="80"/>
      <c r="T15" s="80"/>
      <c r="U15" s="80"/>
      <c r="V15" s="80"/>
      <c r="W15" s="80"/>
      <c r="X15" s="80"/>
      <c r="Y15" s="80"/>
      <c r="Z15" s="80"/>
    </row>
    <row r="16">
      <c r="A16" s="80"/>
      <c r="B16" s="74"/>
      <c r="C16" s="341" t="s">
        <v>298</v>
      </c>
      <c r="D16" s="344">
        <f>D14*D15</f>
        <v>-0.06</v>
      </c>
      <c r="E16" s="74"/>
      <c r="F16" s="74"/>
      <c r="G16" s="80"/>
      <c r="H16" s="80"/>
      <c r="I16" s="80"/>
      <c r="J16" s="80"/>
      <c r="K16" s="80"/>
      <c r="L16" s="80"/>
      <c r="M16" s="80"/>
      <c r="N16" s="80"/>
      <c r="O16" s="80"/>
      <c r="P16" s="80"/>
      <c r="Q16" s="80"/>
      <c r="R16" s="80"/>
      <c r="S16" s="80"/>
      <c r="T16" s="80"/>
      <c r="U16" s="80"/>
      <c r="V16" s="80"/>
      <c r="W16" s="80"/>
      <c r="X16" s="80"/>
      <c r="Y16" s="80"/>
      <c r="Z16" s="80"/>
    </row>
    <row r="17">
      <c r="A17" s="80"/>
      <c r="B17" s="74"/>
      <c r="C17" s="74"/>
      <c r="D17" s="74"/>
      <c r="E17" s="74"/>
      <c r="F17" s="74"/>
      <c r="G17" s="80"/>
      <c r="H17" s="80"/>
      <c r="I17" s="80"/>
      <c r="J17" s="80"/>
      <c r="K17" s="80"/>
      <c r="L17" s="80"/>
      <c r="M17" s="80"/>
      <c r="N17" s="80"/>
      <c r="O17" s="80"/>
      <c r="P17" s="80"/>
      <c r="Q17" s="80"/>
      <c r="R17" s="80"/>
      <c r="S17" s="80"/>
      <c r="T17" s="80"/>
      <c r="U17" s="80"/>
      <c r="V17" s="80"/>
      <c r="W17" s="80"/>
      <c r="X17" s="80"/>
      <c r="Y17" s="80"/>
      <c r="Z17" s="80"/>
    </row>
    <row r="18">
      <c r="A18" s="80"/>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c r="A19" s="80"/>
      <c r="B19" s="80"/>
      <c r="C19" s="80"/>
      <c r="D19" s="80"/>
      <c r="E19" s="80"/>
      <c r="F19" s="80"/>
      <c r="G19" s="80"/>
      <c r="H19" s="80"/>
      <c r="I19" s="80"/>
      <c r="J19" s="80"/>
      <c r="K19" s="80"/>
      <c r="L19" s="80"/>
      <c r="M19" s="80"/>
      <c r="N19" s="80"/>
      <c r="O19" s="80"/>
      <c r="P19" s="80"/>
      <c r="Q19" s="80"/>
      <c r="R19" s="80"/>
      <c r="S19" s="80"/>
      <c r="T19" s="80"/>
      <c r="U19" s="80"/>
      <c r="V19" s="80"/>
      <c r="W19" s="80"/>
      <c r="X19" s="80"/>
      <c r="Y19" s="80"/>
      <c r="Z19" s="80"/>
    </row>
    <row r="20">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row>
    <row r="22">
      <c r="A22" s="80"/>
      <c r="B22" s="80"/>
      <c r="C22" s="80"/>
      <c r="D22" s="80"/>
      <c r="E22" s="80"/>
      <c r="F22" s="80"/>
      <c r="G22" s="80"/>
      <c r="H22" s="80"/>
      <c r="I22" s="80"/>
      <c r="J22" s="80"/>
      <c r="K22" s="80"/>
      <c r="L22" s="80"/>
      <c r="M22" s="80"/>
      <c r="N22" s="80"/>
      <c r="O22" s="80"/>
      <c r="P22" s="80"/>
      <c r="Q22" s="80"/>
      <c r="R22" s="80"/>
      <c r="S22" s="80"/>
      <c r="T22" s="80"/>
      <c r="U22" s="80"/>
      <c r="V22" s="80"/>
      <c r="W22" s="80"/>
      <c r="X22" s="80"/>
      <c r="Y22" s="80"/>
      <c r="Z22" s="80"/>
    </row>
    <row r="23">
      <c r="A23" s="80"/>
      <c r="B23" s="80"/>
      <c r="C23" s="80"/>
      <c r="D23" s="80"/>
      <c r="E23" s="80"/>
      <c r="F23" s="80"/>
      <c r="G23" s="80"/>
      <c r="H23" s="80"/>
      <c r="I23" s="80"/>
      <c r="J23" s="80"/>
      <c r="K23" s="80"/>
      <c r="L23" s="80"/>
      <c r="M23" s="80"/>
      <c r="N23" s="80"/>
      <c r="O23" s="80"/>
      <c r="P23" s="80"/>
      <c r="Q23" s="80"/>
      <c r="R23" s="80"/>
      <c r="S23" s="80"/>
      <c r="T23" s="80"/>
      <c r="U23" s="80"/>
      <c r="V23" s="80"/>
      <c r="W23" s="80"/>
      <c r="X23" s="80"/>
      <c r="Y23" s="80"/>
      <c r="Z23" s="80"/>
    </row>
    <row r="24">
      <c r="A24" s="80"/>
      <c r="B24" s="80"/>
      <c r="C24" s="80"/>
      <c r="D24" s="80"/>
      <c r="E24" s="80"/>
      <c r="F24" s="80"/>
      <c r="G24" s="80"/>
      <c r="H24" s="80"/>
      <c r="I24" s="80"/>
      <c r="J24" s="80"/>
      <c r="K24" s="80"/>
      <c r="L24" s="80"/>
      <c r="M24" s="80"/>
      <c r="N24" s="80"/>
      <c r="O24" s="80"/>
      <c r="P24" s="80"/>
      <c r="Q24" s="80"/>
      <c r="R24" s="80"/>
      <c r="S24" s="80"/>
      <c r="T24" s="80"/>
      <c r="U24" s="80"/>
      <c r="V24" s="80"/>
      <c r="W24" s="80"/>
      <c r="X24" s="80"/>
      <c r="Y24" s="80"/>
      <c r="Z24" s="80"/>
    </row>
    <row r="25">
      <c r="A25" s="80"/>
      <c r="B25" s="80"/>
      <c r="C25" s="80"/>
      <c r="D25" s="80"/>
      <c r="E25" s="80"/>
      <c r="F25" s="80"/>
      <c r="G25" s="80"/>
      <c r="H25" s="80"/>
      <c r="I25" s="80"/>
      <c r="J25" s="80"/>
      <c r="K25" s="80"/>
      <c r="L25" s="80"/>
      <c r="M25" s="80"/>
      <c r="N25" s="80"/>
      <c r="O25" s="80"/>
      <c r="P25" s="80"/>
      <c r="Q25" s="80"/>
      <c r="R25" s="80"/>
      <c r="S25" s="80"/>
      <c r="T25" s="80"/>
      <c r="U25" s="80"/>
      <c r="V25" s="80"/>
      <c r="W25" s="80"/>
      <c r="X25" s="80"/>
      <c r="Y25" s="80"/>
      <c r="Z25" s="80"/>
    </row>
    <row r="26">
      <c r="A26" s="80"/>
      <c r="B26" s="80"/>
      <c r="C26" s="80"/>
      <c r="D26" s="80"/>
      <c r="E26" s="80"/>
      <c r="F26" s="80"/>
      <c r="G26" s="80"/>
      <c r="H26" s="80"/>
      <c r="I26" s="80"/>
      <c r="J26" s="80"/>
      <c r="K26" s="80"/>
      <c r="L26" s="80"/>
      <c r="M26" s="80"/>
      <c r="N26" s="80"/>
      <c r="O26" s="80"/>
      <c r="P26" s="80"/>
      <c r="Q26" s="80"/>
      <c r="R26" s="80"/>
      <c r="S26" s="80"/>
      <c r="T26" s="80"/>
      <c r="U26" s="80"/>
      <c r="V26" s="80"/>
      <c r="W26" s="80"/>
      <c r="X26" s="80"/>
      <c r="Y26" s="80"/>
      <c r="Z26" s="80"/>
    </row>
    <row r="27">
      <c r="A27" s="80"/>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row>
    <row r="29">
      <c r="A29" s="80"/>
      <c r="B29" s="80"/>
      <c r="C29" s="80"/>
      <c r="D29" s="80"/>
      <c r="E29" s="80"/>
      <c r="F29" s="80"/>
      <c r="G29" s="80"/>
      <c r="H29" s="80"/>
      <c r="I29" s="80"/>
      <c r="J29" s="80"/>
      <c r="K29" s="80"/>
      <c r="L29" s="80"/>
      <c r="M29" s="80"/>
      <c r="N29" s="80"/>
      <c r="O29" s="80"/>
      <c r="P29" s="80"/>
      <c r="Q29" s="80"/>
      <c r="R29" s="80"/>
      <c r="S29" s="80"/>
      <c r="T29" s="80"/>
      <c r="U29" s="80"/>
      <c r="V29" s="80"/>
      <c r="W29" s="80"/>
      <c r="X29" s="80"/>
      <c r="Y29" s="80"/>
      <c r="Z29" s="80"/>
    </row>
    <row r="30">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c r="A32" s="80"/>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c r="A35" s="80"/>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c r="A39" s="80"/>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mergeCells count="1">
    <mergeCell ref="B3:F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45.25"/>
    <col customWidth="1" min="3" max="3" width="21.25"/>
    <col customWidth="1" min="4" max="4" width="29.75"/>
    <col customWidth="1" min="6" max="6" width="32.13"/>
    <col customWidth="1" min="7" max="7" width="64.13"/>
  </cols>
  <sheetData>
    <row r="1">
      <c r="A1" s="345" t="s">
        <v>299</v>
      </c>
      <c r="B1" s="346" t="s">
        <v>147</v>
      </c>
      <c r="C1" s="347">
        <v>45489.0</v>
      </c>
      <c r="D1" s="348"/>
      <c r="E1" s="348"/>
      <c r="F1" s="348"/>
      <c r="G1" s="348"/>
      <c r="H1" s="348"/>
      <c r="I1" s="348"/>
      <c r="J1" s="348"/>
      <c r="K1" s="348"/>
      <c r="L1" s="348"/>
      <c r="M1" s="348"/>
      <c r="N1" s="348"/>
      <c r="O1" s="348"/>
      <c r="P1" s="348"/>
      <c r="Q1" s="348"/>
      <c r="R1" s="348"/>
      <c r="S1" s="348"/>
      <c r="T1" s="348"/>
      <c r="U1" s="348"/>
      <c r="V1" s="348"/>
      <c r="W1" s="348"/>
      <c r="X1" s="348"/>
      <c r="Y1" s="348"/>
      <c r="Z1" s="348"/>
    </row>
    <row r="2">
      <c r="A2" s="348"/>
      <c r="B2" s="348"/>
      <c r="C2" s="348"/>
      <c r="D2" s="349" t="s">
        <v>300</v>
      </c>
      <c r="E2" s="348"/>
      <c r="F2" s="348"/>
      <c r="G2" s="348"/>
      <c r="H2" s="348"/>
      <c r="I2" s="348"/>
      <c r="J2" s="348"/>
      <c r="K2" s="348"/>
      <c r="L2" s="348"/>
      <c r="M2" s="348"/>
      <c r="N2" s="348"/>
      <c r="O2" s="348"/>
      <c r="P2" s="348"/>
      <c r="Q2" s="348"/>
      <c r="R2" s="348"/>
      <c r="S2" s="348"/>
      <c r="T2" s="348"/>
      <c r="U2" s="348"/>
      <c r="V2" s="348"/>
      <c r="W2" s="348"/>
      <c r="X2" s="348"/>
      <c r="Y2" s="348"/>
      <c r="Z2" s="348"/>
    </row>
    <row r="3">
      <c r="A3" s="350" t="s">
        <v>301</v>
      </c>
      <c r="B3" s="350" t="s">
        <v>21</v>
      </c>
      <c r="C3" s="350" t="s">
        <v>25</v>
      </c>
      <c r="D3" s="351" t="s">
        <v>155</v>
      </c>
      <c r="E3" s="352"/>
      <c r="F3" s="353" t="s">
        <v>302</v>
      </c>
      <c r="G3" s="354" t="s">
        <v>156</v>
      </c>
      <c r="H3" s="348"/>
      <c r="I3" s="348"/>
      <c r="J3" s="348"/>
      <c r="K3" s="348"/>
      <c r="L3" s="348"/>
      <c r="M3" s="348"/>
      <c r="N3" s="348"/>
      <c r="O3" s="348"/>
      <c r="P3" s="348"/>
      <c r="Q3" s="348"/>
      <c r="R3" s="348"/>
      <c r="S3" s="348"/>
      <c r="T3" s="348"/>
      <c r="U3" s="348"/>
      <c r="V3" s="348"/>
      <c r="W3" s="348"/>
      <c r="X3" s="348"/>
      <c r="Y3" s="348"/>
      <c r="Z3" s="348"/>
    </row>
    <row r="4">
      <c r="A4" s="355"/>
      <c r="B4" s="356"/>
      <c r="C4" s="356"/>
      <c r="D4" s="356"/>
      <c r="E4" s="348"/>
      <c r="F4" s="356"/>
      <c r="G4" s="356"/>
      <c r="H4" s="348"/>
      <c r="I4" s="348"/>
      <c r="J4" s="348"/>
      <c r="K4" s="348"/>
      <c r="L4" s="348"/>
      <c r="M4" s="348"/>
      <c r="N4" s="348"/>
      <c r="O4" s="348"/>
      <c r="P4" s="348"/>
      <c r="Q4" s="348"/>
      <c r="R4" s="348"/>
      <c r="S4" s="348"/>
      <c r="T4" s="348"/>
      <c r="U4" s="348"/>
      <c r="V4" s="348"/>
      <c r="W4" s="348"/>
      <c r="X4" s="348"/>
      <c r="Y4" s="348"/>
      <c r="Z4" s="348"/>
    </row>
    <row r="5">
      <c r="A5" s="357" t="s">
        <v>303</v>
      </c>
      <c r="B5" s="358" t="s">
        <v>304</v>
      </c>
      <c r="C5" s="359" t="str">
        <f t="shared" ref="C5:C11" si="1">ifs(F5&lt;=-1.5,"No Value",AND(F5&lt;0,F5&gt;-1.5),"Low Value",F5=0,"Neutral",AND(0&lt;F5,F5&lt;1.5),"Value",F5&gt;=1.5,"High Value")</f>
        <v>Value</v>
      </c>
      <c r="D5" s="360" t="s">
        <v>305</v>
      </c>
      <c r="E5" s="348"/>
      <c r="F5" s="361">
        <v>0.6</v>
      </c>
      <c r="G5" s="362" t="s">
        <v>306</v>
      </c>
      <c r="H5" s="348"/>
      <c r="I5" s="348"/>
      <c r="J5" s="348"/>
      <c r="K5" s="348"/>
      <c r="L5" s="348"/>
      <c r="M5" s="348"/>
      <c r="N5" s="348"/>
      <c r="O5" s="348"/>
      <c r="P5" s="348"/>
      <c r="Q5" s="348"/>
      <c r="R5" s="348"/>
      <c r="S5" s="348"/>
      <c r="T5" s="348"/>
      <c r="U5" s="348"/>
      <c r="V5" s="348"/>
      <c r="W5" s="348"/>
      <c r="X5" s="348"/>
      <c r="Y5" s="348"/>
      <c r="Z5" s="348"/>
    </row>
    <row r="6">
      <c r="A6" s="363"/>
      <c r="B6" s="364" t="s">
        <v>307</v>
      </c>
      <c r="C6" s="365" t="str">
        <f t="shared" si="1"/>
        <v>Neutral</v>
      </c>
      <c r="D6" s="366" t="s">
        <v>308</v>
      </c>
      <c r="E6" s="348"/>
      <c r="F6" s="367"/>
      <c r="G6" s="368" t="s">
        <v>309</v>
      </c>
      <c r="H6" s="348"/>
      <c r="I6" s="348"/>
      <c r="J6" s="348"/>
      <c r="K6" s="348"/>
      <c r="L6" s="348"/>
      <c r="M6" s="348"/>
      <c r="N6" s="348"/>
      <c r="O6" s="348"/>
      <c r="P6" s="348"/>
      <c r="Q6" s="348"/>
      <c r="R6" s="348"/>
      <c r="S6" s="348"/>
      <c r="T6" s="348"/>
      <c r="U6" s="348"/>
      <c r="V6" s="348"/>
      <c r="W6" s="348"/>
      <c r="X6" s="348"/>
      <c r="Y6" s="348"/>
      <c r="Z6" s="348"/>
    </row>
    <row r="7">
      <c r="A7" s="363"/>
      <c r="B7" s="364" t="s">
        <v>310</v>
      </c>
      <c r="C7" s="369" t="str">
        <f t="shared" si="1"/>
        <v>Low Value</v>
      </c>
      <c r="D7" s="370" t="s">
        <v>311</v>
      </c>
      <c r="E7" s="348"/>
      <c r="F7" s="371">
        <v>-0.8</v>
      </c>
      <c r="G7" s="372" t="s">
        <v>312</v>
      </c>
      <c r="H7" s="348"/>
      <c r="I7" s="348"/>
      <c r="J7" s="348"/>
      <c r="K7" s="348"/>
      <c r="L7" s="348"/>
      <c r="M7" s="348"/>
      <c r="N7" s="348"/>
      <c r="O7" s="348"/>
      <c r="P7" s="348"/>
      <c r="Q7" s="348"/>
      <c r="R7" s="348"/>
      <c r="S7" s="348"/>
      <c r="T7" s="348"/>
      <c r="U7" s="348"/>
      <c r="V7" s="348"/>
      <c r="W7" s="348"/>
      <c r="X7" s="348"/>
      <c r="Y7" s="348"/>
      <c r="Z7" s="348"/>
    </row>
    <row r="8">
      <c r="A8" s="363"/>
      <c r="B8" s="364" t="s">
        <v>313</v>
      </c>
      <c r="C8" s="365" t="str">
        <f t="shared" si="1"/>
        <v>Low Value</v>
      </c>
      <c r="D8" s="373" t="s">
        <v>314</v>
      </c>
      <c r="E8" s="348"/>
      <c r="F8" s="367">
        <v>-1.0</v>
      </c>
      <c r="G8" s="368" t="s">
        <v>315</v>
      </c>
      <c r="H8" s="348"/>
      <c r="I8" s="348"/>
      <c r="J8" s="348"/>
      <c r="K8" s="348"/>
      <c r="L8" s="348"/>
      <c r="M8" s="348"/>
      <c r="N8" s="348"/>
      <c r="O8" s="348"/>
      <c r="P8" s="348"/>
      <c r="Q8" s="348"/>
      <c r="R8" s="348"/>
      <c r="S8" s="348"/>
      <c r="T8" s="348"/>
      <c r="U8" s="348"/>
      <c r="V8" s="348"/>
      <c r="W8" s="348"/>
      <c r="X8" s="348"/>
      <c r="Y8" s="348"/>
      <c r="Z8" s="348"/>
    </row>
    <row r="9">
      <c r="A9" s="363"/>
      <c r="B9" s="364" t="s">
        <v>316</v>
      </c>
      <c r="C9" s="359" t="str">
        <f t="shared" si="1"/>
        <v>Value</v>
      </c>
      <c r="D9" s="366" t="s">
        <v>317</v>
      </c>
      <c r="E9" s="348"/>
      <c r="F9" s="374">
        <v>1.0</v>
      </c>
      <c r="G9" s="368" t="s">
        <v>318</v>
      </c>
      <c r="H9" s="348"/>
      <c r="I9" s="348"/>
      <c r="J9" s="348"/>
      <c r="K9" s="348"/>
      <c r="L9" s="348"/>
      <c r="M9" s="348"/>
      <c r="N9" s="348"/>
      <c r="O9" s="348"/>
      <c r="P9" s="348"/>
      <c r="Q9" s="348"/>
      <c r="R9" s="348"/>
      <c r="S9" s="348"/>
      <c r="T9" s="348"/>
      <c r="U9" s="348"/>
      <c r="V9" s="348"/>
      <c r="W9" s="348"/>
      <c r="X9" s="348"/>
      <c r="Y9" s="348"/>
      <c r="Z9" s="348"/>
    </row>
    <row r="10">
      <c r="A10" s="375"/>
      <c r="B10" s="358" t="s">
        <v>319</v>
      </c>
      <c r="C10" s="376" t="str">
        <f t="shared" si="1"/>
        <v>Neutral</v>
      </c>
      <c r="D10" s="373" t="s">
        <v>320</v>
      </c>
      <c r="E10" s="348"/>
      <c r="F10" s="367">
        <v>0.0</v>
      </c>
      <c r="G10" s="362" t="s">
        <v>321</v>
      </c>
      <c r="H10" s="348"/>
      <c r="I10" s="348"/>
      <c r="J10" s="348"/>
      <c r="K10" s="348"/>
      <c r="L10" s="348"/>
      <c r="M10" s="348"/>
      <c r="N10" s="348"/>
      <c r="O10" s="348"/>
      <c r="P10" s="348"/>
      <c r="Q10" s="348"/>
      <c r="R10" s="348"/>
      <c r="S10" s="348"/>
      <c r="T10" s="348"/>
      <c r="U10" s="348"/>
      <c r="V10" s="348"/>
      <c r="W10" s="348"/>
      <c r="X10" s="348"/>
      <c r="Y10" s="348"/>
      <c r="Z10" s="348"/>
    </row>
    <row r="11">
      <c r="A11" s="377"/>
      <c r="B11" s="364" t="s">
        <v>322</v>
      </c>
      <c r="C11" s="376" t="str">
        <f t="shared" si="1"/>
        <v>Low Value</v>
      </c>
      <c r="D11" s="366" t="s">
        <v>323</v>
      </c>
      <c r="E11" s="348"/>
      <c r="F11" s="378">
        <v>-0.8</v>
      </c>
      <c r="G11" s="368" t="s">
        <v>324</v>
      </c>
      <c r="H11" s="348"/>
      <c r="I11" s="348"/>
      <c r="J11" s="348"/>
      <c r="K11" s="348"/>
      <c r="L11" s="348"/>
      <c r="M11" s="348"/>
      <c r="N11" s="348"/>
      <c r="O11" s="348"/>
      <c r="P11" s="348"/>
      <c r="Q11" s="348"/>
      <c r="R11" s="348"/>
      <c r="S11" s="348"/>
      <c r="T11" s="348"/>
      <c r="U11" s="348"/>
      <c r="V11" s="348"/>
      <c r="W11" s="348"/>
      <c r="X11" s="348"/>
      <c r="Y11" s="348"/>
      <c r="Z11" s="348"/>
    </row>
    <row r="12">
      <c r="A12" s="348"/>
      <c r="B12" s="348"/>
      <c r="C12" s="348"/>
      <c r="D12" s="348"/>
      <c r="E12" s="348"/>
      <c r="F12" s="379"/>
      <c r="G12" s="379"/>
      <c r="H12" s="348"/>
      <c r="I12" s="348"/>
      <c r="J12" s="348"/>
      <c r="K12" s="348"/>
      <c r="L12" s="348"/>
      <c r="M12" s="348"/>
      <c r="N12" s="348"/>
      <c r="O12" s="348"/>
      <c r="P12" s="348"/>
      <c r="Q12" s="348"/>
      <c r="R12" s="348"/>
      <c r="S12" s="348"/>
      <c r="T12" s="348"/>
      <c r="U12" s="348"/>
      <c r="V12" s="348"/>
      <c r="W12" s="348"/>
      <c r="X12" s="348"/>
      <c r="Y12" s="348"/>
      <c r="Z12" s="348"/>
    </row>
    <row r="13">
      <c r="A13" s="380" t="s">
        <v>325</v>
      </c>
      <c r="B13" s="381" t="s">
        <v>326</v>
      </c>
      <c r="C13" s="359" t="str">
        <f t="shared" ref="C13:C18" si="2">ifs(F13&lt;=-1.5,"No Value",AND(F13&lt;0,F13&gt;-1.5),"Low Value",F13=0,"Neutral",AND(0&lt;F13,F13&lt;1.5),"Value",F13&gt;=1.5,"High Value")</f>
        <v>Value</v>
      </c>
      <c r="D13" s="373" t="s">
        <v>327</v>
      </c>
      <c r="E13" s="348"/>
      <c r="F13" s="367">
        <v>0.3</v>
      </c>
      <c r="G13" s="362" t="s">
        <v>328</v>
      </c>
      <c r="H13" s="348"/>
      <c r="I13" s="348"/>
      <c r="J13" s="348"/>
      <c r="K13" s="348"/>
      <c r="L13" s="348"/>
      <c r="M13" s="348"/>
      <c r="N13" s="348"/>
      <c r="O13" s="348"/>
      <c r="P13" s="348"/>
      <c r="Q13" s="348"/>
      <c r="R13" s="348"/>
      <c r="S13" s="348"/>
      <c r="T13" s="348"/>
      <c r="U13" s="348"/>
      <c r="V13" s="348"/>
      <c r="W13" s="348"/>
      <c r="X13" s="348"/>
      <c r="Y13" s="348"/>
      <c r="Z13" s="348"/>
    </row>
    <row r="14">
      <c r="A14" s="363"/>
      <c r="B14" s="382" t="s">
        <v>329</v>
      </c>
      <c r="C14" s="365" t="str">
        <f t="shared" si="2"/>
        <v>Low Value</v>
      </c>
      <c r="D14" s="383" t="s">
        <v>330</v>
      </c>
      <c r="E14" s="348"/>
      <c r="F14" s="371">
        <v>-0.5</v>
      </c>
      <c r="G14" s="368" t="s">
        <v>331</v>
      </c>
      <c r="H14" s="348"/>
      <c r="I14" s="348"/>
      <c r="J14" s="348"/>
      <c r="K14" s="348"/>
      <c r="L14" s="348"/>
      <c r="M14" s="348"/>
      <c r="N14" s="348"/>
      <c r="O14" s="348"/>
      <c r="P14" s="348"/>
      <c r="Q14" s="348"/>
      <c r="R14" s="348"/>
      <c r="S14" s="348"/>
      <c r="T14" s="348"/>
      <c r="U14" s="348"/>
      <c r="V14" s="348"/>
      <c r="W14" s="348"/>
      <c r="X14" s="348"/>
      <c r="Y14" s="348"/>
      <c r="Z14" s="348"/>
    </row>
    <row r="15">
      <c r="A15" s="363"/>
      <c r="B15" s="382" t="s">
        <v>332</v>
      </c>
      <c r="C15" s="384" t="str">
        <f t="shared" si="2"/>
        <v>Value</v>
      </c>
      <c r="D15" s="373" t="s">
        <v>333</v>
      </c>
      <c r="E15" s="348"/>
      <c r="F15" s="374">
        <v>0.8</v>
      </c>
      <c r="G15" s="385" t="s">
        <v>334</v>
      </c>
      <c r="H15" s="348"/>
      <c r="I15" s="348"/>
      <c r="J15" s="348"/>
      <c r="K15" s="348"/>
      <c r="L15" s="348"/>
      <c r="M15" s="348"/>
      <c r="N15" s="348"/>
      <c r="O15" s="348"/>
      <c r="P15" s="348"/>
      <c r="Q15" s="348"/>
      <c r="R15" s="348"/>
      <c r="S15" s="348"/>
      <c r="T15" s="348"/>
      <c r="U15" s="348"/>
      <c r="V15" s="348"/>
      <c r="W15" s="348"/>
      <c r="X15" s="348"/>
      <c r="Y15" s="348"/>
      <c r="Z15" s="348"/>
    </row>
    <row r="16">
      <c r="A16" s="363"/>
      <c r="B16" s="381" t="s">
        <v>335</v>
      </c>
      <c r="C16" s="359" t="str">
        <f t="shared" si="2"/>
        <v>Low Value</v>
      </c>
      <c r="D16" s="373" t="s">
        <v>336</v>
      </c>
      <c r="E16" s="386"/>
      <c r="F16" s="367">
        <v>-0.2</v>
      </c>
      <c r="G16" s="362" t="s">
        <v>337</v>
      </c>
      <c r="H16" s="348"/>
      <c r="I16" s="348"/>
      <c r="J16" s="348"/>
      <c r="K16" s="348"/>
      <c r="L16" s="348"/>
      <c r="M16" s="348"/>
      <c r="N16" s="348"/>
      <c r="O16" s="348"/>
      <c r="P16" s="348"/>
      <c r="Q16" s="348"/>
      <c r="R16" s="348"/>
      <c r="S16" s="348"/>
      <c r="T16" s="348"/>
      <c r="U16" s="348"/>
      <c r="V16" s="348"/>
      <c r="W16" s="348"/>
      <c r="X16" s="348"/>
      <c r="Y16" s="348"/>
      <c r="Z16" s="348"/>
    </row>
    <row r="17">
      <c r="A17" s="363"/>
      <c r="B17" s="381" t="s">
        <v>338</v>
      </c>
      <c r="C17" s="384" t="str">
        <f t="shared" si="2"/>
        <v>High Value</v>
      </c>
      <c r="D17" s="366" t="s">
        <v>339</v>
      </c>
      <c r="E17" s="386"/>
      <c r="F17" s="367">
        <v>1.5</v>
      </c>
      <c r="G17" s="362" t="s">
        <v>340</v>
      </c>
      <c r="H17" s="348"/>
      <c r="I17" s="348"/>
      <c r="J17" s="348"/>
      <c r="K17" s="348"/>
      <c r="L17" s="348"/>
      <c r="M17" s="348"/>
      <c r="N17" s="348"/>
      <c r="O17" s="348"/>
      <c r="P17" s="348"/>
      <c r="Q17" s="348"/>
      <c r="R17" s="348"/>
      <c r="S17" s="348"/>
      <c r="T17" s="348"/>
      <c r="U17" s="348"/>
      <c r="V17" s="348"/>
      <c r="W17" s="348"/>
      <c r="X17" s="348"/>
      <c r="Y17" s="348"/>
      <c r="Z17" s="348"/>
    </row>
    <row r="18">
      <c r="A18" s="348"/>
      <c r="B18" s="381" t="s">
        <v>341</v>
      </c>
      <c r="C18" s="387" t="str">
        <f t="shared" si="2"/>
        <v>Low Value</v>
      </c>
      <c r="D18" s="388" t="s">
        <v>342</v>
      </c>
      <c r="E18" s="389"/>
      <c r="F18" s="390">
        <v>-0.3</v>
      </c>
      <c r="G18" s="391" t="s">
        <v>343</v>
      </c>
      <c r="H18" s="348"/>
      <c r="I18" s="348"/>
      <c r="J18" s="348"/>
      <c r="K18" s="348"/>
      <c r="L18" s="348"/>
      <c r="M18" s="348"/>
      <c r="N18" s="348"/>
      <c r="O18" s="348"/>
      <c r="P18" s="348"/>
      <c r="Q18" s="348"/>
      <c r="R18" s="348"/>
      <c r="S18" s="348"/>
      <c r="T18" s="348"/>
      <c r="U18" s="348"/>
      <c r="V18" s="348"/>
      <c r="W18" s="348"/>
      <c r="X18" s="348"/>
      <c r="Y18" s="348"/>
      <c r="Z18" s="348"/>
    </row>
    <row r="19">
      <c r="A19" s="377"/>
      <c r="B19" s="392"/>
      <c r="C19" s="392"/>
      <c r="D19" s="348"/>
      <c r="E19" s="348"/>
      <c r="F19" s="348"/>
      <c r="G19" s="348"/>
      <c r="H19" s="348"/>
      <c r="I19" s="348"/>
      <c r="J19" s="348"/>
      <c r="K19" s="348"/>
      <c r="L19" s="348"/>
      <c r="M19" s="348"/>
      <c r="N19" s="348"/>
      <c r="O19" s="348"/>
      <c r="P19" s="348"/>
      <c r="Q19" s="348"/>
      <c r="R19" s="348"/>
      <c r="S19" s="348"/>
      <c r="T19" s="348"/>
      <c r="U19" s="348"/>
      <c r="V19" s="348"/>
      <c r="W19" s="348"/>
      <c r="X19" s="348"/>
      <c r="Y19" s="348"/>
      <c r="Z19" s="348"/>
    </row>
    <row r="20">
      <c r="A20" s="348"/>
      <c r="B20" s="348"/>
      <c r="C20" s="348"/>
      <c r="D20" s="348"/>
      <c r="E20" s="348"/>
      <c r="F20" s="379"/>
      <c r="G20" s="379"/>
      <c r="H20" s="348"/>
      <c r="I20" s="348"/>
      <c r="J20" s="348"/>
      <c r="K20" s="348"/>
      <c r="L20" s="348"/>
      <c r="M20" s="348"/>
      <c r="N20" s="348"/>
      <c r="O20" s="348"/>
      <c r="P20" s="348"/>
      <c r="Q20" s="348"/>
      <c r="R20" s="348"/>
      <c r="S20" s="348"/>
      <c r="T20" s="348"/>
      <c r="U20" s="348"/>
      <c r="V20" s="348"/>
      <c r="W20" s="348"/>
      <c r="X20" s="348"/>
      <c r="Y20" s="348"/>
      <c r="Z20" s="348"/>
    </row>
    <row r="21">
      <c r="A21" s="393" t="s">
        <v>344</v>
      </c>
      <c r="B21" s="394" t="s">
        <v>345</v>
      </c>
      <c r="C21" s="359" t="str">
        <f t="shared" ref="C21:C22" si="3">ifs(F21&lt;=-1.5,"No Value",AND(F21&lt;0,F21&gt;-1.5),"Low Value",F21=0,"Neutral",AND(0&lt;F21,F21&lt;1.5),"Value",F21&gt;=1.5,"High Value")</f>
        <v>Value</v>
      </c>
      <c r="D21" s="395" t="s">
        <v>346</v>
      </c>
      <c r="E21" s="348"/>
      <c r="F21" s="367">
        <v>0.3</v>
      </c>
      <c r="G21" s="362" t="s">
        <v>347</v>
      </c>
      <c r="H21" s="348"/>
      <c r="I21" s="348"/>
      <c r="J21" s="348"/>
      <c r="K21" s="348"/>
      <c r="L21" s="348"/>
      <c r="M21" s="348"/>
      <c r="N21" s="348"/>
      <c r="O21" s="348"/>
      <c r="P21" s="348"/>
      <c r="Q21" s="348"/>
      <c r="R21" s="348"/>
      <c r="S21" s="348"/>
      <c r="T21" s="348"/>
      <c r="U21" s="348"/>
      <c r="V21" s="348"/>
      <c r="W21" s="348"/>
      <c r="X21" s="348"/>
      <c r="Y21" s="348"/>
      <c r="Z21" s="348"/>
    </row>
    <row r="22">
      <c r="A22" s="363"/>
      <c r="B22" s="394" t="s">
        <v>348</v>
      </c>
      <c r="C22" s="384" t="str">
        <f t="shared" si="3"/>
        <v>Value</v>
      </c>
      <c r="D22" s="373" t="s">
        <v>349</v>
      </c>
      <c r="E22" s="348"/>
      <c r="F22" s="367">
        <v>0.4</v>
      </c>
      <c r="G22" s="362" t="s">
        <v>350</v>
      </c>
      <c r="H22" s="348"/>
      <c r="I22" s="348"/>
      <c r="J22" s="348"/>
      <c r="K22" s="348"/>
      <c r="L22" s="348"/>
      <c r="M22" s="348"/>
      <c r="N22" s="348"/>
      <c r="O22" s="348"/>
      <c r="P22" s="348"/>
      <c r="Q22" s="348"/>
      <c r="R22" s="348"/>
      <c r="S22" s="348"/>
      <c r="T22" s="348"/>
      <c r="U22" s="348"/>
      <c r="V22" s="348"/>
      <c r="W22" s="348"/>
      <c r="X22" s="348"/>
      <c r="Y22" s="348"/>
      <c r="Z22" s="348"/>
    </row>
    <row r="23">
      <c r="A23" s="363"/>
      <c r="B23" s="392"/>
      <c r="C23" s="392"/>
      <c r="D23" s="392"/>
      <c r="E23" s="348"/>
      <c r="F23" s="348"/>
      <c r="G23" s="348"/>
      <c r="H23" s="348"/>
      <c r="I23" s="348"/>
      <c r="J23" s="348"/>
      <c r="K23" s="348"/>
      <c r="L23" s="348"/>
      <c r="M23" s="348"/>
      <c r="N23" s="348"/>
      <c r="O23" s="348"/>
      <c r="P23" s="348"/>
      <c r="Q23" s="348"/>
      <c r="R23" s="348"/>
      <c r="S23" s="348"/>
      <c r="T23" s="348"/>
      <c r="U23" s="348"/>
      <c r="V23" s="348"/>
      <c r="W23" s="348"/>
      <c r="X23" s="348"/>
      <c r="Y23" s="348"/>
      <c r="Z23" s="348"/>
    </row>
    <row r="24">
      <c r="A24" s="377"/>
      <c r="B24" s="348"/>
      <c r="C24" s="392"/>
      <c r="D24" s="348"/>
      <c r="E24" s="348"/>
      <c r="F24" s="348"/>
      <c r="G24" s="348"/>
      <c r="H24" s="348"/>
      <c r="I24" s="348"/>
      <c r="J24" s="348"/>
      <c r="K24" s="348"/>
      <c r="L24" s="348"/>
      <c r="M24" s="348"/>
      <c r="N24" s="348"/>
      <c r="O24" s="348"/>
      <c r="P24" s="348"/>
      <c r="Q24" s="348"/>
      <c r="R24" s="348"/>
      <c r="S24" s="348"/>
      <c r="T24" s="348"/>
      <c r="U24" s="348"/>
      <c r="V24" s="348"/>
      <c r="W24" s="348"/>
      <c r="X24" s="348"/>
      <c r="Y24" s="348"/>
      <c r="Z24" s="348"/>
    </row>
    <row r="25">
      <c r="A25" s="348"/>
      <c r="B25" s="348"/>
      <c r="C25" s="392"/>
      <c r="D25" s="348"/>
      <c r="E25" s="348"/>
      <c r="F25" s="348"/>
      <c r="G25" s="348"/>
      <c r="H25" s="348"/>
      <c r="I25" s="348"/>
      <c r="J25" s="348"/>
      <c r="K25" s="348"/>
      <c r="L25" s="348"/>
      <c r="M25" s="348"/>
      <c r="N25" s="348"/>
      <c r="O25" s="348"/>
      <c r="P25" s="348"/>
      <c r="Q25" s="348"/>
      <c r="R25" s="348"/>
      <c r="S25" s="348"/>
      <c r="T25" s="348"/>
      <c r="U25" s="348"/>
      <c r="V25" s="348"/>
      <c r="W25" s="348"/>
      <c r="X25" s="348"/>
      <c r="Y25" s="348"/>
      <c r="Z25" s="348"/>
    </row>
    <row r="26">
      <c r="A26" s="348"/>
      <c r="B26" s="348"/>
      <c r="C26" s="348"/>
      <c r="D26" s="348"/>
      <c r="E26" s="348"/>
      <c r="F26" s="348"/>
      <c r="G26" s="348"/>
      <c r="H26" s="348"/>
      <c r="I26" s="348"/>
      <c r="J26" s="348"/>
      <c r="K26" s="348"/>
      <c r="L26" s="348"/>
      <c r="M26" s="348"/>
      <c r="N26" s="348"/>
      <c r="O26" s="348"/>
      <c r="P26" s="348"/>
      <c r="Q26" s="348"/>
      <c r="R26" s="348"/>
      <c r="S26" s="348"/>
      <c r="T26" s="348"/>
      <c r="U26" s="348"/>
      <c r="V26" s="348"/>
      <c r="W26" s="348"/>
      <c r="X26" s="348"/>
      <c r="Y26" s="348"/>
      <c r="Z26" s="348"/>
    </row>
    <row r="27">
      <c r="A27" s="348"/>
      <c r="B27" s="348"/>
      <c r="C27" s="348"/>
      <c r="D27" s="348"/>
      <c r="E27" s="348"/>
      <c r="F27" s="348"/>
      <c r="G27" s="348"/>
      <c r="H27" s="348"/>
      <c r="I27" s="348"/>
      <c r="J27" s="348"/>
      <c r="K27" s="348"/>
      <c r="L27" s="348"/>
      <c r="M27" s="348"/>
      <c r="N27" s="348"/>
      <c r="O27" s="348"/>
      <c r="P27" s="348"/>
      <c r="Q27" s="348"/>
      <c r="R27" s="348"/>
      <c r="S27" s="348"/>
      <c r="T27" s="348"/>
      <c r="U27" s="348"/>
      <c r="V27" s="348"/>
      <c r="W27" s="348"/>
      <c r="X27" s="348"/>
      <c r="Y27" s="348"/>
      <c r="Z27" s="348"/>
    </row>
    <row r="28">
      <c r="A28" s="348"/>
      <c r="B28" s="348"/>
      <c r="C28" s="348"/>
      <c r="D28" s="348"/>
      <c r="E28" s="348"/>
      <c r="F28" s="348"/>
      <c r="G28" s="348"/>
      <c r="H28" s="348"/>
      <c r="I28" s="348"/>
      <c r="J28" s="348"/>
      <c r="K28" s="348"/>
      <c r="L28" s="348"/>
      <c r="M28" s="348"/>
      <c r="N28" s="348"/>
      <c r="O28" s="348"/>
      <c r="P28" s="348"/>
      <c r="Q28" s="348"/>
      <c r="R28" s="348"/>
      <c r="S28" s="348"/>
      <c r="T28" s="348"/>
      <c r="U28" s="348"/>
      <c r="V28" s="348"/>
      <c r="W28" s="348"/>
      <c r="X28" s="348"/>
      <c r="Y28" s="348"/>
      <c r="Z28" s="348"/>
    </row>
    <row r="29">
      <c r="A29" s="348"/>
      <c r="B29" s="348"/>
      <c r="C29" s="348"/>
      <c r="D29" s="348"/>
      <c r="E29" s="348"/>
      <c r="F29" s="348"/>
      <c r="G29" s="348"/>
      <c r="H29" s="348"/>
      <c r="I29" s="348"/>
      <c r="J29" s="348"/>
      <c r="K29" s="348"/>
      <c r="L29" s="348"/>
      <c r="M29" s="348"/>
      <c r="N29" s="348"/>
      <c r="O29" s="348"/>
      <c r="P29" s="348"/>
      <c r="Q29" s="348"/>
      <c r="R29" s="348"/>
      <c r="S29" s="348"/>
      <c r="T29" s="348"/>
      <c r="U29" s="348"/>
      <c r="V29" s="348"/>
      <c r="W29" s="348"/>
      <c r="X29" s="348"/>
      <c r="Y29" s="348"/>
      <c r="Z29" s="348"/>
    </row>
    <row r="30">
      <c r="A30" s="348"/>
      <c r="B30" s="348"/>
      <c r="C30" s="396" t="s">
        <v>351</v>
      </c>
      <c r="D30" s="397"/>
      <c r="E30" s="398"/>
      <c r="F30" s="399">
        <f>AVERAGE(F5:F26)</f>
        <v>0.09285714286</v>
      </c>
      <c r="G30" s="397"/>
      <c r="H30" s="400" t="str">
        <f t="shared" ref="H30:H31" si="4">Ifs(F30&lt;=-1.5,"No Value",AND(F30&gt;-1.5,F30&lt;0),"Low Value",AND(F30&gt;0,F30&lt;1.5),"Value",F30&gt;=1.5,"High Value",F30=0,"Neutral")</f>
        <v>Value</v>
      </c>
      <c r="I30" s="348"/>
      <c r="J30" s="348"/>
      <c r="K30" s="348"/>
      <c r="L30" s="348"/>
      <c r="M30" s="348"/>
      <c r="N30" s="348"/>
      <c r="O30" s="348"/>
      <c r="P30" s="348"/>
      <c r="Q30" s="348"/>
      <c r="R30" s="348"/>
      <c r="S30" s="348"/>
      <c r="T30" s="348"/>
      <c r="U30" s="348"/>
      <c r="V30" s="348"/>
      <c r="W30" s="348"/>
      <c r="X30" s="348"/>
      <c r="Y30" s="348"/>
      <c r="Z30" s="348"/>
    </row>
    <row r="31">
      <c r="A31" s="348"/>
      <c r="B31" s="348"/>
      <c r="C31" s="396" t="s">
        <v>352</v>
      </c>
      <c r="D31" s="397"/>
      <c r="E31" s="397"/>
      <c r="F31" s="401">
        <f>F30*-1</f>
        <v>-0.09285714286</v>
      </c>
      <c r="G31" s="397"/>
      <c r="H31" s="402" t="str">
        <f t="shared" si="4"/>
        <v>Low Value</v>
      </c>
      <c r="I31" s="348"/>
      <c r="J31" s="348"/>
      <c r="K31" s="348"/>
      <c r="L31" s="348"/>
      <c r="M31" s="348"/>
      <c r="N31" s="348"/>
      <c r="O31" s="348"/>
      <c r="P31" s="348"/>
      <c r="Q31" s="348"/>
      <c r="R31" s="348"/>
      <c r="S31" s="348"/>
      <c r="T31" s="348"/>
      <c r="U31" s="348"/>
      <c r="V31" s="348"/>
      <c r="W31" s="348"/>
      <c r="X31" s="348"/>
      <c r="Y31" s="348"/>
      <c r="Z31" s="348"/>
    </row>
    <row r="32">
      <c r="A32" s="348"/>
      <c r="B32" s="348"/>
      <c r="C32" s="348"/>
      <c r="D32" s="348"/>
      <c r="E32" s="348"/>
      <c r="F32" s="403" t="s">
        <v>198</v>
      </c>
      <c r="I32" s="348"/>
      <c r="J32" s="348"/>
      <c r="K32" s="348"/>
      <c r="L32" s="348"/>
      <c r="M32" s="348"/>
      <c r="N32" s="348"/>
      <c r="O32" s="348"/>
      <c r="P32" s="348"/>
      <c r="Q32" s="348"/>
      <c r="R32" s="348"/>
      <c r="S32" s="348"/>
      <c r="T32" s="348"/>
      <c r="U32" s="348"/>
      <c r="V32" s="348"/>
      <c r="W32" s="348"/>
      <c r="X32" s="348"/>
      <c r="Y32" s="348"/>
      <c r="Z32" s="348"/>
    </row>
    <row r="33">
      <c r="A33" s="348"/>
      <c r="B33" s="392"/>
      <c r="C33" s="348"/>
      <c r="D33" s="348"/>
      <c r="E33" s="404"/>
      <c r="F33" s="404"/>
      <c r="G33" s="348"/>
      <c r="H33" s="348"/>
      <c r="I33" s="348"/>
      <c r="J33" s="348"/>
      <c r="K33" s="348"/>
      <c r="L33" s="348"/>
      <c r="M33" s="348"/>
      <c r="N33" s="348"/>
      <c r="O33" s="348"/>
      <c r="P33" s="348"/>
      <c r="Q33" s="348"/>
      <c r="R33" s="348"/>
      <c r="S33" s="348"/>
      <c r="T33" s="348"/>
      <c r="U33" s="348"/>
      <c r="V33" s="348"/>
      <c r="W33" s="348"/>
      <c r="X33" s="348"/>
      <c r="Y33" s="348"/>
      <c r="Z33" s="348"/>
    </row>
    <row r="34">
      <c r="A34" s="348"/>
      <c r="B34" s="392"/>
      <c r="C34" s="348"/>
      <c r="D34" s="348"/>
      <c r="E34" s="348"/>
      <c r="F34" s="348"/>
      <c r="G34" s="348"/>
      <c r="H34" s="348"/>
      <c r="I34" s="348"/>
      <c r="J34" s="348"/>
      <c r="K34" s="348"/>
      <c r="L34" s="348"/>
      <c r="M34" s="348"/>
      <c r="N34" s="348"/>
      <c r="O34" s="348"/>
      <c r="P34" s="348"/>
      <c r="Q34" s="348"/>
      <c r="R34" s="348"/>
      <c r="S34" s="348"/>
      <c r="T34" s="348"/>
      <c r="U34" s="348"/>
      <c r="V34" s="348"/>
      <c r="W34" s="348"/>
      <c r="X34" s="348"/>
      <c r="Y34" s="348"/>
      <c r="Z34" s="348"/>
    </row>
    <row r="35">
      <c r="A35" s="348"/>
      <c r="B35" s="392"/>
      <c r="C35" s="348"/>
      <c r="D35" s="348"/>
      <c r="E35" s="348"/>
      <c r="F35" s="348"/>
      <c r="G35" s="348"/>
      <c r="H35" s="348"/>
      <c r="I35" s="348"/>
      <c r="J35" s="348"/>
      <c r="K35" s="348"/>
      <c r="L35" s="348"/>
      <c r="M35" s="348"/>
      <c r="N35" s="348"/>
      <c r="O35" s="348"/>
      <c r="P35" s="348"/>
      <c r="Q35" s="348"/>
      <c r="R35" s="348"/>
      <c r="S35" s="348"/>
      <c r="T35" s="348"/>
      <c r="U35" s="348"/>
      <c r="V35" s="348"/>
      <c r="W35" s="348"/>
      <c r="X35" s="348"/>
      <c r="Y35" s="348"/>
      <c r="Z35" s="348"/>
    </row>
    <row r="36">
      <c r="A36" s="348"/>
      <c r="B36" s="392"/>
      <c r="C36" s="348"/>
      <c r="D36" s="348"/>
      <c r="E36" s="348"/>
      <c r="F36" s="348"/>
      <c r="G36" s="348"/>
      <c r="H36" s="348"/>
      <c r="I36" s="348"/>
      <c r="J36" s="348"/>
      <c r="K36" s="348"/>
      <c r="L36" s="348"/>
      <c r="M36" s="348"/>
      <c r="N36" s="348"/>
      <c r="O36" s="348"/>
      <c r="P36" s="348"/>
      <c r="Q36" s="348"/>
      <c r="R36" s="348"/>
      <c r="S36" s="348"/>
      <c r="T36" s="348"/>
      <c r="U36" s="348"/>
      <c r="V36" s="348"/>
      <c r="W36" s="348"/>
      <c r="X36" s="348"/>
      <c r="Y36" s="348"/>
      <c r="Z36" s="348"/>
    </row>
    <row r="37">
      <c r="A37" s="348"/>
      <c r="B37" s="392"/>
      <c r="C37" s="348"/>
      <c r="D37" s="348"/>
      <c r="E37" s="348"/>
      <c r="F37" s="348"/>
      <c r="G37" s="348"/>
      <c r="H37" s="348"/>
      <c r="I37" s="348"/>
      <c r="J37" s="348"/>
      <c r="K37" s="348"/>
      <c r="L37" s="348"/>
      <c r="M37" s="348"/>
      <c r="N37" s="348"/>
      <c r="O37" s="348"/>
      <c r="P37" s="348"/>
      <c r="Q37" s="348"/>
      <c r="R37" s="348"/>
      <c r="S37" s="348"/>
      <c r="T37" s="348"/>
      <c r="U37" s="348"/>
      <c r="V37" s="348"/>
      <c r="W37" s="348"/>
      <c r="X37" s="348"/>
      <c r="Y37" s="348"/>
      <c r="Z37" s="348"/>
    </row>
    <row r="38">
      <c r="A38" s="348"/>
      <c r="B38" s="392"/>
      <c r="C38" s="348"/>
      <c r="D38" s="348"/>
      <c r="E38" s="348"/>
      <c r="F38" s="348"/>
      <c r="G38" s="348"/>
      <c r="H38" s="348"/>
      <c r="I38" s="348"/>
      <c r="J38" s="348"/>
      <c r="K38" s="348"/>
      <c r="L38" s="348"/>
      <c r="M38" s="348"/>
      <c r="N38" s="348"/>
      <c r="O38" s="348"/>
      <c r="P38" s="348"/>
      <c r="Q38" s="348"/>
      <c r="R38" s="348"/>
      <c r="S38" s="348"/>
      <c r="T38" s="348"/>
      <c r="U38" s="348"/>
      <c r="V38" s="348"/>
      <c r="W38" s="348"/>
      <c r="X38" s="348"/>
      <c r="Y38" s="348"/>
      <c r="Z38" s="348"/>
    </row>
    <row r="39">
      <c r="A39" s="348"/>
      <c r="B39" s="392"/>
      <c r="C39" s="348"/>
      <c r="D39" s="348"/>
      <c r="E39" s="348"/>
      <c r="F39" s="348"/>
      <c r="G39" s="348"/>
      <c r="H39" s="348"/>
      <c r="I39" s="348"/>
      <c r="J39" s="348"/>
      <c r="K39" s="348"/>
      <c r="L39" s="348"/>
      <c r="M39" s="348"/>
      <c r="N39" s="348"/>
      <c r="O39" s="348"/>
      <c r="P39" s="348"/>
      <c r="Q39" s="348"/>
      <c r="R39" s="348"/>
      <c r="S39" s="348"/>
      <c r="T39" s="348"/>
      <c r="U39" s="348"/>
      <c r="V39" s="348"/>
      <c r="W39" s="348"/>
      <c r="X39" s="348"/>
      <c r="Y39" s="348"/>
      <c r="Z39" s="348"/>
    </row>
    <row r="40">
      <c r="A40" s="348"/>
      <c r="B40" s="392"/>
      <c r="C40" s="348"/>
      <c r="D40" s="348"/>
      <c r="E40" s="348"/>
      <c r="F40" s="348"/>
      <c r="G40" s="348"/>
      <c r="H40" s="348"/>
      <c r="I40" s="348"/>
      <c r="J40" s="348"/>
      <c r="K40" s="348"/>
      <c r="L40" s="348"/>
      <c r="M40" s="348"/>
      <c r="N40" s="348"/>
      <c r="O40" s="348"/>
      <c r="P40" s="348"/>
      <c r="Q40" s="348"/>
      <c r="R40" s="348"/>
      <c r="S40" s="348"/>
      <c r="T40" s="348"/>
      <c r="U40" s="348"/>
      <c r="V40" s="348"/>
      <c r="W40" s="348"/>
      <c r="X40" s="348"/>
      <c r="Y40" s="348"/>
      <c r="Z40" s="348"/>
    </row>
    <row r="41">
      <c r="A41" s="348"/>
      <c r="B41" s="392"/>
      <c r="C41" s="348"/>
      <c r="D41" s="348"/>
      <c r="E41" s="348"/>
      <c r="F41" s="348"/>
      <c r="G41" s="348"/>
      <c r="H41" s="348"/>
      <c r="I41" s="348"/>
      <c r="J41" s="348"/>
      <c r="K41" s="348"/>
      <c r="L41" s="348"/>
      <c r="M41" s="348"/>
      <c r="N41" s="348"/>
      <c r="O41" s="348"/>
      <c r="P41" s="348"/>
      <c r="Q41" s="348"/>
      <c r="R41" s="348"/>
      <c r="S41" s="348"/>
      <c r="T41" s="348"/>
      <c r="U41" s="348"/>
      <c r="V41" s="348"/>
      <c r="W41" s="348"/>
      <c r="X41" s="348"/>
      <c r="Y41" s="348"/>
      <c r="Z41" s="348"/>
    </row>
    <row r="42">
      <c r="A42" s="348"/>
      <c r="B42" s="392"/>
      <c r="C42" s="348"/>
      <c r="D42" s="348"/>
      <c r="E42" s="348"/>
      <c r="F42" s="348"/>
      <c r="G42" s="348"/>
      <c r="H42" s="348"/>
      <c r="I42" s="348"/>
      <c r="J42" s="348"/>
      <c r="K42" s="348"/>
      <c r="L42" s="348"/>
      <c r="M42" s="348"/>
      <c r="N42" s="348"/>
      <c r="O42" s="348"/>
      <c r="P42" s="348"/>
      <c r="Q42" s="348"/>
      <c r="R42" s="348"/>
      <c r="S42" s="348"/>
      <c r="T42" s="348"/>
      <c r="U42" s="348"/>
      <c r="V42" s="348"/>
      <c r="W42" s="348"/>
      <c r="X42" s="348"/>
      <c r="Y42" s="348"/>
      <c r="Z42" s="348"/>
    </row>
    <row r="43">
      <c r="A43" s="348"/>
      <c r="B43" s="392"/>
      <c r="C43" s="348"/>
      <c r="D43" s="348"/>
      <c r="E43" s="348"/>
      <c r="F43" s="348"/>
      <c r="G43" s="348"/>
      <c r="H43" s="348"/>
      <c r="I43" s="348"/>
      <c r="J43" s="348"/>
      <c r="K43" s="348"/>
      <c r="L43" s="348"/>
      <c r="M43" s="348"/>
      <c r="N43" s="348"/>
      <c r="O43" s="348"/>
      <c r="P43" s="348"/>
      <c r="Q43" s="348"/>
      <c r="R43" s="348"/>
      <c r="S43" s="348"/>
      <c r="T43" s="348"/>
      <c r="U43" s="348"/>
      <c r="V43" s="348"/>
      <c r="W43" s="348"/>
      <c r="X43" s="348"/>
      <c r="Y43" s="348"/>
      <c r="Z43" s="348"/>
    </row>
    <row r="44">
      <c r="A44" s="348"/>
      <c r="B44" s="392"/>
      <c r="C44" s="348"/>
      <c r="D44" s="348"/>
      <c r="E44" s="348"/>
      <c r="F44" s="348"/>
      <c r="G44" s="348"/>
      <c r="H44" s="348"/>
      <c r="I44" s="348"/>
      <c r="J44" s="348"/>
      <c r="K44" s="348"/>
      <c r="L44" s="348"/>
      <c r="M44" s="348"/>
      <c r="N44" s="348"/>
      <c r="O44" s="348"/>
      <c r="P44" s="348"/>
      <c r="Q44" s="348"/>
      <c r="R44" s="348"/>
      <c r="S44" s="348"/>
      <c r="T44" s="348"/>
      <c r="U44" s="348"/>
      <c r="V44" s="348"/>
      <c r="W44" s="348"/>
      <c r="X44" s="348"/>
      <c r="Y44" s="348"/>
      <c r="Z44" s="348"/>
    </row>
    <row r="45">
      <c r="A45" s="348"/>
      <c r="B45" s="392"/>
      <c r="C45" s="348"/>
      <c r="D45" s="348"/>
      <c r="E45" s="348"/>
      <c r="F45" s="348"/>
      <c r="G45" s="348"/>
      <c r="H45" s="348"/>
      <c r="I45" s="348"/>
      <c r="J45" s="348"/>
      <c r="K45" s="348"/>
      <c r="L45" s="348"/>
      <c r="M45" s="348"/>
      <c r="N45" s="348"/>
      <c r="O45" s="348"/>
      <c r="P45" s="348"/>
      <c r="Q45" s="348"/>
      <c r="R45" s="348"/>
      <c r="S45" s="348"/>
      <c r="T45" s="348"/>
      <c r="U45" s="348"/>
      <c r="V45" s="348"/>
      <c r="W45" s="348"/>
      <c r="X45" s="348"/>
      <c r="Y45" s="348"/>
      <c r="Z45" s="348"/>
    </row>
    <row r="46">
      <c r="A46" s="348"/>
      <c r="B46" s="392"/>
      <c r="C46" s="348"/>
      <c r="D46" s="348"/>
      <c r="E46" s="348"/>
      <c r="F46" s="348"/>
      <c r="G46" s="348"/>
      <c r="H46" s="348"/>
      <c r="I46" s="348"/>
      <c r="J46" s="348"/>
      <c r="K46" s="348"/>
      <c r="L46" s="348"/>
      <c r="M46" s="348"/>
      <c r="N46" s="348"/>
      <c r="O46" s="348"/>
      <c r="P46" s="348"/>
      <c r="Q46" s="348"/>
      <c r="R46" s="348"/>
      <c r="S46" s="348"/>
      <c r="T46" s="348"/>
      <c r="U46" s="348"/>
      <c r="V46" s="348"/>
      <c r="W46" s="348"/>
      <c r="X46" s="348"/>
      <c r="Y46" s="348"/>
      <c r="Z46" s="348"/>
    </row>
    <row r="47">
      <c r="A47" s="348"/>
      <c r="B47" s="405" t="s">
        <v>353</v>
      </c>
      <c r="C47" s="348"/>
      <c r="D47" s="348"/>
      <c r="E47" s="348"/>
      <c r="F47" s="348"/>
      <c r="G47" s="348"/>
      <c r="H47" s="348"/>
      <c r="I47" s="348"/>
      <c r="J47" s="348"/>
      <c r="K47" s="348"/>
      <c r="L47" s="348"/>
      <c r="M47" s="348"/>
      <c r="N47" s="348"/>
      <c r="O47" s="348"/>
      <c r="P47" s="348"/>
      <c r="Q47" s="348"/>
      <c r="R47" s="348"/>
      <c r="S47" s="348"/>
      <c r="T47" s="348"/>
      <c r="U47" s="348"/>
      <c r="V47" s="348"/>
      <c r="W47" s="348"/>
      <c r="X47" s="348"/>
      <c r="Y47" s="348"/>
      <c r="Z47" s="348"/>
    </row>
    <row r="48">
      <c r="A48" s="348"/>
      <c r="B48" s="405" t="s">
        <v>324</v>
      </c>
      <c r="C48" s="348"/>
      <c r="D48" s="348"/>
      <c r="E48" s="348"/>
      <c r="F48" s="348"/>
      <c r="G48" s="348"/>
      <c r="H48" s="348"/>
      <c r="I48" s="348"/>
      <c r="J48" s="348"/>
      <c r="K48" s="348"/>
      <c r="L48" s="348"/>
      <c r="M48" s="348"/>
      <c r="N48" s="348"/>
      <c r="O48" s="348"/>
      <c r="P48" s="348"/>
      <c r="Q48" s="348"/>
      <c r="R48" s="348"/>
      <c r="S48" s="348"/>
      <c r="T48" s="348"/>
      <c r="U48" s="348"/>
      <c r="V48" s="348"/>
      <c r="W48" s="348"/>
      <c r="X48" s="348"/>
      <c r="Y48" s="348"/>
      <c r="Z48" s="348"/>
    </row>
    <row r="49">
      <c r="A49" s="348"/>
      <c r="B49" s="405" t="s">
        <v>340</v>
      </c>
      <c r="C49" s="348"/>
      <c r="D49" s="348"/>
      <c r="E49" s="348"/>
      <c r="F49" s="348"/>
      <c r="G49" s="348"/>
      <c r="H49" s="348"/>
      <c r="I49" s="348"/>
      <c r="J49" s="348"/>
      <c r="K49" s="348"/>
      <c r="L49" s="348"/>
      <c r="M49" s="348"/>
      <c r="N49" s="348"/>
      <c r="O49" s="348"/>
      <c r="P49" s="348"/>
      <c r="Q49" s="348"/>
      <c r="R49" s="348"/>
      <c r="S49" s="348"/>
      <c r="T49" s="348"/>
      <c r="U49" s="348"/>
      <c r="V49" s="348"/>
      <c r="W49" s="348"/>
      <c r="X49" s="348"/>
      <c r="Y49" s="348"/>
      <c r="Z49" s="348"/>
    </row>
    <row r="50">
      <c r="A50" s="348"/>
      <c r="B50" s="392"/>
      <c r="C50" s="348"/>
      <c r="D50" s="348"/>
      <c r="E50" s="348"/>
      <c r="F50" s="348"/>
      <c r="G50" s="348"/>
      <c r="H50" s="348"/>
      <c r="I50" s="348"/>
      <c r="J50" s="348"/>
      <c r="K50" s="348"/>
      <c r="L50" s="348"/>
      <c r="M50" s="348"/>
      <c r="N50" s="348"/>
      <c r="O50" s="348"/>
      <c r="P50" s="348"/>
      <c r="Q50" s="348"/>
      <c r="R50" s="348"/>
      <c r="S50" s="348"/>
      <c r="T50" s="348"/>
      <c r="U50" s="348"/>
      <c r="V50" s="348"/>
      <c r="W50" s="348"/>
      <c r="X50" s="348"/>
      <c r="Y50" s="348"/>
      <c r="Z50" s="348"/>
    </row>
    <row r="51">
      <c r="A51" s="348"/>
      <c r="B51" s="392"/>
      <c r="C51" s="348"/>
      <c r="D51" s="348"/>
      <c r="E51" s="348"/>
      <c r="F51" s="348"/>
      <c r="G51" s="348"/>
      <c r="H51" s="348"/>
      <c r="I51" s="348"/>
      <c r="J51" s="348"/>
      <c r="K51" s="348"/>
      <c r="L51" s="348"/>
      <c r="M51" s="348"/>
      <c r="N51" s="348"/>
      <c r="O51" s="348"/>
      <c r="P51" s="348"/>
      <c r="Q51" s="348"/>
      <c r="R51" s="348"/>
      <c r="S51" s="348"/>
      <c r="T51" s="348"/>
      <c r="U51" s="348"/>
      <c r="V51" s="348"/>
      <c r="W51" s="348"/>
      <c r="X51" s="348"/>
      <c r="Y51" s="348"/>
      <c r="Z51" s="348"/>
    </row>
    <row r="52">
      <c r="A52" s="348"/>
      <c r="B52" s="392"/>
      <c r="C52" s="348"/>
      <c r="D52" s="348"/>
      <c r="E52" s="348"/>
      <c r="F52" s="348"/>
      <c r="G52" s="348"/>
      <c r="H52" s="348"/>
      <c r="I52" s="348"/>
      <c r="J52" s="348"/>
      <c r="K52" s="348"/>
      <c r="L52" s="348"/>
      <c r="M52" s="348"/>
      <c r="N52" s="348"/>
      <c r="O52" s="348"/>
      <c r="P52" s="348"/>
      <c r="Q52" s="348"/>
      <c r="R52" s="348"/>
      <c r="S52" s="348"/>
      <c r="T52" s="348"/>
      <c r="U52" s="348"/>
      <c r="V52" s="348"/>
      <c r="W52" s="348"/>
      <c r="X52" s="348"/>
      <c r="Y52" s="348"/>
      <c r="Z52" s="348"/>
    </row>
    <row r="53">
      <c r="A53" s="348"/>
      <c r="B53" s="392"/>
      <c r="C53" s="348"/>
      <c r="D53" s="348"/>
      <c r="E53" s="348"/>
      <c r="F53" s="348"/>
      <c r="G53" s="348"/>
      <c r="H53" s="348"/>
      <c r="I53" s="348"/>
      <c r="J53" s="348"/>
      <c r="K53" s="348"/>
      <c r="L53" s="348"/>
      <c r="M53" s="348"/>
      <c r="N53" s="348"/>
      <c r="O53" s="348"/>
      <c r="P53" s="348"/>
      <c r="Q53" s="348"/>
      <c r="R53" s="348"/>
      <c r="S53" s="348"/>
      <c r="T53" s="348"/>
      <c r="U53" s="348"/>
      <c r="V53" s="348"/>
      <c r="W53" s="348"/>
      <c r="X53" s="348"/>
      <c r="Y53" s="348"/>
      <c r="Z53" s="348"/>
    </row>
    <row r="54">
      <c r="A54" s="348"/>
      <c r="B54" s="392"/>
      <c r="C54" s="348"/>
      <c r="D54" s="348"/>
      <c r="E54" s="348"/>
      <c r="F54" s="348"/>
      <c r="G54" s="348"/>
      <c r="H54" s="348"/>
      <c r="I54" s="348"/>
      <c r="J54" s="348"/>
      <c r="K54" s="348"/>
      <c r="L54" s="348"/>
      <c r="M54" s="348"/>
      <c r="N54" s="348"/>
      <c r="O54" s="348"/>
      <c r="P54" s="348"/>
      <c r="Q54" s="348"/>
      <c r="R54" s="348"/>
      <c r="S54" s="348"/>
      <c r="T54" s="348"/>
      <c r="U54" s="348"/>
      <c r="V54" s="348"/>
      <c r="W54" s="348"/>
      <c r="X54" s="348"/>
      <c r="Y54" s="348"/>
      <c r="Z54" s="348"/>
    </row>
    <row r="55">
      <c r="A55" s="348"/>
      <c r="B55" s="392"/>
      <c r="C55" s="348"/>
      <c r="D55" s="348"/>
      <c r="E55" s="348"/>
      <c r="F55" s="348"/>
      <c r="G55" s="348"/>
      <c r="H55" s="348"/>
      <c r="I55" s="348"/>
      <c r="J55" s="348"/>
      <c r="K55" s="348"/>
      <c r="L55" s="348"/>
      <c r="M55" s="348"/>
      <c r="N55" s="348"/>
      <c r="O55" s="348"/>
      <c r="P55" s="348"/>
      <c r="Q55" s="348"/>
      <c r="R55" s="348"/>
      <c r="S55" s="348"/>
      <c r="T55" s="348"/>
      <c r="U55" s="348"/>
      <c r="V55" s="348"/>
      <c r="W55" s="348"/>
      <c r="X55" s="348"/>
      <c r="Y55" s="348"/>
      <c r="Z55" s="348"/>
    </row>
    <row r="56">
      <c r="A56" s="348"/>
      <c r="B56" s="392"/>
      <c r="C56" s="348"/>
      <c r="D56" s="348"/>
      <c r="E56" s="348"/>
      <c r="F56" s="348"/>
      <c r="G56" s="348"/>
      <c r="H56" s="348"/>
      <c r="I56" s="348"/>
      <c r="J56" s="348"/>
      <c r="K56" s="348"/>
      <c r="L56" s="348"/>
      <c r="M56" s="348"/>
      <c r="N56" s="348"/>
      <c r="O56" s="348"/>
      <c r="P56" s="348"/>
      <c r="Q56" s="348"/>
      <c r="R56" s="348"/>
      <c r="S56" s="348"/>
      <c r="T56" s="348"/>
      <c r="U56" s="348"/>
      <c r="V56" s="348"/>
      <c r="W56" s="348"/>
      <c r="X56" s="348"/>
      <c r="Y56" s="348"/>
      <c r="Z56" s="348"/>
    </row>
    <row r="57">
      <c r="A57" s="348"/>
      <c r="B57" s="392"/>
      <c r="C57" s="348"/>
      <c r="D57" s="348"/>
      <c r="E57" s="348"/>
      <c r="F57" s="348"/>
      <c r="G57" s="348"/>
      <c r="H57" s="348"/>
      <c r="I57" s="348"/>
      <c r="J57" s="348"/>
      <c r="K57" s="348"/>
      <c r="L57" s="348"/>
      <c r="M57" s="348"/>
      <c r="N57" s="348"/>
      <c r="O57" s="348"/>
      <c r="P57" s="348"/>
      <c r="Q57" s="348"/>
      <c r="R57" s="348"/>
      <c r="S57" s="348"/>
      <c r="T57" s="348"/>
      <c r="U57" s="348"/>
      <c r="V57" s="348"/>
      <c r="W57" s="348"/>
      <c r="X57" s="348"/>
      <c r="Y57" s="348"/>
      <c r="Z57" s="348"/>
    </row>
    <row r="58">
      <c r="A58" s="348"/>
      <c r="B58" s="348"/>
      <c r="C58" s="348"/>
      <c r="D58" s="348"/>
      <c r="E58" s="348"/>
      <c r="F58" s="348"/>
      <c r="G58" s="348"/>
      <c r="H58" s="348"/>
      <c r="I58" s="348"/>
      <c r="J58" s="348"/>
      <c r="K58" s="348"/>
      <c r="L58" s="348"/>
      <c r="M58" s="348"/>
      <c r="N58" s="348"/>
      <c r="O58" s="348"/>
      <c r="P58" s="348"/>
      <c r="Q58" s="348"/>
      <c r="R58" s="348"/>
      <c r="S58" s="348"/>
      <c r="T58" s="348"/>
      <c r="U58" s="348"/>
      <c r="V58" s="348"/>
      <c r="W58" s="348"/>
      <c r="X58" s="348"/>
      <c r="Y58" s="348"/>
      <c r="Z58" s="348"/>
    </row>
    <row r="59">
      <c r="A59" s="348"/>
      <c r="B59" s="348"/>
      <c r="C59" s="348"/>
      <c r="D59" s="348"/>
      <c r="E59" s="348"/>
      <c r="F59" s="348"/>
      <c r="G59" s="348"/>
      <c r="H59" s="348"/>
      <c r="I59" s="348"/>
      <c r="J59" s="348"/>
      <c r="K59" s="348"/>
      <c r="L59" s="348"/>
      <c r="M59" s="348"/>
      <c r="N59" s="348"/>
      <c r="O59" s="348"/>
      <c r="P59" s="348"/>
      <c r="Q59" s="348"/>
      <c r="R59" s="348"/>
      <c r="S59" s="348"/>
      <c r="T59" s="348"/>
      <c r="U59" s="348"/>
      <c r="V59" s="348"/>
      <c r="W59" s="348"/>
      <c r="X59" s="348"/>
      <c r="Y59" s="348"/>
      <c r="Z59" s="348"/>
    </row>
    <row r="60">
      <c r="A60" s="348"/>
      <c r="B60" s="348"/>
      <c r="C60" s="348"/>
      <c r="D60" s="348"/>
      <c r="E60" s="348"/>
      <c r="F60" s="348"/>
      <c r="G60" s="348"/>
      <c r="H60" s="348"/>
      <c r="I60" s="348"/>
      <c r="J60" s="348"/>
      <c r="K60" s="348"/>
      <c r="L60" s="348"/>
      <c r="M60" s="348"/>
      <c r="N60" s="348"/>
      <c r="O60" s="348"/>
      <c r="P60" s="348"/>
      <c r="Q60" s="348"/>
      <c r="R60" s="348"/>
      <c r="S60" s="348"/>
      <c r="T60" s="348"/>
      <c r="U60" s="348"/>
      <c r="V60" s="348"/>
      <c r="W60" s="348"/>
      <c r="X60" s="348"/>
      <c r="Y60" s="348"/>
      <c r="Z60" s="348"/>
    </row>
    <row r="61">
      <c r="A61" s="348"/>
      <c r="B61" s="348"/>
      <c r="C61" s="348"/>
      <c r="D61" s="348"/>
      <c r="E61" s="348"/>
      <c r="F61" s="348"/>
      <c r="G61" s="348"/>
      <c r="H61" s="348"/>
      <c r="I61" s="348"/>
      <c r="J61" s="348"/>
      <c r="K61" s="348"/>
      <c r="L61" s="348"/>
      <c r="M61" s="348"/>
      <c r="N61" s="348"/>
      <c r="O61" s="348"/>
      <c r="P61" s="348"/>
      <c r="Q61" s="348"/>
      <c r="R61" s="348"/>
      <c r="S61" s="348"/>
      <c r="T61" s="348"/>
      <c r="U61" s="348"/>
      <c r="V61" s="348"/>
      <c r="W61" s="348"/>
      <c r="X61" s="348"/>
      <c r="Y61" s="348"/>
      <c r="Z61" s="348"/>
    </row>
    <row r="62">
      <c r="A62" s="348"/>
      <c r="B62" s="348"/>
      <c r="C62" s="348"/>
      <c r="D62" s="348"/>
      <c r="E62" s="348"/>
      <c r="F62" s="348"/>
      <c r="G62" s="348"/>
      <c r="H62" s="348"/>
      <c r="I62" s="348"/>
      <c r="J62" s="348"/>
      <c r="K62" s="348"/>
      <c r="L62" s="348"/>
      <c r="M62" s="348"/>
      <c r="N62" s="348"/>
      <c r="O62" s="348"/>
      <c r="P62" s="348"/>
      <c r="Q62" s="348"/>
      <c r="R62" s="348"/>
      <c r="S62" s="348"/>
      <c r="T62" s="348"/>
      <c r="U62" s="348"/>
      <c r="V62" s="348"/>
      <c r="W62" s="348"/>
      <c r="X62" s="348"/>
      <c r="Y62" s="348"/>
      <c r="Z62" s="348"/>
    </row>
    <row r="63">
      <c r="A63" s="348"/>
      <c r="B63" s="348"/>
      <c r="C63" s="348"/>
      <c r="D63" s="348"/>
      <c r="E63" s="348"/>
      <c r="F63" s="348"/>
      <c r="G63" s="348"/>
      <c r="H63" s="348"/>
      <c r="I63" s="348"/>
      <c r="J63" s="348"/>
      <c r="K63" s="348"/>
      <c r="L63" s="348"/>
      <c r="M63" s="348"/>
      <c r="N63" s="348"/>
      <c r="O63" s="348"/>
      <c r="P63" s="348"/>
      <c r="Q63" s="348"/>
      <c r="R63" s="348"/>
      <c r="S63" s="348"/>
      <c r="T63" s="348"/>
      <c r="U63" s="348"/>
      <c r="V63" s="348"/>
      <c r="W63" s="348"/>
      <c r="X63" s="348"/>
      <c r="Y63" s="348"/>
      <c r="Z63" s="348"/>
    </row>
    <row r="64">
      <c r="A64" s="348"/>
      <c r="B64" s="348"/>
      <c r="C64" s="348"/>
      <c r="D64" s="348"/>
      <c r="E64" s="348"/>
      <c r="F64" s="348"/>
      <c r="G64" s="348"/>
      <c r="H64" s="348"/>
      <c r="I64" s="348"/>
      <c r="J64" s="348"/>
      <c r="K64" s="348"/>
      <c r="L64" s="348"/>
      <c r="M64" s="348"/>
      <c r="N64" s="348"/>
      <c r="O64" s="348"/>
      <c r="P64" s="348"/>
      <c r="Q64" s="348"/>
      <c r="R64" s="348"/>
      <c r="S64" s="348"/>
      <c r="T64" s="348"/>
      <c r="U64" s="348"/>
      <c r="V64" s="348"/>
      <c r="W64" s="348"/>
      <c r="X64" s="348"/>
      <c r="Y64" s="348"/>
      <c r="Z64" s="348"/>
    </row>
    <row r="65">
      <c r="A65" s="348"/>
      <c r="B65" s="348"/>
      <c r="C65" s="348"/>
      <c r="D65" s="348"/>
      <c r="E65" s="348"/>
      <c r="F65" s="348"/>
      <c r="G65" s="348"/>
      <c r="H65" s="348"/>
      <c r="I65" s="348"/>
      <c r="J65" s="348"/>
      <c r="K65" s="348"/>
      <c r="L65" s="348"/>
      <c r="M65" s="348"/>
      <c r="N65" s="348"/>
      <c r="O65" s="348"/>
      <c r="P65" s="348"/>
      <c r="Q65" s="348"/>
      <c r="R65" s="348"/>
      <c r="S65" s="348"/>
      <c r="T65" s="348"/>
      <c r="U65" s="348"/>
      <c r="V65" s="348"/>
      <c r="W65" s="348"/>
      <c r="X65" s="348"/>
      <c r="Y65" s="348"/>
      <c r="Z65" s="348"/>
    </row>
    <row r="66">
      <c r="A66" s="348"/>
      <c r="B66" s="348"/>
      <c r="C66" s="348"/>
      <c r="D66" s="348"/>
      <c r="E66" s="348"/>
      <c r="F66" s="348"/>
      <c r="G66" s="348"/>
      <c r="H66" s="348"/>
      <c r="I66" s="348"/>
      <c r="J66" s="348"/>
      <c r="K66" s="348"/>
      <c r="L66" s="348"/>
      <c r="M66" s="348"/>
      <c r="N66" s="348"/>
      <c r="O66" s="348"/>
      <c r="P66" s="348"/>
      <c r="Q66" s="348"/>
      <c r="R66" s="348"/>
      <c r="S66" s="348"/>
      <c r="T66" s="348"/>
      <c r="U66" s="348"/>
      <c r="V66" s="348"/>
      <c r="W66" s="348"/>
      <c r="X66" s="348"/>
      <c r="Y66" s="348"/>
      <c r="Z66" s="348"/>
    </row>
    <row r="67">
      <c r="A67" s="348"/>
      <c r="B67" s="348"/>
      <c r="C67" s="348"/>
      <c r="D67" s="348"/>
      <c r="E67" s="348"/>
      <c r="F67" s="348"/>
      <c r="G67" s="348"/>
      <c r="H67" s="348"/>
      <c r="I67" s="348"/>
      <c r="J67" s="348"/>
      <c r="K67" s="348"/>
      <c r="L67" s="348"/>
      <c r="M67" s="348"/>
      <c r="N67" s="348"/>
      <c r="O67" s="348"/>
      <c r="P67" s="348"/>
      <c r="Q67" s="348"/>
      <c r="R67" s="348"/>
      <c r="S67" s="348"/>
      <c r="T67" s="348"/>
      <c r="U67" s="348"/>
      <c r="V67" s="348"/>
      <c r="W67" s="348"/>
      <c r="X67" s="348"/>
      <c r="Y67" s="348"/>
      <c r="Z67" s="348"/>
    </row>
    <row r="68">
      <c r="A68" s="348"/>
      <c r="B68" s="348"/>
      <c r="C68" s="348"/>
      <c r="D68" s="348"/>
      <c r="E68" s="348"/>
      <c r="F68" s="348"/>
      <c r="G68" s="348"/>
      <c r="H68" s="348"/>
      <c r="I68" s="348"/>
      <c r="J68" s="348"/>
      <c r="K68" s="348"/>
      <c r="L68" s="348"/>
      <c r="M68" s="348"/>
      <c r="N68" s="348"/>
      <c r="O68" s="348"/>
      <c r="P68" s="348"/>
      <c r="Q68" s="348"/>
      <c r="R68" s="348"/>
      <c r="S68" s="348"/>
      <c r="T68" s="348"/>
      <c r="U68" s="348"/>
      <c r="V68" s="348"/>
      <c r="W68" s="348"/>
      <c r="X68" s="348"/>
      <c r="Y68" s="348"/>
      <c r="Z68" s="348"/>
    </row>
    <row r="69">
      <c r="A69" s="348"/>
      <c r="B69" s="348"/>
      <c r="C69" s="348"/>
      <c r="D69" s="348"/>
      <c r="E69" s="348"/>
      <c r="F69" s="348"/>
      <c r="G69" s="348"/>
      <c r="H69" s="348"/>
      <c r="I69" s="348"/>
      <c r="J69" s="348"/>
      <c r="K69" s="348"/>
      <c r="L69" s="348"/>
      <c r="M69" s="348"/>
      <c r="N69" s="348"/>
      <c r="O69" s="348"/>
      <c r="P69" s="348"/>
      <c r="Q69" s="348"/>
      <c r="R69" s="348"/>
      <c r="S69" s="348"/>
      <c r="T69" s="348"/>
      <c r="U69" s="348"/>
      <c r="V69" s="348"/>
      <c r="W69" s="348"/>
      <c r="X69" s="348"/>
      <c r="Y69" s="348"/>
      <c r="Z69" s="348"/>
    </row>
    <row r="70">
      <c r="A70" s="348"/>
      <c r="B70" s="348"/>
      <c r="C70" s="348"/>
      <c r="D70" s="348"/>
      <c r="E70" s="348"/>
      <c r="F70" s="348"/>
      <c r="G70" s="348"/>
      <c r="H70" s="348"/>
      <c r="I70" s="348"/>
      <c r="J70" s="348"/>
      <c r="K70" s="348"/>
      <c r="L70" s="348"/>
      <c r="M70" s="348"/>
      <c r="N70" s="348"/>
      <c r="O70" s="348"/>
      <c r="P70" s="348"/>
      <c r="Q70" s="348"/>
      <c r="R70" s="348"/>
      <c r="S70" s="348"/>
      <c r="T70" s="348"/>
      <c r="U70" s="348"/>
      <c r="V70" s="348"/>
      <c r="W70" s="348"/>
      <c r="X70" s="348"/>
      <c r="Y70" s="348"/>
      <c r="Z70" s="348"/>
    </row>
    <row r="71">
      <c r="A71" s="348"/>
      <c r="B71" s="348"/>
      <c r="C71" s="348"/>
      <c r="D71" s="348"/>
      <c r="E71" s="348"/>
      <c r="F71" s="348"/>
      <c r="G71" s="348"/>
      <c r="H71" s="348"/>
      <c r="I71" s="348"/>
      <c r="J71" s="348"/>
      <c r="K71" s="348"/>
      <c r="L71" s="348"/>
      <c r="M71" s="348"/>
      <c r="N71" s="348"/>
      <c r="O71" s="348"/>
      <c r="P71" s="348"/>
      <c r="Q71" s="348"/>
      <c r="R71" s="348"/>
      <c r="S71" s="348"/>
      <c r="T71" s="348"/>
      <c r="U71" s="348"/>
      <c r="V71" s="348"/>
      <c r="W71" s="348"/>
      <c r="X71" s="348"/>
      <c r="Y71" s="348"/>
      <c r="Z71" s="348"/>
    </row>
    <row r="72">
      <c r="A72" s="348"/>
      <c r="B72" s="348"/>
      <c r="C72" s="348"/>
      <c r="D72" s="348"/>
      <c r="E72" s="348"/>
      <c r="F72" s="348"/>
      <c r="G72" s="348"/>
      <c r="H72" s="348"/>
      <c r="I72" s="348"/>
      <c r="J72" s="348"/>
      <c r="K72" s="348"/>
      <c r="L72" s="348"/>
      <c r="M72" s="348"/>
      <c r="N72" s="348"/>
      <c r="O72" s="348"/>
      <c r="P72" s="348"/>
      <c r="Q72" s="348"/>
      <c r="R72" s="348"/>
      <c r="S72" s="348"/>
      <c r="T72" s="348"/>
      <c r="U72" s="348"/>
      <c r="V72" s="348"/>
      <c r="W72" s="348"/>
      <c r="X72" s="348"/>
      <c r="Y72" s="348"/>
      <c r="Z72" s="348"/>
    </row>
    <row r="73">
      <c r="A73" s="348"/>
      <c r="B73" s="348"/>
      <c r="C73" s="348"/>
      <c r="D73" s="348"/>
      <c r="E73" s="348"/>
      <c r="F73" s="348"/>
      <c r="G73" s="348"/>
      <c r="H73" s="348"/>
      <c r="I73" s="348"/>
      <c r="J73" s="348"/>
      <c r="K73" s="348"/>
      <c r="L73" s="348"/>
      <c r="M73" s="348"/>
      <c r="N73" s="348"/>
      <c r="O73" s="348"/>
      <c r="P73" s="348"/>
      <c r="Q73" s="348"/>
      <c r="R73" s="348"/>
      <c r="S73" s="348"/>
      <c r="T73" s="348"/>
      <c r="U73" s="348"/>
      <c r="V73" s="348"/>
      <c r="W73" s="348"/>
      <c r="X73" s="348"/>
      <c r="Y73" s="348"/>
      <c r="Z73" s="348"/>
    </row>
    <row r="74">
      <c r="A74" s="348"/>
      <c r="B74" s="348"/>
      <c r="C74" s="348"/>
      <c r="D74" s="348"/>
      <c r="E74" s="348"/>
      <c r="F74" s="348"/>
      <c r="G74" s="348"/>
      <c r="H74" s="348"/>
      <c r="I74" s="348"/>
      <c r="J74" s="348"/>
      <c r="K74" s="348"/>
      <c r="L74" s="348"/>
      <c r="M74" s="348"/>
      <c r="N74" s="348"/>
      <c r="O74" s="348"/>
      <c r="P74" s="348"/>
      <c r="Q74" s="348"/>
      <c r="R74" s="348"/>
      <c r="S74" s="348"/>
      <c r="T74" s="348"/>
      <c r="U74" s="348"/>
      <c r="V74" s="348"/>
      <c r="W74" s="348"/>
      <c r="X74" s="348"/>
      <c r="Y74" s="348"/>
      <c r="Z74" s="348"/>
    </row>
    <row r="75">
      <c r="A75" s="348"/>
      <c r="B75" s="348"/>
      <c r="C75" s="348"/>
      <c r="D75" s="348"/>
      <c r="E75" s="348"/>
      <c r="F75" s="348"/>
      <c r="G75" s="348"/>
      <c r="H75" s="348"/>
      <c r="I75" s="348"/>
      <c r="J75" s="348"/>
      <c r="K75" s="348"/>
      <c r="L75" s="348"/>
      <c r="M75" s="348"/>
      <c r="N75" s="348"/>
      <c r="O75" s="348"/>
      <c r="P75" s="348"/>
      <c r="Q75" s="348"/>
      <c r="R75" s="348"/>
      <c r="S75" s="348"/>
      <c r="T75" s="348"/>
      <c r="U75" s="348"/>
      <c r="V75" s="348"/>
      <c r="W75" s="348"/>
      <c r="X75" s="348"/>
      <c r="Y75" s="348"/>
      <c r="Z75" s="348"/>
    </row>
    <row r="76">
      <c r="A76" s="348"/>
      <c r="B76" s="348"/>
      <c r="C76" s="348"/>
      <c r="D76" s="348"/>
      <c r="E76" s="348"/>
      <c r="F76" s="348"/>
      <c r="G76" s="348"/>
      <c r="H76" s="348"/>
      <c r="I76" s="348"/>
      <c r="J76" s="348"/>
      <c r="K76" s="348"/>
      <c r="L76" s="348"/>
      <c r="M76" s="348"/>
      <c r="N76" s="348"/>
      <c r="O76" s="348"/>
      <c r="P76" s="348"/>
      <c r="Q76" s="348"/>
      <c r="R76" s="348"/>
      <c r="S76" s="348"/>
      <c r="T76" s="348"/>
      <c r="U76" s="348"/>
      <c r="V76" s="348"/>
      <c r="W76" s="348"/>
      <c r="X76" s="348"/>
      <c r="Y76" s="348"/>
      <c r="Z76" s="348"/>
    </row>
    <row r="77">
      <c r="A77" s="348"/>
      <c r="B77" s="348"/>
      <c r="C77" s="348"/>
      <c r="D77" s="348"/>
      <c r="E77" s="348"/>
      <c r="F77" s="348"/>
      <c r="G77" s="348"/>
      <c r="H77" s="348"/>
      <c r="I77" s="348"/>
      <c r="J77" s="348"/>
      <c r="K77" s="348"/>
      <c r="L77" s="348"/>
      <c r="M77" s="348"/>
      <c r="N77" s="348"/>
      <c r="O77" s="348"/>
      <c r="P77" s="348"/>
      <c r="Q77" s="348"/>
      <c r="R77" s="348"/>
      <c r="S77" s="348"/>
      <c r="T77" s="348"/>
      <c r="U77" s="348"/>
      <c r="V77" s="348"/>
      <c r="W77" s="348"/>
      <c r="X77" s="348"/>
      <c r="Y77" s="348"/>
      <c r="Z77" s="348"/>
    </row>
    <row r="78">
      <c r="A78" s="348"/>
      <c r="B78" s="348"/>
      <c r="C78" s="348"/>
      <c r="D78" s="348"/>
      <c r="E78" s="348"/>
      <c r="F78" s="348"/>
      <c r="G78" s="348"/>
      <c r="H78" s="348"/>
      <c r="I78" s="348"/>
      <c r="J78" s="348"/>
      <c r="K78" s="348"/>
      <c r="L78" s="348"/>
      <c r="M78" s="348"/>
      <c r="N78" s="348"/>
      <c r="O78" s="348"/>
      <c r="P78" s="348"/>
      <c r="Q78" s="348"/>
      <c r="R78" s="348"/>
      <c r="S78" s="348"/>
      <c r="T78" s="348"/>
      <c r="U78" s="348"/>
      <c r="V78" s="348"/>
      <c r="W78" s="348"/>
      <c r="X78" s="348"/>
      <c r="Y78" s="348"/>
      <c r="Z78" s="348"/>
    </row>
    <row r="79">
      <c r="A79" s="348"/>
      <c r="B79" s="348"/>
      <c r="C79" s="348"/>
      <c r="D79" s="348"/>
      <c r="E79" s="348"/>
      <c r="F79" s="348"/>
      <c r="G79" s="348"/>
      <c r="H79" s="348"/>
      <c r="I79" s="348"/>
      <c r="J79" s="348"/>
      <c r="K79" s="348"/>
      <c r="L79" s="348"/>
      <c r="M79" s="348"/>
      <c r="N79" s="348"/>
      <c r="O79" s="348"/>
      <c r="P79" s="348"/>
      <c r="Q79" s="348"/>
      <c r="R79" s="348"/>
      <c r="S79" s="348"/>
      <c r="T79" s="348"/>
      <c r="U79" s="348"/>
      <c r="V79" s="348"/>
      <c r="W79" s="348"/>
      <c r="X79" s="348"/>
      <c r="Y79" s="348"/>
      <c r="Z79" s="348"/>
    </row>
    <row r="80">
      <c r="A80" s="348"/>
      <c r="B80" s="348"/>
      <c r="C80" s="348"/>
      <c r="D80" s="348"/>
      <c r="E80" s="348"/>
      <c r="F80" s="348"/>
      <c r="G80" s="348"/>
      <c r="H80" s="348"/>
      <c r="I80" s="348"/>
      <c r="J80" s="348"/>
      <c r="K80" s="348"/>
      <c r="L80" s="348"/>
      <c r="M80" s="348"/>
      <c r="N80" s="348"/>
      <c r="O80" s="348"/>
      <c r="P80" s="348"/>
      <c r="Q80" s="348"/>
      <c r="R80" s="348"/>
      <c r="S80" s="348"/>
      <c r="T80" s="348"/>
      <c r="U80" s="348"/>
      <c r="V80" s="348"/>
      <c r="W80" s="348"/>
      <c r="X80" s="348"/>
      <c r="Y80" s="348"/>
      <c r="Z80" s="348"/>
    </row>
    <row r="81">
      <c r="A81" s="348"/>
      <c r="B81" s="348"/>
      <c r="C81" s="348"/>
      <c r="D81" s="348"/>
      <c r="E81" s="348"/>
      <c r="F81" s="348"/>
      <c r="G81" s="348"/>
      <c r="H81" s="348"/>
      <c r="I81" s="348"/>
      <c r="J81" s="348"/>
      <c r="K81" s="348"/>
      <c r="L81" s="348"/>
      <c r="M81" s="348"/>
      <c r="N81" s="348"/>
      <c r="O81" s="348"/>
      <c r="P81" s="348"/>
      <c r="Q81" s="348"/>
      <c r="R81" s="348"/>
      <c r="S81" s="348"/>
      <c r="T81" s="348"/>
      <c r="U81" s="348"/>
      <c r="V81" s="348"/>
      <c r="W81" s="348"/>
      <c r="X81" s="348"/>
      <c r="Y81" s="348"/>
      <c r="Z81" s="348"/>
    </row>
    <row r="82">
      <c r="A82" s="348"/>
      <c r="B82" s="348"/>
      <c r="C82" s="348"/>
      <c r="D82" s="348"/>
      <c r="E82" s="348"/>
      <c r="F82" s="348"/>
      <c r="G82" s="348"/>
      <c r="H82" s="348"/>
      <c r="I82" s="348"/>
      <c r="J82" s="348"/>
      <c r="K82" s="348"/>
      <c r="L82" s="348"/>
      <c r="M82" s="348"/>
      <c r="N82" s="348"/>
      <c r="O82" s="348"/>
      <c r="P82" s="348"/>
      <c r="Q82" s="348"/>
      <c r="R82" s="348"/>
      <c r="S82" s="348"/>
      <c r="T82" s="348"/>
      <c r="U82" s="348"/>
      <c r="V82" s="348"/>
      <c r="W82" s="348"/>
      <c r="X82" s="348"/>
      <c r="Y82" s="348"/>
      <c r="Z82" s="348"/>
    </row>
    <row r="83">
      <c r="A83" s="348"/>
      <c r="B83" s="348"/>
      <c r="C83" s="348"/>
      <c r="D83" s="348"/>
      <c r="E83" s="348"/>
      <c r="F83" s="348"/>
      <c r="G83" s="348"/>
      <c r="H83" s="348"/>
      <c r="I83" s="348"/>
      <c r="J83" s="348"/>
      <c r="K83" s="348"/>
      <c r="L83" s="348"/>
      <c r="M83" s="348"/>
      <c r="N83" s="348"/>
      <c r="O83" s="348"/>
      <c r="P83" s="348"/>
      <c r="Q83" s="348"/>
      <c r="R83" s="348"/>
      <c r="S83" s="348"/>
      <c r="T83" s="348"/>
      <c r="U83" s="348"/>
      <c r="V83" s="348"/>
      <c r="W83" s="348"/>
      <c r="X83" s="348"/>
      <c r="Y83" s="348"/>
      <c r="Z83" s="348"/>
    </row>
    <row r="84">
      <c r="A84" s="348"/>
      <c r="B84" s="348"/>
      <c r="C84" s="348"/>
      <c r="D84" s="348"/>
      <c r="E84" s="348"/>
      <c r="F84" s="348"/>
      <c r="G84" s="348"/>
      <c r="H84" s="348"/>
      <c r="I84" s="348"/>
      <c r="J84" s="348"/>
      <c r="K84" s="348"/>
      <c r="L84" s="348"/>
      <c r="M84" s="348"/>
      <c r="N84" s="348"/>
      <c r="O84" s="348"/>
      <c r="P84" s="348"/>
      <c r="Q84" s="348"/>
      <c r="R84" s="348"/>
      <c r="S84" s="348"/>
      <c r="T84" s="348"/>
      <c r="U84" s="348"/>
      <c r="V84" s="348"/>
      <c r="W84" s="348"/>
      <c r="X84" s="348"/>
      <c r="Y84" s="348"/>
      <c r="Z84" s="348"/>
    </row>
    <row r="85">
      <c r="A85" s="348"/>
      <c r="B85" s="348"/>
      <c r="C85" s="348"/>
      <c r="D85" s="348"/>
      <c r="E85" s="348"/>
      <c r="F85" s="348"/>
      <c r="G85" s="348"/>
      <c r="H85" s="348"/>
      <c r="I85" s="348"/>
      <c r="J85" s="348"/>
      <c r="K85" s="348"/>
      <c r="L85" s="348"/>
      <c r="M85" s="348"/>
      <c r="N85" s="348"/>
      <c r="O85" s="348"/>
      <c r="P85" s="348"/>
      <c r="Q85" s="348"/>
      <c r="R85" s="348"/>
      <c r="S85" s="348"/>
      <c r="T85" s="348"/>
      <c r="U85" s="348"/>
      <c r="V85" s="348"/>
      <c r="W85" s="348"/>
      <c r="X85" s="348"/>
      <c r="Y85" s="348"/>
      <c r="Z85" s="348"/>
    </row>
    <row r="86">
      <c r="A86" s="348"/>
      <c r="B86" s="348"/>
      <c r="C86" s="348"/>
      <c r="D86" s="348"/>
      <c r="E86" s="348"/>
      <c r="F86" s="348"/>
      <c r="G86" s="348"/>
      <c r="H86" s="348"/>
      <c r="I86" s="348"/>
      <c r="J86" s="348"/>
      <c r="K86" s="348"/>
      <c r="L86" s="348"/>
      <c r="M86" s="348"/>
      <c r="N86" s="348"/>
      <c r="O86" s="348"/>
      <c r="P86" s="348"/>
      <c r="Q86" s="348"/>
      <c r="R86" s="348"/>
      <c r="S86" s="348"/>
      <c r="T86" s="348"/>
      <c r="U86" s="348"/>
      <c r="V86" s="348"/>
      <c r="W86" s="348"/>
      <c r="X86" s="348"/>
      <c r="Y86" s="348"/>
      <c r="Z86" s="348"/>
    </row>
    <row r="87">
      <c r="A87" s="348"/>
      <c r="B87" s="348"/>
      <c r="C87" s="348"/>
      <c r="D87" s="348"/>
      <c r="E87" s="348"/>
      <c r="F87" s="348"/>
      <c r="G87" s="348"/>
      <c r="H87" s="348"/>
      <c r="I87" s="348"/>
      <c r="J87" s="348"/>
      <c r="K87" s="348"/>
      <c r="L87" s="348"/>
      <c r="M87" s="348"/>
      <c r="N87" s="348"/>
      <c r="O87" s="348"/>
      <c r="P87" s="348"/>
      <c r="Q87" s="348"/>
      <c r="R87" s="348"/>
      <c r="S87" s="348"/>
      <c r="T87" s="348"/>
      <c r="U87" s="348"/>
      <c r="V87" s="348"/>
      <c r="W87" s="348"/>
      <c r="X87" s="348"/>
      <c r="Y87" s="348"/>
      <c r="Z87" s="348"/>
    </row>
    <row r="88">
      <c r="A88" s="348"/>
      <c r="B88" s="348"/>
      <c r="C88" s="348"/>
      <c r="D88" s="348"/>
      <c r="E88" s="348"/>
      <c r="F88" s="348"/>
      <c r="G88" s="348"/>
      <c r="H88" s="348"/>
      <c r="I88" s="348"/>
      <c r="J88" s="348"/>
      <c r="K88" s="348"/>
      <c r="L88" s="348"/>
      <c r="M88" s="348"/>
      <c r="N88" s="348"/>
      <c r="O88" s="348"/>
      <c r="P88" s="348"/>
      <c r="Q88" s="348"/>
      <c r="R88" s="348"/>
      <c r="S88" s="348"/>
      <c r="T88" s="348"/>
      <c r="U88" s="348"/>
      <c r="V88" s="348"/>
      <c r="W88" s="348"/>
      <c r="X88" s="348"/>
      <c r="Y88" s="348"/>
      <c r="Z88" s="348"/>
    </row>
    <row r="89">
      <c r="A89" s="348"/>
      <c r="B89" s="348"/>
      <c r="C89" s="348"/>
      <c r="D89" s="348"/>
      <c r="E89" s="348"/>
      <c r="F89" s="348"/>
      <c r="G89" s="348"/>
      <c r="H89" s="348"/>
      <c r="I89" s="348"/>
      <c r="J89" s="348"/>
      <c r="K89" s="348"/>
      <c r="L89" s="348"/>
      <c r="M89" s="348"/>
      <c r="N89" s="348"/>
      <c r="O89" s="348"/>
      <c r="P89" s="348"/>
      <c r="Q89" s="348"/>
      <c r="R89" s="348"/>
      <c r="S89" s="348"/>
      <c r="T89" s="348"/>
      <c r="U89" s="348"/>
      <c r="V89" s="348"/>
      <c r="W89" s="348"/>
      <c r="X89" s="348"/>
      <c r="Y89" s="348"/>
      <c r="Z89" s="348"/>
    </row>
    <row r="90">
      <c r="A90" s="348"/>
      <c r="B90" s="348"/>
      <c r="C90" s="348"/>
      <c r="D90" s="348"/>
      <c r="E90" s="348"/>
      <c r="F90" s="348"/>
      <c r="G90" s="348"/>
      <c r="H90" s="348"/>
      <c r="I90" s="348"/>
      <c r="J90" s="348"/>
      <c r="K90" s="348"/>
      <c r="L90" s="348"/>
      <c r="M90" s="348"/>
      <c r="N90" s="348"/>
      <c r="O90" s="348"/>
      <c r="P90" s="348"/>
      <c r="Q90" s="348"/>
      <c r="R90" s="348"/>
      <c r="S90" s="348"/>
      <c r="T90" s="348"/>
      <c r="U90" s="348"/>
      <c r="V90" s="348"/>
      <c r="W90" s="348"/>
      <c r="X90" s="348"/>
      <c r="Y90" s="348"/>
      <c r="Z90" s="348"/>
    </row>
    <row r="91">
      <c r="A91" s="348"/>
      <c r="B91" s="348"/>
      <c r="C91" s="348"/>
      <c r="D91" s="348"/>
      <c r="E91" s="348"/>
      <c r="F91" s="348"/>
      <c r="G91" s="348"/>
      <c r="H91" s="348"/>
      <c r="I91" s="348"/>
      <c r="J91" s="348"/>
      <c r="K91" s="348"/>
      <c r="L91" s="348"/>
      <c r="M91" s="348"/>
      <c r="N91" s="348"/>
      <c r="O91" s="348"/>
      <c r="P91" s="348"/>
      <c r="Q91" s="348"/>
      <c r="R91" s="348"/>
      <c r="S91" s="348"/>
      <c r="T91" s="348"/>
      <c r="U91" s="348"/>
      <c r="V91" s="348"/>
      <c r="W91" s="348"/>
      <c r="X91" s="348"/>
      <c r="Y91" s="348"/>
      <c r="Z91" s="348"/>
    </row>
    <row r="92">
      <c r="A92" s="348"/>
      <c r="B92" s="348"/>
      <c r="C92" s="348"/>
      <c r="D92" s="348"/>
      <c r="E92" s="348"/>
      <c r="F92" s="348"/>
      <c r="G92" s="348"/>
      <c r="H92" s="348"/>
      <c r="I92" s="348"/>
      <c r="J92" s="348"/>
      <c r="K92" s="348"/>
      <c r="L92" s="348"/>
      <c r="M92" s="348"/>
      <c r="N92" s="348"/>
      <c r="O92" s="348"/>
      <c r="P92" s="348"/>
      <c r="Q92" s="348"/>
      <c r="R92" s="348"/>
      <c r="S92" s="348"/>
      <c r="T92" s="348"/>
      <c r="U92" s="348"/>
      <c r="V92" s="348"/>
      <c r="W92" s="348"/>
      <c r="X92" s="348"/>
      <c r="Y92" s="348"/>
      <c r="Z92" s="348"/>
    </row>
    <row r="93">
      <c r="A93" s="348"/>
      <c r="B93" s="348"/>
      <c r="C93" s="348"/>
      <c r="D93" s="348"/>
      <c r="E93" s="348"/>
      <c r="F93" s="348"/>
      <c r="G93" s="348"/>
      <c r="H93" s="348"/>
      <c r="I93" s="348"/>
      <c r="J93" s="348"/>
      <c r="K93" s="348"/>
      <c r="L93" s="348"/>
      <c r="M93" s="348"/>
      <c r="N93" s="348"/>
      <c r="O93" s="348"/>
      <c r="P93" s="348"/>
      <c r="Q93" s="348"/>
      <c r="R93" s="348"/>
      <c r="S93" s="348"/>
      <c r="T93" s="348"/>
      <c r="U93" s="348"/>
      <c r="V93" s="348"/>
      <c r="W93" s="348"/>
      <c r="X93" s="348"/>
      <c r="Y93" s="348"/>
      <c r="Z93" s="348"/>
    </row>
    <row r="94">
      <c r="A94" s="348"/>
      <c r="B94" s="348"/>
      <c r="C94" s="348"/>
      <c r="D94" s="348"/>
      <c r="E94" s="348"/>
      <c r="F94" s="348"/>
      <c r="G94" s="348"/>
      <c r="H94" s="348"/>
      <c r="I94" s="348"/>
      <c r="J94" s="348"/>
      <c r="K94" s="348"/>
      <c r="L94" s="348"/>
      <c r="M94" s="348"/>
      <c r="N94" s="348"/>
      <c r="O94" s="348"/>
      <c r="P94" s="348"/>
      <c r="Q94" s="348"/>
      <c r="R94" s="348"/>
      <c r="S94" s="348"/>
      <c r="T94" s="348"/>
      <c r="U94" s="348"/>
      <c r="V94" s="348"/>
      <c r="W94" s="348"/>
      <c r="X94" s="348"/>
      <c r="Y94" s="348"/>
      <c r="Z94" s="348"/>
    </row>
    <row r="95">
      <c r="A95" s="348"/>
      <c r="B95" s="348"/>
      <c r="C95" s="348"/>
      <c r="D95" s="348"/>
      <c r="E95" s="348"/>
      <c r="F95" s="348"/>
      <c r="G95" s="348"/>
      <c r="H95" s="348"/>
      <c r="I95" s="348"/>
      <c r="J95" s="348"/>
      <c r="K95" s="348"/>
      <c r="L95" s="348"/>
      <c r="M95" s="348"/>
      <c r="N95" s="348"/>
      <c r="O95" s="348"/>
      <c r="P95" s="348"/>
      <c r="Q95" s="348"/>
      <c r="R95" s="348"/>
      <c r="S95" s="348"/>
      <c r="T95" s="348"/>
      <c r="U95" s="348"/>
      <c r="V95" s="348"/>
      <c r="W95" s="348"/>
      <c r="X95" s="348"/>
      <c r="Y95" s="348"/>
      <c r="Z95" s="348"/>
    </row>
    <row r="96">
      <c r="A96" s="348"/>
      <c r="B96" s="348"/>
      <c r="C96" s="348"/>
      <c r="D96" s="348"/>
      <c r="E96" s="348"/>
      <c r="F96" s="348"/>
      <c r="G96" s="348"/>
      <c r="H96" s="348"/>
      <c r="I96" s="348"/>
      <c r="J96" s="348"/>
      <c r="K96" s="348"/>
      <c r="L96" s="348"/>
      <c r="M96" s="348"/>
      <c r="N96" s="348"/>
      <c r="O96" s="348"/>
      <c r="P96" s="348"/>
      <c r="Q96" s="348"/>
      <c r="R96" s="348"/>
      <c r="S96" s="348"/>
      <c r="T96" s="348"/>
      <c r="U96" s="348"/>
      <c r="V96" s="348"/>
      <c r="W96" s="348"/>
      <c r="X96" s="348"/>
      <c r="Y96" s="348"/>
      <c r="Z96" s="348"/>
    </row>
    <row r="97">
      <c r="A97" s="348"/>
      <c r="B97" s="348"/>
      <c r="C97" s="348"/>
      <c r="D97" s="348"/>
      <c r="E97" s="348"/>
      <c r="F97" s="348"/>
      <c r="G97" s="348"/>
      <c r="H97" s="348"/>
      <c r="I97" s="348"/>
      <c r="J97" s="348"/>
      <c r="K97" s="348"/>
      <c r="L97" s="348"/>
      <c r="M97" s="348"/>
      <c r="N97" s="348"/>
      <c r="O97" s="348"/>
      <c r="P97" s="348"/>
      <c r="Q97" s="348"/>
      <c r="R97" s="348"/>
      <c r="S97" s="348"/>
      <c r="T97" s="348"/>
      <c r="U97" s="348"/>
      <c r="V97" s="348"/>
      <c r="W97" s="348"/>
      <c r="X97" s="348"/>
      <c r="Y97" s="348"/>
      <c r="Z97" s="348"/>
    </row>
    <row r="98">
      <c r="A98" s="348"/>
      <c r="B98" s="348"/>
      <c r="C98" s="348"/>
      <c r="D98" s="348"/>
      <c r="E98" s="348"/>
      <c r="F98" s="348"/>
      <c r="G98" s="348"/>
      <c r="H98" s="348"/>
      <c r="I98" s="348"/>
      <c r="J98" s="348"/>
      <c r="K98" s="348"/>
      <c r="L98" s="348"/>
      <c r="M98" s="348"/>
      <c r="N98" s="348"/>
      <c r="O98" s="348"/>
      <c r="P98" s="348"/>
      <c r="Q98" s="348"/>
      <c r="R98" s="348"/>
      <c r="S98" s="348"/>
      <c r="T98" s="348"/>
      <c r="U98" s="348"/>
      <c r="V98" s="348"/>
      <c r="W98" s="348"/>
      <c r="X98" s="348"/>
      <c r="Y98" s="348"/>
      <c r="Z98" s="348"/>
    </row>
    <row r="99">
      <c r="A99" s="348"/>
      <c r="B99" s="348"/>
      <c r="C99" s="348"/>
      <c r="D99" s="348"/>
      <c r="E99" s="348"/>
      <c r="F99" s="348"/>
      <c r="G99" s="348"/>
      <c r="H99" s="348"/>
      <c r="I99" s="348"/>
      <c r="J99" s="348"/>
      <c r="K99" s="348"/>
      <c r="L99" s="348"/>
      <c r="M99" s="348"/>
      <c r="N99" s="348"/>
      <c r="O99" s="348"/>
      <c r="P99" s="348"/>
      <c r="Q99" s="348"/>
      <c r="R99" s="348"/>
      <c r="S99" s="348"/>
      <c r="T99" s="348"/>
      <c r="U99" s="348"/>
      <c r="V99" s="348"/>
      <c r="W99" s="348"/>
      <c r="X99" s="348"/>
      <c r="Y99" s="348"/>
      <c r="Z99" s="348"/>
    </row>
    <row r="100">
      <c r="A100" s="348"/>
      <c r="B100" s="348"/>
      <c r="C100" s="348"/>
      <c r="D100" s="348"/>
      <c r="E100" s="348"/>
      <c r="F100" s="348"/>
      <c r="G100" s="348"/>
      <c r="H100" s="348"/>
      <c r="I100" s="348"/>
      <c r="J100" s="348"/>
      <c r="K100" s="348"/>
      <c r="L100" s="348"/>
      <c r="M100" s="348"/>
      <c r="N100" s="348"/>
      <c r="O100" s="348"/>
      <c r="P100" s="348"/>
      <c r="Q100" s="348"/>
      <c r="R100" s="348"/>
      <c r="S100" s="348"/>
      <c r="T100" s="348"/>
      <c r="U100" s="348"/>
      <c r="V100" s="348"/>
      <c r="W100" s="348"/>
      <c r="X100" s="348"/>
      <c r="Y100" s="348"/>
      <c r="Z100" s="348"/>
    </row>
    <row r="101">
      <c r="A101" s="348"/>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348"/>
      <c r="X101" s="348"/>
      <c r="Y101" s="348"/>
      <c r="Z101" s="348"/>
    </row>
    <row r="102">
      <c r="A102" s="348"/>
      <c r="B102" s="348"/>
      <c r="C102" s="348"/>
      <c r="D102" s="348"/>
      <c r="E102" s="348"/>
      <c r="F102" s="348"/>
      <c r="G102" s="348"/>
      <c r="H102" s="348"/>
      <c r="I102" s="348"/>
      <c r="J102" s="348"/>
      <c r="K102" s="348"/>
      <c r="L102" s="348"/>
      <c r="M102" s="348"/>
      <c r="N102" s="348"/>
      <c r="O102" s="348"/>
      <c r="P102" s="348"/>
      <c r="Q102" s="348"/>
      <c r="R102" s="348"/>
      <c r="S102" s="348"/>
      <c r="T102" s="348"/>
      <c r="U102" s="348"/>
      <c r="V102" s="348"/>
      <c r="W102" s="348"/>
      <c r="X102" s="348"/>
      <c r="Y102" s="348"/>
      <c r="Z102" s="348"/>
    </row>
    <row r="103">
      <c r="A103" s="348"/>
      <c r="B103" s="348"/>
      <c r="C103" s="348"/>
      <c r="D103" s="348"/>
      <c r="E103" s="348"/>
      <c r="F103" s="348"/>
      <c r="G103" s="348"/>
      <c r="H103" s="348"/>
      <c r="I103" s="348"/>
      <c r="J103" s="348"/>
      <c r="K103" s="348"/>
      <c r="L103" s="348"/>
      <c r="M103" s="348"/>
      <c r="N103" s="348"/>
      <c r="O103" s="348"/>
      <c r="P103" s="348"/>
      <c r="Q103" s="348"/>
      <c r="R103" s="348"/>
      <c r="S103" s="348"/>
      <c r="T103" s="348"/>
      <c r="U103" s="348"/>
      <c r="V103" s="348"/>
      <c r="W103" s="348"/>
      <c r="X103" s="348"/>
      <c r="Y103" s="348"/>
      <c r="Z103" s="348"/>
    </row>
    <row r="104">
      <c r="A104" s="348"/>
      <c r="B104" s="348"/>
      <c r="C104" s="348"/>
      <c r="D104" s="348"/>
      <c r="E104" s="348"/>
      <c r="F104" s="348"/>
      <c r="G104" s="348"/>
      <c r="H104" s="348"/>
      <c r="I104" s="348"/>
      <c r="J104" s="348"/>
      <c r="K104" s="348"/>
      <c r="L104" s="348"/>
      <c r="M104" s="348"/>
      <c r="N104" s="348"/>
      <c r="O104" s="348"/>
      <c r="P104" s="348"/>
      <c r="Q104" s="348"/>
      <c r="R104" s="348"/>
      <c r="S104" s="348"/>
      <c r="T104" s="348"/>
      <c r="U104" s="348"/>
      <c r="V104" s="348"/>
      <c r="W104" s="348"/>
      <c r="X104" s="348"/>
      <c r="Y104" s="348"/>
      <c r="Z104" s="348"/>
    </row>
    <row r="105">
      <c r="A105" s="348"/>
      <c r="B105" s="348"/>
      <c r="C105" s="348"/>
      <c r="D105" s="348"/>
      <c r="E105" s="348"/>
      <c r="F105" s="348"/>
      <c r="G105" s="348"/>
      <c r="H105" s="348"/>
      <c r="I105" s="348"/>
      <c r="J105" s="348"/>
      <c r="K105" s="348"/>
      <c r="L105" s="348"/>
      <c r="M105" s="348"/>
      <c r="N105" s="348"/>
      <c r="O105" s="348"/>
      <c r="P105" s="348"/>
      <c r="Q105" s="348"/>
      <c r="R105" s="348"/>
      <c r="S105" s="348"/>
      <c r="T105" s="348"/>
      <c r="U105" s="348"/>
      <c r="V105" s="348"/>
      <c r="W105" s="348"/>
      <c r="X105" s="348"/>
      <c r="Y105" s="348"/>
      <c r="Z105" s="348"/>
    </row>
    <row r="106">
      <c r="A106" s="348"/>
      <c r="B106" s="348"/>
      <c r="C106" s="348"/>
      <c r="D106" s="348"/>
      <c r="E106" s="348"/>
      <c r="F106" s="348"/>
      <c r="G106" s="348"/>
      <c r="H106" s="348"/>
      <c r="I106" s="348"/>
      <c r="J106" s="348"/>
      <c r="K106" s="348"/>
      <c r="L106" s="348"/>
      <c r="M106" s="348"/>
      <c r="N106" s="348"/>
      <c r="O106" s="348"/>
      <c r="P106" s="348"/>
      <c r="Q106" s="348"/>
      <c r="R106" s="348"/>
      <c r="S106" s="348"/>
      <c r="T106" s="348"/>
      <c r="U106" s="348"/>
      <c r="V106" s="348"/>
      <c r="W106" s="348"/>
      <c r="X106" s="348"/>
      <c r="Y106" s="348"/>
      <c r="Z106" s="348"/>
    </row>
    <row r="107">
      <c r="A107" s="348"/>
      <c r="B107" s="348"/>
      <c r="C107" s="348"/>
      <c r="D107" s="348"/>
      <c r="E107" s="348"/>
      <c r="F107" s="348"/>
      <c r="G107" s="348"/>
      <c r="H107" s="348"/>
      <c r="I107" s="348"/>
      <c r="J107" s="348"/>
      <c r="K107" s="348"/>
      <c r="L107" s="348"/>
      <c r="M107" s="348"/>
      <c r="N107" s="348"/>
      <c r="O107" s="348"/>
      <c r="P107" s="348"/>
      <c r="Q107" s="348"/>
      <c r="R107" s="348"/>
      <c r="S107" s="348"/>
      <c r="T107" s="348"/>
      <c r="U107" s="348"/>
      <c r="V107" s="348"/>
      <c r="W107" s="348"/>
      <c r="X107" s="348"/>
      <c r="Y107" s="348"/>
      <c r="Z107" s="348"/>
    </row>
    <row r="108">
      <c r="A108" s="348"/>
      <c r="B108" s="348"/>
      <c r="C108" s="348"/>
      <c r="D108" s="348"/>
      <c r="E108" s="348"/>
      <c r="F108" s="348"/>
      <c r="G108" s="348"/>
      <c r="H108" s="348"/>
      <c r="I108" s="348"/>
      <c r="J108" s="348"/>
      <c r="K108" s="348"/>
      <c r="L108" s="348"/>
      <c r="M108" s="348"/>
      <c r="N108" s="348"/>
      <c r="O108" s="348"/>
      <c r="P108" s="348"/>
      <c r="Q108" s="348"/>
      <c r="R108" s="348"/>
      <c r="S108" s="348"/>
      <c r="T108" s="348"/>
      <c r="U108" s="348"/>
      <c r="V108" s="348"/>
      <c r="W108" s="348"/>
      <c r="X108" s="348"/>
      <c r="Y108" s="348"/>
      <c r="Z108" s="348"/>
    </row>
    <row r="109">
      <c r="A109" s="348"/>
      <c r="B109" s="348"/>
      <c r="C109" s="348"/>
      <c r="D109" s="348"/>
      <c r="E109" s="348"/>
      <c r="F109" s="348"/>
      <c r="G109" s="348"/>
      <c r="H109" s="348"/>
      <c r="I109" s="348"/>
      <c r="J109" s="348"/>
      <c r="K109" s="348"/>
      <c r="L109" s="348"/>
      <c r="M109" s="348"/>
      <c r="N109" s="348"/>
      <c r="O109" s="348"/>
      <c r="P109" s="348"/>
      <c r="Q109" s="348"/>
      <c r="R109" s="348"/>
      <c r="S109" s="348"/>
      <c r="T109" s="348"/>
      <c r="U109" s="348"/>
      <c r="V109" s="348"/>
      <c r="W109" s="348"/>
      <c r="X109" s="348"/>
      <c r="Y109" s="348"/>
      <c r="Z109" s="348"/>
    </row>
    <row r="110">
      <c r="A110" s="348"/>
      <c r="B110" s="348"/>
      <c r="C110" s="348"/>
      <c r="D110" s="348"/>
      <c r="E110" s="348"/>
      <c r="F110" s="348"/>
      <c r="G110" s="348"/>
      <c r="H110" s="348"/>
      <c r="I110" s="348"/>
      <c r="J110" s="348"/>
      <c r="K110" s="348"/>
      <c r="L110" s="348"/>
      <c r="M110" s="348"/>
      <c r="N110" s="348"/>
      <c r="O110" s="348"/>
      <c r="P110" s="348"/>
      <c r="Q110" s="348"/>
      <c r="R110" s="348"/>
      <c r="S110" s="348"/>
      <c r="T110" s="348"/>
      <c r="U110" s="348"/>
      <c r="V110" s="348"/>
      <c r="W110" s="348"/>
      <c r="X110" s="348"/>
      <c r="Y110" s="348"/>
      <c r="Z110" s="348"/>
    </row>
    <row r="111">
      <c r="A111" s="348"/>
      <c r="B111" s="348"/>
      <c r="C111" s="348"/>
      <c r="D111" s="348"/>
      <c r="E111" s="348"/>
      <c r="F111" s="348"/>
      <c r="G111" s="348"/>
      <c r="H111" s="348"/>
      <c r="I111" s="348"/>
      <c r="J111" s="348"/>
      <c r="K111" s="348"/>
      <c r="L111" s="348"/>
      <c r="M111" s="348"/>
      <c r="N111" s="348"/>
      <c r="O111" s="348"/>
      <c r="P111" s="348"/>
      <c r="Q111" s="348"/>
      <c r="R111" s="348"/>
      <c r="S111" s="348"/>
      <c r="T111" s="348"/>
      <c r="U111" s="348"/>
      <c r="V111" s="348"/>
      <c r="W111" s="348"/>
      <c r="X111" s="348"/>
      <c r="Y111" s="348"/>
      <c r="Z111" s="348"/>
    </row>
    <row r="112">
      <c r="A112" s="348"/>
      <c r="B112" s="348"/>
      <c r="C112" s="348"/>
      <c r="D112" s="348"/>
      <c r="E112" s="348"/>
      <c r="F112" s="348"/>
      <c r="G112" s="348"/>
      <c r="H112" s="348"/>
      <c r="I112" s="348"/>
      <c r="J112" s="348"/>
      <c r="K112" s="348"/>
      <c r="L112" s="348"/>
      <c r="M112" s="348"/>
      <c r="N112" s="348"/>
      <c r="O112" s="348"/>
      <c r="P112" s="348"/>
      <c r="Q112" s="348"/>
      <c r="R112" s="348"/>
      <c r="S112" s="348"/>
      <c r="T112" s="348"/>
      <c r="U112" s="348"/>
      <c r="V112" s="348"/>
      <c r="W112" s="348"/>
      <c r="X112" s="348"/>
      <c r="Y112" s="348"/>
      <c r="Z112" s="348"/>
    </row>
    <row r="113">
      <c r="A113" s="348"/>
      <c r="B113" s="348"/>
      <c r="C113" s="348"/>
      <c r="D113" s="348"/>
      <c r="E113" s="348"/>
      <c r="F113" s="348"/>
      <c r="G113" s="348"/>
      <c r="H113" s="348"/>
      <c r="I113" s="348"/>
      <c r="J113" s="348"/>
      <c r="K113" s="348"/>
      <c r="L113" s="348"/>
      <c r="M113" s="348"/>
      <c r="N113" s="348"/>
      <c r="O113" s="348"/>
      <c r="P113" s="348"/>
      <c r="Q113" s="348"/>
      <c r="R113" s="348"/>
      <c r="S113" s="348"/>
      <c r="T113" s="348"/>
      <c r="U113" s="348"/>
      <c r="V113" s="348"/>
      <c r="W113" s="348"/>
      <c r="X113" s="348"/>
      <c r="Y113" s="348"/>
      <c r="Z113" s="348"/>
    </row>
    <row r="114">
      <c r="A114" s="348"/>
      <c r="B114" s="348"/>
      <c r="C114" s="348"/>
      <c r="D114" s="348"/>
      <c r="E114" s="348"/>
      <c r="F114" s="348"/>
      <c r="G114" s="348"/>
      <c r="H114" s="348"/>
      <c r="I114" s="348"/>
      <c r="J114" s="348"/>
      <c r="K114" s="348"/>
      <c r="L114" s="348"/>
      <c r="M114" s="348"/>
      <c r="N114" s="348"/>
      <c r="O114" s="348"/>
      <c r="P114" s="348"/>
      <c r="Q114" s="348"/>
      <c r="R114" s="348"/>
      <c r="S114" s="348"/>
      <c r="T114" s="348"/>
      <c r="U114" s="348"/>
      <c r="V114" s="348"/>
      <c r="W114" s="348"/>
      <c r="X114" s="348"/>
      <c r="Y114" s="348"/>
      <c r="Z114" s="348"/>
    </row>
    <row r="115">
      <c r="A115" s="348"/>
      <c r="B115" s="348"/>
      <c r="C115" s="348"/>
      <c r="D115" s="348"/>
      <c r="E115" s="348"/>
      <c r="F115" s="348"/>
      <c r="G115" s="348"/>
      <c r="H115" s="348"/>
      <c r="I115" s="348"/>
      <c r="J115" s="348"/>
      <c r="K115" s="348"/>
      <c r="L115" s="348"/>
      <c r="M115" s="348"/>
      <c r="N115" s="348"/>
      <c r="O115" s="348"/>
      <c r="P115" s="348"/>
      <c r="Q115" s="348"/>
      <c r="R115" s="348"/>
      <c r="S115" s="348"/>
      <c r="T115" s="348"/>
      <c r="U115" s="348"/>
      <c r="V115" s="348"/>
      <c r="W115" s="348"/>
      <c r="X115" s="348"/>
      <c r="Y115" s="348"/>
      <c r="Z115" s="348"/>
    </row>
    <row r="116">
      <c r="A116" s="348"/>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8"/>
      <c r="X116" s="348"/>
      <c r="Y116" s="348"/>
      <c r="Z116" s="348"/>
    </row>
    <row r="117">
      <c r="A117" s="348"/>
      <c r="B117" s="348"/>
      <c r="C117" s="348"/>
      <c r="D117" s="348"/>
      <c r="E117" s="348"/>
      <c r="F117" s="348"/>
      <c r="G117" s="348"/>
      <c r="H117" s="348"/>
      <c r="I117" s="348"/>
      <c r="J117" s="348"/>
      <c r="K117" s="348"/>
      <c r="L117" s="348"/>
      <c r="M117" s="348"/>
      <c r="N117" s="348"/>
      <c r="O117" s="348"/>
      <c r="P117" s="348"/>
      <c r="Q117" s="348"/>
      <c r="R117" s="348"/>
      <c r="S117" s="348"/>
      <c r="T117" s="348"/>
      <c r="U117" s="348"/>
      <c r="V117" s="348"/>
      <c r="W117" s="348"/>
      <c r="X117" s="348"/>
      <c r="Y117" s="348"/>
      <c r="Z117" s="348"/>
    </row>
    <row r="118">
      <c r="A118" s="348"/>
      <c r="B118" s="348"/>
      <c r="C118" s="348"/>
      <c r="D118" s="348"/>
      <c r="E118" s="348"/>
      <c r="F118" s="348"/>
      <c r="G118" s="348"/>
      <c r="H118" s="348"/>
      <c r="I118" s="348"/>
      <c r="J118" s="348"/>
      <c r="K118" s="348"/>
      <c r="L118" s="348"/>
      <c r="M118" s="348"/>
      <c r="N118" s="348"/>
      <c r="O118" s="348"/>
      <c r="P118" s="348"/>
      <c r="Q118" s="348"/>
      <c r="R118" s="348"/>
      <c r="S118" s="348"/>
      <c r="T118" s="348"/>
      <c r="U118" s="348"/>
      <c r="V118" s="348"/>
      <c r="W118" s="348"/>
      <c r="X118" s="348"/>
      <c r="Y118" s="348"/>
      <c r="Z118" s="348"/>
    </row>
    <row r="119">
      <c r="A119" s="348"/>
      <c r="B119" s="348"/>
      <c r="C119" s="348"/>
      <c r="D119" s="348"/>
      <c r="E119" s="348"/>
      <c r="F119" s="348"/>
      <c r="G119" s="348"/>
      <c r="H119" s="348"/>
      <c r="I119" s="348"/>
      <c r="J119" s="348"/>
      <c r="K119" s="348"/>
      <c r="L119" s="348"/>
      <c r="M119" s="348"/>
      <c r="N119" s="348"/>
      <c r="O119" s="348"/>
      <c r="P119" s="348"/>
      <c r="Q119" s="348"/>
      <c r="R119" s="348"/>
      <c r="S119" s="348"/>
      <c r="T119" s="348"/>
      <c r="U119" s="348"/>
      <c r="V119" s="348"/>
      <c r="W119" s="348"/>
      <c r="X119" s="348"/>
      <c r="Y119" s="348"/>
      <c r="Z119" s="348"/>
    </row>
    <row r="120">
      <c r="A120" s="348"/>
      <c r="B120" s="348"/>
      <c r="C120" s="348"/>
      <c r="D120" s="348"/>
      <c r="E120" s="348"/>
      <c r="F120" s="348"/>
      <c r="G120" s="348"/>
      <c r="H120" s="348"/>
      <c r="I120" s="348"/>
      <c r="J120" s="348"/>
      <c r="K120" s="348"/>
      <c r="L120" s="348"/>
      <c r="M120" s="348"/>
      <c r="N120" s="348"/>
      <c r="O120" s="348"/>
      <c r="P120" s="348"/>
      <c r="Q120" s="348"/>
      <c r="R120" s="348"/>
      <c r="S120" s="348"/>
      <c r="T120" s="348"/>
      <c r="U120" s="348"/>
      <c r="V120" s="348"/>
      <c r="W120" s="348"/>
      <c r="X120" s="348"/>
      <c r="Y120" s="348"/>
      <c r="Z120" s="348"/>
    </row>
    <row r="121">
      <c r="A121" s="348"/>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8"/>
      <c r="X121" s="348"/>
      <c r="Y121" s="348"/>
      <c r="Z121" s="348"/>
    </row>
    <row r="122">
      <c r="A122" s="348"/>
      <c r="B122" s="348"/>
      <c r="C122" s="348"/>
      <c r="D122" s="348"/>
      <c r="E122" s="348"/>
      <c r="F122" s="348"/>
      <c r="G122" s="348"/>
      <c r="H122" s="348"/>
      <c r="I122" s="348"/>
      <c r="J122" s="348"/>
      <c r="K122" s="348"/>
      <c r="L122" s="348"/>
      <c r="M122" s="348"/>
      <c r="N122" s="348"/>
      <c r="O122" s="348"/>
      <c r="P122" s="348"/>
      <c r="Q122" s="348"/>
      <c r="R122" s="348"/>
      <c r="S122" s="348"/>
      <c r="T122" s="348"/>
      <c r="U122" s="348"/>
      <c r="V122" s="348"/>
      <c r="W122" s="348"/>
      <c r="X122" s="348"/>
      <c r="Y122" s="348"/>
      <c r="Z122" s="348"/>
    </row>
    <row r="123">
      <c r="A123" s="348"/>
      <c r="B123" s="348"/>
      <c r="C123" s="348"/>
      <c r="D123" s="348"/>
      <c r="E123" s="348"/>
      <c r="F123" s="348"/>
      <c r="G123" s="348"/>
      <c r="H123" s="348"/>
      <c r="I123" s="348"/>
      <c r="J123" s="348"/>
      <c r="K123" s="348"/>
      <c r="L123" s="348"/>
      <c r="M123" s="348"/>
      <c r="N123" s="348"/>
      <c r="O123" s="348"/>
      <c r="P123" s="348"/>
      <c r="Q123" s="348"/>
      <c r="R123" s="348"/>
      <c r="S123" s="348"/>
      <c r="T123" s="348"/>
      <c r="U123" s="348"/>
      <c r="V123" s="348"/>
      <c r="W123" s="348"/>
      <c r="X123" s="348"/>
      <c r="Y123" s="348"/>
      <c r="Z123" s="348"/>
    </row>
    <row r="124">
      <c r="A124" s="348"/>
      <c r="B124" s="348"/>
      <c r="C124" s="348"/>
      <c r="D124" s="348"/>
      <c r="E124" s="348"/>
      <c r="F124" s="348"/>
      <c r="G124" s="348"/>
      <c r="H124" s="348"/>
      <c r="I124" s="348"/>
      <c r="J124" s="348"/>
      <c r="K124" s="348"/>
      <c r="L124" s="348"/>
      <c r="M124" s="348"/>
      <c r="N124" s="348"/>
      <c r="O124" s="348"/>
      <c r="P124" s="348"/>
      <c r="Q124" s="348"/>
      <c r="R124" s="348"/>
      <c r="S124" s="348"/>
      <c r="T124" s="348"/>
      <c r="U124" s="348"/>
      <c r="V124" s="348"/>
      <c r="W124" s="348"/>
      <c r="X124" s="348"/>
      <c r="Y124" s="348"/>
      <c r="Z124" s="348"/>
    </row>
    <row r="125">
      <c r="A125" s="348"/>
      <c r="B125" s="348"/>
      <c r="C125" s="348"/>
      <c r="D125" s="348"/>
      <c r="E125" s="348"/>
      <c r="F125" s="348"/>
      <c r="G125" s="348"/>
      <c r="H125" s="348"/>
      <c r="I125" s="348"/>
      <c r="J125" s="348"/>
      <c r="K125" s="348"/>
      <c r="L125" s="348"/>
      <c r="M125" s="348"/>
      <c r="N125" s="348"/>
      <c r="O125" s="348"/>
      <c r="P125" s="348"/>
      <c r="Q125" s="348"/>
      <c r="R125" s="348"/>
      <c r="S125" s="348"/>
      <c r="T125" s="348"/>
      <c r="U125" s="348"/>
      <c r="V125" s="348"/>
      <c r="W125" s="348"/>
      <c r="X125" s="348"/>
      <c r="Y125" s="348"/>
      <c r="Z125" s="348"/>
    </row>
    <row r="126">
      <c r="A126" s="348"/>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8"/>
      <c r="X126" s="348"/>
      <c r="Y126" s="348"/>
      <c r="Z126" s="348"/>
    </row>
    <row r="127">
      <c r="A127" s="348"/>
      <c r="B127" s="348"/>
      <c r="C127" s="348"/>
      <c r="D127" s="348"/>
      <c r="E127" s="348"/>
      <c r="F127" s="348"/>
      <c r="G127" s="348"/>
      <c r="H127" s="348"/>
      <c r="I127" s="348"/>
      <c r="J127" s="348"/>
      <c r="K127" s="348"/>
      <c r="L127" s="348"/>
      <c r="M127" s="348"/>
      <c r="N127" s="348"/>
      <c r="O127" s="348"/>
      <c r="P127" s="348"/>
      <c r="Q127" s="348"/>
      <c r="R127" s="348"/>
      <c r="S127" s="348"/>
      <c r="T127" s="348"/>
      <c r="U127" s="348"/>
      <c r="V127" s="348"/>
      <c r="W127" s="348"/>
      <c r="X127" s="348"/>
      <c r="Y127" s="348"/>
      <c r="Z127" s="348"/>
    </row>
    <row r="128">
      <c r="A128" s="348"/>
      <c r="B128" s="348"/>
      <c r="C128" s="348"/>
      <c r="D128" s="348"/>
      <c r="E128" s="348"/>
      <c r="F128" s="348"/>
      <c r="G128" s="348"/>
      <c r="H128" s="348"/>
      <c r="I128" s="348"/>
      <c r="J128" s="348"/>
      <c r="K128" s="348"/>
      <c r="L128" s="348"/>
      <c r="M128" s="348"/>
      <c r="N128" s="348"/>
      <c r="O128" s="348"/>
      <c r="P128" s="348"/>
      <c r="Q128" s="348"/>
      <c r="R128" s="348"/>
      <c r="S128" s="348"/>
      <c r="T128" s="348"/>
      <c r="U128" s="348"/>
      <c r="V128" s="348"/>
      <c r="W128" s="348"/>
      <c r="X128" s="348"/>
      <c r="Y128" s="348"/>
      <c r="Z128" s="348"/>
    </row>
    <row r="129">
      <c r="A129" s="348"/>
      <c r="B129" s="348"/>
      <c r="C129" s="348"/>
      <c r="D129" s="348"/>
      <c r="E129" s="348"/>
      <c r="F129" s="348"/>
      <c r="G129" s="348"/>
      <c r="H129" s="348"/>
      <c r="I129" s="348"/>
      <c r="J129" s="348"/>
      <c r="K129" s="348"/>
      <c r="L129" s="348"/>
      <c r="M129" s="348"/>
      <c r="N129" s="348"/>
      <c r="O129" s="348"/>
      <c r="P129" s="348"/>
      <c r="Q129" s="348"/>
      <c r="R129" s="348"/>
      <c r="S129" s="348"/>
      <c r="T129" s="348"/>
      <c r="U129" s="348"/>
      <c r="V129" s="348"/>
      <c r="W129" s="348"/>
      <c r="X129" s="348"/>
      <c r="Y129" s="348"/>
      <c r="Z129" s="348"/>
    </row>
    <row r="130">
      <c r="A130" s="348"/>
      <c r="B130" s="348"/>
      <c r="C130" s="348"/>
      <c r="D130" s="348"/>
      <c r="E130" s="348"/>
      <c r="F130" s="348"/>
      <c r="G130" s="348"/>
      <c r="H130" s="348"/>
      <c r="I130" s="348"/>
      <c r="J130" s="348"/>
      <c r="K130" s="348"/>
      <c r="L130" s="348"/>
      <c r="M130" s="348"/>
      <c r="N130" s="348"/>
      <c r="O130" s="348"/>
      <c r="P130" s="348"/>
      <c r="Q130" s="348"/>
      <c r="R130" s="348"/>
      <c r="S130" s="348"/>
      <c r="T130" s="348"/>
      <c r="U130" s="348"/>
      <c r="V130" s="348"/>
      <c r="W130" s="348"/>
      <c r="X130" s="348"/>
      <c r="Y130" s="348"/>
      <c r="Z130" s="348"/>
    </row>
    <row r="131">
      <c r="A131" s="348"/>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8"/>
      <c r="X131" s="348"/>
      <c r="Y131" s="348"/>
      <c r="Z131" s="348"/>
    </row>
    <row r="132">
      <c r="A132" s="348"/>
      <c r="B132" s="348"/>
      <c r="C132" s="348"/>
      <c r="D132" s="348"/>
      <c r="E132" s="348"/>
      <c r="F132" s="348"/>
      <c r="G132" s="348"/>
      <c r="H132" s="348"/>
      <c r="I132" s="348"/>
      <c r="J132" s="348"/>
      <c r="K132" s="348"/>
      <c r="L132" s="348"/>
      <c r="M132" s="348"/>
      <c r="N132" s="348"/>
      <c r="O132" s="348"/>
      <c r="P132" s="348"/>
      <c r="Q132" s="348"/>
      <c r="R132" s="348"/>
      <c r="S132" s="348"/>
      <c r="T132" s="348"/>
      <c r="U132" s="348"/>
      <c r="V132" s="348"/>
      <c r="W132" s="348"/>
      <c r="X132" s="348"/>
      <c r="Y132" s="348"/>
      <c r="Z132" s="348"/>
    </row>
    <row r="133">
      <c r="A133" s="348"/>
      <c r="B133" s="348"/>
      <c r="C133" s="348"/>
      <c r="D133" s="348"/>
      <c r="E133" s="348"/>
      <c r="F133" s="348"/>
      <c r="G133" s="348"/>
      <c r="H133" s="348"/>
      <c r="I133" s="348"/>
      <c r="J133" s="348"/>
      <c r="K133" s="348"/>
      <c r="L133" s="348"/>
      <c r="M133" s="348"/>
      <c r="N133" s="348"/>
      <c r="O133" s="348"/>
      <c r="P133" s="348"/>
      <c r="Q133" s="348"/>
      <c r="R133" s="348"/>
      <c r="S133" s="348"/>
      <c r="T133" s="348"/>
      <c r="U133" s="348"/>
      <c r="V133" s="348"/>
      <c r="W133" s="348"/>
      <c r="X133" s="348"/>
      <c r="Y133" s="348"/>
      <c r="Z133" s="348"/>
    </row>
    <row r="134">
      <c r="A134" s="348"/>
      <c r="B134" s="348"/>
      <c r="C134" s="348"/>
      <c r="D134" s="348"/>
      <c r="E134" s="348"/>
      <c r="F134" s="348"/>
      <c r="G134" s="348"/>
      <c r="H134" s="348"/>
      <c r="I134" s="348"/>
      <c r="J134" s="348"/>
      <c r="K134" s="348"/>
      <c r="L134" s="348"/>
      <c r="M134" s="348"/>
      <c r="N134" s="348"/>
      <c r="O134" s="348"/>
      <c r="P134" s="348"/>
      <c r="Q134" s="348"/>
      <c r="R134" s="348"/>
      <c r="S134" s="348"/>
      <c r="T134" s="348"/>
      <c r="U134" s="348"/>
      <c r="V134" s="348"/>
      <c r="W134" s="348"/>
      <c r="X134" s="348"/>
      <c r="Y134" s="348"/>
      <c r="Z134" s="348"/>
    </row>
    <row r="135">
      <c r="A135" s="348"/>
      <c r="B135" s="348"/>
      <c r="C135" s="348"/>
      <c r="D135" s="348"/>
      <c r="E135" s="348"/>
      <c r="F135" s="348"/>
      <c r="G135" s="348"/>
      <c r="H135" s="348"/>
      <c r="I135" s="348"/>
      <c r="J135" s="348"/>
      <c r="K135" s="348"/>
      <c r="L135" s="348"/>
      <c r="M135" s="348"/>
      <c r="N135" s="348"/>
      <c r="O135" s="348"/>
      <c r="P135" s="348"/>
      <c r="Q135" s="348"/>
      <c r="R135" s="348"/>
      <c r="S135" s="348"/>
      <c r="T135" s="348"/>
      <c r="U135" s="348"/>
      <c r="V135" s="348"/>
      <c r="W135" s="348"/>
      <c r="X135" s="348"/>
      <c r="Y135" s="348"/>
      <c r="Z135" s="348"/>
    </row>
    <row r="136">
      <c r="A136" s="348"/>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8"/>
      <c r="X136" s="348"/>
      <c r="Y136" s="348"/>
      <c r="Z136" s="348"/>
    </row>
    <row r="137">
      <c r="A137" s="348"/>
      <c r="B137" s="348"/>
      <c r="C137" s="348"/>
      <c r="D137" s="348"/>
      <c r="E137" s="348"/>
      <c r="F137" s="348"/>
      <c r="G137" s="348"/>
      <c r="H137" s="348"/>
      <c r="I137" s="348"/>
      <c r="J137" s="348"/>
      <c r="K137" s="348"/>
      <c r="L137" s="348"/>
      <c r="M137" s="348"/>
      <c r="N137" s="348"/>
      <c r="O137" s="348"/>
      <c r="P137" s="348"/>
      <c r="Q137" s="348"/>
      <c r="R137" s="348"/>
      <c r="S137" s="348"/>
      <c r="T137" s="348"/>
      <c r="U137" s="348"/>
      <c r="V137" s="348"/>
      <c r="W137" s="348"/>
      <c r="X137" s="348"/>
      <c r="Y137" s="348"/>
      <c r="Z137" s="348"/>
    </row>
    <row r="138">
      <c r="A138" s="348"/>
      <c r="B138" s="348"/>
      <c r="C138" s="348"/>
      <c r="D138" s="348"/>
      <c r="E138" s="348"/>
      <c r="F138" s="348"/>
      <c r="G138" s="348"/>
      <c r="H138" s="348"/>
      <c r="I138" s="348"/>
      <c r="J138" s="348"/>
      <c r="K138" s="348"/>
      <c r="L138" s="348"/>
      <c r="M138" s="348"/>
      <c r="N138" s="348"/>
      <c r="O138" s="348"/>
      <c r="P138" s="348"/>
      <c r="Q138" s="348"/>
      <c r="R138" s="348"/>
      <c r="S138" s="348"/>
      <c r="T138" s="348"/>
      <c r="U138" s="348"/>
      <c r="V138" s="348"/>
      <c r="W138" s="348"/>
      <c r="X138" s="348"/>
      <c r="Y138" s="348"/>
      <c r="Z138" s="348"/>
    </row>
    <row r="139">
      <c r="A139" s="348"/>
      <c r="B139" s="348"/>
      <c r="C139" s="348"/>
      <c r="D139" s="348"/>
      <c r="E139" s="348"/>
      <c r="F139" s="348"/>
      <c r="G139" s="348"/>
      <c r="H139" s="348"/>
      <c r="I139" s="348"/>
      <c r="J139" s="348"/>
      <c r="K139" s="348"/>
      <c r="L139" s="348"/>
      <c r="M139" s="348"/>
      <c r="N139" s="348"/>
      <c r="O139" s="348"/>
      <c r="P139" s="348"/>
      <c r="Q139" s="348"/>
      <c r="R139" s="348"/>
      <c r="S139" s="348"/>
      <c r="T139" s="348"/>
      <c r="U139" s="348"/>
      <c r="V139" s="348"/>
      <c r="W139" s="348"/>
      <c r="X139" s="348"/>
      <c r="Y139" s="348"/>
      <c r="Z139" s="348"/>
    </row>
    <row r="140">
      <c r="A140" s="348"/>
      <c r="B140" s="348"/>
      <c r="C140" s="348"/>
      <c r="D140" s="348"/>
      <c r="E140" s="348"/>
      <c r="F140" s="348"/>
      <c r="G140" s="348"/>
      <c r="H140" s="348"/>
      <c r="I140" s="348"/>
      <c r="J140" s="348"/>
      <c r="K140" s="348"/>
      <c r="L140" s="348"/>
      <c r="M140" s="348"/>
      <c r="N140" s="348"/>
      <c r="O140" s="348"/>
      <c r="P140" s="348"/>
      <c r="Q140" s="348"/>
      <c r="R140" s="348"/>
      <c r="S140" s="348"/>
      <c r="T140" s="348"/>
      <c r="U140" s="348"/>
      <c r="V140" s="348"/>
      <c r="W140" s="348"/>
      <c r="X140" s="348"/>
      <c r="Y140" s="348"/>
      <c r="Z140" s="348"/>
    </row>
    <row r="141">
      <c r="A141" s="348"/>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8"/>
      <c r="X141" s="348"/>
      <c r="Y141" s="348"/>
      <c r="Z141" s="348"/>
    </row>
    <row r="142">
      <c r="A142" s="348"/>
      <c r="B142" s="348"/>
      <c r="C142" s="348"/>
      <c r="D142" s="348"/>
      <c r="E142" s="348"/>
      <c r="F142" s="348"/>
      <c r="G142" s="348"/>
      <c r="H142" s="348"/>
      <c r="I142" s="348"/>
      <c r="J142" s="348"/>
      <c r="K142" s="348"/>
      <c r="L142" s="348"/>
      <c r="M142" s="348"/>
      <c r="N142" s="348"/>
      <c r="O142" s="348"/>
      <c r="P142" s="348"/>
      <c r="Q142" s="348"/>
      <c r="R142" s="348"/>
      <c r="S142" s="348"/>
      <c r="T142" s="348"/>
      <c r="U142" s="348"/>
      <c r="V142" s="348"/>
      <c r="W142" s="348"/>
      <c r="X142" s="348"/>
      <c r="Y142" s="348"/>
      <c r="Z142" s="348"/>
    </row>
    <row r="143">
      <c r="A143" s="348"/>
      <c r="B143" s="348"/>
      <c r="C143" s="348"/>
      <c r="D143" s="348"/>
      <c r="E143" s="348"/>
      <c r="F143" s="348"/>
      <c r="G143" s="348"/>
      <c r="H143" s="348"/>
      <c r="I143" s="348"/>
      <c r="J143" s="348"/>
      <c r="K143" s="348"/>
      <c r="L143" s="348"/>
      <c r="M143" s="348"/>
      <c r="N143" s="348"/>
      <c r="O143" s="348"/>
      <c r="P143" s="348"/>
      <c r="Q143" s="348"/>
      <c r="R143" s="348"/>
      <c r="S143" s="348"/>
      <c r="T143" s="348"/>
      <c r="U143" s="348"/>
      <c r="V143" s="348"/>
      <c r="W143" s="348"/>
      <c r="X143" s="348"/>
      <c r="Y143" s="348"/>
      <c r="Z143" s="348"/>
    </row>
    <row r="144">
      <c r="A144" s="348"/>
      <c r="B144" s="348"/>
      <c r="C144" s="348"/>
      <c r="D144" s="348"/>
      <c r="E144" s="348"/>
      <c r="F144" s="348"/>
      <c r="G144" s="348"/>
      <c r="H144" s="348"/>
      <c r="I144" s="348"/>
      <c r="J144" s="348"/>
      <c r="K144" s="348"/>
      <c r="L144" s="348"/>
      <c r="M144" s="348"/>
      <c r="N144" s="348"/>
      <c r="O144" s="348"/>
      <c r="P144" s="348"/>
      <c r="Q144" s="348"/>
      <c r="R144" s="348"/>
      <c r="S144" s="348"/>
      <c r="T144" s="348"/>
      <c r="U144" s="348"/>
      <c r="V144" s="348"/>
      <c r="W144" s="348"/>
      <c r="X144" s="348"/>
      <c r="Y144" s="348"/>
      <c r="Z144" s="348"/>
    </row>
    <row r="145">
      <c r="A145" s="348"/>
      <c r="B145" s="348"/>
      <c r="C145" s="348"/>
      <c r="D145" s="348"/>
      <c r="E145" s="348"/>
      <c r="F145" s="348"/>
      <c r="G145" s="348"/>
      <c r="H145" s="348"/>
      <c r="I145" s="348"/>
      <c r="J145" s="348"/>
      <c r="K145" s="348"/>
      <c r="L145" s="348"/>
      <c r="M145" s="348"/>
      <c r="N145" s="348"/>
      <c r="O145" s="348"/>
      <c r="P145" s="348"/>
      <c r="Q145" s="348"/>
      <c r="R145" s="348"/>
      <c r="S145" s="348"/>
      <c r="T145" s="348"/>
      <c r="U145" s="348"/>
      <c r="V145" s="348"/>
      <c r="W145" s="348"/>
      <c r="X145" s="348"/>
      <c r="Y145" s="348"/>
      <c r="Z145" s="348"/>
    </row>
    <row r="146">
      <c r="A146" s="348"/>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8"/>
      <c r="X146" s="348"/>
      <c r="Y146" s="348"/>
      <c r="Z146" s="348"/>
    </row>
    <row r="147">
      <c r="A147" s="348"/>
      <c r="B147" s="348"/>
      <c r="C147" s="348"/>
      <c r="D147" s="348"/>
      <c r="E147" s="348"/>
      <c r="F147" s="348"/>
      <c r="G147" s="348"/>
      <c r="H147" s="348"/>
      <c r="I147" s="348"/>
      <c r="J147" s="348"/>
      <c r="K147" s="348"/>
      <c r="L147" s="348"/>
      <c r="M147" s="348"/>
      <c r="N147" s="348"/>
      <c r="O147" s="348"/>
      <c r="P147" s="348"/>
      <c r="Q147" s="348"/>
      <c r="R147" s="348"/>
      <c r="S147" s="348"/>
      <c r="T147" s="348"/>
      <c r="U147" s="348"/>
      <c r="V147" s="348"/>
      <c r="W147" s="348"/>
      <c r="X147" s="348"/>
      <c r="Y147" s="348"/>
      <c r="Z147" s="348"/>
    </row>
    <row r="148">
      <c r="A148" s="348"/>
      <c r="B148" s="348"/>
      <c r="C148" s="348"/>
      <c r="D148" s="348"/>
      <c r="E148" s="348"/>
      <c r="F148" s="348"/>
      <c r="G148" s="348"/>
      <c r="H148" s="348"/>
      <c r="I148" s="348"/>
      <c r="J148" s="348"/>
      <c r="K148" s="348"/>
      <c r="L148" s="348"/>
      <c r="M148" s="348"/>
      <c r="N148" s="348"/>
      <c r="O148" s="348"/>
      <c r="P148" s="348"/>
      <c r="Q148" s="348"/>
      <c r="R148" s="348"/>
      <c r="S148" s="348"/>
      <c r="T148" s="348"/>
      <c r="U148" s="348"/>
      <c r="V148" s="348"/>
      <c r="W148" s="348"/>
      <c r="X148" s="348"/>
      <c r="Y148" s="348"/>
      <c r="Z148" s="348"/>
    </row>
    <row r="149">
      <c r="A149" s="348"/>
      <c r="B149" s="348"/>
      <c r="C149" s="348"/>
      <c r="D149" s="348"/>
      <c r="E149" s="348"/>
      <c r="F149" s="348"/>
      <c r="G149" s="348"/>
      <c r="H149" s="348"/>
      <c r="I149" s="348"/>
      <c r="J149" s="348"/>
      <c r="K149" s="348"/>
      <c r="L149" s="348"/>
      <c r="M149" s="348"/>
      <c r="N149" s="348"/>
      <c r="O149" s="348"/>
      <c r="P149" s="348"/>
      <c r="Q149" s="348"/>
      <c r="R149" s="348"/>
      <c r="S149" s="348"/>
      <c r="T149" s="348"/>
      <c r="U149" s="348"/>
      <c r="V149" s="348"/>
      <c r="W149" s="348"/>
      <c r="X149" s="348"/>
      <c r="Y149" s="348"/>
      <c r="Z149" s="348"/>
    </row>
    <row r="150">
      <c r="A150" s="348"/>
      <c r="B150" s="348"/>
      <c r="C150" s="348"/>
      <c r="D150" s="348"/>
      <c r="E150" s="348"/>
      <c r="F150" s="348"/>
      <c r="G150" s="348"/>
      <c r="H150" s="348"/>
      <c r="I150" s="348"/>
      <c r="J150" s="348"/>
      <c r="K150" s="348"/>
      <c r="L150" s="348"/>
      <c r="M150" s="348"/>
      <c r="N150" s="348"/>
      <c r="O150" s="348"/>
      <c r="P150" s="348"/>
      <c r="Q150" s="348"/>
      <c r="R150" s="348"/>
      <c r="S150" s="348"/>
      <c r="T150" s="348"/>
      <c r="U150" s="348"/>
      <c r="V150" s="348"/>
      <c r="W150" s="348"/>
      <c r="X150" s="348"/>
      <c r="Y150" s="348"/>
      <c r="Z150" s="348"/>
    </row>
    <row r="151">
      <c r="A151" s="348"/>
      <c r="B151" s="348"/>
      <c r="C151" s="348"/>
      <c r="D151" s="348"/>
      <c r="E151" s="348"/>
      <c r="F151" s="348"/>
      <c r="G151" s="348"/>
      <c r="H151" s="348"/>
      <c r="I151" s="348"/>
      <c r="J151" s="348"/>
      <c r="K151" s="348"/>
      <c r="L151" s="348"/>
      <c r="M151" s="348"/>
      <c r="N151" s="348"/>
      <c r="O151" s="348"/>
      <c r="P151" s="348"/>
      <c r="Q151" s="348"/>
      <c r="R151" s="348"/>
      <c r="S151" s="348"/>
      <c r="T151" s="348"/>
      <c r="U151" s="348"/>
      <c r="V151" s="348"/>
      <c r="W151" s="348"/>
      <c r="X151" s="348"/>
      <c r="Y151" s="348"/>
      <c r="Z151" s="348"/>
    </row>
    <row r="152">
      <c r="A152" s="348"/>
      <c r="B152" s="348"/>
      <c r="C152" s="348"/>
      <c r="D152" s="348"/>
      <c r="E152" s="348"/>
      <c r="F152" s="348"/>
      <c r="G152" s="348"/>
      <c r="H152" s="348"/>
      <c r="I152" s="348"/>
      <c r="J152" s="348"/>
      <c r="K152" s="348"/>
      <c r="L152" s="348"/>
      <c r="M152" s="348"/>
      <c r="N152" s="348"/>
      <c r="O152" s="348"/>
      <c r="P152" s="348"/>
      <c r="Q152" s="348"/>
      <c r="R152" s="348"/>
      <c r="S152" s="348"/>
      <c r="T152" s="348"/>
      <c r="U152" s="348"/>
      <c r="V152" s="348"/>
      <c r="W152" s="348"/>
      <c r="X152" s="348"/>
      <c r="Y152" s="348"/>
      <c r="Z152" s="348"/>
    </row>
    <row r="153">
      <c r="A153" s="348"/>
      <c r="B153" s="348"/>
      <c r="C153" s="348"/>
      <c r="D153" s="348"/>
      <c r="E153" s="348"/>
      <c r="F153" s="348"/>
      <c r="G153" s="348"/>
      <c r="H153" s="348"/>
      <c r="I153" s="348"/>
      <c r="J153" s="348"/>
      <c r="K153" s="348"/>
      <c r="L153" s="348"/>
      <c r="M153" s="348"/>
      <c r="N153" s="348"/>
      <c r="O153" s="348"/>
      <c r="P153" s="348"/>
      <c r="Q153" s="348"/>
      <c r="R153" s="348"/>
      <c r="S153" s="348"/>
      <c r="T153" s="348"/>
      <c r="U153" s="348"/>
      <c r="V153" s="348"/>
      <c r="W153" s="348"/>
      <c r="X153" s="348"/>
      <c r="Y153" s="348"/>
      <c r="Z153" s="348"/>
    </row>
    <row r="154">
      <c r="A154" s="348"/>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348"/>
      <c r="X154" s="348"/>
      <c r="Y154" s="348"/>
      <c r="Z154" s="348"/>
    </row>
    <row r="155">
      <c r="A155" s="348"/>
      <c r="B155" s="348"/>
      <c r="C155" s="348"/>
      <c r="D155" s="348"/>
      <c r="E155" s="348"/>
      <c r="F155" s="348"/>
      <c r="G155" s="348"/>
      <c r="H155" s="348"/>
      <c r="I155" s="348"/>
      <c r="J155" s="348"/>
      <c r="K155" s="348"/>
      <c r="L155" s="348"/>
      <c r="M155" s="348"/>
      <c r="N155" s="348"/>
      <c r="O155" s="348"/>
      <c r="P155" s="348"/>
      <c r="Q155" s="348"/>
      <c r="R155" s="348"/>
      <c r="S155" s="348"/>
      <c r="T155" s="348"/>
      <c r="U155" s="348"/>
      <c r="V155" s="348"/>
      <c r="W155" s="348"/>
      <c r="X155" s="348"/>
      <c r="Y155" s="348"/>
      <c r="Z155" s="348"/>
    </row>
    <row r="156">
      <c r="A156" s="348"/>
      <c r="B156" s="348"/>
      <c r="C156" s="348"/>
      <c r="D156" s="348"/>
      <c r="E156" s="348"/>
      <c r="F156" s="348"/>
      <c r="G156" s="348"/>
      <c r="H156" s="348"/>
      <c r="I156" s="348"/>
      <c r="J156" s="348"/>
      <c r="K156" s="348"/>
      <c r="L156" s="348"/>
      <c r="M156" s="348"/>
      <c r="N156" s="348"/>
      <c r="O156" s="348"/>
      <c r="P156" s="348"/>
      <c r="Q156" s="348"/>
      <c r="R156" s="348"/>
      <c r="S156" s="348"/>
      <c r="T156" s="348"/>
      <c r="U156" s="348"/>
      <c r="V156" s="348"/>
      <c r="W156" s="348"/>
      <c r="X156" s="348"/>
      <c r="Y156" s="348"/>
      <c r="Z156" s="348"/>
    </row>
    <row r="157">
      <c r="A157" s="348"/>
      <c r="B157" s="348"/>
      <c r="C157" s="348"/>
      <c r="D157" s="348"/>
      <c r="E157" s="348"/>
      <c r="F157" s="348"/>
      <c r="G157" s="348"/>
      <c r="H157" s="348"/>
      <c r="I157" s="348"/>
      <c r="J157" s="348"/>
      <c r="K157" s="348"/>
      <c r="L157" s="348"/>
      <c r="M157" s="348"/>
      <c r="N157" s="348"/>
      <c r="O157" s="348"/>
      <c r="P157" s="348"/>
      <c r="Q157" s="348"/>
      <c r="R157" s="348"/>
      <c r="S157" s="348"/>
      <c r="T157" s="348"/>
      <c r="U157" s="348"/>
      <c r="V157" s="348"/>
      <c r="W157" s="348"/>
      <c r="X157" s="348"/>
      <c r="Y157" s="348"/>
      <c r="Z157" s="348"/>
    </row>
    <row r="158">
      <c r="A158" s="348"/>
      <c r="B158" s="348"/>
      <c r="C158" s="348"/>
      <c r="D158" s="348"/>
      <c r="E158" s="348"/>
      <c r="F158" s="348"/>
      <c r="G158" s="348"/>
      <c r="H158" s="348"/>
      <c r="I158" s="348"/>
      <c r="J158" s="348"/>
      <c r="K158" s="348"/>
      <c r="L158" s="348"/>
      <c r="M158" s="348"/>
      <c r="N158" s="348"/>
      <c r="O158" s="348"/>
      <c r="P158" s="348"/>
      <c r="Q158" s="348"/>
      <c r="R158" s="348"/>
      <c r="S158" s="348"/>
      <c r="T158" s="348"/>
      <c r="U158" s="348"/>
      <c r="V158" s="348"/>
      <c r="W158" s="348"/>
      <c r="X158" s="348"/>
      <c r="Y158" s="348"/>
      <c r="Z158" s="348"/>
    </row>
    <row r="159">
      <c r="A159" s="348"/>
      <c r="B159" s="348"/>
      <c r="C159" s="348"/>
      <c r="D159" s="348"/>
      <c r="E159" s="348"/>
      <c r="F159" s="348"/>
      <c r="G159" s="348"/>
      <c r="H159" s="348"/>
      <c r="I159" s="348"/>
      <c r="J159" s="348"/>
      <c r="K159" s="348"/>
      <c r="L159" s="348"/>
      <c r="M159" s="348"/>
      <c r="N159" s="348"/>
      <c r="O159" s="348"/>
      <c r="P159" s="348"/>
      <c r="Q159" s="348"/>
      <c r="R159" s="348"/>
      <c r="S159" s="348"/>
      <c r="T159" s="348"/>
      <c r="U159" s="348"/>
      <c r="V159" s="348"/>
      <c r="W159" s="348"/>
      <c r="X159" s="348"/>
      <c r="Y159" s="348"/>
      <c r="Z159" s="348"/>
    </row>
    <row r="160">
      <c r="A160" s="348"/>
      <c r="B160" s="348"/>
      <c r="C160" s="348"/>
      <c r="D160" s="348"/>
      <c r="E160" s="348"/>
      <c r="F160" s="348"/>
      <c r="G160" s="348"/>
      <c r="H160" s="348"/>
      <c r="I160" s="348"/>
      <c r="J160" s="348"/>
      <c r="K160" s="348"/>
      <c r="L160" s="348"/>
      <c r="M160" s="348"/>
      <c r="N160" s="348"/>
      <c r="O160" s="348"/>
      <c r="P160" s="348"/>
      <c r="Q160" s="348"/>
      <c r="R160" s="348"/>
      <c r="S160" s="348"/>
      <c r="T160" s="348"/>
      <c r="U160" s="348"/>
      <c r="V160" s="348"/>
      <c r="W160" s="348"/>
      <c r="X160" s="348"/>
      <c r="Y160" s="348"/>
      <c r="Z160" s="348"/>
    </row>
    <row r="161">
      <c r="A161" s="348"/>
      <c r="B161" s="348"/>
      <c r="C161" s="348"/>
      <c r="D161" s="348"/>
      <c r="E161" s="348"/>
      <c r="F161" s="348"/>
      <c r="G161" s="348"/>
      <c r="H161" s="348"/>
      <c r="I161" s="348"/>
      <c r="J161" s="348"/>
      <c r="K161" s="348"/>
      <c r="L161" s="348"/>
      <c r="M161" s="348"/>
      <c r="N161" s="348"/>
      <c r="O161" s="348"/>
      <c r="P161" s="348"/>
      <c r="Q161" s="348"/>
      <c r="R161" s="348"/>
      <c r="S161" s="348"/>
      <c r="T161" s="348"/>
      <c r="U161" s="348"/>
      <c r="V161" s="348"/>
      <c r="W161" s="348"/>
      <c r="X161" s="348"/>
      <c r="Y161" s="348"/>
      <c r="Z161" s="348"/>
    </row>
    <row r="162">
      <c r="A162" s="348"/>
      <c r="B162" s="348"/>
      <c r="C162" s="348"/>
      <c r="D162" s="348"/>
      <c r="E162" s="348"/>
      <c r="F162" s="348"/>
      <c r="G162" s="348"/>
      <c r="H162" s="348"/>
      <c r="I162" s="348"/>
      <c r="J162" s="348"/>
      <c r="K162" s="348"/>
      <c r="L162" s="348"/>
      <c r="M162" s="348"/>
      <c r="N162" s="348"/>
      <c r="O162" s="348"/>
      <c r="P162" s="348"/>
      <c r="Q162" s="348"/>
      <c r="R162" s="348"/>
      <c r="S162" s="348"/>
      <c r="T162" s="348"/>
      <c r="U162" s="348"/>
      <c r="V162" s="348"/>
      <c r="W162" s="348"/>
      <c r="X162" s="348"/>
      <c r="Y162" s="348"/>
      <c r="Z162" s="348"/>
    </row>
    <row r="163">
      <c r="A163" s="348"/>
      <c r="B163" s="348"/>
      <c r="C163" s="348"/>
      <c r="D163" s="348"/>
      <c r="E163" s="348"/>
      <c r="F163" s="348"/>
      <c r="G163" s="348"/>
      <c r="H163" s="348"/>
      <c r="I163" s="348"/>
      <c r="J163" s="348"/>
      <c r="K163" s="348"/>
      <c r="L163" s="348"/>
      <c r="M163" s="348"/>
      <c r="N163" s="348"/>
      <c r="O163" s="348"/>
      <c r="P163" s="348"/>
      <c r="Q163" s="348"/>
      <c r="R163" s="348"/>
      <c r="S163" s="348"/>
      <c r="T163" s="348"/>
      <c r="U163" s="348"/>
      <c r="V163" s="348"/>
      <c r="W163" s="348"/>
      <c r="X163" s="348"/>
      <c r="Y163" s="348"/>
      <c r="Z163" s="348"/>
    </row>
    <row r="164">
      <c r="A164" s="348"/>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8"/>
      <c r="X164" s="348"/>
      <c r="Y164" s="348"/>
      <c r="Z164" s="348"/>
    </row>
    <row r="165">
      <c r="A165" s="348"/>
      <c r="B165" s="348"/>
      <c r="C165" s="348"/>
      <c r="D165" s="348"/>
      <c r="E165" s="348"/>
      <c r="F165" s="348"/>
      <c r="G165" s="348"/>
      <c r="H165" s="348"/>
      <c r="I165" s="348"/>
      <c r="J165" s="348"/>
      <c r="K165" s="348"/>
      <c r="L165" s="348"/>
      <c r="M165" s="348"/>
      <c r="N165" s="348"/>
      <c r="O165" s="348"/>
      <c r="P165" s="348"/>
      <c r="Q165" s="348"/>
      <c r="R165" s="348"/>
      <c r="S165" s="348"/>
      <c r="T165" s="348"/>
      <c r="U165" s="348"/>
      <c r="V165" s="348"/>
      <c r="W165" s="348"/>
      <c r="X165" s="348"/>
      <c r="Y165" s="348"/>
      <c r="Z165" s="348"/>
    </row>
    <row r="166">
      <c r="A166" s="348"/>
      <c r="B166" s="348"/>
      <c r="C166" s="348"/>
      <c r="D166" s="348"/>
      <c r="E166" s="348"/>
      <c r="F166" s="348"/>
      <c r="G166" s="348"/>
      <c r="H166" s="348"/>
      <c r="I166" s="348"/>
      <c r="J166" s="348"/>
      <c r="K166" s="348"/>
      <c r="L166" s="348"/>
      <c r="M166" s="348"/>
      <c r="N166" s="348"/>
      <c r="O166" s="348"/>
      <c r="P166" s="348"/>
      <c r="Q166" s="348"/>
      <c r="R166" s="348"/>
      <c r="S166" s="348"/>
      <c r="T166" s="348"/>
      <c r="U166" s="348"/>
      <c r="V166" s="348"/>
      <c r="W166" s="348"/>
      <c r="X166" s="348"/>
      <c r="Y166" s="348"/>
      <c r="Z166" s="348"/>
    </row>
    <row r="167">
      <c r="A167" s="348"/>
      <c r="B167" s="348"/>
      <c r="C167" s="348"/>
      <c r="D167" s="348"/>
      <c r="E167" s="348"/>
      <c r="F167" s="348"/>
      <c r="G167" s="348"/>
      <c r="H167" s="348"/>
      <c r="I167" s="348"/>
      <c r="J167" s="348"/>
      <c r="K167" s="348"/>
      <c r="L167" s="348"/>
      <c r="M167" s="348"/>
      <c r="N167" s="348"/>
      <c r="O167" s="348"/>
      <c r="P167" s="348"/>
      <c r="Q167" s="348"/>
      <c r="R167" s="348"/>
      <c r="S167" s="348"/>
      <c r="T167" s="348"/>
      <c r="U167" s="348"/>
      <c r="V167" s="348"/>
      <c r="W167" s="348"/>
      <c r="X167" s="348"/>
      <c r="Y167" s="348"/>
      <c r="Z167" s="348"/>
    </row>
    <row r="168">
      <c r="A168" s="348"/>
      <c r="B168" s="348"/>
      <c r="C168" s="348"/>
      <c r="D168" s="348"/>
      <c r="E168" s="348"/>
      <c r="F168" s="348"/>
      <c r="G168" s="348"/>
      <c r="H168" s="348"/>
      <c r="I168" s="348"/>
      <c r="J168" s="348"/>
      <c r="K168" s="348"/>
      <c r="L168" s="348"/>
      <c r="M168" s="348"/>
      <c r="N168" s="348"/>
      <c r="O168" s="348"/>
      <c r="P168" s="348"/>
      <c r="Q168" s="348"/>
      <c r="R168" s="348"/>
      <c r="S168" s="348"/>
      <c r="T168" s="348"/>
      <c r="U168" s="348"/>
      <c r="V168" s="348"/>
      <c r="W168" s="348"/>
      <c r="X168" s="348"/>
      <c r="Y168" s="348"/>
      <c r="Z168" s="348"/>
    </row>
    <row r="169">
      <c r="A169" s="348"/>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8"/>
      <c r="X169" s="348"/>
      <c r="Y169" s="348"/>
      <c r="Z169" s="348"/>
    </row>
    <row r="170">
      <c r="A170" s="348"/>
      <c r="B170" s="348"/>
      <c r="C170" s="348"/>
      <c r="D170" s="348"/>
      <c r="E170" s="348"/>
      <c r="F170" s="348"/>
      <c r="G170" s="348"/>
      <c r="H170" s="348"/>
      <c r="I170" s="348"/>
      <c r="J170" s="348"/>
      <c r="K170" s="348"/>
      <c r="L170" s="348"/>
      <c r="M170" s="348"/>
      <c r="N170" s="348"/>
      <c r="O170" s="348"/>
      <c r="P170" s="348"/>
      <c r="Q170" s="348"/>
      <c r="R170" s="348"/>
      <c r="S170" s="348"/>
      <c r="T170" s="348"/>
      <c r="U170" s="348"/>
      <c r="V170" s="348"/>
      <c r="W170" s="348"/>
      <c r="X170" s="348"/>
      <c r="Y170" s="348"/>
      <c r="Z170" s="348"/>
    </row>
    <row r="171">
      <c r="A171" s="348"/>
      <c r="B171" s="348"/>
      <c r="C171" s="348"/>
      <c r="D171" s="348"/>
      <c r="E171" s="348"/>
      <c r="F171" s="348"/>
      <c r="G171" s="348"/>
      <c r="H171" s="348"/>
      <c r="I171" s="348"/>
      <c r="J171" s="348"/>
      <c r="K171" s="348"/>
      <c r="L171" s="348"/>
      <c r="M171" s="348"/>
      <c r="N171" s="348"/>
      <c r="O171" s="348"/>
      <c r="P171" s="348"/>
      <c r="Q171" s="348"/>
      <c r="R171" s="348"/>
      <c r="S171" s="348"/>
      <c r="T171" s="348"/>
      <c r="U171" s="348"/>
      <c r="V171" s="348"/>
      <c r="W171" s="348"/>
      <c r="X171" s="348"/>
      <c r="Y171" s="348"/>
      <c r="Z171" s="348"/>
    </row>
    <row r="172">
      <c r="A172" s="348"/>
      <c r="B172" s="348"/>
      <c r="C172" s="348"/>
      <c r="D172" s="348"/>
      <c r="E172" s="348"/>
      <c r="F172" s="348"/>
      <c r="G172" s="348"/>
      <c r="H172" s="348"/>
      <c r="I172" s="348"/>
      <c r="J172" s="348"/>
      <c r="K172" s="348"/>
      <c r="L172" s="348"/>
      <c r="M172" s="348"/>
      <c r="N172" s="348"/>
      <c r="O172" s="348"/>
      <c r="P172" s="348"/>
      <c r="Q172" s="348"/>
      <c r="R172" s="348"/>
      <c r="S172" s="348"/>
      <c r="T172" s="348"/>
      <c r="U172" s="348"/>
      <c r="V172" s="348"/>
      <c r="W172" s="348"/>
      <c r="X172" s="348"/>
      <c r="Y172" s="348"/>
      <c r="Z172" s="348"/>
    </row>
    <row r="173">
      <c r="A173" s="348"/>
      <c r="B173" s="348"/>
      <c r="C173" s="348"/>
      <c r="D173" s="348"/>
      <c r="E173" s="348"/>
      <c r="F173" s="348"/>
      <c r="G173" s="348"/>
      <c r="H173" s="348"/>
      <c r="I173" s="348"/>
      <c r="J173" s="348"/>
      <c r="K173" s="348"/>
      <c r="L173" s="348"/>
      <c r="M173" s="348"/>
      <c r="N173" s="348"/>
      <c r="O173" s="348"/>
      <c r="P173" s="348"/>
      <c r="Q173" s="348"/>
      <c r="R173" s="348"/>
      <c r="S173" s="348"/>
      <c r="T173" s="348"/>
      <c r="U173" s="348"/>
      <c r="V173" s="348"/>
      <c r="W173" s="348"/>
      <c r="X173" s="348"/>
      <c r="Y173" s="348"/>
      <c r="Z173" s="348"/>
    </row>
    <row r="174">
      <c r="A174" s="348"/>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8"/>
      <c r="X174" s="348"/>
      <c r="Y174" s="348"/>
      <c r="Z174" s="348"/>
    </row>
    <row r="175">
      <c r="A175" s="348"/>
      <c r="B175" s="348"/>
      <c r="C175" s="348"/>
      <c r="D175" s="348"/>
      <c r="E175" s="348"/>
      <c r="F175" s="348"/>
      <c r="G175" s="348"/>
      <c r="H175" s="348"/>
      <c r="I175" s="348"/>
      <c r="J175" s="348"/>
      <c r="K175" s="348"/>
      <c r="L175" s="348"/>
      <c r="M175" s="348"/>
      <c r="N175" s="348"/>
      <c r="O175" s="348"/>
      <c r="P175" s="348"/>
      <c r="Q175" s="348"/>
      <c r="R175" s="348"/>
      <c r="S175" s="348"/>
      <c r="T175" s="348"/>
      <c r="U175" s="348"/>
      <c r="V175" s="348"/>
      <c r="W175" s="348"/>
      <c r="X175" s="348"/>
      <c r="Y175" s="348"/>
      <c r="Z175" s="348"/>
    </row>
    <row r="176">
      <c r="A176" s="348"/>
      <c r="B176" s="348"/>
      <c r="C176" s="348"/>
      <c r="D176" s="348"/>
      <c r="E176" s="348"/>
      <c r="F176" s="348"/>
      <c r="G176" s="348"/>
      <c r="H176" s="348"/>
      <c r="I176" s="348"/>
      <c r="J176" s="348"/>
      <c r="K176" s="348"/>
      <c r="L176" s="348"/>
      <c r="M176" s="348"/>
      <c r="N176" s="348"/>
      <c r="O176" s="348"/>
      <c r="P176" s="348"/>
      <c r="Q176" s="348"/>
      <c r="R176" s="348"/>
      <c r="S176" s="348"/>
      <c r="T176" s="348"/>
      <c r="U176" s="348"/>
      <c r="V176" s="348"/>
      <c r="W176" s="348"/>
      <c r="X176" s="348"/>
      <c r="Y176" s="348"/>
      <c r="Z176" s="348"/>
    </row>
    <row r="177">
      <c r="A177" s="348"/>
      <c r="B177" s="348"/>
      <c r="C177" s="348"/>
      <c r="D177" s="348"/>
      <c r="E177" s="348"/>
      <c r="F177" s="348"/>
      <c r="G177" s="348"/>
      <c r="H177" s="348"/>
      <c r="I177" s="348"/>
      <c r="J177" s="348"/>
      <c r="K177" s="348"/>
      <c r="L177" s="348"/>
      <c r="M177" s="348"/>
      <c r="N177" s="348"/>
      <c r="O177" s="348"/>
      <c r="P177" s="348"/>
      <c r="Q177" s="348"/>
      <c r="R177" s="348"/>
      <c r="S177" s="348"/>
      <c r="T177" s="348"/>
      <c r="U177" s="348"/>
      <c r="V177" s="348"/>
      <c r="W177" s="348"/>
      <c r="X177" s="348"/>
      <c r="Y177" s="348"/>
      <c r="Z177" s="348"/>
    </row>
    <row r="178">
      <c r="A178" s="348"/>
      <c r="B178" s="348"/>
      <c r="C178" s="348"/>
      <c r="D178" s="348"/>
      <c r="E178" s="348"/>
      <c r="F178" s="348"/>
      <c r="G178" s="348"/>
      <c r="H178" s="348"/>
      <c r="I178" s="348"/>
      <c r="J178" s="348"/>
      <c r="K178" s="348"/>
      <c r="L178" s="348"/>
      <c r="M178" s="348"/>
      <c r="N178" s="348"/>
      <c r="O178" s="348"/>
      <c r="P178" s="348"/>
      <c r="Q178" s="348"/>
      <c r="R178" s="348"/>
      <c r="S178" s="348"/>
      <c r="T178" s="348"/>
      <c r="U178" s="348"/>
      <c r="V178" s="348"/>
      <c r="W178" s="348"/>
      <c r="X178" s="348"/>
      <c r="Y178" s="348"/>
      <c r="Z178" s="348"/>
    </row>
    <row r="179">
      <c r="A179" s="348"/>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8"/>
      <c r="X179" s="348"/>
      <c r="Y179" s="348"/>
      <c r="Z179" s="348"/>
    </row>
    <row r="180">
      <c r="A180" s="348"/>
      <c r="B180" s="348"/>
      <c r="C180" s="348"/>
      <c r="D180" s="348"/>
      <c r="E180" s="348"/>
      <c r="F180" s="348"/>
      <c r="G180" s="348"/>
      <c r="H180" s="348"/>
      <c r="I180" s="348"/>
      <c r="J180" s="348"/>
      <c r="K180" s="348"/>
      <c r="L180" s="348"/>
      <c r="M180" s="348"/>
      <c r="N180" s="348"/>
      <c r="O180" s="348"/>
      <c r="P180" s="348"/>
      <c r="Q180" s="348"/>
      <c r="R180" s="348"/>
      <c r="S180" s="348"/>
      <c r="T180" s="348"/>
      <c r="U180" s="348"/>
      <c r="V180" s="348"/>
      <c r="W180" s="348"/>
      <c r="X180" s="348"/>
      <c r="Y180" s="348"/>
      <c r="Z180" s="348"/>
    </row>
    <row r="181">
      <c r="A181" s="348"/>
      <c r="B181" s="348"/>
      <c r="C181" s="348"/>
      <c r="D181" s="348"/>
      <c r="E181" s="348"/>
      <c r="F181" s="348"/>
      <c r="G181" s="348"/>
      <c r="H181" s="348"/>
      <c r="I181" s="348"/>
      <c r="J181" s="348"/>
      <c r="K181" s="348"/>
      <c r="L181" s="348"/>
      <c r="M181" s="348"/>
      <c r="N181" s="348"/>
      <c r="O181" s="348"/>
      <c r="P181" s="348"/>
      <c r="Q181" s="348"/>
      <c r="R181" s="348"/>
      <c r="S181" s="348"/>
      <c r="T181" s="348"/>
      <c r="U181" s="348"/>
      <c r="V181" s="348"/>
      <c r="W181" s="348"/>
      <c r="X181" s="348"/>
      <c r="Y181" s="348"/>
      <c r="Z181" s="348"/>
    </row>
    <row r="182">
      <c r="A182" s="348"/>
      <c r="B182" s="348"/>
      <c r="C182" s="348"/>
      <c r="D182" s="348"/>
      <c r="E182" s="348"/>
      <c r="F182" s="348"/>
      <c r="G182" s="348"/>
      <c r="H182" s="348"/>
      <c r="I182" s="348"/>
      <c r="J182" s="348"/>
      <c r="K182" s="348"/>
      <c r="L182" s="348"/>
      <c r="M182" s="348"/>
      <c r="N182" s="348"/>
      <c r="O182" s="348"/>
      <c r="P182" s="348"/>
      <c r="Q182" s="348"/>
      <c r="R182" s="348"/>
      <c r="S182" s="348"/>
      <c r="T182" s="348"/>
      <c r="U182" s="348"/>
      <c r="V182" s="348"/>
      <c r="W182" s="348"/>
      <c r="X182" s="348"/>
      <c r="Y182" s="348"/>
      <c r="Z182" s="348"/>
    </row>
    <row r="183">
      <c r="A183" s="348"/>
      <c r="B183" s="348"/>
      <c r="C183" s="348"/>
      <c r="D183" s="348"/>
      <c r="E183" s="348"/>
      <c r="F183" s="348"/>
      <c r="G183" s="348"/>
      <c r="H183" s="348"/>
      <c r="I183" s="348"/>
      <c r="J183" s="348"/>
      <c r="K183" s="348"/>
      <c r="L183" s="348"/>
      <c r="M183" s="348"/>
      <c r="N183" s="348"/>
      <c r="O183" s="348"/>
      <c r="P183" s="348"/>
      <c r="Q183" s="348"/>
      <c r="R183" s="348"/>
      <c r="S183" s="348"/>
      <c r="T183" s="348"/>
      <c r="U183" s="348"/>
      <c r="V183" s="348"/>
      <c r="W183" s="348"/>
      <c r="X183" s="348"/>
      <c r="Y183" s="348"/>
      <c r="Z183" s="348"/>
    </row>
    <row r="184">
      <c r="A184" s="348"/>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8"/>
      <c r="X184" s="348"/>
      <c r="Y184" s="348"/>
      <c r="Z184" s="348"/>
    </row>
    <row r="185">
      <c r="A185" s="348"/>
      <c r="B185" s="348"/>
      <c r="C185" s="348"/>
      <c r="D185" s="348"/>
      <c r="E185" s="348"/>
      <c r="F185" s="348"/>
      <c r="G185" s="348"/>
      <c r="H185" s="348"/>
      <c r="I185" s="348"/>
      <c r="J185" s="348"/>
      <c r="K185" s="348"/>
      <c r="L185" s="348"/>
      <c r="M185" s="348"/>
      <c r="N185" s="348"/>
      <c r="O185" s="348"/>
      <c r="P185" s="348"/>
      <c r="Q185" s="348"/>
      <c r="R185" s="348"/>
      <c r="S185" s="348"/>
      <c r="T185" s="348"/>
      <c r="U185" s="348"/>
      <c r="V185" s="348"/>
      <c r="W185" s="348"/>
      <c r="X185" s="348"/>
      <c r="Y185" s="348"/>
      <c r="Z185" s="348"/>
    </row>
    <row r="186">
      <c r="A186" s="348"/>
      <c r="B186" s="348"/>
      <c r="C186" s="348"/>
      <c r="D186" s="348"/>
      <c r="E186" s="348"/>
      <c r="F186" s="348"/>
      <c r="G186" s="348"/>
      <c r="H186" s="348"/>
      <c r="I186" s="348"/>
      <c r="J186" s="348"/>
      <c r="K186" s="348"/>
      <c r="L186" s="348"/>
      <c r="M186" s="348"/>
      <c r="N186" s="348"/>
      <c r="O186" s="348"/>
      <c r="P186" s="348"/>
      <c r="Q186" s="348"/>
      <c r="R186" s="348"/>
      <c r="S186" s="348"/>
      <c r="T186" s="348"/>
      <c r="U186" s="348"/>
      <c r="V186" s="348"/>
      <c r="W186" s="348"/>
      <c r="X186" s="348"/>
      <c r="Y186" s="348"/>
      <c r="Z186" s="348"/>
    </row>
    <row r="187">
      <c r="A187" s="348"/>
      <c r="B187" s="348"/>
      <c r="C187" s="348"/>
      <c r="D187" s="348"/>
      <c r="E187" s="348"/>
      <c r="F187" s="348"/>
      <c r="G187" s="348"/>
      <c r="H187" s="348"/>
      <c r="I187" s="348"/>
      <c r="J187" s="348"/>
      <c r="K187" s="348"/>
      <c r="L187" s="348"/>
      <c r="M187" s="348"/>
      <c r="N187" s="348"/>
      <c r="O187" s="348"/>
      <c r="P187" s="348"/>
      <c r="Q187" s="348"/>
      <c r="R187" s="348"/>
      <c r="S187" s="348"/>
      <c r="T187" s="348"/>
      <c r="U187" s="348"/>
      <c r="V187" s="348"/>
      <c r="W187" s="348"/>
      <c r="X187" s="348"/>
      <c r="Y187" s="348"/>
      <c r="Z187" s="348"/>
    </row>
    <row r="188">
      <c r="A188" s="348"/>
      <c r="B188" s="348"/>
      <c r="C188" s="348"/>
      <c r="D188" s="348"/>
      <c r="E188" s="348"/>
      <c r="F188" s="348"/>
      <c r="G188" s="348"/>
      <c r="H188" s="348"/>
      <c r="I188" s="348"/>
      <c r="J188" s="348"/>
      <c r="K188" s="348"/>
      <c r="L188" s="348"/>
      <c r="M188" s="348"/>
      <c r="N188" s="348"/>
      <c r="O188" s="348"/>
      <c r="P188" s="348"/>
      <c r="Q188" s="348"/>
      <c r="R188" s="348"/>
      <c r="S188" s="348"/>
      <c r="T188" s="348"/>
      <c r="U188" s="348"/>
      <c r="V188" s="348"/>
      <c r="W188" s="348"/>
      <c r="X188" s="348"/>
      <c r="Y188" s="348"/>
      <c r="Z188" s="348"/>
    </row>
    <row r="189">
      <c r="A189" s="348"/>
      <c r="B189" s="348"/>
      <c r="C189" s="348"/>
      <c r="D189" s="348"/>
      <c r="E189" s="348"/>
      <c r="F189" s="348"/>
      <c r="G189" s="348"/>
      <c r="H189" s="348"/>
      <c r="I189" s="348"/>
      <c r="J189" s="348"/>
      <c r="K189" s="348"/>
      <c r="L189" s="348"/>
      <c r="M189" s="348"/>
      <c r="N189" s="348"/>
      <c r="O189" s="348"/>
      <c r="P189" s="348"/>
      <c r="Q189" s="348"/>
      <c r="R189" s="348"/>
      <c r="S189" s="348"/>
      <c r="T189" s="348"/>
      <c r="U189" s="348"/>
      <c r="V189" s="348"/>
      <c r="W189" s="348"/>
      <c r="X189" s="348"/>
      <c r="Y189" s="348"/>
      <c r="Z189" s="348"/>
    </row>
    <row r="190">
      <c r="A190" s="348"/>
      <c r="B190" s="348"/>
      <c r="C190" s="348"/>
      <c r="D190" s="348"/>
      <c r="E190" s="348"/>
      <c r="F190" s="348"/>
      <c r="G190" s="348"/>
      <c r="H190" s="348"/>
      <c r="I190" s="348"/>
      <c r="J190" s="348"/>
      <c r="K190" s="348"/>
      <c r="L190" s="348"/>
      <c r="M190" s="348"/>
      <c r="N190" s="348"/>
      <c r="O190" s="348"/>
      <c r="P190" s="348"/>
      <c r="Q190" s="348"/>
      <c r="R190" s="348"/>
      <c r="S190" s="348"/>
      <c r="T190" s="348"/>
      <c r="U190" s="348"/>
      <c r="V190" s="348"/>
      <c r="W190" s="348"/>
      <c r="X190" s="348"/>
      <c r="Y190" s="348"/>
      <c r="Z190" s="348"/>
    </row>
    <row r="191">
      <c r="A191" s="348"/>
      <c r="B191" s="348"/>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row>
    <row r="192">
      <c r="A192" s="348"/>
      <c r="B192" s="348"/>
      <c r="C192" s="348"/>
      <c r="D192" s="348"/>
      <c r="E192" s="348"/>
      <c r="F192" s="348"/>
      <c r="G192" s="348"/>
      <c r="H192" s="348"/>
      <c r="I192" s="348"/>
      <c r="J192" s="348"/>
      <c r="K192" s="348"/>
      <c r="L192" s="348"/>
      <c r="M192" s="348"/>
      <c r="N192" s="348"/>
      <c r="O192" s="348"/>
      <c r="P192" s="348"/>
      <c r="Q192" s="348"/>
      <c r="R192" s="348"/>
      <c r="S192" s="348"/>
      <c r="T192" s="348"/>
      <c r="U192" s="348"/>
      <c r="V192" s="348"/>
      <c r="W192" s="348"/>
      <c r="X192" s="348"/>
      <c r="Y192" s="348"/>
      <c r="Z192" s="348"/>
    </row>
    <row r="193">
      <c r="A193" s="348"/>
      <c r="B193" s="348"/>
      <c r="C193" s="348"/>
      <c r="D193" s="348"/>
      <c r="E193" s="348"/>
      <c r="F193" s="348"/>
      <c r="G193" s="348"/>
      <c r="H193" s="348"/>
      <c r="I193" s="348"/>
      <c r="J193" s="348"/>
      <c r="K193" s="348"/>
      <c r="L193" s="348"/>
      <c r="M193" s="348"/>
      <c r="N193" s="348"/>
      <c r="O193" s="348"/>
      <c r="P193" s="348"/>
      <c r="Q193" s="348"/>
      <c r="R193" s="348"/>
      <c r="S193" s="348"/>
      <c r="T193" s="348"/>
      <c r="U193" s="348"/>
      <c r="V193" s="348"/>
      <c r="W193" s="348"/>
      <c r="X193" s="348"/>
      <c r="Y193" s="348"/>
      <c r="Z193" s="348"/>
    </row>
    <row r="194">
      <c r="A194" s="348"/>
      <c r="B194" s="348"/>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row>
    <row r="195">
      <c r="A195" s="348"/>
      <c r="B195" s="348"/>
      <c r="C195" s="348"/>
      <c r="D195" s="348"/>
      <c r="E195" s="348"/>
      <c r="F195" s="348"/>
      <c r="G195" s="348"/>
      <c r="H195" s="348"/>
      <c r="I195" s="348"/>
      <c r="J195" s="348"/>
      <c r="K195" s="348"/>
      <c r="L195" s="348"/>
      <c r="M195" s="348"/>
      <c r="N195" s="348"/>
      <c r="O195" s="348"/>
      <c r="P195" s="348"/>
      <c r="Q195" s="348"/>
      <c r="R195" s="348"/>
      <c r="S195" s="348"/>
      <c r="T195" s="348"/>
      <c r="U195" s="348"/>
      <c r="V195" s="348"/>
      <c r="W195" s="348"/>
      <c r="X195" s="348"/>
      <c r="Y195" s="348"/>
      <c r="Z195" s="348"/>
    </row>
    <row r="196">
      <c r="A196" s="348"/>
      <c r="B196" s="348"/>
      <c r="C196" s="348"/>
      <c r="D196" s="348"/>
      <c r="E196" s="348"/>
      <c r="F196" s="348"/>
      <c r="G196" s="348"/>
      <c r="H196" s="348"/>
      <c r="I196" s="348"/>
      <c r="J196" s="348"/>
      <c r="K196" s="348"/>
      <c r="L196" s="348"/>
      <c r="M196" s="348"/>
      <c r="N196" s="348"/>
      <c r="O196" s="348"/>
      <c r="P196" s="348"/>
      <c r="Q196" s="348"/>
      <c r="R196" s="348"/>
      <c r="S196" s="348"/>
      <c r="T196" s="348"/>
      <c r="U196" s="348"/>
      <c r="V196" s="348"/>
      <c r="W196" s="348"/>
      <c r="X196" s="348"/>
      <c r="Y196" s="348"/>
      <c r="Z196" s="348"/>
    </row>
    <row r="197">
      <c r="A197" s="348"/>
      <c r="B197" s="348"/>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row>
    <row r="198">
      <c r="A198" s="348"/>
      <c r="B198" s="348"/>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row>
    <row r="199">
      <c r="A199" s="348"/>
      <c r="B199" s="348"/>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c r="Y199" s="348"/>
      <c r="Z199" s="348"/>
    </row>
    <row r="200">
      <c r="A200" s="348"/>
      <c r="B200" s="348"/>
      <c r="C200" s="348"/>
      <c r="D200" s="348"/>
      <c r="E200" s="348"/>
      <c r="F200" s="348"/>
      <c r="G200" s="348"/>
      <c r="H200" s="348"/>
      <c r="I200" s="348"/>
      <c r="J200" s="348"/>
      <c r="K200" s="348"/>
      <c r="L200" s="348"/>
      <c r="M200" s="348"/>
      <c r="N200" s="348"/>
      <c r="O200" s="348"/>
      <c r="P200" s="348"/>
      <c r="Q200" s="348"/>
      <c r="R200" s="348"/>
      <c r="S200" s="348"/>
      <c r="T200" s="348"/>
      <c r="U200" s="348"/>
      <c r="V200" s="348"/>
      <c r="W200" s="348"/>
      <c r="X200" s="348"/>
      <c r="Y200" s="348"/>
      <c r="Z200" s="348"/>
    </row>
    <row r="201">
      <c r="A201" s="348"/>
      <c r="B201" s="348"/>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row>
    <row r="202">
      <c r="A202" s="348"/>
      <c r="B202" s="348"/>
      <c r="C202" s="348"/>
      <c r="D202" s="348"/>
      <c r="E202" s="348"/>
      <c r="F202" s="348"/>
      <c r="G202" s="348"/>
      <c r="H202" s="348"/>
      <c r="I202" s="348"/>
      <c r="J202" s="348"/>
      <c r="K202" s="348"/>
      <c r="L202" s="348"/>
      <c r="M202" s="348"/>
      <c r="N202" s="348"/>
      <c r="O202" s="348"/>
      <c r="P202" s="348"/>
      <c r="Q202" s="348"/>
      <c r="R202" s="348"/>
      <c r="S202" s="348"/>
      <c r="T202" s="348"/>
      <c r="U202" s="348"/>
      <c r="V202" s="348"/>
      <c r="W202" s="348"/>
      <c r="X202" s="348"/>
      <c r="Y202" s="348"/>
      <c r="Z202" s="348"/>
    </row>
    <row r="203">
      <c r="A203" s="348"/>
      <c r="B203" s="348"/>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row>
    <row r="204">
      <c r="A204" s="348"/>
      <c r="B204" s="348"/>
      <c r="C204" s="348"/>
      <c r="D204" s="348"/>
      <c r="E204" s="348"/>
      <c r="F204" s="348"/>
      <c r="G204" s="348"/>
      <c r="H204" s="348"/>
      <c r="I204" s="348"/>
      <c r="J204" s="348"/>
      <c r="K204" s="348"/>
      <c r="L204" s="348"/>
      <c r="M204" s="348"/>
      <c r="N204" s="348"/>
      <c r="O204" s="348"/>
      <c r="P204" s="348"/>
      <c r="Q204" s="348"/>
      <c r="R204" s="348"/>
      <c r="S204" s="348"/>
      <c r="T204" s="348"/>
      <c r="U204" s="348"/>
      <c r="V204" s="348"/>
      <c r="W204" s="348"/>
      <c r="X204" s="348"/>
      <c r="Y204" s="348"/>
      <c r="Z204" s="348"/>
    </row>
    <row r="205">
      <c r="A205" s="348"/>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row>
    <row r="206">
      <c r="A206" s="348"/>
      <c r="B206" s="348"/>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row>
    <row r="207">
      <c r="A207" s="348"/>
      <c r="B207" s="348"/>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row>
    <row r="208">
      <c r="A208" s="348"/>
      <c r="B208" s="348"/>
      <c r="C208" s="348"/>
      <c r="D208" s="348"/>
      <c r="E208" s="348"/>
      <c r="F208" s="348"/>
      <c r="G208" s="348"/>
      <c r="H208" s="348"/>
      <c r="I208" s="348"/>
      <c r="J208" s="348"/>
      <c r="K208" s="348"/>
      <c r="L208" s="348"/>
      <c r="M208" s="348"/>
      <c r="N208" s="348"/>
      <c r="O208" s="348"/>
      <c r="P208" s="348"/>
      <c r="Q208" s="348"/>
      <c r="R208" s="348"/>
      <c r="S208" s="348"/>
      <c r="T208" s="348"/>
      <c r="U208" s="348"/>
      <c r="V208" s="348"/>
      <c r="W208" s="348"/>
      <c r="X208" s="348"/>
      <c r="Y208" s="348"/>
      <c r="Z208" s="348"/>
    </row>
    <row r="209">
      <c r="A209" s="348"/>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c r="Y209" s="348"/>
      <c r="Z209" s="348"/>
    </row>
    <row r="210">
      <c r="A210" s="348"/>
      <c r="B210" s="348"/>
      <c r="C210" s="348"/>
      <c r="D210" s="348"/>
      <c r="E210" s="348"/>
      <c r="F210" s="348"/>
      <c r="G210" s="348"/>
      <c r="H210" s="348"/>
      <c r="I210" s="348"/>
      <c r="J210" s="348"/>
      <c r="K210" s="348"/>
      <c r="L210" s="348"/>
      <c r="M210" s="348"/>
      <c r="N210" s="348"/>
      <c r="O210" s="348"/>
      <c r="P210" s="348"/>
      <c r="Q210" s="348"/>
      <c r="R210" s="348"/>
      <c r="S210" s="348"/>
      <c r="T210" s="348"/>
      <c r="U210" s="348"/>
      <c r="V210" s="348"/>
      <c r="W210" s="348"/>
      <c r="X210" s="348"/>
      <c r="Y210" s="348"/>
      <c r="Z210" s="348"/>
    </row>
    <row r="211">
      <c r="A211" s="348"/>
      <c r="B211" s="348"/>
      <c r="C211" s="348"/>
      <c r="D211" s="348"/>
      <c r="E211" s="348"/>
      <c r="F211" s="348"/>
      <c r="G211" s="348"/>
      <c r="H211" s="348"/>
      <c r="I211" s="348"/>
      <c r="J211" s="348"/>
      <c r="K211" s="348"/>
      <c r="L211" s="348"/>
      <c r="M211" s="348"/>
      <c r="N211" s="348"/>
      <c r="O211" s="348"/>
      <c r="P211" s="348"/>
      <c r="Q211" s="348"/>
      <c r="R211" s="348"/>
      <c r="S211" s="348"/>
      <c r="T211" s="348"/>
      <c r="U211" s="348"/>
      <c r="V211" s="348"/>
      <c r="W211" s="348"/>
      <c r="X211" s="348"/>
      <c r="Y211" s="348"/>
      <c r="Z211" s="348"/>
    </row>
    <row r="212">
      <c r="A212" s="348"/>
      <c r="B212" s="348"/>
      <c r="C212" s="348"/>
      <c r="D212" s="348"/>
      <c r="E212" s="348"/>
      <c r="F212" s="348"/>
      <c r="G212" s="348"/>
      <c r="H212" s="348"/>
      <c r="I212" s="348"/>
      <c r="J212" s="348"/>
      <c r="K212" s="348"/>
      <c r="L212" s="348"/>
      <c r="M212" s="348"/>
      <c r="N212" s="348"/>
      <c r="O212" s="348"/>
      <c r="P212" s="348"/>
      <c r="Q212" s="348"/>
      <c r="R212" s="348"/>
      <c r="S212" s="348"/>
      <c r="T212" s="348"/>
      <c r="U212" s="348"/>
      <c r="V212" s="348"/>
      <c r="W212" s="348"/>
      <c r="X212" s="348"/>
      <c r="Y212" s="348"/>
      <c r="Z212" s="348"/>
    </row>
    <row r="213">
      <c r="A213" s="348"/>
      <c r="B213" s="348"/>
      <c r="C213" s="348"/>
      <c r="D213" s="348"/>
      <c r="E213" s="348"/>
      <c r="F213" s="348"/>
      <c r="G213" s="348"/>
      <c r="H213" s="348"/>
      <c r="I213" s="348"/>
      <c r="J213" s="348"/>
      <c r="K213" s="348"/>
      <c r="L213" s="348"/>
      <c r="M213" s="348"/>
      <c r="N213" s="348"/>
      <c r="O213" s="348"/>
      <c r="P213" s="348"/>
      <c r="Q213" s="348"/>
      <c r="R213" s="348"/>
      <c r="S213" s="348"/>
      <c r="T213" s="348"/>
      <c r="U213" s="348"/>
      <c r="V213" s="348"/>
      <c r="W213" s="348"/>
      <c r="X213" s="348"/>
      <c r="Y213" s="348"/>
      <c r="Z213" s="348"/>
    </row>
    <row r="214">
      <c r="A214" s="348"/>
      <c r="B214" s="348"/>
      <c r="C214" s="348"/>
      <c r="D214" s="348"/>
      <c r="E214" s="348"/>
      <c r="F214" s="348"/>
      <c r="G214" s="348"/>
      <c r="H214" s="348"/>
      <c r="I214" s="348"/>
      <c r="J214" s="348"/>
      <c r="K214" s="348"/>
      <c r="L214" s="348"/>
      <c r="M214" s="348"/>
      <c r="N214" s="348"/>
      <c r="O214" s="348"/>
      <c r="P214" s="348"/>
      <c r="Q214" s="348"/>
      <c r="R214" s="348"/>
      <c r="S214" s="348"/>
      <c r="T214" s="348"/>
      <c r="U214" s="348"/>
      <c r="V214" s="348"/>
      <c r="W214" s="348"/>
      <c r="X214" s="348"/>
      <c r="Y214" s="348"/>
      <c r="Z214" s="348"/>
    </row>
    <row r="215">
      <c r="A215" s="348"/>
      <c r="B215" s="348"/>
      <c r="C215" s="348"/>
      <c r="D215" s="348"/>
      <c r="E215" s="348"/>
      <c r="F215" s="348"/>
      <c r="G215" s="348"/>
      <c r="H215" s="348"/>
      <c r="I215" s="348"/>
      <c r="J215" s="348"/>
      <c r="K215" s="348"/>
      <c r="L215" s="348"/>
      <c r="M215" s="348"/>
      <c r="N215" s="348"/>
      <c r="O215" s="348"/>
      <c r="P215" s="348"/>
      <c r="Q215" s="348"/>
      <c r="R215" s="348"/>
      <c r="S215" s="348"/>
      <c r="T215" s="348"/>
      <c r="U215" s="348"/>
      <c r="V215" s="348"/>
      <c r="W215" s="348"/>
      <c r="X215" s="348"/>
      <c r="Y215" s="348"/>
      <c r="Z215" s="348"/>
    </row>
    <row r="216">
      <c r="A216" s="348"/>
      <c r="B216" s="348"/>
      <c r="C216" s="348"/>
      <c r="D216" s="348"/>
      <c r="E216" s="348"/>
      <c r="F216" s="348"/>
      <c r="G216" s="348"/>
      <c r="H216" s="348"/>
      <c r="I216" s="348"/>
      <c r="J216" s="348"/>
      <c r="K216" s="348"/>
      <c r="L216" s="348"/>
      <c r="M216" s="348"/>
      <c r="N216" s="348"/>
      <c r="O216" s="348"/>
      <c r="P216" s="348"/>
      <c r="Q216" s="348"/>
      <c r="R216" s="348"/>
      <c r="S216" s="348"/>
      <c r="T216" s="348"/>
      <c r="U216" s="348"/>
      <c r="V216" s="348"/>
      <c r="W216" s="348"/>
      <c r="X216" s="348"/>
      <c r="Y216" s="348"/>
      <c r="Z216" s="348"/>
    </row>
    <row r="217">
      <c r="A217" s="348"/>
      <c r="B217" s="348"/>
      <c r="C217" s="348"/>
      <c r="D217" s="348"/>
      <c r="E217" s="348"/>
      <c r="F217" s="348"/>
      <c r="G217" s="348"/>
      <c r="H217" s="348"/>
      <c r="I217" s="348"/>
      <c r="J217" s="348"/>
      <c r="K217" s="348"/>
      <c r="L217" s="348"/>
      <c r="M217" s="348"/>
      <c r="N217" s="348"/>
      <c r="O217" s="348"/>
      <c r="P217" s="348"/>
      <c r="Q217" s="348"/>
      <c r="R217" s="348"/>
      <c r="S217" s="348"/>
      <c r="T217" s="348"/>
      <c r="U217" s="348"/>
      <c r="V217" s="348"/>
      <c r="W217" s="348"/>
      <c r="X217" s="348"/>
      <c r="Y217" s="348"/>
      <c r="Z217" s="348"/>
    </row>
    <row r="218">
      <c r="A218" s="348"/>
      <c r="B218" s="348"/>
      <c r="C218" s="348"/>
      <c r="D218" s="348"/>
      <c r="E218" s="348"/>
      <c r="F218" s="348"/>
      <c r="G218" s="348"/>
      <c r="H218" s="348"/>
      <c r="I218" s="348"/>
      <c r="J218" s="348"/>
      <c r="K218" s="348"/>
      <c r="L218" s="348"/>
      <c r="M218" s="348"/>
      <c r="N218" s="348"/>
      <c r="O218" s="348"/>
      <c r="P218" s="348"/>
      <c r="Q218" s="348"/>
      <c r="R218" s="348"/>
      <c r="S218" s="348"/>
      <c r="T218" s="348"/>
      <c r="U218" s="348"/>
      <c r="V218" s="348"/>
      <c r="W218" s="348"/>
      <c r="X218" s="348"/>
      <c r="Y218" s="348"/>
      <c r="Z218" s="348"/>
    </row>
    <row r="219">
      <c r="A219" s="348"/>
      <c r="B219" s="348"/>
      <c r="C219" s="348"/>
      <c r="D219" s="348"/>
      <c r="E219" s="348"/>
      <c r="F219" s="348"/>
      <c r="G219" s="348"/>
      <c r="H219" s="348"/>
      <c r="I219" s="348"/>
      <c r="J219" s="348"/>
      <c r="K219" s="348"/>
      <c r="L219" s="348"/>
      <c r="M219" s="348"/>
      <c r="N219" s="348"/>
      <c r="O219" s="348"/>
      <c r="P219" s="348"/>
      <c r="Q219" s="348"/>
      <c r="R219" s="348"/>
      <c r="S219" s="348"/>
      <c r="T219" s="348"/>
      <c r="U219" s="348"/>
      <c r="V219" s="348"/>
      <c r="W219" s="348"/>
      <c r="X219" s="348"/>
      <c r="Y219" s="348"/>
      <c r="Z219" s="348"/>
    </row>
    <row r="220">
      <c r="A220" s="348"/>
      <c r="B220" s="348"/>
      <c r="C220" s="348"/>
      <c r="D220" s="348"/>
      <c r="E220" s="348"/>
      <c r="F220" s="348"/>
      <c r="G220" s="348"/>
      <c r="H220" s="348"/>
      <c r="I220" s="348"/>
      <c r="J220" s="348"/>
      <c r="K220" s="348"/>
      <c r="L220" s="348"/>
      <c r="M220" s="348"/>
      <c r="N220" s="348"/>
      <c r="O220" s="348"/>
      <c r="P220" s="348"/>
      <c r="Q220" s="348"/>
      <c r="R220" s="348"/>
      <c r="S220" s="348"/>
      <c r="T220" s="348"/>
      <c r="U220" s="348"/>
      <c r="V220" s="348"/>
      <c r="W220" s="348"/>
      <c r="X220" s="348"/>
      <c r="Y220" s="348"/>
      <c r="Z220" s="348"/>
    </row>
    <row r="221">
      <c r="A221" s="348"/>
      <c r="B221" s="348"/>
      <c r="C221" s="348"/>
      <c r="D221" s="348"/>
      <c r="E221" s="348"/>
      <c r="F221" s="348"/>
      <c r="G221" s="348"/>
      <c r="H221" s="348"/>
      <c r="I221" s="348"/>
      <c r="J221" s="348"/>
      <c r="K221" s="348"/>
      <c r="L221" s="348"/>
      <c r="M221" s="348"/>
      <c r="N221" s="348"/>
      <c r="O221" s="348"/>
      <c r="P221" s="348"/>
      <c r="Q221" s="348"/>
      <c r="R221" s="348"/>
      <c r="S221" s="348"/>
      <c r="T221" s="348"/>
      <c r="U221" s="348"/>
      <c r="V221" s="348"/>
      <c r="W221" s="348"/>
      <c r="X221" s="348"/>
      <c r="Y221" s="348"/>
      <c r="Z221" s="348"/>
    </row>
    <row r="222">
      <c r="A222" s="348"/>
      <c r="B222" s="348"/>
      <c r="C222" s="348"/>
      <c r="D222" s="348"/>
      <c r="E222" s="348"/>
      <c r="F222" s="348"/>
      <c r="G222" s="348"/>
      <c r="H222" s="348"/>
      <c r="I222" s="348"/>
      <c r="J222" s="348"/>
      <c r="K222" s="348"/>
      <c r="L222" s="348"/>
      <c r="M222" s="348"/>
      <c r="N222" s="348"/>
      <c r="O222" s="348"/>
      <c r="P222" s="348"/>
      <c r="Q222" s="348"/>
      <c r="R222" s="348"/>
      <c r="S222" s="348"/>
      <c r="T222" s="348"/>
      <c r="U222" s="348"/>
      <c r="V222" s="348"/>
      <c r="W222" s="348"/>
      <c r="X222" s="348"/>
      <c r="Y222" s="348"/>
      <c r="Z222" s="348"/>
    </row>
    <row r="223">
      <c r="A223" s="348"/>
      <c r="B223" s="348"/>
      <c r="C223" s="348"/>
      <c r="D223" s="348"/>
      <c r="E223" s="348"/>
      <c r="F223" s="348"/>
      <c r="G223" s="348"/>
      <c r="H223" s="348"/>
      <c r="I223" s="348"/>
      <c r="J223" s="348"/>
      <c r="K223" s="348"/>
      <c r="L223" s="348"/>
      <c r="M223" s="348"/>
      <c r="N223" s="348"/>
      <c r="O223" s="348"/>
      <c r="P223" s="348"/>
      <c r="Q223" s="348"/>
      <c r="R223" s="348"/>
      <c r="S223" s="348"/>
      <c r="T223" s="348"/>
      <c r="U223" s="348"/>
      <c r="V223" s="348"/>
      <c r="W223" s="348"/>
      <c r="X223" s="348"/>
      <c r="Y223" s="348"/>
      <c r="Z223" s="348"/>
    </row>
    <row r="224">
      <c r="A224" s="348"/>
      <c r="B224" s="348"/>
      <c r="C224" s="348"/>
      <c r="D224" s="348"/>
      <c r="E224" s="348"/>
      <c r="F224" s="348"/>
      <c r="G224" s="348"/>
      <c r="H224" s="348"/>
      <c r="I224" s="348"/>
      <c r="J224" s="348"/>
      <c r="K224" s="348"/>
      <c r="L224" s="348"/>
      <c r="M224" s="348"/>
      <c r="N224" s="348"/>
      <c r="O224" s="348"/>
      <c r="P224" s="348"/>
      <c r="Q224" s="348"/>
      <c r="R224" s="348"/>
      <c r="S224" s="348"/>
      <c r="T224" s="348"/>
      <c r="U224" s="348"/>
      <c r="V224" s="348"/>
      <c r="W224" s="348"/>
      <c r="X224" s="348"/>
      <c r="Y224" s="348"/>
      <c r="Z224" s="348"/>
    </row>
    <row r="225">
      <c r="A225" s="348"/>
      <c r="B225" s="348"/>
      <c r="C225" s="348"/>
      <c r="D225" s="348"/>
      <c r="E225" s="348"/>
      <c r="F225" s="348"/>
      <c r="G225" s="348"/>
      <c r="H225" s="348"/>
      <c r="I225" s="348"/>
      <c r="J225" s="348"/>
      <c r="K225" s="348"/>
      <c r="L225" s="348"/>
      <c r="M225" s="348"/>
      <c r="N225" s="348"/>
      <c r="O225" s="348"/>
      <c r="P225" s="348"/>
      <c r="Q225" s="348"/>
      <c r="R225" s="348"/>
      <c r="S225" s="348"/>
      <c r="T225" s="348"/>
      <c r="U225" s="348"/>
      <c r="V225" s="348"/>
      <c r="W225" s="348"/>
      <c r="X225" s="348"/>
      <c r="Y225" s="348"/>
      <c r="Z225" s="348"/>
    </row>
    <row r="226">
      <c r="A226" s="348"/>
      <c r="B226" s="348"/>
      <c r="C226" s="348"/>
      <c r="D226" s="348"/>
      <c r="E226" s="348"/>
      <c r="F226" s="348"/>
      <c r="G226" s="348"/>
      <c r="H226" s="348"/>
      <c r="I226" s="348"/>
      <c r="J226" s="348"/>
      <c r="K226" s="348"/>
      <c r="L226" s="348"/>
      <c r="M226" s="348"/>
      <c r="N226" s="348"/>
      <c r="O226" s="348"/>
      <c r="P226" s="348"/>
      <c r="Q226" s="348"/>
      <c r="R226" s="348"/>
      <c r="S226" s="348"/>
      <c r="T226" s="348"/>
      <c r="U226" s="348"/>
      <c r="V226" s="348"/>
      <c r="W226" s="348"/>
      <c r="X226" s="348"/>
      <c r="Y226" s="348"/>
      <c r="Z226" s="348"/>
    </row>
    <row r="227">
      <c r="A227" s="348"/>
      <c r="B227" s="348"/>
      <c r="C227" s="348"/>
      <c r="D227" s="348"/>
      <c r="E227" s="348"/>
      <c r="F227" s="348"/>
      <c r="G227" s="348"/>
      <c r="H227" s="348"/>
      <c r="I227" s="348"/>
      <c r="J227" s="348"/>
      <c r="K227" s="348"/>
      <c r="L227" s="348"/>
      <c r="M227" s="348"/>
      <c r="N227" s="348"/>
      <c r="O227" s="348"/>
      <c r="P227" s="348"/>
      <c r="Q227" s="348"/>
      <c r="R227" s="348"/>
      <c r="S227" s="348"/>
      <c r="T227" s="348"/>
      <c r="U227" s="348"/>
      <c r="V227" s="348"/>
      <c r="W227" s="348"/>
      <c r="X227" s="348"/>
      <c r="Y227" s="348"/>
      <c r="Z227" s="348"/>
    </row>
    <row r="228">
      <c r="A228" s="348"/>
      <c r="B228" s="348"/>
      <c r="C228" s="348"/>
      <c r="D228" s="348"/>
      <c r="E228" s="348"/>
      <c r="F228" s="348"/>
      <c r="G228" s="348"/>
      <c r="H228" s="348"/>
      <c r="I228" s="348"/>
      <c r="J228" s="348"/>
      <c r="K228" s="348"/>
      <c r="L228" s="348"/>
      <c r="M228" s="348"/>
      <c r="N228" s="348"/>
      <c r="O228" s="348"/>
      <c r="P228" s="348"/>
      <c r="Q228" s="348"/>
      <c r="R228" s="348"/>
      <c r="S228" s="348"/>
      <c r="T228" s="348"/>
      <c r="U228" s="348"/>
      <c r="V228" s="348"/>
      <c r="W228" s="348"/>
      <c r="X228" s="348"/>
      <c r="Y228" s="348"/>
      <c r="Z228" s="348"/>
    </row>
    <row r="229">
      <c r="A229" s="348"/>
      <c r="B229" s="348"/>
      <c r="C229" s="348"/>
      <c r="D229" s="348"/>
      <c r="E229" s="348"/>
      <c r="F229" s="348"/>
      <c r="G229" s="348"/>
      <c r="H229" s="348"/>
      <c r="I229" s="348"/>
      <c r="J229" s="348"/>
      <c r="K229" s="348"/>
      <c r="L229" s="348"/>
      <c r="M229" s="348"/>
      <c r="N229" s="348"/>
      <c r="O229" s="348"/>
      <c r="P229" s="348"/>
      <c r="Q229" s="348"/>
      <c r="R229" s="348"/>
      <c r="S229" s="348"/>
      <c r="T229" s="348"/>
      <c r="U229" s="348"/>
      <c r="V229" s="348"/>
      <c r="W229" s="348"/>
      <c r="X229" s="348"/>
      <c r="Y229" s="348"/>
      <c r="Z229" s="348"/>
    </row>
    <row r="230">
      <c r="A230" s="348"/>
      <c r="B230" s="348"/>
      <c r="C230" s="348"/>
      <c r="D230" s="348"/>
      <c r="E230" s="348"/>
      <c r="F230" s="348"/>
      <c r="G230" s="348"/>
      <c r="H230" s="348"/>
      <c r="I230" s="348"/>
      <c r="J230" s="348"/>
      <c r="K230" s="348"/>
      <c r="L230" s="348"/>
      <c r="M230" s="348"/>
      <c r="N230" s="348"/>
      <c r="O230" s="348"/>
      <c r="P230" s="348"/>
      <c r="Q230" s="348"/>
      <c r="R230" s="348"/>
      <c r="S230" s="348"/>
      <c r="T230" s="348"/>
      <c r="U230" s="348"/>
      <c r="V230" s="348"/>
      <c r="W230" s="348"/>
      <c r="X230" s="348"/>
      <c r="Y230" s="348"/>
      <c r="Z230" s="348"/>
    </row>
    <row r="231">
      <c r="A231" s="348"/>
      <c r="B231" s="348"/>
      <c r="C231" s="348"/>
      <c r="D231" s="348"/>
      <c r="E231" s="348"/>
      <c r="F231" s="348"/>
      <c r="G231" s="348"/>
      <c r="H231" s="348"/>
      <c r="I231" s="348"/>
      <c r="J231" s="348"/>
      <c r="K231" s="348"/>
      <c r="L231" s="348"/>
      <c r="M231" s="348"/>
      <c r="N231" s="348"/>
      <c r="O231" s="348"/>
      <c r="P231" s="348"/>
      <c r="Q231" s="348"/>
      <c r="R231" s="348"/>
      <c r="S231" s="348"/>
      <c r="T231" s="348"/>
      <c r="U231" s="348"/>
      <c r="V231" s="348"/>
      <c r="W231" s="348"/>
      <c r="X231" s="348"/>
      <c r="Y231" s="348"/>
      <c r="Z231" s="348"/>
    </row>
    <row r="232">
      <c r="A232" s="348"/>
      <c r="B232" s="348"/>
      <c r="C232" s="348"/>
      <c r="D232" s="348"/>
      <c r="E232" s="348"/>
      <c r="F232" s="348"/>
      <c r="G232" s="348"/>
      <c r="H232" s="348"/>
      <c r="I232" s="348"/>
      <c r="J232" s="348"/>
      <c r="K232" s="348"/>
      <c r="L232" s="348"/>
      <c r="M232" s="348"/>
      <c r="N232" s="348"/>
      <c r="O232" s="348"/>
      <c r="P232" s="348"/>
      <c r="Q232" s="348"/>
      <c r="R232" s="348"/>
      <c r="S232" s="348"/>
      <c r="T232" s="348"/>
      <c r="U232" s="348"/>
      <c r="V232" s="348"/>
      <c r="W232" s="348"/>
      <c r="X232" s="348"/>
      <c r="Y232" s="348"/>
      <c r="Z232" s="348"/>
    </row>
    <row r="233">
      <c r="A233" s="348"/>
      <c r="B233" s="348"/>
      <c r="C233" s="348"/>
      <c r="D233" s="348"/>
      <c r="E233" s="348"/>
      <c r="F233" s="348"/>
      <c r="G233" s="348"/>
      <c r="H233" s="348"/>
      <c r="I233" s="348"/>
      <c r="J233" s="348"/>
      <c r="K233" s="348"/>
      <c r="L233" s="348"/>
      <c r="M233" s="348"/>
      <c r="N233" s="348"/>
      <c r="O233" s="348"/>
      <c r="P233" s="348"/>
      <c r="Q233" s="348"/>
      <c r="R233" s="348"/>
      <c r="S233" s="348"/>
      <c r="T233" s="348"/>
      <c r="U233" s="348"/>
      <c r="V233" s="348"/>
      <c r="W233" s="348"/>
      <c r="X233" s="348"/>
      <c r="Y233" s="348"/>
      <c r="Z233" s="348"/>
    </row>
    <row r="234">
      <c r="A234" s="348"/>
      <c r="B234" s="348"/>
      <c r="C234" s="348"/>
      <c r="D234" s="348"/>
      <c r="E234" s="348"/>
      <c r="F234" s="348"/>
      <c r="G234" s="348"/>
      <c r="H234" s="348"/>
      <c r="I234" s="348"/>
      <c r="J234" s="348"/>
      <c r="K234" s="348"/>
      <c r="L234" s="348"/>
      <c r="M234" s="348"/>
      <c r="N234" s="348"/>
      <c r="O234" s="348"/>
      <c r="P234" s="348"/>
      <c r="Q234" s="348"/>
      <c r="R234" s="348"/>
      <c r="S234" s="348"/>
      <c r="T234" s="348"/>
      <c r="U234" s="348"/>
      <c r="V234" s="348"/>
      <c r="W234" s="348"/>
      <c r="X234" s="348"/>
      <c r="Y234" s="348"/>
      <c r="Z234" s="348"/>
    </row>
    <row r="235">
      <c r="A235" s="348"/>
      <c r="B235" s="348"/>
      <c r="C235" s="348"/>
      <c r="D235" s="348"/>
      <c r="E235" s="348"/>
      <c r="F235" s="348"/>
      <c r="G235" s="348"/>
      <c r="H235" s="348"/>
      <c r="I235" s="348"/>
      <c r="J235" s="348"/>
      <c r="K235" s="348"/>
      <c r="L235" s="348"/>
      <c r="M235" s="348"/>
      <c r="N235" s="348"/>
      <c r="O235" s="348"/>
      <c r="P235" s="348"/>
      <c r="Q235" s="348"/>
      <c r="R235" s="348"/>
      <c r="S235" s="348"/>
      <c r="T235" s="348"/>
      <c r="U235" s="348"/>
      <c r="V235" s="348"/>
      <c r="W235" s="348"/>
      <c r="X235" s="348"/>
      <c r="Y235" s="348"/>
      <c r="Z235" s="348"/>
    </row>
    <row r="236">
      <c r="A236" s="348"/>
      <c r="B236" s="348"/>
      <c r="C236" s="348"/>
      <c r="D236" s="348"/>
      <c r="E236" s="348"/>
      <c r="F236" s="348"/>
      <c r="G236" s="348"/>
      <c r="H236" s="348"/>
      <c r="I236" s="348"/>
      <c r="J236" s="348"/>
      <c r="K236" s="348"/>
      <c r="L236" s="348"/>
      <c r="M236" s="348"/>
      <c r="N236" s="348"/>
      <c r="O236" s="348"/>
      <c r="P236" s="348"/>
      <c r="Q236" s="348"/>
      <c r="R236" s="348"/>
      <c r="S236" s="348"/>
      <c r="T236" s="348"/>
      <c r="U236" s="348"/>
      <c r="V236" s="348"/>
      <c r="W236" s="348"/>
      <c r="X236" s="348"/>
      <c r="Y236" s="348"/>
      <c r="Z236" s="348"/>
    </row>
    <row r="237">
      <c r="A237" s="348"/>
      <c r="B237" s="348"/>
      <c r="C237" s="348"/>
      <c r="D237" s="348"/>
      <c r="E237" s="348"/>
      <c r="F237" s="348"/>
      <c r="G237" s="348"/>
      <c r="H237" s="348"/>
      <c r="I237" s="348"/>
      <c r="J237" s="348"/>
      <c r="K237" s="348"/>
      <c r="L237" s="348"/>
      <c r="M237" s="348"/>
      <c r="N237" s="348"/>
      <c r="O237" s="348"/>
      <c r="P237" s="348"/>
      <c r="Q237" s="348"/>
      <c r="R237" s="348"/>
      <c r="S237" s="348"/>
      <c r="T237" s="348"/>
      <c r="U237" s="348"/>
      <c r="V237" s="348"/>
      <c r="W237" s="348"/>
      <c r="X237" s="348"/>
      <c r="Y237" s="348"/>
      <c r="Z237" s="348"/>
    </row>
    <row r="238">
      <c r="A238" s="348"/>
      <c r="B238" s="348"/>
      <c r="C238" s="348"/>
      <c r="D238" s="348"/>
      <c r="E238" s="348"/>
      <c r="F238" s="348"/>
      <c r="G238" s="348"/>
      <c r="H238" s="348"/>
      <c r="I238" s="348"/>
      <c r="J238" s="348"/>
      <c r="K238" s="348"/>
      <c r="L238" s="348"/>
      <c r="M238" s="348"/>
      <c r="N238" s="348"/>
      <c r="O238" s="348"/>
      <c r="P238" s="348"/>
      <c r="Q238" s="348"/>
      <c r="R238" s="348"/>
      <c r="S238" s="348"/>
      <c r="T238" s="348"/>
      <c r="U238" s="348"/>
      <c r="V238" s="348"/>
      <c r="W238" s="348"/>
      <c r="X238" s="348"/>
      <c r="Y238" s="348"/>
      <c r="Z238" s="348"/>
    </row>
    <row r="239">
      <c r="A239" s="348"/>
      <c r="B239" s="348"/>
      <c r="C239" s="348"/>
      <c r="D239" s="348"/>
      <c r="E239" s="348"/>
      <c r="F239" s="348"/>
      <c r="G239" s="348"/>
      <c r="H239" s="348"/>
      <c r="I239" s="348"/>
      <c r="J239" s="348"/>
      <c r="K239" s="348"/>
      <c r="L239" s="348"/>
      <c r="M239" s="348"/>
      <c r="N239" s="348"/>
      <c r="O239" s="348"/>
      <c r="P239" s="348"/>
      <c r="Q239" s="348"/>
      <c r="R239" s="348"/>
      <c r="S239" s="348"/>
      <c r="T239" s="348"/>
      <c r="U239" s="348"/>
      <c r="V239" s="348"/>
      <c r="W239" s="348"/>
      <c r="X239" s="348"/>
      <c r="Y239" s="348"/>
      <c r="Z239" s="348"/>
    </row>
    <row r="240">
      <c r="A240" s="348"/>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c r="Y240" s="348"/>
      <c r="Z240" s="348"/>
    </row>
    <row r="241">
      <c r="A241" s="348"/>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c r="Y241" s="348"/>
      <c r="Z241" s="348"/>
    </row>
    <row r="242">
      <c r="A242" s="348"/>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c r="Y242" s="348"/>
      <c r="Z242" s="348"/>
    </row>
    <row r="243">
      <c r="A243" s="348"/>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c r="Y243" s="348"/>
      <c r="Z243" s="348"/>
    </row>
    <row r="244">
      <c r="A244" s="348"/>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c r="Y244" s="348"/>
      <c r="Z244" s="348"/>
    </row>
    <row r="245">
      <c r="A245" s="348"/>
      <c r="B245" s="348"/>
      <c r="C245" s="348"/>
      <c r="D245" s="348"/>
      <c r="E245" s="348"/>
      <c r="F245" s="348"/>
      <c r="G245" s="348"/>
      <c r="H245" s="348"/>
      <c r="I245" s="348"/>
      <c r="J245" s="348"/>
      <c r="K245" s="348"/>
      <c r="L245" s="348"/>
      <c r="M245" s="348"/>
      <c r="N245" s="348"/>
      <c r="O245" s="348"/>
      <c r="P245" s="348"/>
      <c r="Q245" s="348"/>
      <c r="R245" s="348"/>
      <c r="S245" s="348"/>
      <c r="T245" s="348"/>
      <c r="U245" s="348"/>
      <c r="V245" s="348"/>
      <c r="W245" s="348"/>
      <c r="X245" s="348"/>
      <c r="Y245" s="348"/>
      <c r="Z245" s="348"/>
    </row>
    <row r="246">
      <c r="A246" s="348"/>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c r="Y246" s="348"/>
      <c r="Z246" s="348"/>
    </row>
    <row r="247">
      <c r="A247" s="348"/>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c r="Y247" s="348"/>
      <c r="Z247" s="348"/>
    </row>
    <row r="248">
      <c r="A248" s="348"/>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c r="Y248" s="348"/>
      <c r="Z248" s="348"/>
    </row>
    <row r="249">
      <c r="A249" s="348"/>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c r="Y249" s="348"/>
      <c r="Z249" s="348"/>
    </row>
    <row r="250">
      <c r="A250" s="348"/>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c r="Y250" s="348"/>
      <c r="Z250" s="348"/>
    </row>
    <row r="251">
      <c r="A251" s="348"/>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c r="Y251" s="348"/>
      <c r="Z251" s="348"/>
    </row>
    <row r="252">
      <c r="A252" s="348"/>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c r="Y252" s="348"/>
      <c r="Z252" s="348"/>
    </row>
    <row r="253">
      <c r="A253" s="348"/>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c r="Y253" s="348"/>
      <c r="Z253" s="348"/>
    </row>
    <row r="254">
      <c r="A254" s="348"/>
      <c r="B254" s="348"/>
      <c r="C254" s="348"/>
      <c r="D254" s="348"/>
      <c r="E254" s="348"/>
      <c r="F254" s="348"/>
      <c r="G254" s="348"/>
      <c r="H254" s="348"/>
      <c r="I254" s="348"/>
      <c r="J254" s="348"/>
      <c r="K254" s="348"/>
      <c r="L254" s="348"/>
      <c r="M254" s="348"/>
      <c r="N254" s="348"/>
      <c r="O254" s="348"/>
      <c r="P254" s="348"/>
      <c r="Q254" s="348"/>
      <c r="R254" s="348"/>
      <c r="S254" s="348"/>
      <c r="T254" s="348"/>
      <c r="U254" s="348"/>
      <c r="V254" s="348"/>
      <c r="W254" s="348"/>
      <c r="X254" s="348"/>
      <c r="Y254" s="348"/>
      <c r="Z254" s="348"/>
    </row>
    <row r="255">
      <c r="A255" s="348"/>
      <c r="B255" s="348"/>
      <c r="C255" s="348"/>
      <c r="D255" s="348"/>
      <c r="E255" s="348"/>
      <c r="F255" s="348"/>
      <c r="G255" s="348"/>
      <c r="H255" s="348"/>
      <c r="I255" s="348"/>
      <c r="J255" s="348"/>
      <c r="K255" s="348"/>
      <c r="L255" s="348"/>
      <c r="M255" s="348"/>
      <c r="N255" s="348"/>
      <c r="O255" s="348"/>
      <c r="P255" s="348"/>
      <c r="Q255" s="348"/>
      <c r="R255" s="348"/>
      <c r="S255" s="348"/>
      <c r="T255" s="348"/>
      <c r="U255" s="348"/>
      <c r="V255" s="348"/>
      <c r="W255" s="348"/>
      <c r="X255" s="348"/>
      <c r="Y255" s="348"/>
      <c r="Z255" s="348"/>
    </row>
    <row r="256">
      <c r="A256" s="348"/>
      <c r="B256" s="348"/>
      <c r="C256" s="348"/>
      <c r="D256" s="348"/>
      <c r="E256" s="348"/>
      <c r="F256" s="348"/>
      <c r="G256" s="348"/>
      <c r="H256" s="348"/>
      <c r="I256" s="348"/>
      <c r="J256" s="348"/>
      <c r="K256" s="348"/>
      <c r="L256" s="348"/>
      <c r="M256" s="348"/>
      <c r="N256" s="348"/>
      <c r="O256" s="348"/>
      <c r="P256" s="348"/>
      <c r="Q256" s="348"/>
      <c r="R256" s="348"/>
      <c r="S256" s="348"/>
      <c r="T256" s="348"/>
      <c r="U256" s="348"/>
      <c r="V256" s="348"/>
      <c r="W256" s="348"/>
      <c r="X256" s="348"/>
      <c r="Y256" s="348"/>
      <c r="Z256" s="348"/>
    </row>
    <row r="257">
      <c r="A257" s="348"/>
      <c r="B257" s="348"/>
      <c r="C257" s="348"/>
      <c r="D257" s="348"/>
      <c r="E257" s="348"/>
      <c r="F257" s="348"/>
      <c r="G257" s="348"/>
      <c r="H257" s="348"/>
      <c r="I257" s="348"/>
      <c r="J257" s="348"/>
      <c r="K257" s="348"/>
      <c r="L257" s="348"/>
      <c r="M257" s="348"/>
      <c r="N257" s="348"/>
      <c r="O257" s="348"/>
      <c r="P257" s="348"/>
      <c r="Q257" s="348"/>
      <c r="R257" s="348"/>
      <c r="S257" s="348"/>
      <c r="T257" s="348"/>
      <c r="U257" s="348"/>
      <c r="V257" s="348"/>
      <c r="W257" s="348"/>
      <c r="X257" s="348"/>
      <c r="Y257" s="348"/>
      <c r="Z257" s="348"/>
    </row>
    <row r="258">
      <c r="A258" s="348"/>
      <c r="B258" s="348"/>
      <c r="C258" s="348"/>
      <c r="D258" s="348"/>
      <c r="E258" s="348"/>
      <c r="F258" s="348"/>
      <c r="G258" s="348"/>
      <c r="H258" s="348"/>
      <c r="I258" s="348"/>
      <c r="J258" s="348"/>
      <c r="K258" s="348"/>
      <c r="L258" s="348"/>
      <c r="M258" s="348"/>
      <c r="N258" s="348"/>
      <c r="O258" s="348"/>
      <c r="P258" s="348"/>
      <c r="Q258" s="348"/>
      <c r="R258" s="348"/>
      <c r="S258" s="348"/>
      <c r="T258" s="348"/>
      <c r="U258" s="348"/>
      <c r="V258" s="348"/>
      <c r="W258" s="348"/>
      <c r="X258" s="348"/>
      <c r="Y258" s="348"/>
      <c r="Z258" s="348"/>
    </row>
    <row r="259">
      <c r="A259" s="348"/>
      <c r="B259" s="348"/>
      <c r="C259" s="348"/>
      <c r="D259" s="348"/>
      <c r="E259" s="348"/>
      <c r="F259" s="348"/>
      <c r="G259" s="348"/>
      <c r="H259" s="348"/>
      <c r="I259" s="348"/>
      <c r="J259" s="348"/>
      <c r="K259" s="348"/>
      <c r="L259" s="348"/>
      <c r="M259" s="348"/>
      <c r="N259" s="348"/>
      <c r="O259" s="348"/>
      <c r="P259" s="348"/>
      <c r="Q259" s="348"/>
      <c r="R259" s="348"/>
      <c r="S259" s="348"/>
      <c r="T259" s="348"/>
      <c r="U259" s="348"/>
      <c r="V259" s="348"/>
      <c r="W259" s="348"/>
      <c r="X259" s="348"/>
      <c r="Y259" s="348"/>
      <c r="Z259" s="348"/>
    </row>
    <row r="260">
      <c r="A260" s="348"/>
      <c r="B260" s="348"/>
      <c r="C260" s="348"/>
      <c r="D260" s="348"/>
      <c r="E260" s="348"/>
      <c r="F260" s="348"/>
      <c r="G260" s="348"/>
      <c r="H260" s="348"/>
      <c r="I260" s="348"/>
      <c r="J260" s="348"/>
      <c r="K260" s="348"/>
      <c r="L260" s="348"/>
      <c r="M260" s="348"/>
      <c r="N260" s="348"/>
      <c r="O260" s="348"/>
      <c r="P260" s="348"/>
      <c r="Q260" s="348"/>
      <c r="R260" s="348"/>
      <c r="S260" s="348"/>
      <c r="T260" s="348"/>
      <c r="U260" s="348"/>
      <c r="V260" s="348"/>
      <c r="W260" s="348"/>
      <c r="X260" s="348"/>
      <c r="Y260" s="348"/>
      <c r="Z260" s="348"/>
    </row>
    <row r="261">
      <c r="A261" s="348"/>
      <c r="B261" s="348"/>
      <c r="C261" s="348"/>
      <c r="D261" s="348"/>
      <c r="E261" s="348"/>
      <c r="F261" s="348"/>
      <c r="G261" s="348"/>
      <c r="H261" s="348"/>
      <c r="I261" s="348"/>
      <c r="J261" s="348"/>
      <c r="K261" s="348"/>
      <c r="L261" s="348"/>
      <c r="M261" s="348"/>
      <c r="N261" s="348"/>
      <c r="O261" s="348"/>
      <c r="P261" s="348"/>
      <c r="Q261" s="348"/>
      <c r="R261" s="348"/>
      <c r="S261" s="348"/>
      <c r="T261" s="348"/>
      <c r="U261" s="348"/>
      <c r="V261" s="348"/>
      <c r="W261" s="348"/>
      <c r="X261" s="348"/>
      <c r="Y261" s="348"/>
      <c r="Z261" s="348"/>
    </row>
    <row r="262">
      <c r="A262" s="348"/>
      <c r="B262" s="348"/>
      <c r="C262" s="348"/>
      <c r="D262" s="348"/>
      <c r="E262" s="348"/>
      <c r="F262" s="348"/>
      <c r="G262" s="348"/>
      <c r="H262" s="348"/>
      <c r="I262" s="348"/>
      <c r="J262" s="348"/>
      <c r="K262" s="348"/>
      <c r="L262" s="348"/>
      <c r="M262" s="348"/>
      <c r="N262" s="348"/>
      <c r="O262" s="348"/>
      <c r="P262" s="348"/>
      <c r="Q262" s="348"/>
      <c r="R262" s="348"/>
      <c r="S262" s="348"/>
      <c r="T262" s="348"/>
      <c r="U262" s="348"/>
      <c r="V262" s="348"/>
      <c r="W262" s="348"/>
      <c r="X262" s="348"/>
      <c r="Y262" s="348"/>
      <c r="Z262" s="348"/>
    </row>
    <row r="263">
      <c r="A263" s="348"/>
      <c r="B263" s="348"/>
      <c r="C263" s="348"/>
      <c r="D263" s="348"/>
      <c r="E263" s="348"/>
      <c r="F263" s="348"/>
      <c r="G263" s="348"/>
      <c r="H263" s="348"/>
      <c r="I263" s="348"/>
      <c r="J263" s="348"/>
      <c r="K263" s="348"/>
      <c r="L263" s="348"/>
      <c r="M263" s="348"/>
      <c r="N263" s="348"/>
      <c r="O263" s="348"/>
      <c r="P263" s="348"/>
      <c r="Q263" s="348"/>
      <c r="R263" s="348"/>
      <c r="S263" s="348"/>
      <c r="T263" s="348"/>
      <c r="U263" s="348"/>
      <c r="V263" s="348"/>
      <c r="W263" s="348"/>
      <c r="X263" s="348"/>
      <c r="Y263" s="348"/>
      <c r="Z263" s="348"/>
    </row>
    <row r="264">
      <c r="A264" s="348"/>
      <c r="B264" s="348"/>
      <c r="C264" s="348"/>
      <c r="D264" s="348"/>
      <c r="E264" s="348"/>
      <c r="F264" s="348"/>
      <c r="G264" s="348"/>
      <c r="H264" s="348"/>
      <c r="I264" s="348"/>
      <c r="J264" s="348"/>
      <c r="K264" s="348"/>
      <c r="L264" s="348"/>
      <c r="M264" s="348"/>
      <c r="N264" s="348"/>
      <c r="O264" s="348"/>
      <c r="P264" s="348"/>
      <c r="Q264" s="348"/>
      <c r="R264" s="348"/>
      <c r="S264" s="348"/>
      <c r="T264" s="348"/>
      <c r="U264" s="348"/>
      <c r="V264" s="348"/>
      <c r="W264" s="348"/>
      <c r="X264" s="348"/>
      <c r="Y264" s="348"/>
      <c r="Z264" s="348"/>
    </row>
    <row r="265">
      <c r="A265" s="348"/>
      <c r="B265" s="348"/>
      <c r="C265" s="348"/>
      <c r="D265" s="348"/>
      <c r="E265" s="348"/>
      <c r="F265" s="348"/>
      <c r="G265" s="348"/>
      <c r="H265" s="348"/>
      <c r="I265" s="348"/>
      <c r="J265" s="348"/>
      <c r="K265" s="348"/>
      <c r="L265" s="348"/>
      <c r="M265" s="348"/>
      <c r="N265" s="348"/>
      <c r="O265" s="348"/>
      <c r="P265" s="348"/>
      <c r="Q265" s="348"/>
      <c r="R265" s="348"/>
      <c r="S265" s="348"/>
      <c r="T265" s="348"/>
      <c r="U265" s="348"/>
      <c r="V265" s="348"/>
      <c r="W265" s="348"/>
      <c r="X265" s="348"/>
      <c r="Y265" s="348"/>
      <c r="Z265" s="348"/>
    </row>
    <row r="266">
      <c r="A266" s="348"/>
      <c r="B266" s="348"/>
      <c r="C266" s="348"/>
      <c r="D266" s="348"/>
      <c r="E266" s="348"/>
      <c r="F266" s="348"/>
      <c r="G266" s="348"/>
      <c r="H266" s="348"/>
      <c r="I266" s="348"/>
      <c r="J266" s="348"/>
      <c r="K266" s="348"/>
      <c r="L266" s="348"/>
      <c r="M266" s="348"/>
      <c r="N266" s="348"/>
      <c r="O266" s="348"/>
      <c r="P266" s="348"/>
      <c r="Q266" s="348"/>
      <c r="R266" s="348"/>
      <c r="S266" s="348"/>
      <c r="T266" s="348"/>
      <c r="U266" s="348"/>
      <c r="V266" s="348"/>
      <c r="W266" s="348"/>
      <c r="X266" s="348"/>
      <c r="Y266" s="348"/>
      <c r="Z266" s="348"/>
    </row>
    <row r="267">
      <c r="A267" s="348"/>
      <c r="B267" s="348"/>
      <c r="C267" s="348"/>
      <c r="D267" s="348"/>
      <c r="E267" s="348"/>
      <c r="F267" s="348"/>
      <c r="G267" s="348"/>
      <c r="H267" s="348"/>
      <c r="I267" s="348"/>
      <c r="J267" s="348"/>
      <c r="K267" s="348"/>
      <c r="L267" s="348"/>
      <c r="M267" s="348"/>
      <c r="N267" s="348"/>
      <c r="O267" s="348"/>
      <c r="P267" s="348"/>
      <c r="Q267" s="348"/>
      <c r="R267" s="348"/>
      <c r="S267" s="348"/>
      <c r="T267" s="348"/>
      <c r="U267" s="348"/>
      <c r="V267" s="348"/>
      <c r="W267" s="348"/>
      <c r="X267" s="348"/>
      <c r="Y267" s="348"/>
      <c r="Z267" s="348"/>
    </row>
    <row r="268">
      <c r="A268" s="348"/>
      <c r="B268" s="348"/>
      <c r="C268" s="348"/>
      <c r="D268" s="348"/>
      <c r="E268" s="348"/>
      <c r="F268" s="348"/>
      <c r="G268" s="348"/>
      <c r="H268" s="348"/>
      <c r="I268" s="348"/>
      <c r="J268" s="348"/>
      <c r="K268" s="348"/>
      <c r="L268" s="348"/>
      <c r="M268" s="348"/>
      <c r="N268" s="348"/>
      <c r="O268" s="348"/>
      <c r="P268" s="348"/>
      <c r="Q268" s="348"/>
      <c r="R268" s="348"/>
      <c r="S268" s="348"/>
      <c r="T268" s="348"/>
      <c r="U268" s="348"/>
      <c r="V268" s="348"/>
      <c r="W268" s="348"/>
      <c r="X268" s="348"/>
      <c r="Y268" s="348"/>
      <c r="Z268" s="348"/>
    </row>
    <row r="269">
      <c r="A269" s="348"/>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c r="Y269" s="348"/>
      <c r="Z269" s="348"/>
    </row>
    <row r="270">
      <c r="A270" s="348"/>
      <c r="B270" s="348"/>
      <c r="C270" s="348"/>
      <c r="D270" s="348"/>
      <c r="E270" s="348"/>
      <c r="F270" s="348"/>
      <c r="G270" s="348"/>
      <c r="H270" s="348"/>
      <c r="I270" s="348"/>
      <c r="J270" s="348"/>
      <c r="K270" s="348"/>
      <c r="L270" s="348"/>
      <c r="M270" s="348"/>
      <c r="N270" s="348"/>
      <c r="O270" s="348"/>
      <c r="P270" s="348"/>
      <c r="Q270" s="348"/>
      <c r="R270" s="348"/>
      <c r="S270" s="348"/>
      <c r="T270" s="348"/>
      <c r="U270" s="348"/>
      <c r="V270" s="348"/>
      <c r="W270" s="348"/>
      <c r="X270" s="348"/>
      <c r="Y270" s="348"/>
      <c r="Z270" s="348"/>
    </row>
    <row r="271">
      <c r="A271" s="348"/>
      <c r="B271" s="348"/>
      <c r="C271" s="348"/>
      <c r="D271" s="348"/>
      <c r="E271" s="348"/>
      <c r="F271" s="348"/>
      <c r="G271" s="348"/>
      <c r="H271" s="348"/>
      <c r="I271" s="348"/>
      <c r="J271" s="348"/>
      <c r="K271" s="348"/>
      <c r="L271" s="348"/>
      <c r="M271" s="348"/>
      <c r="N271" s="348"/>
      <c r="O271" s="348"/>
      <c r="P271" s="348"/>
      <c r="Q271" s="348"/>
      <c r="R271" s="348"/>
      <c r="S271" s="348"/>
      <c r="T271" s="348"/>
      <c r="U271" s="348"/>
      <c r="V271" s="348"/>
      <c r="W271" s="348"/>
      <c r="X271" s="348"/>
      <c r="Y271" s="348"/>
      <c r="Z271" s="348"/>
    </row>
    <row r="272">
      <c r="A272" s="348"/>
      <c r="B272" s="348"/>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c r="Y272" s="348"/>
      <c r="Z272" s="348"/>
    </row>
    <row r="273">
      <c r="A273" s="348"/>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c r="Y273" s="348"/>
      <c r="Z273" s="348"/>
    </row>
    <row r="274">
      <c r="A274" s="348"/>
      <c r="B274" s="348"/>
      <c r="C274" s="348"/>
      <c r="D274" s="348"/>
      <c r="E274" s="348"/>
      <c r="F274" s="348"/>
      <c r="G274" s="348"/>
      <c r="H274" s="348"/>
      <c r="I274" s="348"/>
      <c r="J274" s="348"/>
      <c r="K274" s="348"/>
      <c r="L274" s="348"/>
      <c r="M274" s="348"/>
      <c r="N274" s="348"/>
      <c r="O274" s="348"/>
      <c r="P274" s="348"/>
      <c r="Q274" s="348"/>
      <c r="R274" s="348"/>
      <c r="S274" s="348"/>
      <c r="T274" s="348"/>
      <c r="U274" s="348"/>
      <c r="V274" s="348"/>
      <c r="W274" s="348"/>
      <c r="X274" s="348"/>
      <c r="Y274" s="348"/>
      <c r="Z274" s="348"/>
    </row>
    <row r="275">
      <c r="A275" s="348"/>
      <c r="B275" s="348"/>
      <c r="C275" s="348"/>
      <c r="D275" s="348"/>
      <c r="E275" s="348"/>
      <c r="F275" s="348"/>
      <c r="G275" s="348"/>
      <c r="H275" s="348"/>
      <c r="I275" s="348"/>
      <c r="J275" s="348"/>
      <c r="K275" s="348"/>
      <c r="L275" s="348"/>
      <c r="M275" s="348"/>
      <c r="N275" s="348"/>
      <c r="O275" s="348"/>
      <c r="P275" s="348"/>
      <c r="Q275" s="348"/>
      <c r="R275" s="348"/>
      <c r="S275" s="348"/>
      <c r="T275" s="348"/>
      <c r="U275" s="348"/>
      <c r="V275" s="348"/>
      <c r="W275" s="348"/>
      <c r="X275" s="348"/>
      <c r="Y275" s="348"/>
      <c r="Z275" s="348"/>
    </row>
    <row r="276">
      <c r="A276" s="348"/>
      <c r="B276" s="348"/>
      <c r="C276" s="348"/>
      <c r="D276" s="348"/>
      <c r="E276" s="348"/>
      <c r="F276" s="348"/>
      <c r="G276" s="348"/>
      <c r="H276" s="348"/>
      <c r="I276" s="348"/>
      <c r="J276" s="348"/>
      <c r="K276" s="348"/>
      <c r="L276" s="348"/>
      <c r="M276" s="348"/>
      <c r="N276" s="348"/>
      <c r="O276" s="348"/>
      <c r="P276" s="348"/>
      <c r="Q276" s="348"/>
      <c r="R276" s="348"/>
      <c r="S276" s="348"/>
      <c r="T276" s="348"/>
      <c r="U276" s="348"/>
      <c r="V276" s="348"/>
      <c r="W276" s="348"/>
      <c r="X276" s="348"/>
      <c r="Y276" s="348"/>
      <c r="Z276" s="348"/>
    </row>
    <row r="277">
      <c r="A277" s="348"/>
      <c r="B277" s="348"/>
      <c r="C277" s="348"/>
      <c r="D277" s="348"/>
      <c r="E277" s="348"/>
      <c r="F277" s="348"/>
      <c r="G277" s="348"/>
      <c r="H277" s="348"/>
      <c r="I277" s="348"/>
      <c r="J277" s="348"/>
      <c r="K277" s="348"/>
      <c r="L277" s="348"/>
      <c r="M277" s="348"/>
      <c r="N277" s="348"/>
      <c r="O277" s="348"/>
      <c r="P277" s="348"/>
      <c r="Q277" s="348"/>
      <c r="R277" s="348"/>
      <c r="S277" s="348"/>
      <c r="T277" s="348"/>
      <c r="U277" s="348"/>
      <c r="V277" s="348"/>
      <c r="W277" s="348"/>
      <c r="X277" s="348"/>
      <c r="Y277" s="348"/>
      <c r="Z277" s="348"/>
    </row>
    <row r="278">
      <c r="A278" s="348"/>
      <c r="B278" s="348"/>
      <c r="C278" s="348"/>
      <c r="D278" s="348"/>
      <c r="E278" s="348"/>
      <c r="F278" s="348"/>
      <c r="G278" s="348"/>
      <c r="H278" s="348"/>
      <c r="I278" s="348"/>
      <c r="J278" s="348"/>
      <c r="K278" s="348"/>
      <c r="L278" s="348"/>
      <c r="M278" s="348"/>
      <c r="N278" s="348"/>
      <c r="O278" s="348"/>
      <c r="P278" s="348"/>
      <c r="Q278" s="348"/>
      <c r="R278" s="348"/>
      <c r="S278" s="348"/>
      <c r="T278" s="348"/>
      <c r="U278" s="348"/>
      <c r="V278" s="348"/>
      <c r="W278" s="348"/>
      <c r="X278" s="348"/>
      <c r="Y278" s="348"/>
      <c r="Z278" s="348"/>
    </row>
    <row r="279">
      <c r="A279" s="348"/>
      <c r="B279" s="348"/>
      <c r="C279" s="348"/>
      <c r="D279" s="348"/>
      <c r="E279" s="348"/>
      <c r="F279" s="348"/>
      <c r="G279" s="348"/>
      <c r="H279" s="348"/>
      <c r="I279" s="348"/>
      <c r="J279" s="348"/>
      <c r="K279" s="348"/>
      <c r="L279" s="348"/>
      <c r="M279" s="348"/>
      <c r="N279" s="348"/>
      <c r="O279" s="348"/>
      <c r="P279" s="348"/>
      <c r="Q279" s="348"/>
      <c r="R279" s="348"/>
      <c r="S279" s="348"/>
      <c r="T279" s="348"/>
      <c r="U279" s="348"/>
      <c r="V279" s="348"/>
      <c r="W279" s="348"/>
      <c r="X279" s="348"/>
      <c r="Y279" s="348"/>
      <c r="Z279" s="348"/>
    </row>
    <row r="280">
      <c r="A280" s="348"/>
      <c r="B280" s="348"/>
      <c r="C280" s="348"/>
      <c r="D280" s="348"/>
      <c r="E280" s="348"/>
      <c r="F280" s="348"/>
      <c r="G280" s="348"/>
      <c r="H280" s="348"/>
      <c r="I280" s="348"/>
      <c r="J280" s="348"/>
      <c r="K280" s="348"/>
      <c r="L280" s="348"/>
      <c r="M280" s="348"/>
      <c r="N280" s="348"/>
      <c r="O280" s="348"/>
      <c r="P280" s="348"/>
      <c r="Q280" s="348"/>
      <c r="R280" s="348"/>
      <c r="S280" s="348"/>
      <c r="T280" s="348"/>
      <c r="U280" s="348"/>
      <c r="V280" s="348"/>
      <c r="W280" s="348"/>
      <c r="X280" s="348"/>
      <c r="Y280" s="348"/>
      <c r="Z280" s="348"/>
    </row>
    <row r="281">
      <c r="A281" s="348"/>
      <c r="B281" s="348"/>
      <c r="C281" s="348"/>
      <c r="D281" s="348"/>
      <c r="E281" s="348"/>
      <c r="F281" s="348"/>
      <c r="G281" s="348"/>
      <c r="H281" s="348"/>
      <c r="I281" s="348"/>
      <c r="J281" s="348"/>
      <c r="K281" s="348"/>
      <c r="L281" s="348"/>
      <c r="M281" s="348"/>
      <c r="N281" s="348"/>
      <c r="O281" s="348"/>
      <c r="P281" s="348"/>
      <c r="Q281" s="348"/>
      <c r="R281" s="348"/>
      <c r="S281" s="348"/>
      <c r="T281" s="348"/>
      <c r="U281" s="348"/>
      <c r="V281" s="348"/>
      <c r="W281" s="348"/>
      <c r="X281" s="348"/>
      <c r="Y281" s="348"/>
      <c r="Z281" s="348"/>
    </row>
    <row r="282">
      <c r="A282" s="348"/>
      <c r="B282" s="348"/>
      <c r="C282" s="348"/>
      <c r="D282" s="348"/>
      <c r="E282" s="348"/>
      <c r="F282" s="348"/>
      <c r="G282" s="348"/>
      <c r="H282" s="348"/>
      <c r="I282" s="348"/>
      <c r="J282" s="348"/>
      <c r="K282" s="348"/>
      <c r="L282" s="348"/>
      <c r="M282" s="348"/>
      <c r="N282" s="348"/>
      <c r="O282" s="348"/>
      <c r="P282" s="348"/>
      <c r="Q282" s="348"/>
      <c r="R282" s="348"/>
      <c r="S282" s="348"/>
      <c r="T282" s="348"/>
      <c r="U282" s="348"/>
      <c r="V282" s="348"/>
      <c r="W282" s="348"/>
      <c r="X282" s="348"/>
      <c r="Y282" s="348"/>
      <c r="Z282" s="348"/>
    </row>
    <row r="283">
      <c r="A283" s="348"/>
      <c r="B283" s="348"/>
      <c r="C283" s="348"/>
      <c r="D283" s="348"/>
      <c r="E283" s="348"/>
      <c r="F283" s="348"/>
      <c r="G283" s="348"/>
      <c r="H283" s="348"/>
      <c r="I283" s="348"/>
      <c r="J283" s="348"/>
      <c r="K283" s="348"/>
      <c r="L283" s="348"/>
      <c r="M283" s="348"/>
      <c r="N283" s="348"/>
      <c r="O283" s="348"/>
      <c r="P283" s="348"/>
      <c r="Q283" s="348"/>
      <c r="R283" s="348"/>
      <c r="S283" s="348"/>
      <c r="T283" s="348"/>
      <c r="U283" s="348"/>
      <c r="V283" s="348"/>
      <c r="W283" s="348"/>
      <c r="X283" s="348"/>
      <c r="Y283" s="348"/>
      <c r="Z283" s="348"/>
    </row>
    <row r="284">
      <c r="A284" s="348"/>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c r="Y284" s="348"/>
      <c r="Z284" s="348"/>
    </row>
    <row r="285">
      <c r="A285" s="348"/>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row>
    <row r="286">
      <c r="A286" s="348"/>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c r="Y286" s="348"/>
      <c r="Z286" s="348"/>
    </row>
    <row r="287">
      <c r="A287" s="348"/>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c r="Y287" s="348"/>
      <c r="Z287" s="348"/>
    </row>
    <row r="288">
      <c r="A288" s="348"/>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c r="Y288" s="348"/>
      <c r="Z288" s="348"/>
    </row>
    <row r="289">
      <c r="A289" s="348"/>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c r="Y289" s="348"/>
      <c r="Z289" s="348"/>
    </row>
    <row r="290">
      <c r="A290" s="348"/>
      <c r="B290" s="348"/>
      <c r="C290" s="348"/>
      <c r="D290" s="348"/>
      <c r="E290" s="348"/>
      <c r="F290" s="348"/>
      <c r="G290" s="348"/>
      <c r="H290" s="348"/>
      <c r="I290" s="348"/>
      <c r="J290" s="348"/>
      <c r="K290" s="348"/>
      <c r="L290" s="348"/>
      <c r="M290" s="348"/>
      <c r="N290" s="348"/>
      <c r="O290" s="348"/>
      <c r="P290" s="348"/>
      <c r="Q290" s="348"/>
      <c r="R290" s="348"/>
      <c r="S290" s="348"/>
      <c r="T290" s="348"/>
      <c r="U290" s="348"/>
      <c r="V290" s="348"/>
      <c r="W290" s="348"/>
      <c r="X290" s="348"/>
      <c r="Y290" s="348"/>
      <c r="Z290" s="348"/>
    </row>
    <row r="291">
      <c r="A291" s="348"/>
      <c r="B291" s="348"/>
      <c r="C291" s="348"/>
      <c r="D291" s="348"/>
      <c r="E291" s="348"/>
      <c r="F291" s="348"/>
      <c r="G291" s="348"/>
      <c r="H291" s="348"/>
      <c r="I291" s="348"/>
      <c r="J291" s="348"/>
      <c r="K291" s="348"/>
      <c r="L291" s="348"/>
      <c r="M291" s="348"/>
      <c r="N291" s="348"/>
      <c r="O291" s="348"/>
      <c r="P291" s="348"/>
      <c r="Q291" s="348"/>
      <c r="R291" s="348"/>
      <c r="S291" s="348"/>
      <c r="T291" s="348"/>
      <c r="U291" s="348"/>
      <c r="V291" s="348"/>
      <c r="W291" s="348"/>
      <c r="X291" s="348"/>
      <c r="Y291" s="348"/>
      <c r="Z291" s="348"/>
    </row>
    <row r="292">
      <c r="A292" s="348"/>
      <c r="B292" s="348"/>
      <c r="C292" s="348"/>
      <c r="D292" s="348"/>
      <c r="E292" s="348"/>
      <c r="F292" s="348"/>
      <c r="G292" s="348"/>
      <c r="H292" s="348"/>
      <c r="I292" s="348"/>
      <c r="J292" s="348"/>
      <c r="K292" s="348"/>
      <c r="L292" s="348"/>
      <c r="M292" s="348"/>
      <c r="N292" s="348"/>
      <c r="O292" s="348"/>
      <c r="P292" s="348"/>
      <c r="Q292" s="348"/>
      <c r="R292" s="348"/>
      <c r="S292" s="348"/>
      <c r="T292" s="348"/>
      <c r="U292" s="348"/>
      <c r="V292" s="348"/>
      <c r="W292" s="348"/>
      <c r="X292" s="348"/>
      <c r="Y292" s="348"/>
      <c r="Z292" s="348"/>
    </row>
    <row r="293">
      <c r="A293" s="348"/>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c r="Y293" s="348"/>
      <c r="Z293" s="348"/>
    </row>
    <row r="294">
      <c r="A294" s="348"/>
      <c r="B294" s="348"/>
      <c r="C294" s="348"/>
      <c r="D294" s="348"/>
      <c r="E294" s="348"/>
      <c r="F294" s="348"/>
      <c r="G294" s="348"/>
      <c r="H294" s="348"/>
      <c r="I294" s="348"/>
      <c r="J294" s="348"/>
      <c r="K294" s="348"/>
      <c r="L294" s="348"/>
      <c r="M294" s="348"/>
      <c r="N294" s="348"/>
      <c r="O294" s="348"/>
      <c r="P294" s="348"/>
      <c r="Q294" s="348"/>
      <c r="R294" s="348"/>
      <c r="S294" s="348"/>
      <c r="T294" s="348"/>
      <c r="U294" s="348"/>
      <c r="V294" s="348"/>
      <c r="W294" s="348"/>
      <c r="X294" s="348"/>
      <c r="Y294" s="348"/>
      <c r="Z294" s="348"/>
    </row>
    <row r="295">
      <c r="A295" s="348"/>
      <c r="B295" s="348"/>
      <c r="C295" s="348"/>
      <c r="D295" s="348"/>
      <c r="E295" s="348"/>
      <c r="F295" s="348"/>
      <c r="G295" s="348"/>
      <c r="H295" s="348"/>
      <c r="I295" s="348"/>
      <c r="J295" s="348"/>
      <c r="K295" s="348"/>
      <c r="L295" s="348"/>
      <c r="M295" s="348"/>
      <c r="N295" s="348"/>
      <c r="O295" s="348"/>
      <c r="P295" s="348"/>
      <c r="Q295" s="348"/>
      <c r="R295" s="348"/>
      <c r="S295" s="348"/>
      <c r="T295" s="348"/>
      <c r="U295" s="348"/>
      <c r="V295" s="348"/>
      <c r="W295" s="348"/>
      <c r="X295" s="348"/>
      <c r="Y295" s="348"/>
      <c r="Z295" s="348"/>
    </row>
    <row r="296">
      <c r="A296" s="348"/>
      <c r="B296" s="348"/>
      <c r="C296" s="348"/>
      <c r="D296" s="348"/>
      <c r="E296" s="348"/>
      <c r="F296" s="348"/>
      <c r="G296" s="348"/>
      <c r="H296" s="348"/>
      <c r="I296" s="348"/>
      <c r="J296" s="348"/>
      <c r="K296" s="348"/>
      <c r="L296" s="348"/>
      <c r="M296" s="348"/>
      <c r="N296" s="348"/>
      <c r="O296" s="348"/>
      <c r="P296" s="348"/>
      <c r="Q296" s="348"/>
      <c r="R296" s="348"/>
      <c r="S296" s="348"/>
      <c r="T296" s="348"/>
      <c r="U296" s="348"/>
      <c r="V296" s="348"/>
      <c r="W296" s="348"/>
      <c r="X296" s="348"/>
      <c r="Y296" s="348"/>
      <c r="Z296" s="348"/>
    </row>
    <row r="297">
      <c r="A297" s="348"/>
      <c r="B297" s="348"/>
      <c r="C297" s="348"/>
      <c r="D297" s="348"/>
      <c r="E297" s="348"/>
      <c r="F297" s="348"/>
      <c r="G297" s="348"/>
      <c r="H297" s="348"/>
      <c r="I297" s="348"/>
      <c r="J297" s="348"/>
      <c r="K297" s="348"/>
      <c r="L297" s="348"/>
      <c r="M297" s="348"/>
      <c r="N297" s="348"/>
      <c r="O297" s="348"/>
      <c r="P297" s="348"/>
      <c r="Q297" s="348"/>
      <c r="R297" s="348"/>
      <c r="S297" s="348"/>
      <c r="T297" s="348"/>
      <c r="U297" s="348"/>
      <c r="V297" s="348"/>
      <c r="W297" s="348"/>
      <c r="X297" s="348"/>
      <c r="Y297" s="348"/>
      <c r="Z297" s="348"/>
    </row>
    <row r="298">
      <c r="A298" s="348"/>
      <c r="B298" s="348"/>
      <c r="C298" s="348"/>
      <c r="D298" s="348"/>
      <c r="E298" s="348"/>
      <c r="F298" s="348"/>
      <c r="G298" s="348"/>
      <c r="H298" s="348"/>
      <c r="I298" s="348"/>
      <c r="J298" s="348"/>
      <c r="K298" s="348"/>
      <c r="L298" s="348"/>
      <c r="M298" s="348"/>
      <c r="N298" s="348"/>
      <c r="O298" s="348"/>
      <c r="P298" s="348"/>
      <c r="Q298" s="348"/>
      <c r="R298" s="348"/>
      <c r="S298" s="348"/>
      <c r="T298" s="348"/>
      <c r="U298" s="348"/>
      <c r="V298" s="348"/>
      <c r="W298" s="348"/>
      <c r="X298" s="348"/>
      <c r="Y298" s="348"/>
      <c r="Z298" s="348"/>
    </row>
    <row r="299">
      <c r="A299" s="348"/>
      <c r="B299" s="348"/>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row>
    <row r="300">
      <c r="A300" s="348"/>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row>
    <row r="301">
      <c r="A301" s="348"/>
      <c r="B301" s="348"/>
      <c r="C301" s="348"/>
      <c r="D301" s="348"/>
      <c r="E301" s="348"/>
      <c r="F301" s="348"/>
      <c r="G301" s="348"/>
      <c r="H301" s="348"/>
      <c r="I301" s="348"/>
      <c r="J301" s="348"/>
      <c r="K301" s="348"/>
      <c r="L301" s="348"/>
      <c r="M301" s="348"/>
      <c r="N301" s="348"/>
      <c r="O301" s="348"/>
      <c r="P301" s="348"/>
      <c r="Q301" s="348"/>
      <c r="R301" s="348"/>
      <c r="S301" s="348"/>
      <c r="T301" s="348"/>
      <c r="U301" s="348"/>
      <c r="V301" s="348"/>
      <c r="W301" s="348"/>
      <c r="X301" s="348"/>
      <c r="Y301" s="348"/>
      <c r="Z301" s="348"/>
    </row>
    <row r="302">
      <c r="A302" s="348"/>
      <c r="B302" s="348"/>
      <c r="C302" s="348"/>
      <c r="D302" s="348"/>
      <c r="E302" s="348"/>
      <c r="F302" s="348"/>
      <c r="G302" s="348"/>
      <c r="H302" s="348"/>
      <c r="I302" s="348"/>
      <c r="J302" s="348"/>
      <c r="K302" s="348"/>
      <c r="L302" s="348"/>
      <c r="M302" s="348"/>
      <c r="N302" s="348"/>
      <c r="O302" s="348"/>
      <c r="P302" s="348"/>
      <c r="Q302" s="348"/>
      <c r="R302" s="348"/>
      <c r="S302" s="348"/>
      <c r="T302" s="348"/>
      <c r="U302" s="348"/>
      <c r="V302" s="348"/>
      <c r="W302" s="348"/>
      <c r="X302" s="348"/>
      <c r="Y302" s="348"/>
      <c r="Z302" s="348"/>
    </row>
    <row r="303">
      <c r="A303" s="348"/>
      <c r="B303" s="348"/>
      <c r="C303" s="348"/>
      <c r="D303" s="348"/>
      <c r="E303" s="348"/>
      <c r="F303" s="348"/>
      <c r="G303" s="348"/>
      <c r="H303" s="348"/>
      <c r="I303" s="348"/>
      <c r="J303" s="348"/>
      <c r="K303" s="348"/>
      <c r="L303" s="348"/>
      <c r="M303" s="348"/>
      <c r="N303" s="348"/>
      <c r="O303" s="348"/>
      <c r="P303" s="348"/>
      <c r="Q303" s="348"/>
      <c r="R303" s="348"/>
      <c r="S303" s="348"/>
      <c r="T303" s="348"/>
      <c r="U303" s="348"/>
      <c r="V303" s="348"/>
      <c r="W303" s="348"/>
      <c r="X303" s="348"/>
      <c r="Y303" s="348"/>
      <c r="Z303" s="348"/>
    </row>
    <row r="304">
      <c r="A304" s="348"/>
      <c r="B304" s="348"/>
      <c r="C304" s="348"/>
      <c r="D304" s="348"/>
      <c r="E304" s="348"/>
      <c r="F304" s="348"/>
      <c r="G304" s="348"/>
      <c r="H304" s="348"/>
      <c r="I304" s="348"/>
      <c r="J304" s="348"/>
      <c r="K304" s="348"/>
      <c r="L304" s="348"/>
      <c r="M304" s="348"/>
      <c r="N304" s="348"/>
      <c r="O304" s="348"/>
      <c r="P304" s="348"/>
      <c r="Q304" s="348"/>
      <c r="R304" s="348"/>
      <c r="S304" s="348"/>
      <c r="T304" s="348"/>
      <c r="U304" s="348"/>
      <c r="V304" s="348"/>
      <c r="W304" s="348"/>
      <c r="X304" s="348"/>
      <c r="Y304" s="348"/>
      <c r="Z304" s="348"/>
    </row>
    <row r="305">
      <c r="A305" s="348"/>
      <c r="B305" s="348"/>
      <c r="C305" s="348"/>
      <c r="D305" s="348"/>
      <c r="E305" s="348"/>
      <c r="F305" s="348"/>
      <c r="G305" s="348"/>
      <c r="H305" s="348"/>
      <c r="I305" s="348"/>
      <c r="J305" s="348"/>
      <c r="K305" s="348"/>
      <c r="L305" s="348"/>
      <c r="M305" s="348"/>
      <c r="N305" s="348"/>
      <c r="O305" s="348"/>
      <c r="P305" s="348"/>
      <c r="Q305" s="348"/>
      <c r="R305" s="348"/>
      <c r="S305" s="348"/>
      <c r="T305" s="348"/>
      <c r="U305" s="348"/>
      <c r="V305" s="348"/>
      <c r="W305" s="348"/>
      <c r="X305" s="348"/>
      <c r="Y305" s="348"/>
      <c r="Z305" s="348"/>
    </row>
    <row r="306">
      <c r="A306" s="348"/>
      <c r="B306" s="348"/>
      <c r="C306" s="348"/>
      <c r="D306" s="348"/>
      <c r="E306" s="348"/>
      <c r="F306" s="348"/>
      <c r="G306" s="348"/>
      <c r="H306" s="348"/>
      <c r="I306" s="348"/>
      <c r="J306" s="348"/>
      <c r="K306" s="348"/>
      <c r="L306" s="348"/>
      <c r="M306" s="348"/>
      <c r="N306" s="348"/>
      <c r="O306" s="348"/>
      <c r="P306" s="348"/>
      <c r="Q306" s="348"/>
      <c r="R306" s="348"/>
      <c r="S306" s="348"/>
      <c r="T306" s="348"/>
      <c r="U306" s="348"/>
      <c r="V306" s="348"/>
      <c r="W306" s="348"/>
      <c r="X306" s="348"/>
      <c r="Y306" s="348"/>
      <c r="Z306" s="348"/>
    </row>
    <row r="307">
      <c r="A307" s="348"/>
      <c r="B307" s="348"/>
      <c r="C307" s="348"/>
      <c r="D307" s="348"/>
      <c r="E307" s="348"/>
      <c r="F307" s="348"/>
      <c r="G307" s="348"/>
      <c r="H307" s="348"/>
      <c r="I307" s="348"/>
      <c r="J307" s="348"/>
      <c r="K307" s="348"/>
      <c r="L307" s="348"/>
      <c r="M307" s="348"/>
      <c r="N307" s="348"/>
      <c r="O307" s="348"/>
      <c r="P307" s="348"/>
      <c r="Q307" s="348"/>
      <c r="R307" s="348"/>
      <c r="S307" s="348"/>
      <c r="T307" s="348"/>
      <c r="U307" s="348"/>
      <c r="V307" s="348"/>
      <c r="W307" s="348"/>
      <c r="X307" s="348"/>
      <c r="Y307" s="348"/>
      <c r="Z307" s="348"/>
    </row>
    <row r="308">
      <c r="A308" s="348"/>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row>
    <row r="309">
      <c r="A309" s="348"/>
      <c r="B309" s="348"/>
      <c r="C309" s="348"/>
      <c r="D309" s="348"/>
      <c r="E309" s="348"/>
      <c r="F309" s="348"/>
      <c r="G309" s="348"/>
      <c r="H309" s="348"/>
      <c r="I309" s="348"/>
      <c r="J309" s="348"/>
      <c r="K309" s="348"/>
      <c r="L309" s="348"/>
      <c r="M309" s="348"/>
      <c r="N309" s="348"/>
      <c r="O309" s="348"/>
      <c r="P309" s="348"/>
      <c r="Q309" s="348"/>
      <c r="R309" s="348"/>
      <c r="S309" s="348"/>
      <c r="T309" s="348"/>
      <c r="U309" s="348"/>
      <c r="V309" s="348"/>
      <c r="W309" s="348"/>
      <c r="X309" s="348"/>
      <c r="Y309" s="348"/>
      <c r="Z309" s="348"/>
    </row>
    <row r="310">
      <c r="A310" s="348"/>
      <c r="B310" s="348"/>
      <c r="C310" s="348"/>
      <c r="D310" s="348"/>
      <c r="E310" s="348"/>
      <c r="F310" s="348"/>
      <c r="G310" s="348"/>
      <c r="H310" s="348"/>
      <c r="I310" s="348"/>
      <c r="J310" s="348"/>
      <c r="K310" s="348"/>
      <c r="L310" s="348"/>
      <c r="M310" s="348"/>
      <c r="N310" s="348"/>
      <c r="O310" s="348"/>
      <c r="P310" s="348"/>
      <c r="Q310" s="348"/>
      <c r="R310" s="348"/>
      <c r="S310" s="348"/>
      <c r="T310" s="348"/>
      <c r="U310" s="348"/>
      <c r="V310" s="348"/>
      <c r="W310" s="348"/>
      <c r="X310" s="348"/>
      <c r="Y310" s="348"/>
      <c r="Z310" s="348"/>
    </row>
    <row r="311">
      <c r="A311" s="348"/>
      <c r="B311" s="348"/>
      <c r="C311" s="348"/>
      <c r="D311" s="348"/>
      <c r="E311" s="348"/>
      <c r="F311" s="348"/>
      <c r="G311" s="348"/>
      <c r="H311" s="348"/>
      <c r="I311" s="348"/>
      <c r="J311" s="348"/>
      <c r="K311" s="348"/>
      <c r="L311" s="348"/>
      <c r="M311" s="348"/>
      <c r="N311" s="348"/>
      <c r="O311" s="348"/>
      <c r="P311" s="348"/>
      <c r="Q311" s="348"/>
      <c r="R311" s="348"/>
      <c r="S311" s="348"/>
      <c r="T311" s="348"/>
      <c r="U311" s="348"/>
      <c r="V311" s="348"/>
      <c r="W311" s="348"/>
      <c r="X311" s="348"/>
      <c r="Y311" s="348"/>
      <c r="Z311" s="348"/>
    </row>
    <row r="312">
      <c r="A312" s="348"/>
      <c r="B312" s="348"/>
      <c r="C312" s="348"/>
      <c r="D312" s="348"/>
      <c r="E312" s="348"/>
      <c r="F312" s="348"/>
      <c r="G312" s="348"/>
      <c r="H312" s="348"/>
      <c r="I312" s="348"/>
      <c r="J312" s="348"/>
      <c r="K312" s="348"/>
      <c r="L312" s="348"/>
      <c r="M312" s="348"/>
      <c r="N312" s="348"/>
      <c r="O312" s="348"/>
      <c r="P312" s="348"/>
      <c r="Q312" s="348"/>
      <c r="R312" s="348"/>
      <c r="S312" s="348"/>
      <c r="T312" s="348"/>
      <c r="U312" s="348"/>
      <c r="V312" s="348"/>
      <c r="W312" s="348"/>
      <c r="X312" s="348"/>
      <c r="Y312" s="348"/>
      <c r="Z312" s="348"/>
    </row>
    <row r="313">
      <c r="A313" s="348"/>
      <c r="B313" s="348"/>
      <c r="C313" s="348"/>
      <c r="D313" s="348"/>
      <c r="E313" s="348"/>
      <c r="F313" s="348"/>
      <c r="G313" s="348"/>
      <c r="H313" s="348"/>
      <c r="I313" s="348"/>
      <c r="J313" s="348"/>
      <c r="K313" s="348"/>
      <c r="L313" s="348"/>
      <c r="M313" s="348"/>
      <c r="N313" s="348"/>
      <c r="O313" s="348"/>
      <c r="P313" s="348"/>
      <c r="Q313" s="348"/>
      <c r="R313" s="348"/>
      <c r="S313" s="348"/>
      <c r="T313" s="348"/>
      <c r="U313" s="348"/>
      <c r="V313" s="348"/>
      <c r="W313" s="348"/>
      <c r="X313" s="348"/>
      <c r="Y313" s="348"/>
      <c r="Z313" s="348"/>
    </row>
    <row r="314">
      <c r="A314" s="348"/>
      <c r="B314" s="348"/>
      <c r="C314" s="348"/>
      <c r="D314" s="348"/>
      <c r="E314" s="348"/>
      <c r="F314" s="348"/>
      <c r="G314" s="348"/>
      <c r="H314" s="348"/>
      <c r="I314" s="348"/>
      <c r="J314" s="348"/>
      <c r="K314" s="348"/>
      <c r="L314" s="348"/>
      <c r="M314" s="348"/>
      <c r="N314" s="348"/>
      <c r="O314" s="348"/>
      <c r="P314" s="348"/>
      <c r="Q314" s="348"/>
      <c r="R314" s="348"/>
      <c r="S314" s="348"/>
      <c r="T314" s="348"/>
      <c r="U314" s="348"/>
      <c r="V314" s="348"/>
      <c r="W314" s="348"/>
      <c r="X314" s="348"/>
      <c r="Y314" s="348"/>
      <c r="Z314" s="348"/>
    </row>
    <row r="315">
      <c r="A315" s="348"/>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row>
    <row r="316">
      <c r="A316" s="348"/>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row>
    <row r="317">
      <c r="A317" s="348"/>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row>
    <row r="318">
      <c r="A318" s="348"/>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row>
    <row r="319">
      <c r="A319" s="348"/>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row>
    <row r="320">
      <c r="A320" s="348"/>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row>
    <row r="321">
      <c r="A321" s="348"/>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row>
    <row r="322">
      <c r="A322" s="348"/>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row>
    <row r="323">
      <c r="A323" s="348"/>
      <c r="B323" s="348"/>
      <c r="C323" s="348"/>
      <c r="D323" s="348"/>
      <c r="E323" s="348"/>
      <c r="F323" s="348"/>
      <c r="G323" s="348"/>
      <c r="H323" s="348"/>
      <c r="I323" s="348"/>
      <c r="J323" s="348"/>
      <c r="K323" s="348"/>
      <c r="L323" s="348"/>
      <c r="M323" s="348"/>
      <c r="N323" s="348"/>
      <c r="O323" s="348"/>
      <c r="P323" s="348"/>
      <c r="Q323" s="348"/>
      <c r="R323" s="348"/>
      <c r="S323" s="348"/>
      <c r="T323" s="348"/>
      <c r="U323" s="348"/>
      <c r="V323" s="348"/>
      <c r="W323" s="348"/>
      <c r="X323" s="348"/>
      <c r="Y323" s="348"/>
      <c r="Z323" s="348"/>
    </row>
    <row r="324">
      <c r="A324" s="348"/>
      <c r="B324" s="348"/>
      <c r="C324" s="348"/>
      <c r="D324" s="348"/>
      <c r="E324" s="348"/>
      <c r="F324" s="348"/>
      <c r="G324" s="348"/>
      <c r="H324" s="348"/>
      <c r="I324" s="348"/>
      <c r="J324" s="348"/>
      <c r="K324" s="348"/>
      <c r="L324" s="348"/>
      <c r="M324" s="348"/>
      <c r="N324" s="348"/>
      <c r="O324" s="348"/>
      <c r="P324" s="348"/>
      <c r="Q324" s="348"/>
      <c r="R324" s="348"/>
      <c r="S324" s="348"/>
      <c r="T324" s="348"/>
      <c r="U324" s="348"/>
      <c r="V324" s="348"/>
      <c r="W324" s="348"/>
      <c r="X324" s="348"/>
      <c r="Y324" s="348"/>
      <c r="Z324" s="348"/>
    </row>
    <row r="325">
      <c r="A325" s="348"/>
      <c r="B325" s="348"/>
      <c r="C325" s="348"/>
      <c r="D325" s="348"/>
      <c r="E325" s="348"/>
      <c r="F325" s="348"/>
      <c r="G325" s="348"/>
      <c r="H325" s="348"/>
      <c r="I325" s="348"/>
      <c r="J325" s="348"/>
      <c r="K325" s="348"/>
      <c r="L325" s="348"/>
      <c r="M325" s="348"/>
      <c r="N325" s="348"/>
      <c r="O325" s="348"/>
      <c r="P325" s="348"/>
      <c r="Q325" s="348"/>
      <c r="R325" s="348"/>
      <c r="S325" s="348"/>
      <c r="T325" s="348"/>
      <c r="U325" s="348"/>
      <c r="V325" s="348"/>
      <c r="W325" s="348"/>
      <c r="X325" s="348"/>
      <c r="Y325" s="348"/>
      <c r="Z325" s="348"/>
    </row>
    <row r="326">
      <c r="A326" s="348"/>
      <c r="B326" s="348"/>
      <c r="C326" s="348"/>
      <c r="D326" s="348"/>
      <c r="E326" s="348"/>
      <c r="F326" s="348"/>
      <c r="G326" s="348"/>
      <c r="H326" s="348"/>
      <c r="I326" s="348"/>
      <c r="J326" s="348"/>
      <c r="K326" s="348"/>
      <c r="L326" s="348"/>
      <c r="M326" s="348"/>
      <c r="N326" s="348"/>
      <c r="O326" s="348"/>
      <c r="P326" s="348"/>
      <c r="Q326" s="348"/>
      <c r="R326" s="348"/>
      <c r="S326" s="348"/>
      <c r="T326" s="348"/>
      <c r="U326" s="348"/>
      <c r="V326" s="348"/>
      <c r="W326" s="348"/>
      <c r="X326" s="348"/>
      <c r="Y326" s="348"/>
      <c r="Z326" s="348"/>
    </row>
    <row r="327">
      <c r="A327" s="348"/>
      <c r="B327" s="348"/>
      <c r="C327" s="348"/>
      <c r="D327" s="348"/>
      <c r="E327" s="348"/>
      <c r="F327" s="348"/>
      <c r="G327" s="348"/>
      <c r="H327" s="348"/>
      <c r="I327" s="348"/>
      <c r="J327" s="348"/>
      <c r="K327" s="348"/>
      <c r="L327" s="348"/>
      <c r="M327" s="348"/>
      <c r="N327" s="348"/>
      <c r="O327" s="348"/>
      <c r="P327" s="348"/>
      <c r="Q327" s="348"/>
      <c r="R327" s="348"/>
      <c r="S327" s="348"/>
      <c r="T327" s="348"/>
      <c r="U327" s="348"/>
      <c r="V327" s="348"/>
      <c r="W327" s="348"/>
      <c r="X327" s="348"/>
      <c r="Y327" s="348"/>
      <c r="Z327" s="348"/>
    </row>
    <row r="328">
      <c r="A328" s="348"/>
      <c r="B328" s="348"/>
      <c r="C328" s="348"/>
      <c r="D328" s="348"/>
      <c r="E328" s="348"/>
      <c r="F328" s="348"/>
      <c r="G328" s="348"/>
      <c r="H328" s="348"/>
      <c r="I328" s="348"/>
      <c r="J328" s="348"/>
      <c r="K328" s="348"/>
      <c r="L328" s="348"/>
      <c r="M328" s="348"/>
      <c r="N328" s="348"/>
      <c r="O328" s="348"/>
      <c r="P328" s="348"/>
      <c r="Q328" s="348"/>
      <c r="R328" s="348"/>
      <c r="S328" s="348"/>
      <c r="T328" s="348"/>
      <c r="U328" s="348"/>
      <c r="V328" s="348"/>
      <c r="W328" s="348"/>
      <c r="X328" s="348"/>
      <c r="Y328" s="348"/>
      <c r="Z328" s="348"/>
    </row>
    <row r="329">
      <c r="A329" s="348"/>
      <c r="B329" s="348"/>
      <c r="C329" s="348"/>
      <c r="D329" s="348"/>
      <c r="E329" s="348"/>
      <c r="F329" s="348"/>
      <c r="G329" s="348"/>
      <c r="H329" s="348"/>
      <c r="I329" s="348"/>
      <c r="J329" s="348"/>
      <c r="K329" s="348"/>
      <c r="L329" s="348"/>
      <c r="M329" s="348"/>
      <c r="N329" s="348"/>
      <c r="O329" s="348"/>
      <c r="P329" s="348"/>
      <c r="Q329" s="348"/>
      <c r="R329" s="348"/>
      <c r="S329" s="348"/>
      <c r="T329" s="348"/>
      <c r="U329" s="348"/>
      <c r="V329" s="348"/>
      <c r="W329" s="348"/>
      <c r="X329" s="348"/>
      <c r="Y329" s="348"/>
      <c r="Z329" s="348"/>
    </row>
    <row r="330">
      <c r="A330" s="348"/>
      <c r="B330" s="348"/>
      <c r="C330" s="348"/>
      <c r="D330" s="348"/>
      <c r="E330" s="348"/>
      <c r="F330" s="348"/>
      <c r="G330" s="348"/>
      <c r="H330" s="348"/>
      <c r="I330" s="348"/>
      <c r="J330" s="348"/>
      <c r="K330" s="348"/>
      <c r="L330" s="348"/>
      <c r="M330" s="348"/>
      <c r="N330" s="348"/>
      <c r="O330" s="348"/>
      <c r="P330" s="348"/>
      <c r="Q330" s="348"/>
      <c r="R330" s="348"/>
      <c r="S330" s="348"/>
      <c r="T330" s="348"/>
      <c r="U330" s="348"/>
      <c r="V330" s="348"/>
      <c r="W330" s="348"/>
      <c r="X330" s="348"/>
      <c r="Y330" s="348"/>
      <c r="Z330" s="348"/>
    </row>
    <row r="331">
      <c r="A331" s="348"/>
      <c r="B331" s="348"/>
      <c r="C331" s="348"/>
      <c r="D331" s="348"/>
      <c r="E331" s="348"/>
      <c r="F331" s="348"/>
      <c r="G331" s="348"/>
      <c r="H331" s="348"/>
      <c r="I331" s="348"/>
      <c r="J331" s="348"/>
      <c r="K331" s="348"/>
      <c r="L331" s="348"/>
      <c r="M331" s="348"/>
      <c r="N331" s="348"/>
      <c r="O331" s="348"/>
      <c r="P331" s="348"/>
      <c r="Q331" s="348"/>
      <c r="R331" s="348"/>
      <c r="S331" s="348"/>
      <c r="T331" s="348"/>
      <c r="U331" s="348"/>
      <c r="V331" s="348"/>
      <c r="W331" s="348"/>
      <c r="X331" s="348"/>
      <c r="Y331" s="348"/>
      <c r="Z331" s="348"/>
    </row>
    <row r="332">
      <c r="A332" s="348"/>
      <c r="B332" s="348"/>
      <c r="C332" s="348"/>
      <c r="D332" s="348"/>
      <c r="E332" s="348"/>
      <c r="F332" s="348"/>
      <c r="G332" s="348"/>
      <c r="H332" s="348"/>
      <c r="I332" s="348"/>
      <c r="J332" s="348"/>
      <c r="K332" s="348"/>
      <c r="L332" s="348"/>
      <c r="M332" s="348"/>
      <c r="N332" s="348"/>
      <c r="O332" s="348"/>
      <c r="P332" s="348"/>
      <c r="Q332" s="348"/>
      <c r="R332" s="348"/>
      <c r="S332" s="348"/>
      <c r="T332" s="348"/>
      <c r="U332" s="348"/>
      <c r="V332" s="348"/>
      <c r="W332" s="348"/>
      <c r="X332" s="348"/>
      <c r="Y332" s="348"/>
      <c r="Z332" s="348"/>
    </row>
    <row r="333">
      <c r="A333" s="348"/>
      <c r="B333" s="348"/>
      <c r="C333" s="348"/>
      <c r="D333" s="348"/>
      <c r="E333" s="348"/>
      <c r="F333" s="348"/>
      <c r="G333" s="348"/>
      <c r="H333" s="348"/>
      <c r="I333" s="348"/>
      <c r="J333" s="348"/>
      <c r="K333" s="348"/>
      <c r="L333" s="348"/>
      <c r="M333" s="348"/>
      <c r="N333" s="348"/>
      <c r="O333" s="348"/>
      <c r="P333" s="348"/>
      <c r="Q333" s="348"/>
      <c r="R333" s="348"/>
      <c r="S333" s="348"/>
      <c r="T333" s="348"/>
      <c r="U333" s="348"/>
      <c r="V333" s="348"/>
      <c r="W333" s="348"/>
      <c r="X333" s="348"/>
      <c r="Y333" s="348"/>
      <c r="Z333" s="348"/>
    </row>
    <row r="334">
      <c r="A334" s="348"/>
      <c r="B334" s="348"/>
      <c r="C334" s="348"/>
      <c r="D334" s="348"/>
      <c r="E334" s="348"/>
      <c r="F334" s="348"/>
      <c r="G334" s="348"/>
      <c r="H334" s="348"/>
      <c r="I334" s="348"/>
      <c r="J334" s="348"/>
      <c r="K334" s="348"/>
      <c r="L334" s="348"/>
      <c r="M334" s="348"/>
      <c r="N334" s="348"/>
      <c r="O334" s="348"/>
      <c r="P334" s="348"/>
      <c r="Q334" s="348"/>
      <c r="R334" s="348"/>
      <c r="S334" s="348"/>
      <c r="T334" s="348"/>
      <c r="U334" s="348"/>
      <c r="V334" s="348"/>
      <c r="W334" s="348"/>
      <c r="X334" s="348"/>
      <c r="Y334" s="348"/>
      <c r="Z334" s="348"/>
    </row>
    <row r="335">
      <c r="A335" s="348"/>
      <c r="B335" s="348"/>
      <c r="C335" s="348"/>
      <c r="D335" s="348"/>
      <c r="E335" s="348"/>
      <c r="F335" s="348"/>
      <c r="G335" s="348"/>
      <c r="H335" s="348"/>
      <c r="I335" s="348"/>
      <c r="J335" s="348"/>
      <c r="K335" s="348"/>
      <c r="L335" s="348"/>
      <c r="M335" s="348"/>
      <c r="N335" s="348"/>
      <c r="O335" s="348"/>
      <c r="P335" s="348"/>
      <c r="Q335" s="348"/>
      <c r="R335" s="348"/>
      <c r="S335" s="348"/>
      <c r="T335" s="348"/>
      <c r="U335" s="348"/>
      <c r="V335" s="348"/>
      <c r="W335" s="348"/>
      <c r="X335" s="348"/>
      <c r="Y335" s="348"/>
      <c r="Z335" s="348"/>
    </row>
    <row r="336">
      <c r="A336" s="348"/>
      <c r="B336" s="348"/>
      <c r="C336" s="348"/>
      <c r="D336" s="348"/>
      <c r="E336" s="348"/>
      <c r="F336" s="348"/>
      <c r="G336" s="348"/>
      <c r="H336" s="348"/>
      <c r="I336" s="348"/>
      <c r="J336" s="348"/>
      <c r="K336" s="348"/>
      <c r="L336" s="348"/>
      <c r="M336" s="348"/>
      <c r="N336" s="348"/>
      <c r="O336" s="348"/>
      <c r="P336" s="348"/>
      <c r="Q336" s="348"/>
      <c r="R336" s="348"/>
      <c r="S336" s="348"/>
      <c r="T336" s="348"/>
      <c r="U336" s="348"/>
      <c r="V336" s="348"/>
      <c r="W336" s="348"/>
      <c r="X336" s="348"/>
      <c r="Y336" s="348"/>
      <c r="Z336" s="348"/>
    </row>
    <row r="337">
      <c r="A337" s="348"/>
      <c r="B337" s="348"/>
      <c r="C337" s="348"/>
      <c r="D337" s="348"/>
      <c r="E337" s="348"/>
      <c r="F337" s="348"/>
      <c r="G337" s="348"/>
      <c r="H337" s="348"/>
      <c r="I337" s="348"/>
      <c r="J337" s="348"/>
      <c r="K337" s="348"/>
      <c r="L337" s="348"/>
      <c r="M337" s="348"/>
      <c r="N337" s="348"/>
      <c r="O337" s="348"/>
      <c r="P337" s="348"/>
      <c r="Q337" s="348"/>
      <c r="R337" s="348"/>
      <c r="S337" s="348"/>
      <c r="T337" s="348"/>
      <c r="U337" s="348"/>
      <c r="V337" s="348"/>
      <c r="W337" s="348"/>
      <c r="X337" s="348"/>
      <c r="Y337" s="348"/>
      <c r="Z337" s="348"/>
    </row>
    <row r="338">
      <c r="A338" s="348"/>
      <c r="B338" s="348"/>
      <c r="C338" s="348"/>
      <c r="D338" s="348"/>
      <c r="E338" s="348"/>
      <c r="F338" s="348"/>
      <c r="G338" s="348"/>
      <c r="H338" s="348"/>
      <c r="I338" s="348"/>
      <c r="J338" s="348"/>
      <c r="K338" s="348"/>
      <c r="L338" s="348"/>
      <c r="M338" s="348"/>
      <c r="N338" s="348"/>
      <c r="O338" s="348"/>
      <c r="P338" s="348"/>
      <c r="Q338" s="348"/>
      <c r="R338" s="348"/>
      <c r="S338" s="348"/>
      <c r="T338" s="348"/>
      <c r="U338" s="348"/>
      <c r="V338" s="348"/>
      <c r="W338" s="348"/>
      <c r="X338" s="348"/>
      <c r="Y338" s="348"/>
      <c r="Z338" s="348"/>
    </row>
    <row r="339">
      <c r="A339" s="348"/>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row>
    <row r="340">
      <c r="A340" s="348"/>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row>
    <row r="341">
      <c r="A341" s="348"/>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row>
    <row r="342">
      <c r="A342" s="348"/>
      <c r="B342" s="348"/>
      <c r="C342" s="348"/>
      <c r="D342" s="348"/>
      <c r="E342" s="348"/>
      <c r="F342" s="348"/>
      <c r="G342" s="348"/>
      <c r="H342" s="348"/>
      <c r="I342" s="348"/>
      <c r="J342" s="348"/>
      <c r="K342" s="348"/>
      <c r="L342" s="348"/>
      <c r="M342" s="348"/>
      <c r="N342" s="348"/>
      <c r="O342" s="348"/>
      <c r="P342" s="348"/>
      <c r="Q342" s="348"/>
      <c r="R342" s="348"/>
      <c r="S342" s="348"/>
      <c r="T342" s="348"/>
      <c r="U342" s="348"/>
      <c r="V342" s="348"/>
      <c r="W342" s="348"/>
      <c r="X342" s="348"/>
      <c r="Y342" s="348"/>
      <c r="Z342" s="348"/>
    </row>
    <row r="343">
      <c r="A343" s="348"/>
      <c r="B343" s="348"/>
      <c r="C343" s="348"/>
      <c r="D343" s="348"/>
      <c r="E343" s="348"/>
      <c r="F343" s="348"/>
      <c r="G343" s="348"/>
      <c r="H343" s="348"/>
      <c r="I343" s="348"/>
      <c r="J343" s="348"/>
      <c r="K343" s="348"/>
      <c r="L343" s="348"/>
      <c r="M343" s="348"/>
      <c r="N343" s="348"/>
      <c r="O343" s="348"/>
      <c r="P343" s="348"/>
      <c r="Q343" s="348"/>
      <c r="R343" s="348"/>
      <c r="S343" s="348"/>
      <c r="T343" s="348"/>
      <c r="U343" s="348"/>
      <c r="V343" s="348"/>
      <c r="W343" s="348"/>
      <c r="X343" s="348"/>
      <c r="Y343" s="348"/>
      <c r="Z343" s="348"/>
    </row>
    <row r="344">
      <c r="A344" s="348"/>
      <c r="B344" s="348"/>
      <c r="C344" s="348"/>
      <c r="D344" s="348"/>
      <c r="E344" s="348"/>
      <c r="F344" s="348"/>
      <c r="G344" s="348"/>
      <c r="H344" s="348"/>
      <c r="I344" s="348"/>
      <c r="J344" s="348"/>
      <c r="K344" s="348"/>
      <c r="L344" s="348"/>
      <c r="M344" s="348"/>
      <c r="N344" s="348"/>
      <c r="O344" s="348"/>
      <c r="P344" s="348"/>
      <c r="Q344" s="348"/>
      <c r="R344" s="348"/>
      <c r="S344" s="348"/>
      <c r="T344" s="348"/>
      <c r="U344" s="348"/>
      <c r="V344" s="348"/>
      <c r="W344" s="348"/>
      <c r="X344" s="348"/>
      <c r="Y344" s="348"/>
      <c r="Z344" s="348"/>
    </row>
    <row r="345">
      <c r="A345" s="348"/>
      <c r="B345" s="348"/>
      <c r="C345" s="348"/>
      <c r="D345" s="348"/>
      <c r="E345" s="348"/>
      <c r="F345" s="348"/>
      <c r="G345" s="348"/>
      <c r="H345" s="348"/>
      <c r="I345" s="348"/>
      <c r="J345" s="348"/>
      <c r="K345" s="348"/>
      <c r="L345" s="348"/>
      <c r="M345" s="348"/>
      <c r="N345" s="348"/>
      <c r="O345" s="348"/>
      <c r="P345" s="348"/>
      <c r="Q345" s="348"/>
      <c r="R345" s="348"/>
      <c r="S345" s="348"/>
      <c r="T345" s="348"/>
      <c r="U345" s="348"/>
      <c r="V345" s="348"/>
      <c r="W345" s="348"/>
      <c r="X345" s="348"/>
      <c r="Y345" s="348"/>
      <c r="Z345" s="348"/>
    </row>
    <row r="346">
      <c r="A346" s="348"/>
      <c r="B346" s="348"/>
      <c r="C346" s="348"/>
      <c r="D346" s="348"/>
      <c r="E346" s="348"/>
      <c r="F346" s="348"/>
      <c r="G346" s="348"/>
      <c r="H346" s="348"/>
      <c r="I346" s="348"/>
      <c r="J346" s="348"/>
      <c r="K346" s="348"/>
      <c r="L346" s="348"/>
      <c r="M346" s="348"/>
      <c r="N346" s="348"/>
      <c r="O346" s="348"/>
      <c r="P346" s="348"/>
      <c r="Q346" s="348"/>
      <c r="R346" s="348"/>
      <c r="S346" s="348"/>
      <c r="T346" s="348"/>
      <c r="U346" s="348"/>
      <c r="V346" s="348"/>
      <c r="W346" s="348"/>
      <c r="X346" s="348"/>
      <c r="Y346" s="348"/>
      <c r="Z346" s="348"/>
    </row>
    <row r="347">
      <c r="A347" s="348"/>
      <c r="B347" s="348"/>
      <c r="C347" s="348"/>
      <c r="D347" s="348"/>
      <c r="E347" s="348"/>
      <c r="F347" s="348"/>
      <c r="G347" s="348"/>
      <c r="H347" s="348"/>
      <c r="I347" s="348"/>
      <c r="J347" s="348"/>
      <c r="K347" s="348"/>
      <c r="L347" s="348"/>
      <c r="M347" s="348"/>
      <c r="N347" s="348"/>
      <c r="O347" s="348"/>
      <c r="P347" s="348"/>
      <c r="Q347" s="348"/>
      <c r="R347" s="348"/>
      <c r="S347" s="348"/>
      <c r="T347" s="348"/>
      <c r="U347" s="348"/>
      <c r="V347" s="348"/>
      <c r="W347" s="348"/>
      <c r="X347" s="348"/>
      <c r="Y347" s="348"/>
      <c r="Z347" s="348"/>
    </row>
    <row r="348">
      <c r="A348" s="348"/>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row>
    <row r="349">
      <c r="A349" s="348"/>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row>
    <row r="350">
      <c r="A350" s="348"/>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row>
    <row r="351">
      <c r="A351" s="348"/>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row>
    <row r="352">
      <c r="A352" s="348"/>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row>
    <row r="353">
      <c r="A353" s="348"/>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row>
    <row r="354">
      <c r="A354" s="348"/>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row>
    <row r="355">
      <c r="A355" s="348"/>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row>
    <row r="356">
      <c r="A356" s="348"/>
      <c r="B356" s="348"/>
      <c r="C356" s="348"/>
      <c r="D356" s="348"/>
      <c r="E356" s="348"/>
      <c r="F356" s="348"/>
      <c r="G356" s="348"/>
      <c r="H356" s="348"/>
      <c r="I356" s="348"/>
      <c r="J356" s="348"/>
      <c r="K356" s="348"/>
      <c r="L356" s="348"/>
      <c r="M356" s="348"/>
      <c r="N356" s="348"/>
      <c r="O356" s="348"/>
      <c r="P356" s="348"/>
      <c r="Q356" s="348"/>
      <c r="R356" s="348"/>
      <c r="S356" s="348"/>
      <c r="T356" s="348"/>
      <c r="U356" s="348"/>
      <c r="V356" s="348"/>
      <c r="W356" s="348"/>
      <c r="X356" s="348"/>
      <c r="Y356" s="348"/>
      <c r="Z356" s="348"/>
    </row>
    <row r="357">
      <c r="A357" s="348"/>
      <c r="B357" s="348"/>
      <c r="C357" s="348"/>
      <c r="D357" s="348"/>
      <c r="E357" s="348"/>
      <c r="F357" s="348"/>
      <c r="G357" s="348"/>
      <c r="H357" s="348"/>
      <c r="I357" s="348"/>
      <c r="J357" s="348"/>
      <c r="K357" s="348"/>
      <c r="L357" s="348"/>
      <c r="M357" s="348"/>
      <c r="N357" s="348"/>
      <c r="O357" s="348"/>
      <c r="P357" s="348"/>
      <c r="Q357" s="348"/>
      <c r="R357" s="348"/>
      <c r="S357" s="348"/>
      <c r="T357" s="348"/>
      <c r="U357" s="348"/>
      <c r="V357" s="348"/>
      <c r="W357" s="348"/>
      <c r="X357" s="348"/>
      <c r="Y357" s="348"/>
      <c r="Z357" s="348"/>
    </row>
    <row r="358">
      <c r="A358" s="348"/>
      <c r="B358" s="348"/>
      <c r="C358" s="348"/>
      <c r="D358" s="348"/>
      <c r="E358" s="348"/>
      <c r="F358" s="348"/>
      <c r="G358" s="348"/>
      <c r="H358" s="348"/>
      <c r="I358" s="348"/>
      <c r="J358" s="348"/>
      <c r="K358" s="348"/>
      <c r="L358" s="348"/>
      <c r="M358" s="348"/>
      <c r="N358" s="348"/>
      <c r="O358" s="348"/>
      <c r="P358" s="348"/>
      <c r="Q358" s="348"/>
      <c r="R358" s="348"/>
      <c r="S358" s="348"/>
      <c r="T358" s="348"/>
      <c r="U358" s="348"/>
      <c r="V358" s="348"/>
      <c r="W358" s="348"/>
      <c r="X358" s="348"/>
      <c r="Y358" s="348"/>
      <c r="Z358" s="348"/>
    </row>
    <row r="359">
      <c r="A359" s="348"/>
      <c r="B359" s="348"/>
      <c r="C359" s="348"/>
      <c r="D359" s="348"/>
      <c r="E359" s="348"/>
      <c r="F359" s="348"/>
      <c r="G359" s="348"/>
      <c r="H359" s="348"/>
      <c r="I359" s="348"/>
      <c r="J359" s="348"/>
      <c r="K359" s="348"/>
      <c r="L359" s="348"/>
      <c r="M359" s="348"/>
      <c r="N359" s="348"/>
      <c r="O359" s="348"/>
      <c r="P359" s="348"/>
      <c r="Q359" s="348"/>
      <c r="R359" s="348"/>
      <c r="S359" s="348"/>
      <c r="T359" s="348"/>
      <c r="U359" s="348"/>
      <c r="V359" s="348"/>
      <c r="W359" s="348"/>
      <c r="X359" s="348"/>
      <c r="Y359" s="348"/>
      <c r="Z359" s="348"/>
    </row>
    <row r="360">
      <c r="A360" s="348"/>
      <c r="B360" s="348"/>
      <c r="C360" s="348"/>
      <c r="D360" s="348"/>
      <c r="E360" s="348"/>
      <c r="F360" s="348"/>
      <c r="G360" s="348"/>
      <c r="H360" s="348"/>
      <c r="I360" s="348"/>
      <c r="J360" s="348"/>
      <c r="K360" s="348"/>
      <c r="L360" s="348"/>
      <c r="M360" s="348"/>
      <c r="N360" s="348"/>
      <c r="O360" s="348"/>
      <c r="P360" s="348"/>
      <c r="Q360" s="348"/>
      <c r="R360" s="348"/>
      <c r="S360" s="348"/>
      <c r="T360" s="348"/>
      <c r="U360" s="348"/>
      <c r="V360" s="348"/>
      <c r="W360" s="348"/>
      <c r="X360" s="348"/>
      <c r="Y360" s="348"/>
      <c r="Z360" s="348"/>
    </row>
    <row r="361">
      <c r="A361" s="348"/>
      <c r="B361" s="348"/>
      <c r="C361" s="348"/>
      <c r="D361" s="348"/>
      <c r="E361" s="348"/>
      <c r="F361" s="348"/>
      <c r="G361" s="348"/>
      <c r="H361" s="348"/>
      <c r="I361" s="348"/>
      <c r="J361" s="348"/>
      <c r="K361" s="348"/>
      <c r="L361" s="348"/>
      <c r="M361" s="348"/>
      <c r="N361" s="348"/>
      <c r="O361" s="348"/>
      <c r="P361" s="348"/>
      <c r="Q361" s="348"/>
      <c r="R361" s="348"/>
      <c r="S361" s="348"/>
      <c r="T361" s="348"/>
      <c r="U361" s="348"/>
      <c r="V361" s="348"/>
      <c r="W361" s="348"/>
      <c r="X361" s="348"/>
      <c r="Y361" s="348"/>
      <c r="Z361" s="348"/>
    </row>
    <row r="362">
      <c r="A362" s="348"/>
      <c r="B362" s="348"/>
      <c r="C362" s="348"/>
      <c r="D362" s="348"/>
      <c r="E362" s="348"/>
      <c r="F362" s="348"/>
      <c r="G362" s="348"/>
      <c r="H362" s="348"/>
      <c r="I362" s="348"/>
      <c r="J362" s="348"/>
      <c r="K362" s="348"/>
      <c r="L362" s="348"/>
      <c r="M362" s="348"/>
      <c r="N362" s="348"/>
      <c r="O362" s="348"/>
      <c r="P362" s="348"/>
      <c r="Q362" s="348"/>
      <c r="R362" s="348"/>
      <c r="S362" s="348"/>
      <c r="T362" s="348"/>
      <c r="U362" s="348"/>
      <c r="V362" s="348"/>
      <c r="W362" s="348"/>
      <c r="X362" s="348"/>
      <c r="Y362" s="348"/>
      <c r="Z362" s="348"/>
    </row>
    <row r="363">
      <c r="A363" s="348"/>
      <c r="B363" s="348"/>
      <c r="C363" s="348"/>
      <c r="D363" s="348"/>
      <c r="E363" s="348"/>
      <c r="F363" s="348"/>
      <c r="G363" s="348"/>
      <c r="H363" s="348"/>
      <c r="I363" s="348"/>
      <c r="J363" s="348"/>
      <c r="K363" s="348"/>
      <c r="L363" s="348"/>
      <c r="M363" s="348"/>
      <c r="N363" s="348"/>
      <c r="O363" s="348"/>
      <c r="P363" s="348"/>
      <c r="Q363" s="348"/>
      <c r="R363" s="348"/>
      <c r="S363" s="348"/>
      <c r="T363" s="348"/>
      <c r="U363" s="348"/>
      <c r="V363" s="348"/>
      <c r="W363" s="348"/>
      <c r="X363" s="348"/>
      <c r="Y363" s="348"/>
      <c r="Z363" s="348"/>
    </row>
    <row r="364">
      <c r="A364" s="348"/>
      <c r="B364" s="348"/>
      <c r="C364" s="348"/>
      <c r="D364" s="348"/>
      <c r="E364" s="348"/>
      <c r="F364" s="348"/>
      <c r="G364" s="348"/>
      <c r="H364" s="348"/>
      <c r="I364" s="348"/>
      <c r="J364" s="348"/>
      <c r="K364" s="348"/>
      <c r="L364" s="348"/>
      <c r="M364" s="348"/>
      <c r="N364" s="348"/>
      <c r="O364" s="348"/>
      <c r="P364" s="348"/>
      <c r="Q364" s="348"/>
      <c r="R364" s="348"/>
      <c r="S364" s="348"/>
      <c r="T364" s="348"/>
      <c r="U364" s="348"/>
      <c r="V364" s="348"/>
      <c r="W364" s="348"/>
      <c r="X364" s="348"/>
      <c r="Y364" s="348"/>
      <c r="Z364" s="348"/>
    </row>
    <row r="365">
      <c r="A365" s="348"/>
      <c r="B365" s="348"/>
      <c r="C365" s="348"/>
      <c r="D365" s="348"/>
      <c r="E365" s="348"/>
      <c r="F365" s="348"/>
      <c r="G365" s="348"/>
      <c r="H365" s="348"/>
      <c r="I365" s="348"/>
      <c r="J365" s="348"/>
      <c r="K365" s="348"/>
      <c r="L365" s="348"/>
      <c r="M365" s="348"/>
      <c r="N365" s="348"/>
      <c r="O365" s="348"/>
      <c r="P365" s="348"/>
      <c r="Q365" s="348"/>
      <c r="R365" s="348"/>
      <c r="S365" s="348"/>
      <c r="T365" s="348"/>
      <c r="U365" s="348"/>
      <c r="V365" s="348"/>
      <c r="W365" s="348"/>
      <c r="X365" s="348"/>
      <c r="Y365" s="348"/>
      <c r="Z365" s="348"/>
    </row>
    <row r="366">
      <c r="A366" s="348"/>
      <c r="B366" s="348"/>
      <c r="C366" s="348"/>
      <c r="D366" s="348"/>
      <c r="E366" s="348"/>
      <c r="F366" s="348"/>
      <c r="G366" s="348"/>
      <c r="H366" s="348"/>
      <c r="I366" s="348"/>
      <c r="J366" s="348"/>
      <c r="K366" s="348"/>
      <c r="L366" s="348"/>
      <c r="M366" s="348"/>
      <c r="N366" s="348"/>
      <c r="O366" s="348"/>
      <c r="P366" s="348"/>
      <c r="Q366" s="348"/>
      <c r="R366" s="348"/>
      <c r="S366" s="348"/>
      <c r="T366" s="348"/>
      <c r="U366" s="348"/>
      <c r="V366" s="348"/>
      <c r="W366" s="348"/>
      <c r="X366" s="348"/>
      <c r="Y366" s="348"/>
      <c r="Z366" s="348"/>
    </row>
    <row r="367">
      <c r="A367" s="348"/>
      <c r="B367" s="348"/>
      <c r="C367" s="348"/>
      <c r="D367" s="348"/>
      <c r="E367" s="348"/>
      <c r="F367" s="348"/>
      <c r="G367" s="348"/>
      <c r="H367" s="348"/>
      <c r="I367" s="348"/>
      <c r="J367" s="348"/>
      <c r="K367" s="348"/>
      <c r="L367" s="348"/>
      <c r="M367" s="348"/>
      <c r="N367" s="348"/>
      <c r="O367" s="348"/>
      <c r="P367" s="348"/>
      <c r="Q367" s="348"/>
      <c r="R367" s="348"/>
      <c r="S367" s="348"/>
      <c r="T367" s="348"/>
      <c r="U367" s="348"/>
      <c r="V367" s="348"/>
      <c r="W367" s="348"/>
      <c r="X367" s="348"/>
      <c r="Y367" s="348"/>
      <c r="Z367" s="348"/>
    </row>
    <row r="368">
      <c r="A368" s="348"/>
      <c r="B368" s="348"/>
      <c r="C368" s="348"/>
      <c r="D368" s="348"/>
      <c r="E368" s="348"/>
      <c r="F368" s="348"/>
      <c r="G368" s="348"/>
      <c r="H368" s="348"/>
      <c r="I368" s="348"/>
      <c r="J368" s="348"/>
      <c r="K368" s="348"/>
      <c r="L368" s="348"/>
      <c r="M368" s="348"/>
      <c r="N368" s="348"/>
      <c r="O368" s="348"/>
      <c r="P368" s="348"/>
      <c r="Q368" s="348"/>
      <c r="R368" s="348"/>
      <c r="S368" s="348"/>
      <c r="T368" s="348"/>
      <c r="U368" s="348"/>
      <c r="V368" s="348"/>
      <c r="W368" s="348"/>
      <c r="X368" s="348"/>
      <c r="Y368" s="348"/>
      <c r="Z368" s="348"/>
    </row>
    <row r="369">
      <c r="A369" s="348"/>
      <c r="B369" s="348"/>
      <c r="C369" s="348"/>
      <c r="D369" s="348"/>
      <c r="E369" s="348"/>
      <c r="F369" s="348"/>
      <c r="G369" s="348"/>
      <c r="H369" s="348"/>
      <c r="I369" s="348"/>
      <c r="J369" s="348"/>
      <c r="K369" s="348"/>
      <c r="L369" s="348"/>
      <c r="M369" s="348"/>
      <c r="N369" s="348"/>
      <c r="O369" s="348"/>
      <c r="P369" s="348"/>
      <c r="Q369" s="348"/>
      <c r="R369" s="348"/>
      <c r="S369" s="348"/>
      <c r="T369" s="348"/>
      <c r="U369" s="348"/>
      <c r="V369" s="348"/>
      <c r="W369" s="348"/>
      <c r="X369" s="348"/>
      <c r="Y369" s="348"/>
      <c r="Z369" s="348"/>
    </row>
    <row r="370">
      <c r="A370" s="348"/>
      <c r="B370" s="348"/>
      <c r="C370" s="348"/>
      <c r="D370" s="348"/>
      <c r="E370" s="348"/>
      <c r="F370" s="348"/>
      <c r="G370" s="348"/>
      <c r="H370" s="348"/>
      <c r="I370" s="348"/>
      <c r="J370" s="348"/>
      <c r="K370" s="348"/>
      <c r="L370" s="348"/>
      <c r="M370" s="348"/>
      <c r="N370" s="348"/>
      <c r="O370" s="348"/>
      <c r="P370" s="348"/>
      <c r="Q370" s="348"/>
      <c r="R370" s="348"/>
      <c r="S370" s="348"/>
      <c r="T370" s="348"/>
      <c r="U370" s="348"/>
      <c r="V370" s="348"/>
      <c r="W370" s="348"/>
      <c r="X370" s="348"/>
      <c r="Y370" s="348"/>
      <c r="Z370" s="348"/>
    </row>
    <row r="371">
      <c r="A371" s="348"/>
      <c r="B371" s="348"/>
      <c r="C371" s="348"/>
      <c r="D371" s="348"/>
      <c r="E371" s="348"/>
      <c r="F371" s="348"/>
      <c r="G371" s="348"/>
      <c r="H371" s="348"/>
      <c r="I371" s="348"/>
      <c r="J371" s="348"/>
      <c r="K371" s="348"/>
      <c r="L371" s="348"/>
      <c r="M371" s="348"/>
      <c r="N371" s="348"/>
      <c r="O371" s="348"/>
      <c r="P371" s="348"/>
      <c r="Q371" s="348"/>
      <c r="R371" s="348"/>
      <c r="S371" s="348"/>
      <c r="T371" s="348"/>
      <c r="U371" s="348"/>
      <c r="V371" s="348"/>
      <c r="W371" s="348"/>
      <c r="X371" s="348"/>
      <c r="Y371" s="348"/>
      <c r="Z371" s="348"/>
    </row>
    <row r="372">
      <c r="A372" s="348"/>
      <c r="B372" s="348"/>
      <c r="C372" s="348"/>
      <c r="D372" s="348"/>
      <c r="E372" s="348"/>
      <c r="F372" s="348"/>
      <c r="G372" s="348"/>
      <c r="H372" s="348"/>
      <c r="I372" s="348"/>
      <c r="J372" s="348"/>
      <c r="K372" s="348"/>
      <c r="L372" s="348"/>
      <c r="M372" s="348"/>
      <c r="N372" s="348"/>
      <c r="O372" s="348"/>
      <c r="P372" s="348"/>
      <c r="Q372" s="348"/>
      <c r="R372" s="348"/>
      <c r="S372" s="348"/>
      <c r="T372" s="348"/>
      <c r="U372" s="348"/>
      <c r="V372" s="348"/>
      <c r="W372" s="348"/>
      <c r="X372" s="348"/>
      <c r="Y372" s="348"/>
      <c r="Z372" s="348"/>
    </row>
    <row r="373">
      <c r="A373" s="348"/>
      <c r="B373" s="348"/>
      <c r="C373" s="348"/>
      <c r="D373" s="348"/>
      <c r="E373" s="348"/>
      <c r="F373" s="348"/>
      <c r="G373" s="348"/>
      <c r="H373" s="348"/>
      <c r="I373" s="348"/>
      <c r="J373" s="348"/>
      <c r="K373" s="348"/>
      <c r="L373" s="348"/>
      <c r="M373" s="348"/>
      <c r="N373" s="348"/>
      <c r="O373" s="348"/>
      <c r="P373" s="348"/>
      <c r="Q373" s="348"/>
      <c r="R373" s="348"/>
      <c r="S373" s="348"/>
      <c r="T373" s="348"/>
      <c r="U373" s="348"/>
      <c r="V373" s="348"/>
      <c r="W373" s="348"/>
      <c r="X373" s="348"/>
      <c r="Y373" s="348"/>
      <c r="Z373" s="348"/>
    </row>
    <row r="374">
      <c r="A374" s="348"/>
      <c r="B374" s="348"/>
      <c r="C374" s="348"/>
      <c r="D374" s="348"/>
      <c r="E374" s="348"/>
      <c r="F374" s="348"/>
      <c r="G374" s="348"/>
      <c r="H374" s="348"/>
      <c r="I374" s="348"/>
      <c r="J374" s="348"/>
      <c r="K374" s="348"/>
      <c r="L374" s="348"/>
      <c r="M374" s="348"/>
      <c r="N374" s="348"/>
      <c r="O374" s="348"/>
      <c r="P374" s="348"/>
      <c r="Q374" s="348"/>
      <c r="R374" s="348"/>
      <c r="S374" s="348"/>
      <c r="T374" s="348"/>
      <c r="U374" s="348"/>
      <c r="V374" s="348"/>
      <c r="W374" s="348"/>
      <c r="X374" s="348"/>
      <c r="Y374" s="348"/>
      <c r="Z374" s="348"/>
    </row>
    <row r="375">
      <c r="A375" s="348"/>
      <c r="B375" s="348"/>
      <c r="C375" s="348"/>
      <c r="D375" s="348"/>
      <c r="E375" s="348"/>
      <c r="F375" s="348"/>
      <c r="G375" s="348"/>
      <c r="H375" s="348"/>
      <c r="I375" s="348"/>
      <c r="J375" s="348"/>
      <c r="K375" s="348"/>
      <c r="L375" s="348"/>
      <c r="M375" s="348"/>
      <c r="N375" s="348"/>
      <c r="O375" s="348"/>
      <c r="P375" s="348"/>
      <c r="Q375" s="348"/>
      <c r="R375" s="348"/>
      <c r="S375" s="348"/>
      <c r="T375" s="348"/>
      <c r="U375" s="348"/>
      <c r="V375" s="348"/>
      <c r="W375" s="348"/>
      <c r="X375" s="348"/>
      <c r="Y375" s="348"/>
      <c r="Z375" s="348"/>
    </row>
    <row r="376">
      <c r="A376" s="348"/>
      <c r="B376" s="348"/>
      <c r="C376" s="348"/>
      <c r="D376" s="348"/>
      <c r="E376" s="348"/>
      <c r="F376" s="348"/>
      <c r="G376" s="348"/>
      <c r="H376" s="348"/>
      <c r="I376" s="348"/>
      <c r="J376" s="348"/>
      <c r="K376" s="348"/>
      <c r="L376" s="348"/>
      <c r="M376" s="348"/>
      <c r="N376" s="348"/>
      <c r="O376" s="348"/>
      <c r="P376" s="348"/>
      <c r="Q376" s="348"/>
      <c r="R376" s="348"/>
      <c r="S376" s="348"/>
      <c r="T376" s="348"/>
      <c r="U376" s="348"/>
      <c r="V376" s="348"/>
      <c r="W376" s="348"/>
      <c r="X376" s="348"/>
      <c r="Y376" s="348"/>
      <c r="Z376" s="348"/>
    </row>
    <row r="377">
      <c r="A377" s="348"/>
      <c r="B377" s="348"/>
      <c r="C377" s="348"/>
      <c r="D377" s="348"/>
      <c r="E377" s="348"/>
      <c r="F377" s="348"/>
      <c r="G377" s="348"/>
      <c r="H377" s="348"/>
      <c r="I377" s="348"/>
      <c r="J377" s="348"/>
      <c r="K377" s="348"/>
      <c r="L377" s="348"/>
      <c r="M377" s="348"/>
      <c r="N377" s="348"/>
      <c r="O377" s="348"/>
      <c r="P377" s="348"/>
      <c r="Q377" s="348"/>
      <c r="R377" s="348"/>
      <c r="S377" s="348"/>
      <c r="T377" s="348"/>
      <c r="U377" s="348"/>
      <c r="V377" s="348"/>
      <c r="W377" s="348"/>
      <c r="X377" s="348"/>
      <c r="Y377" s="348"/>
      <c r="Z377" s="348"/>
    </row>
    <row r="378">
      <c r="A378" s="348"/>
      <c r="B378" s="348"/>
      <c r="C378" s="348"/>
      <c r="D378" s="348"/>
      <c r="E378" s="348"/>
      <c r="F378" s="348"/>
      <c r="G378" s="348"/>
      <c r="H378" s="348"/>
      <c r="I378" s="348"/>
      <c r="J378" s="348"/>
      <c r="K378" s="348"/>
      <c r="L378" s="348"/>
      <c r="M378" s="348"/>
      <c r="N378" s="348"/>
      <c r="O378" s="348"/>
      <c r="P378" s="348"/>
      <c r="Q378" s="348"/>
      <c r="R378" s="348"/>
      <c r="S378" s="348"/>
      <c r="T378" s="348"/>
      <c r="U378" s="348"/>
      <c r="V378" s="348"/>
      <c r="W378" s="348"/>
      <c r="X378" s="348"/>
      <c r="Y378" s="348"/>
      <c r="Z378" s="348"/>
    </row>
    <row r="379">
      <c r="A379" s="348"/>
      <c r="B379" s="348"/>
      <c r="C379" s="348"/>
      <c r="D379" s="348"/>
      <c r="E379" s="348"/>
      <c r="F379" s="348"/>
      <c r="G379" s="348"/>
      <c r="H379" s="348"/>
      <c r="I379" s="348"/>
      <c r="J379" s="348"/>
      <c r="K379" s="348"/>
      <c r="L379" s="348"/>
      <c r="M379" s="348"/>
      <c r="N379" s="348"/>
      <c r="O379" s="348"/>
      <c r="P379" s="348"/>
      <c r="Q379" s="348"/>
      <c r="R379" s="348"/>
      <c r="S379" s="348"/>
      <c r="T379" s="348"/>
      <c r="U379" s="348"/>
      <c r="V379" s="348"/>
      <c r="W379" s="348"/>
      <c r="X379" s="348"/>
      <c r="Y379" s="348"/>
      <c r="Z379" s="348"/>
    </row>
    <row r="380">
      <c r="A380" s="348"/>
      <c r="B380" s="348"/>
      <c r="C380" s="348"/>
      <c r="D380" s="348"/>
      <c r="E380" s="348"/>
      <c r="F380" s="348"/>
      <c r="G380" s="348"/>
      <c r="H380" s="348"/>
      <c r="I380" s="348"/>
      <c r="J380" s="348"/>
      <c r="K380" s="348"/>
      <c r="L380" s="348"/>
      <c r="M380" s="348"/>
      <c r="N380" s="348"/>
      <c r="O380" s="348"/>
      <c r="P380" s="348"/>
      <c r="Q380" s="348"/>
      <c r="R380" s="348"/>
      <c r="S380" s="348"/>
      <c r="T380" s="348"/>
      <c r="U380" s="348"/>
      <c r="V380" s="348"/>
      <c r="W380" s="348"/>
      <c r="X380" s="348"/>
      <c r="Y380" s="348"/>
      <c r="Z380" s="348"/>
    </row>
    <row r="381">
      <c r="A381" s="348"/>
      <c r="B381" s="348"/>
      <c r="C381" s="348"/>
      <c r="D381" s="348"/>
      <c r="E381" s="348"/>
      <c r="F381" s="348"/>
      <c r="G381" s="348"/>
      <c r="H381" s="348"/>
      <c r="I381" s="348"/>
      <c r="J381" s="348"/>
      <c r="K381" s="348"/>
      <c r="L381" s="348"/>
      <c r="M381" s="348"/>
      <c r="N381" s="348"/>
      <c r="O381" s="348"/>
      <c r="P381" s="348"/>
      <c r="Q381" s="348"/>
      <c r="R381" s="348"/>
      <c r="S381" s="348"/>
      <c r="T381" s="348"/>
      <c r="U381" s="348"/>
      <c r="V381" s="348"/>
      <c r="W381" s="348"/>
      <c r="X381" s="348"/>
      <c r="Y381" s="348"/>
      <c r="Z381" s="348"/>
    </row>
    <row r="382">
      <c r="A382" s="348"/>
      <c r="B382" s="348"/>
      <c r="C382" s="348"/>
      <c r="D382" s="348"/>
      <c r="E382" s="348"/>
      <c r="F382" s="348"/>
      <c r="G382" s="348"/>
      <c r="H382" s="348"/>
      <c r="I382" s="348"/>
      <c r="J382" s="348"/>
      <c r="K382" s="348"/>
      <c r="L382" s="348"/>
      <c r="M382" s="348"/>
      <c r="N382" s="348"/>
      <c r="O382" s="348"/>
      <c r="P382" s="348"/>
      <c r="Q382" s="348"/>
      <c r="R382" s="348"/>
      <c r="S382" s="348"/>
      <c r="T382" s="348"/>
      <c r="U382" s="348"/>
      <c r="V382" s="348"/>
      <c r="W382" s="348"/>
      <c r="X382" s="348"/>
      <c r="Y382" s="348"/>
      <c r="Z382" s="348"/>
    </row>
    <row r="383">
      <c r="A383" s="348"/>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row>
    <row r="384">
      <c r="A384" s="348"/>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row>
    <row r="385">
      <c r="A385" s="348"/>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row>
    <row r="386">
      <c r="A386" s="348"/>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row>
    <row r="387">
      <c r="A387" s="348"/>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row>
    <row r="388">
      <c r="A388" s="348"/>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row>
    <row r="389">
      <c r="A389" s="348"/>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row>
    <row r="390">
      <c r="A390" s="348"/>
      <c r="B390" s="348"/>
      <c r="C390" s="348"/>
      <c r="D390" s="348"/>
      <c r="E390" s="348"/>
      <c r="F390" s="348"/>
      <c r="G390" s="348"/>
      <c r="H390" s="348"/>
      <c r="I390" s="348"/>
      <c r="J390" s="348"/>
      <c r="K390" s="348"/>
      <c r="L390" s="348"/>
      <c r="M390" s="348"/>
      <c r="N390" s="348"/>
      <c r="O390" s="348"/>
      <c r="P390" s="348"/>
      <c r="Q390" s="348"/>
      <c r="R390" s="348"/>
      <c r="S390" s="348"/>
      <c r="T390" s="348"/>
      <c r="U390" s="348"/>
      <c r="V390" s="348"/>
      <c r="W390" s="348"/>
      <c r="X390" s="348"/>
      <c r="Y390" s="348"/>
      <c r="Z390" s="348"/>
    </row>
    <row r="391">
      <c r="A391" s="348"/>
      <c r="B391" s="348"/>
      <c r="C391" s="348"/>
      <c r="D391" s="348"/>
      <c r="E391" s="348"/>
      <c r="F391" s="348"/>
      <c r="G391" s="348"/>
      <c r="H391" s="348"/>
      <c r="I391" s="348"/>
      <c r="J391" s="348"/>
      <c r="K391" s="348"/>
      <c r="L391" s="348"/>
      <c r="M391" s="348"/>
      <c r="N391" s="348"/>
      <c r="O391" s="348"/>
      <c r="P391" s="348"/>
      <c r="Q391" s="348"/>
      <c r="R391" s="348"/>
      <c r="S391" s="348"/>
      <c r="T391" s="348"/>
      <c r="U391" s="348"/>
      <c r="V391" s="348"/>
      <c r="W391" s="348"/>
      <c r="X391" s="348"/>
      <c r="Y391" s="348"/>
      <c r="Z391" s="348"/>
    </row>
    <row r="392">
      <c r="A392" s="348"/>
      <c r="B392" s="348"/>
      <c r="C392" s="348"/>
      <c r="D392" s="348"/>
      <c r="E392" s="348"/>
      <c r="F392" s="348"/>
      <c r="G392" s="348"/>
      <c r="H392" s="348"/>
      <c r="I392" s="348"/>
      <c r="J392" s="348"/>
      <c r="K392" s="348"/>
      <c r="L392" s="348"/>
      <c r="M392" s="348"/>
      <c r="N392" s="348"/>
      <c r="O392" s="348"/>
      <c r="P392" s="348"/>
      <c r="Q392" s="348"/>
      <c r="R392" s="348"/>
      <c r="S392" s="348"/>
      <c r="T392" s="348"/>
      <c r="U392" s="348"/>
      <c r="V392" s="348"/>
      <c r="W392" s="348"/>
      <c r="X392" s="348"/>
      <c r="Y392" s="348"/>
      <c r="Z392" s="348"/>
    </row>
    <row r="393">
      <c r="A393" s="348"/>
      <c r="B393" s="348"/>
      <c r="C393" s="348"/>
      <c r="D393" s="348"/>
      <c r="E393" s="348"/>
      <c r="F393" s="348"/>
      <c r="G393" s="348"/>
      <c r="H393" s="348"/>
      <c r="I393" s="348"/>
      <c r="J393" s="348"/>
      <c r="K393" s="348"/>
      <c r="L393" s="348"/>
      <c r="M393" s="348"/>
      <c r="N393" s="348"/>
      <c r="O393" s="348"/>
      <c r="P393" s="348"/>
      <c r="Q393" s="348"/>
      <c r="R393" s="348"/>
      <c r="S393" s="348"/>
      <c r="T393" s="348"/>
      <c r="U393" s="348"/>
      <c r="V393" s="348"/>
      <c r="W393" s="348"/>
      <c r="X393" s="348"/>
      <c r="Y393" s="348"/>
      <c r="Z393" s="348"/>
    </row>
    <row r="394">
      <c r="A394" s="348"/>
      <c r="B394" s="348"/>
      <c r="C394" s="348"/>
      <c r="D394" s="348"/>
      <c r="E394" s="348"/>
      <c r="F394" s="348"/>
      <c r="G394" s="348"/>
      <c r="H394" s="348"/>
      <c r="I394" s="348"/>
      <c r="J394" s="348"/>
      <c r="K394" s="348"/>
      <c r="L394" s="348"/>
      <c r="M394" s="348"/>
      <c r="N394" s="348"/>
      <c r="O394" s="348"/>
      <c r="P394" s="348"/>
      <c r="Q394" s="348"/>
      <c r="R394" s="348"/>
      <c r="S394" s="348"/>
      <c r="T394" s="348"/>
      <c r="U394" s="348"/>
      <c r="V394" s="348"/>
      <c r="W394" s="348"/>
      <c r="X394" s="348"/>
      <c r="Y394" s="348"/>
      <c r="Z394" s="348"/>
    </row>
    <row r="395">
      <c r="A395" s="348"/>
      <c r="B395" s="348"/>
      <c r="C395" s="348"/>
      <c r="D395" s="348"/>
      <c r="E395" s="348"/>
      <c r="F395" s="348"/>
      <c r="G395" s="348"/>
      <c r="H395" s="348"/>
      <c r="I395" s="348"/>
      <c r="J395" s="348"/>
      <c r="K395" s="348"/>
      <c r="L395" s="348"/>
      <c r="M395" s="348"/>
      <c r="N395" s="348"/>
      <c r="O395" s="348"/>
      <c r="P395" s="348"/>
      <c r="Q395" s="348"/>
      <c r="R395" s="348"/>
      <c r="S395" s="348"/>
      <c r="T395" s="348"/>
      <c r="U395" s="348"/>
      <c r="V395" s="348"/>
      <c r="W395" s="348"/>
      <c r="X395" s="348"/>
      <c r="Y395" s="348"/>
      <c r="Z395" s="348"/>
    </row>
    <row r="396">
      <c r="A396" s="348"/>
      <c r="B396" s="348"/>
      <c r="C396" s="348"/>
      <c r="D396" s="348"/>
      <c r="E396" s="348"/>
      <c r="F396" s="348"/>
      <c r="G396" s="348"/>
      <c r="H396" s="348"/>
      <c r="I396" s="348"/>
      <c r="J396" s="348"/>
      <c r="K396" s="348"/>
      <c r="L396" s="348"/>
      <c r="M396" s="348"/>
      <c r="N396" s="348"/>
      <c r="O396" s="348"/>
      <c r="P396" s="348"/>
      <c r="Q396" s="348"/>
      <c r="R396" s="348"/>
      <c r="S396" s="348"/>
      <c r="T396" s="348"/>
      <c r="U396" s="348"/>
      <c r="V396" s="348"/>
      <c r="W396" s="348"/>
      <c r="X396" s="348"/>
      <c r="Y396" s="348"/>
      <c r="Z396" s="348"/>
    </row>
    <row r="397">
      <c r="A397" s="348"/>
      <c r="B397" s="348"/>
      <c r="C397" s="348"/>
      <c r="D397" s="348"/>
      <c r="E397" s="348"/>
      <c r="F397" s="348"/>
      <c r="G397" s="348"/>
      <c r="H397" s="348"/>
      <c r="I397" s="348"/>
      <c r="J397" s="348"/>
      <c r="K397" s="348"/>
      <c r="L397" s="348"/>
      <c r="M397" s="348"/>
      <c r="N397" s="348"/>
      <c r="O397" s="348"/>
      <c r="P397" s="348"/>
      <c r="Q397" s="348"/>
      <c r="R397" s="348"/>
      <c r="S397" s="348"/>
      <c r="T397" s="348"/>
      <c r="U397" s="348"/>
      <c r="V397" s="348"/>
      <c r="W397" s="348"/>
      <c r="X397" s="348"/>
      <c r="Y397" s="348"/>
      <c r="Z397" s="348"/>
    </row>
    <row r="398">
      <c r="A398" s="348"/>
      <c r="B398" s="348"/>
      <c r="C398" s="348"/>
      <c r="D398" s="348"/>
      <c r="E398" s="348"/>
      <c r="F398" s="348"/>
      <c r="G398" s="348"/>
      <c r="H398" s="348"/>
      <c r="I398" s="348"/>
      <c r="J398" s="348"/>
      <c r="K398" s="348"/>
      <c r="L398" s="348"/>
      <c r="M398" s="348"/>
      <c r="N398" s="348"/>
      <c r="O398" s="348"/>
      <c r="P398" s="348"/>
      <c r="Q398" s="348"/>
      <c r="R398" s="348"/>
      <c r="S398" s="348"/>
      <c r="T398" s="348"/>
      <c r="U398" s="348"/>
      <c r="V398" s="348"/>
      <c r="W398" s="348"/>
      <c r="X398" s="348"/>
      <c r="Y398" s="348"/>
      <c r="Z398" s="348"/>
    </row>
    <row r="399">
      <c r="A399" s="348"/>
      <c r="B399" s="348"/>
      <c r="C399" s="348"/>
      <c r="D399" s="348"/>
      <c r="E399" s="348"/>
      <c r="F399" s="348"/>
      <c r="G399" s="348"/>
      <c r="H399" s="348"/>
      <c r="I399" s="348"/>
      <c r="J399" s="348"/>
      <c r="K399" s="348"/>
      <c r="L399" s="348"/>
      <c r="M399" s="348"/>
      <c r="N399" s="348"/>
      <c r="O399" s="348"/>
      <c r="P399" s="348"/>
      <c r="Q399" s="348"/>
      <c r="R399" s="348"/>
      <c r="S399" s="348"/>
      <c r="T399" s="348"/>
      <c r="U399" s="348"/>
      <c r="V399" s="348"/>
      <c r="W399" s="348"/>
      <c r="X399" s="348"/>
      <c r="Y399" s="348"/>
      <c r="Z399" s="348"/>
    </row>
    <row r="400">
      <c r="A400" s="348"/>
      <c r="B400" s="348"/>
      <c r="C400" s="348"/>
      <c r="D400" s="348"/>
      <c r="E400" s="348"/>
      <c r="F400" s="348"/>
      <c r="G400" s="348"/>
      <c r="H400" s="348"/>
      <c r="I400" s="348"/>
      <c r="J400" s="348"/>
      <c r="K400" s="348"/>
      <c r="L400" s="348"/>
      <c r="M400" s="348"/>
      <c r="N400" s="348"/>
      <c r="O400" s="348"/>
      <c r="P400" s="348"/>
      <c r="Q400" s="348"/>
      <c r="R400" s="348"/>
      <c r="S400" s="348"/>
      <c r="T400" s="348"/>
      <c r="U400" s="348"/>
      <c r="V400" s="348"/>
      <c r="W400" s="348"/>
      <c r="X400" s="348"/>
      <c r="Y400" s="348"/>
      <c r="Z400" s="348"/>
    </row>
    <row r="401">
      <c r="A401" s="348"/>
      <c r="B401" s="348"/>
      <c r="C401" s="348"/>
      <c r="D401" s="348"/>
      <c r="E401" s="348"/>
      <c r="F401" s="348"/>
      <c r="G401" s="348"/>
      <c r="H401" s="348"/>
      <c r="I401" s="348"/>
      <c r="J401" s="348"/>
      <c r="K401" s="348"/>
      <c r="L401" s="348"/>
      <c r="M401" s="348"/>
      <c r="N401" s="348"/>
      <c r="O401" s="348"/>
      <c r="P401" s="348"/>
      <c r="Q401" s="348"/>
      <c r="R401" s="348"/>
      <c r="S401" s="348"/>
      <c r="T401" s="348"/>
      <c r="U401" s="348"/>
      <c r="V401" s="348"/>
      <c r="W401" s="348"/>
      <c r="X401" s="348"/>
      <c r="Y401" s="348"/>
      <c r="Z401" s="348"/>
    </row>
    <row r="402">
      <c r="A402" s="348"/>
      <c r="B402" s="348"/>
      <c r="C402" s="348"/>
      <c r="D402" s="348"/>
      <c r="E402" s="348"/>
      <c r="F402" s="348"/>
      <c r="G402" s="348"/>
      <c r="H402" s="348"/>
      <c r="I402" s="348"/>
      <c r="J402" s="348"/>
      <c r="K402" s="348"/>
      <c r="L402" s="348"/>
      <c r="M402" s="348"/>
      <c r="N402" s="348"/>
      <c r="O402" s="348"/>
      <c r="P402" s="348"/>
      <c r="Q402" s="348"/>
      <c r="R402" s="348"/>
      <c r="S402" s="348"/>
      <c r="T402" s="348"/>
      <c r="U402" s="348"/>
      <c r="V402" s="348"/>
      <c r="W402" s="348"/>
      <c r="X402" s="348"/>
      <c r="Y402" s="348"/>
      <c r="Z402" s="348"/>
    </row>
    <row r="403">
      <c r="A403" s="348"/>
      <c r="B403" s="348"/>
      <c r="C403" s="348"/>
      <c r="D403" s="348"/>
      <c r="E403" s="348"/>
      <c r="F403" s="348"/>
      <c r="G403" s="348"/>
      <c r="H403" s="348"/>
      <c r="I403" s="348"/>
      <c r="J403" s="348"/>
      <c r="K403" s="348"/>
      <c r="L403" s="348"/>
      <c r="M403" s="348"/>
      <c r="N403" s="348"/>
      <c r="O403" s="348"/>
      <c r="P403" s="348"/>
      <c r="Q403" s="348"/>
      <c r="R403" s="348"/>
      <c r="S403" s="348"/>
      <c r="T403" s="348"/>
      <c r="U403" s="348"/>
      <c r="V403" s="348"/>
      <c r="W403" s="348"/>
      <c r="X403" s="348"/>
      <c r="Y403" s="348"/>
      <c r="Z403" s="348"/>
    </row>
    <row r="404">
      <c r="A404" s="348"/>
      <c r="B404" s="348"/>
      <c r="C404" s="348"/>
      <c r="D404" s="348"/>
      <c r="E404" s="348"/>
      <c r="F404" s="348"/>
      <c r="G404" s="348"/>
      <c r="H404" s="348"/>
      <c r="I404" s="348"/>
      <c r="J404" s="348"/>
      <c r="K404" s="348"/>
      <c r="L404" s="348"/>
      <c r="M404" s="348"/>
      <c r="N404" s="348"/>
      <c r="O404" s="348"/>
      <c r="P404" s="348"/>
      <c r="Q404" s="348"/>
      <c r="R404" s="348"/>
      <c r="S404" s="348"/>
      <c r="T404" s="348"/>
      <c r="U404" s="348"/>
      <c r="V404" s="348"/>
      <c r="W404" s="348"/>
      <c r="X404" s="348"/>
      <c r="Y404" s="348"/>
      <c r="Z404" s="348"/>
    </row>
    <row r="405">
      <c r="A405" s="348"/>
      <c r="B405" s="348"/>
      <c r="C405" s="348"/>
      <c r="D405" s="348"/>
      <c r="E405" s="348"/>
      <c r="F405" s="348"/>
      <c r="G405" s="348"/>
      <c r="H405" s="348"/>
      <c r="I405" s="348"/>
      <c r="J405" s="348"/>
      <c r="K405" s="348"/>
      <c r="L405" s="348"/>
      <c r="M405" s="348"/>
      <c r="N405" s="348"/>
      <c r="O405" s="348"/>
      <c r="P405" s="348"/>
      <c r="Q405" s="348"/>
      <c r="R405" s="348"/>
      <c r="S405" s="348"/>
      <c r="T405" s="348"/>
      <c r="U405" s="348"/>
      <c r="V405" s="348"/>
      <c r="W405" s="348"/>
      <c r="X405" s="348"/>
      <c r="Y405" s="348"/>
      <c r="Z405" s="348"/>
    </row>
    <row r="406">
      <c r="A406" s="348"/>
      <c r="B406" s="348"/>
      <c r="C406" s="348"/>
      <c r="D406" s="348"/>
      <c r="E406" s="348"/>
      <c r="F406" s="348"/>
      <c r="G406" s="348"/>
      <c r="H406" s="348"/>
      <c r="I406" s="348"/>
      <c r="J406" s="348"/>
      <c r="K406" s="348"/>
      <c r="L406" s="348"/>
      <c r="M406" s="348"/>
      <c r="N406" s="348"/>
      <c r="O406" s="348"/>
      <c r="P406" s="348"/>
      <c r="Q406" s="348"/>
      <c r="R406" s="348"/>
      <c r="S406" s="348"/>
      <c r="T406" s="348"/>
      <c r="U406" s="348"/>
      <c r="V406" s="348"/>
      <c r="W406" s="348"/>
      <c r="X406" s="348"/>
      <c r="Y406" s="348"/>
      <c r="Z406" s="348"/>
    </row>
    <row r="407">
      <c r="A407" s="348"/>
      <c r="B407" s="348"/>
      <c r="C407" s="348"/>
      <c r="D407" s="348"/>
      <c r="E407" s="348"/>
      <c r="F407" s="348"/>
      <c r="G407" s="348"/>
      <c r="H407" s="348"/>
      <c r="I407" s="348"/>
      <c r="J407" s="348"/>
      <c r="K407" s="348"/>
      <c r="L407" s="348"/>
      <c r="M407" s="348"/>
      <c r="N407" s="348"/>
      <c r="O407" s="348"/>
      <c r="P407" s="348"/>
      <c r="Q407" s="348"/>
      <c r="R407" s="348"/>
      <c r="S407" s="348"/>
      <c r="T407" s="348"/>
      <c r="U407" s="348"/>
      <c r="V407" s="348"/>
      <c r="W407" s="348"/>
      <c r="X407" s="348"/>
      <c r="Y407" s="348"/>
      <c r="Z407" s="348"/>
    </row>
    <row r="408">
      <c r="A408" s="348"/>
      <c r="B408" s="348"/>
      <c r="C408" s="348"/>
      <c r="D408" s="348"/>
      <c r="E408" s="348"/>
      <c r="F408" s="348"/>
      <c r="G408" s="348"/>
      <c r="H408" s="348"/>
      <c r="I408" s="348"/>
      <c r="J408" s="348"/>
      <c r="K408" s="348"/>
      <c r="L408" s="348"/>
      <c r="M408" s="348"/>
      <c r="N408" s="348"/>
      <c r="O408" s="348"/>
      <c r="P408" s="348"/>
      <c r="Q408" s="348"/>
      <c r="R408" s="348"/>
      <c r="S408" s="348"/>
      <c r="T408" s="348"/>
      <c r="U408" s="348"/>
      <c r="V408" s="348"/>
      <c r="W408" s="348"/>
      <c r="X408" s="348"/>
      <c r="Y408" s="348"/>
      <c r="Z408" s="348"/>
    </row>
    <row r="409">
      <c r="A409" s="348"/>
      <c r="B409" s="348"/>
      <c r="C409" s="348"/>
      <c r="D409" s="348"/>
      <c r="E409" s="348"/>
      <c r="F409" s="348"/>
      <c r="G409" s="348"/>
      <c r="H409" s="348"/>
      <c r="I409" s="348"/>
      <c r="J409" s="348"/>
      <c r="K409" s="348"/>
      <c r="L409" s="348"/>
      <c r="M409" s="348"/>
      <c r="N409" s="348"/>
      <c r="O409" s="348"/>
      <c r="P409" s="348"/>
      <c r="Q409" s="348"/>
      <c r="R409" s="348"/>
      <c r="S409" s="348"/>
      <c r="T409" s="348"/>
      <c r="U409" s="348"/>
      <c r="V409" s="348"/>
      <c r="W409" s="348"/>
      <c r="X409" s="348"/>
      <c r="Y409" s="348"/>
      <c r="Z409" s="348"/>
    </row>
    <row r="410">
      <c r="A410" s="348"/>
      <c r="B410" s="348"/>
      <c r="C410" s="348"/>
      <c r="D410" s="348"/>
      <c r="E410" s="348"/>
      <c r="F410" s="348"/>
      <c r="G410" s="348"/>
      <c r="H410" s="348"/>
      <c r="I410" s="348"/>
      <c r="J410" s="348"/>
      <c r="K410" s="348"/>
      <c r="L410" s="348"/>
      <c r="M410" s="348"/>
      <c r="N410" s="348"/>
      <c r="O410" s="348"/>
      <c r="P410" s="348"/>
      <c r="Q410" s="348"/>
      <c r="R410" s="348"/>
      <c r="S410" s="348"/>
      <c r="T410" s="348"/>
      <c r="U410" s="348"/>
      <c r="V410" s="348"/>
      <c r="W410" s="348"/>
      <c r="X410" s="348"/>
      <c r="Y410" s="348"/>
      <c r="Z410" s="348"/>
    </row>
    <row r="411">
      <c r="A411" s="348"/>
      <c r="B411" s="348"/>
      <c r="C411" s="348"/>
      <c r="D411" s="348"/>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row>
    <row r="412">
      <c r="A412" s="348"/>
      <c r="B412" s="348"/>
      <c r="C412" s="348"/>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row>
    <row r="413">
      <c r="A413" s="348"/>
      <c r="B413" s="348"/>
      <c r="C413" s="348"/>
      <c r="D413" s="348"/>
      <c r="E413" s="348"/>
      <c r="F413" s="348"/>
      <c r="G413" s="348"/>
      <c r="H413" s="348"/>
      <c r="I413" s="348"/>
      <c r="J413" s="348"/>
      <c r="K413" s="348"/>
      <c r="L413" s="348"/>
      <c r="M413" s="348"/>
      <c r="N413" s="348"/>
      <c r="O413" s="348"/>
      <c r="P413" s="348"/>
      <c r="Q413" s="348"/>
      <c r="R413" s="348"/>
      <c r="S413" s="348"/>
      <c r="T413" s="348"/>
      <c r="U413" s="348"/>
      <c r="V413" s="348"/>
      <c r="W413" s="348"/>
      <c r="X413" s="348"/>
      <c r="Y413" s="348"/>
      <c r="Z413" s="348"/>
    </row>
    <row r="414">
      <c r="A414" s="348"/>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row>
    <row r="415">
      <c r="A415" s="348"/>
      <c r="B415" s="348"/>
      <c r="C415" s="348"/>
      <c r="D415" s="348"/>
      <c r="E415" s="348"/>
      <c r="F415" s="348"/>
      <c r="G415" s="348"/>
      <c r="H415" s="348"/>
      <c r="I415" s="348"/>
      <c r="J415" s="348"/>
      <c r="K415" s="348"/>
      <c r="L415" s="348"/>
      <c r="M415" s="348"/>
      <c r="N415" s="348"/>
      <c r="O415" s="348"/>
      <c r="P415" s="348"/>
      <c r="Q415" s="348"/>
      <c r="R415" s="348"/>
      <c r="S415" s="348"/>
      <c r="T415" s="348"/>
      <c r="U415" s="348"/>
      <c r="V415" s="348"/>
      <c r="W415" s="348"/>
      <c r="X415" s="348"/>
      <c r="Y415" s="348"/>
      <c r="Z415" s="348"/>
    </row>
    <row r="416">
      <c r="A416" s="348"/>
      <c r="B416" s="348"/>
      <c r="C416" s="348"/>
      <c r="D416" s="348"/>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row>
    <row r="417">
      <c r="A417" s="348"/>
      <c r="B417" s="348"/>
      <c r="C417" s="348"/>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row>
    <row r="418">
      <c r="A418" s="348"/>
      <c r="B418" s="348"/>
      <c r="C418" s="348"/>
      <c r="D418" s="348"/>
      <c r="E418" s="348"/>
      <c r="F418" s="348"/>
      <c r="G418" s="348"/>
      <c r="H418" s="348"/>
      <c r="I418" s="348"/>
      <c r="J418" s="348"/>
      <c r="K418" s="348"/>
      <c r="L418" s="348"/>
      <c r="M418" s="348"/>
      <c r="N418" s="348"/>
      <c r="O418" s="348"/>
      <c r="P418" s="348"/>
      <c r="Q418" s="348"/>
      <c r="R418" s="348"/>
      <c r="S418" s="348"/>
      <c r="T418" s="348"/>
      <c r="U418" s="348"/>
      <c r="V418" s="348"/>
      <c r="W418" s="348"/>
      <c r="X418" s="348"/>
      <c r="Y418" s="348"/>
      <c r="Z418" s="348"/>
    </row>
    <row r="419">
      <c r="A419" s="348"/>
      <c r="B419" s="348"/>
      <c r="C419" s="348"/>
      <c r="D419" s="348"/>
      <c r="E419" s="348"/>
      <c r="F419" s="348"/>
      <c r="G419" s="348"/>
      <c r="H419" s="348"/>
      <c r="I419" s="348"/>
      <c r="J419" s="348"/>
      <c r="K419" s="348"/>
      <c r="L419" s="348"/>
      <c r="M419" s="348"/>
      <c r="N419" s="348"/>
      <c r="O419" s="348"/>
      <c r="P419" s="348"/>
      <c r="Q419" s="348"/>
      <c r="R419" s="348"/>
      <c r="S419" s="348"/>
      <c r="T419" s="348"/>
      <c r="U419" s="348"/>
      <c r="V419" s="348"/>
      <c r="W419" s="348"/>
      <c r="X419" s="348"/>
      <c r="Y419" s="348"/>
      <c r="Z419" s="348"/>
    </row>
    <row r="420">
      <c r="A420" s="348"/>
      <c r="B420" s="348"/>
      <c r="C420" s="348"/>
      <c r="D420" s="348"/>
      <c r="E420" s="348"/>
      <c r="F420" s="348"/>
      <c r="G420" s="348"/>
      <c r="H420" s="348"/>
      <c r="I420" s="348"/>
      <c r="J420" s="348"/>
      <c r="K420" s="348"/>
      <c r="L420" s="348"/>
      <c r="M420" s="348"/>
      <c r="N420" s="348"/>
      <c r="O420" s="348"/>
      <c r="P420" s="348"/>
      <c r="Q420" s="348"/>
      <c r="R420" s="348"/>
      <c r="S420" s="348"/>
      <c r="T420" s="348"/>
      <c r="U420" s="348"/>
      <c r="V420" s="348"/>
      <c r="W420" s="348"/>
      <c r="X420" s="348"/>
      <c r="Y420" s="348"/>
      <c r="Z420" s="348"/>
    </row>
    <row r="421">
      <c r="A421" s="348"/>
      <c r="B421" s="348"/>
      <c r="C421" s="348"/>
      <c r="D421" s="348"/>
      <c r="E421" s="348"/>
      <c r="F421" s="348"/>
      <c r="G421" s="348"/>
      <c r="H421" s="348"/>
      <c r="I421" s="348"/>
      <c r="J421" s="348"/>
      <c r="K421" s="348"/>
      <c r="L421" s="348"/>
      <c r="M421" s="348"/>
      <c r="N421" s="348"/>
      <c r="O421" s="348"/>
      <c r="P421" s="348"/>
      <c r="Q421" s="348"/>
      <c r="R421" s="348"/>
      <c r="S421" s="348"/>
      <c r="T421" s="348"/>
      <c r="U421" s="348"/>
      <c r="V421" s="348"/>
      <c r="W421" s="348"/>
      <c r="X421" s="348"/>
      <c r="Y421" s="348"/>
      <c r="Z421" s="348"/>
    </row>
    <row r="422">
      <c r="A422" s="348"/>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row>
    <row r="423">
      <c r="A423" s="348"/>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row>
    <row r="424">
      <c r="A424" s="348"/>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row>
    <row r="425">
      <c r="A425" s="348"/>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row>
    <row r="426">
      <c r="A426" s="348"/>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row>
    <row r="427">
      <c r="A427" s="348"/>
      <c r="B427" s="348"/>
      <c r="C427" s="348"/>
      <c r="D427" s="348"/>
      <c r="E427" s="348"/>
      <c r="F427" s="348"/>
      <c r="G427" s="348"/>
      <c r="H427" s="348"/>
      <c r="I427" s="348"/>
      <c r="J427" s="348"/>
      <c r="K427" s="348"/>
      <c r="L427" s="348"/>
      <c r="M427" s="348"/>
      <c r="N427" s="348"/>
      <c r="O427" s="348"/>
      <c r="P427" s="348"/>
      <c r="Q427" s="348"/>
      <c r="R427" s="348"/>
      <c r="S427" s="348"/>
      <c r="T427" s="348"/>
      <c r="U427" s="348"/>
      <c r="V427" s="348"/>
      <c r="W427" s="348"/>
      <c r="X427" s="348"/>
      <c r="Y427" s="348"/>
      <c r="Z427" s="348"/>
    </row>
    <row r="428">
      <c r="A428" s="348"/>
      <c r="B428" s="348"/>
      <c r="C428" s="348"/>
      <c r="D428" s="348"/>
      <c r="E428" s="348"/>
      <c r="F428" s="348"/>
      <c r="G428" s="348"/>
      <c r="H428" s="348"/>
      <c r="I428" s="348"/>
      <c r="J428" s="348"/>
      <c r="K428" s="348"/>
      <c r="L428" s="348"/>
      <c r="M428" s="348"/>
      <c r="N428" s="348"/>
      <c r="O428" s="348"/>
      <c r="P428" s="348"/>
      <c r="Q428" s="348"/>
      <c r="R428" s="348"/>
      <c r="S428" s="348"/>
      <c r="T428" s="348"/>
      <c r="U428" s="348"/>
      <c r="V428" s="348"/>
      <c r="W428" s="348"/>
      <c r="X428" s="348"/>
      <c r="Y428" s="348"/>
      <c r="Z428" s="348"/>
    </row>
    <row r="429">
      <c r="A429" s="348"/>
      <c r="B429" s="348"/>
      <c r="C429" s="348"/>
      <c r="D429" s="348"/>
      <c r="E429" s="348"/>
      <c r="F429" s="348"/>
      <c r="G429" s="348"/>
      <c r="H429" s="348"/>
      <c r="I429" s="348"/>
      <c r="J429" s="348"/>
      <c r="K429" s="348"/>
      <c r="L429" s="348"/>
      <c r="M429" s="348"/>
      <c r="N429" s="348"/>
      <c r="O429" s="348"/>
      <c r="P429" s="348"/>
      <c r="Q429" s="348"/>
      <c r="R429" s="348"/>
      <c r="S429" s="348"/>
      <c r="T429" s="348"/>
      <c r="U429" s="348"/>
      <c r="V429" s="348"/>
      <c r="W429" s="348"/>
      <c r="X429" s="348"/>
      <c r="Y429" s="348"/>
      <c r="Z429" s="348"/>
    </row>
    <row r="430">
      <c r="A430" s="348"/>
      <c r="B430" s="348"/>
      <c r="C430" s="348"/>
      <c r="D430" s="348"/>
      <c r="E430" s="348"/>
      <c r="F430" s="348"/>
      <c r="G430" s="348"/>
      <c r="H430" s="348"/>
      <c r="I430" s="348"/>
      <c r="J430" s="348"/>
      <c r="K430" s="348"/>
      <c r="L430" s="348"/>
      <c r="M430" s="348"/>
      <c r="N430" s="348"/>
      <c r="O430" s="348"/>
      <c r="P430" s="348"/>
      <c r="Q430" s="348"/>
      <c r="R430" s="348"/>
      <c r="S430" s="348"/>
      <c r="T430" s="348"/>
      <c r="U430" s="348"/>
      <c r="V430" s="348"/>
      <c r="W430" s="348"/>
      <c r="X430" s="348"/>
      <c r="Y430" s="348"/>
      <c r="Z430" s="348"/>
    </row>
    <row r="431">
      <c r="A431" s="348"/>
      <c r="B431" s="348"/>
      <c r="C431" s="348"/>
      <c r="D431" s="348"/>
      <c r="E431" s="348"/>
      <c r="F431" s="348"/>
      <c r="G431" s="348"/>
      <c r="H431" s="348"/>
      <c r="I431" s="348"/>
      <c r="J431" s="348"/>
      <c r="K431" s="348"/>
      <c r="L431" s="348"/>
      <c r="M431" s="348"/>
      <c r="N431" s="348"/>
      <c r="O431" s="348"/>
      <c r="P431" s="348"/>
      <c r="Q431" s="348"/>
      <c r="R431" s="348"/>
      <c r="S431" s="348"/>
      <c r="T431" s="348"/>
      <c r="U431" s="348"/>
      <c r="V431" s="348"/>
      <c r="W431" s="348"/>
      <c r="X431" s="348"/>
      <c r="Y431" s="348"/>
      <c r="Z431" s="348"/>
    </row>
    <row r="432">
      <c r="A432" s="348"/>
      <c r="B432" s="348"/>
      <c r="C432" s="348"/>
      <c r="D432" s="348"/>
      <c r="E432" s="348"/>
      <c r="F432" s="348"/>
      <c r="G432" s="348"/>
      <c r="H432" s="348"/>
      <c r="I432" s="348"/>
      <c r="J432" s="348"/>
      <c r="K432" s="348"/>
      <c r="L432" s="348"/>
      <c r="M432" s="348"/>
      <c r="N432" s="348"/>
      <c r="O432" s="348"/>
      <c r="P432" s="348"/>
      <c r="Q432" s="348"/>
      <c r="R432" s="348"/>
      <c r="S432" s="348"/>
      <c r="T432" s="348"/>
      <c r="U432" s="348"/>
      <c r="V432" s="348"/>
      <c r="W432" s="348"/>
      <c r="X432" s="348"/>
      <c r="Y432" s="348"/>
      <c r="Z432" s="348"/>
    </row>
    <row r="433">
      <c r="A433" s="348"/>
      <c r="B433" s="348"/>
      <c r="C433" s="348"/>
      <c r="D433" s="348"/>
      <c r="E433" s="348"/>
      <c r="F433" s="348"/>
      <c r="G433" s="348"/>
      <c r="H433" s="348"/>
      <c r="I433" s="348"/>
      <c r="J433" s="348"/>
      <c r="K433" s="348"/>
      <c r="L433" s="348"/>
      <c r="M433" s="348"/>
      <c r="N433" s="348"/>
      <c r="O433" s="348"/>
      <c r="P433" s="348"/>
      <c r="Q433" s="348"/>
      <c r="R433" s="348"/>
      <c r="S433" s="348"/>
      <c r="T433" s="348"/>
      <c r="U433" s="348"/>
      <c r="V433" s="348"/>
      <c r="W433" s="348"/>
      <c r="X433" s="348"/>
      <c r="Y433" s="348"/>
      <c r="Z433" s="348"/>
    </row>
    <row r="434">
      <c r="A434" s="348"/>
      <c r="B434" s="348"/>
      <c r="C434" s="348"/>
      <c r="D434" s="348"/>
      <c r="E434" s="348"/>
      <c r="F434" s="348"/>
      <c r="G434" s="348"/>
      <c r="H434" s="348"/>
      <c r="I434" s="348"/>
      <c r="J434" s="348"/>
      <c r="K434" s="348"/>
      <c r="L434" s="348"/>
      <c r="M434" s="348"/>
      <c r="N434" s="348"/>
      <c r="O434" s="348"/>
      <c r="P434" s="348"/>
      <c r="Q434" s="348"/>
      <c r="R434" s="348"/>
      <c r="S434" s="348"/>
      <c r="T434" s="348"/>
      <c r="U434" s="348"/>
      <c r="V434" s="348"/>
      <c r="W434" s="348"/>
      <c r="X434" s="348"/>
      <c r="Y434" s="348"/>
      <c r="Z434" s="348"/>
    </row>
    <row r="435">
      <c r="A435" s="348"/>
      <c r="B435" s="348"/>
      <c r="C435" s="348"/>
      <c r="D435" s="348"/>
      <c r="E435" s="348"/>
      <c r="F435" s="348"/>
      <c r="G435" s="348"/>
      <c r="H435" s="348"/>
      <c r="I435" s="348"/>
      <c r="J435" s="348"/>
      <c r="K435" s="348"/>
      <c r="L435" s="348"/>
      <c r="M435" s="348"/>
      <c r="N435" s="348"/>
      <c r="O435" s="348"/>
      <c r="P435" s="348"/>
      <c r="Q435" s="348"/>
      <c r="R435" s="348"/>
      <c r="S435" s="348"/>
      <c r="T435" s="348"/>
      <c r="U435" s="348"/>
      <c r="V435" s="348"/>
      <c r="W435" s="348"/>
      <c r="X435" s="348"/>
      <c r="Y435" s="348"/>
      <c r="Z435" s="348"/>
    </row>
    <row r="436">
      <c r="A436" s="348"/>
      <c r="B436" s="348"/>
      <c r="C436" s="348"/>
      <c r="D436" s="348"/>
      <c r="E436" s="348"/>
      <c r="F436" s="348"/>
      <c r="G436" s="348"/>
      <c r="H436" s="348"/>
      <c r="I436" s="348"/>
      <c r="J436" s="348"/>
      <c r="K436" s="348"/>
      <c r="L436" s="348"/>
      <c r="M436" s="348"/>
      <c r="N436" s="348"/>
      <c r="O436" s="348"/>
      <c r="P436" s="348"/>
      <c r="Q436" s="348"/>
      <c r="R436" s="348"/>
      <c r="S436" s="348"/>
      <c r="T436" s="348"/>
      <c r="U436" s="348"/>
      <c r="V436" s="348"/>
      <c r="W436" s="348"/>
      <c r="X436" s="348"/>
      <c r="Y436" s="348"/>
      <c r="Z436" s="348"/>
    </row>
    <row r="437">
      <c r="A437" s="348"/>
      <c r="B437" s="348"/>
      <c r="C437" s="348"/>
      <c r="D437" s="348"/>
      <c r="E437" s="348"/>
      <c r="F437" s="348"/>
      <c r="G437" s="348"/>
      <c r="H437" s="348"/>
      <c r="I437" s="348"/>
      <c r="J437" s="348"/>
      <c r="K437" s="348"/>
      <c r="L437" s="348"/>
      <c r="M437" s="348"/>
      <c r="N437" s="348"/>
      <c r="O437" s="348"/>
      <c r="P437" s="348"/>
      <c r="Q437" s="348"/>
      <c r="R437" s="348"/>
      <c r="S437" s="348"/>
      <c r="T437" s="348"/>
      <c r="U437" s="348"/>
      <c r="V437" s="348"/>
      <c r="W437" s="348"/>
      <c r="X437" s="348"/>
      <c r="Y437" s="348"/>
      <c r="Z437" s="348"/>
    </row>
    <row r="438">
      <c r="A438" s="348"/>
      <c r="B438" s="348"/>
      <c r="C438" s="348"/>
      <c r="D438" s="348"/>
      <c r="E438" s="348"/>
      <c r="F438" s="348"/>
      <c r="G438" s="348"/>
      <c r="H438" s="348"/>
      <c r="I438" s="348"/>
      <c r="J438" s="348"/>
      <c r="K438" s="348"/>
      <c r="L438" s="348"/>
      <c r="M438" s="348"/>
      <c r="N438" s="348"/>
      <c r="O438" s="348"/>
      <c r="P438" s="348"/>
      <c r="Q438" s="348"/>
      <c r="R438" s="348"/>
      <c r="S438" s="348"/>
      <c r="T438" s="348"/>
      <c r="U438" s="348"/>
      <c r="V438" s="348"/>
      <c r="W438" s="348"/>
      <c r="X438" s="348"/>
      <c r="Y438" s="348"/>
      <c r="Z438" s="348"/>
    </row>
    <row r="439">
      <c r="A439" s="348"/>
      <c r="B439" s="348"/>
      <c r="C439" s="348"/>
      <c r="D439" s="348"/>
      <c r="E439" s="348"/>
      <c r="F439" s="348"/>
      <c r="G439" s="348"/>
      <c r="H439" s="348"/>
      <c r="I439" s="348"/>
      <c r="J439" s="348"/>
      <c r="K439" s="348"/>
      <c r="L439" s="348"/>
      <c r="M439" s="348"/>
      <c r="N439" s="348"/>
      <c r="O439" s="348"/>
      <c r="P439" s="348"/>
      <c r="Q439" s="348"/>
      <c r="R439" s="348"/>
      <c r="S439" s="348"/>
      <c r="T439" s="348"/>
      <c r="U439" s="348"/>
      <c r="V439" s="348"/>
      <c r="W439" s="348"/>
      <c r="X439" s="348"/>
      <c r="Y439" s="348"/>
      <c r="Z439" s="348"/>
    </row>
    <row r="440">
      <c r="A440" s="348"/>
      <c r="B440" s="348"/>
      <c r="C440" s="348"/>
      <c r="D440" s="348"/>
      <c r="E440" s="348"/>
      <c r="F440" s="348"/>
      <c r="G440" s="348"/>
      <c r="H440" s="348"/>
      <c r="I440" s="348"/>
      <c r="J440" s="348"/>
      <c r="K440" s="348"/>
      <c r="L440" s="348"/>
      <c r="M440" s="348"/>
      <c r="N440" s="348"/>
      <c r="O440" s="348"/>
      <c r="P440" s="348"/>
      <c r="Q440" s="348"/>
      <c r="R440" s="348"/>
      <c r="S440" s="348"/>
      <c r="T440" s="348"/>
      <c r="U440" s="348"/>
      <c r="V440" s="348"/>
      <c r="W440" s="348"/>
      <c r="X440" s="348"/>
      <c r="Y440" s="348"/>
      <c r="Z440" s="348"/>
    </row>
    <row r="441">
      <c r="A441" s="348"/>
      <c r="B441" s="348"/>
      <c r="C441" s="348"/>
      <c r="D441" s="348"/>
      <c r="E441" s="348"/>
      <c r="F441" s="348"/>
      <c r="G441" s="348"/>
      <c r="H441" s="348"/>
      <c r="I441" s="348"/>
      <c r="J441" s="348"/>
      <c r="K441" s="348"/>
      <c r="L441" s="348"/>
      <c r="M441" s="348"/>
      <c r="N441" s="348"/>
      <c r="O441" s="348"/>
      <c r="P441" s="348"/>
      <c r="Q441" s="348"/>
      <c r="R441" s="348"/>
      <c r="S441" s="348"/>
      <c r="T441" s="348"/>
      <c r="U441" s="348"/>
      <c r="V441" s="348"/>
      <c r="W441" s="348"/>
      <c r="X441" s="348"/>
      <c r="Y441" s="348"/>
      <c r="Z441" s="348"/>
    </row>
    <row r="442">
      <c r="A442" s="348"/>
      <c r="B442" s="348"/>
      <c r="C442" s="348"/>
      <c r="D442" s="348"/>
      <c r="E442" s="348"/>
      <c r="F442" s="348"/>
      <c r="G442" s="348"/>
      <c r="H442" s="348"/>
      <c r="I442" s="348"/>
      <c r="J442" s="348"/>
      <c r="K442" s="348"/>
      <c r="L442" s="348"/>
      <c r="M442" s="348"/>
      <c r="N442" s="348"/>
      <c r="O442" s="348"/>
      <c r="P442" s="348"/>
      <c r="Q442" s="348"/>
      <c r="R442" s="348"/>
      <c r="S442" s="348"/>
      <c r="T442" s="348"/>
      <c r="U442" s="348"/>
      <c r="V442" s="348"/>
      <c r="W442" s="348"/>
      <c r="X442" s="348"/>
      <c r="Y442" s="348"/>
      <c r="Z442" s="348"/>
    </row>
    <row r="443">
      <c r="A443" s="348"/>
      <c r="B443" s="348"/>
      <c r="C443" s="348"/>
      <c r="D443" s="348"/>
      <c r="E443" s="348"/>
      <c r="F443" s="348"/>
      <c r="G443" s="348"/>
      <c r="H443" s="348"/>
      <c r="I443" s="348"/>
      <c r="J443" s="348"/>
      <c r="K443" s="348"/>
      <c r="L443" s="348"/>
      <c r="M443" s="348"/>
      <c r="N443" s="348"/>
      <c r="O443" s="348"/>
      <c r="P443" s="348"/>
      <c r="Q443" s="348"/>
      <c r="R443" s="348"/>
      <c r="S443" s="348"/>
      <c r="T443" s="348"/>
      <c r="U443" s="348"/>
      <c r="V443" s="348"/>
      <c r="W443" s="348"/>
      <c r="X443" s="348"/>
      <c r="Y443" s="348"/>
      <c r="Z443" s="348"/>
    </row>
    <row r="444">
      <c r="A444" s="348"/>
      <c r="B444" s="348"/>
      <c r="C444" s="348"/>
      <c r="D444" s="348"/>
      <c r="E444" s="348"/>
      <c r="F444" s="348"/>
      <c r="G444" s="348"/>
      <c r="H444" s="348"/>
      <c r="I444" s="348"/>
      <c r="J444" s="348"/>
      <c r="K444" s="348"/>
      <c r="L444" s="348"/>
      <c r="M444" s="348"/>
      <c r="N444" s="348"/>
      <c r="O444" s="348"/>
      <c r="P444" s="348"/>
      <c r="Q444" s="348"/>
      <c r="R444" s="348"/>
      <c r="S444" s="348"/>
      <c r="T444" s="348"/>
      <c r="U444" s="348"/>
      <c r="V444" s="348"/>
      <c r="W444" s="348"/>
      <c r="X444" s="348"/>
      <c r="Y444" s="348"/>
      <c r="Z444" s="348"/>
    </row>
    <row r="445">
      <c r="A445" s="348"/>
      <c r="B445" s="348"/>
      <c r="C445" s="348"/>
      <c r="D445" s="348"/>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row>
    <row r="446">
      <c r="A446" s="348"/>
      <c r="B446" s="348"/>
      <c r="C446" s="348"/>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row>
    <row r="447">
      <c r="A447" s="348"/>
      <c r="B447" s="348"/>
      <c r="C447" s="348"/>
      <c r="D447" s="348"/>
      <c r="E447" s="348"/>
      <c r="F447" s="348"/>
      <c r="G447" s="348"/>
      <c r="H447" s="348"/>
      <c r="I447" s="348"/>
      <c r="J447" s="348"/>
      <c r="K447" s="348"/>
      <c r="L447" s="348"/>
      <c r="M447" s="348"/>
      <c r="N447" s="348"/>
      <c r="O447" s="348"/>
      <c r="P447" s="348"/>
      <c r="Q447" s="348"/>
      <c r="R447" s="348"/>
      <c r="S447" s="348"/>
      <c r="T447" s="348"/>
      <c r="U447" s="348"/>
      <c r="V447" s="348"/>
      <c r="W447" s="348"/>
      <c r="X447" s="348"/>
      <c r="Y447" s="348"/>
      <c r="Z447" s="348"/>
    </row>
    <row r="448">
      <c r="A448" s="348"/>
      <c r="B448" s="348"/>
      <c r="C448" s="348"/>
      <c r="D448" s="348"/>
      <c r="E448" s="348"/>
      <c r="F448" s="348"/>
      <c r="G448" s="348"/>
      <c r="H448" s="348"/>
      <c r="I448" s="348"/>
      <c r="J448" s="348"/>
      <c r="K448" s="348"/>
      <c r="L448" s="348"/>
      <c r="M448" s="348"/>
      <c r="N448" s="348"/>
      <c r="O448" s="348"/>
      <c r="P448" s="348"/>
      <c r="Q448" s="348"/>
      <c r="R448" s="348"/>
      <c r="S448" s="348"/>
      <c r="T448" s="348"/>
      <c r="U448" s="348"/>
      <c r="V448" s="348"/>
      <c r="W448" s="348"/>
      <c r="X448" s="348"/>
      <c r="Y448" s="348"/>
      <c r="Z448" s="348"/>
    </row>
    <row r="449">
      <c r="A449" s="348"/>
      <c r="B449" s="348"/>
      <c r="C449" s="348"/>
      <c r="D449" s="348"/>
      <c r="E449" s="348"/>
      <c r="F449" s="348"/>
      <c r="G449" s="348"/>
      <c r="H449" s="348"/>
      <c r="I449" s="348"/>
      <c r="J449" s="348"/>
      <c r="K449" s="348"/>
      <c r="L449" s="348"/>
      <c r="M449" s="348"/>
      <c r="N449" s="348"/>
      <c r="O449" s="348"/>
      <c r="P449" s="348"/>
      <c r="Q449" s="348"/>
      <c r="R449" s="348"/>
      <c r="S449" s="348"/>
      <c r="T449" s="348"/>
      <c r="U449" s="348"/>
      <c r="V449" s="348"/>
      <c r="W449" s="348"/>
      <c r="X449" s="348"/>
      <c r="Y449" s="348"/>
      <c r="Z449" s="348"/>
    </row>
    <row r="450">
      <c r="A450" s="348"/>
      <c r="B450" s="348"/>
      <c r="C450" s="348"/>
      <c r="D450" s="348"/>
      <c r="E450" s="348"/>
      <c r="F450" s="348"/>
      <c r="G450" s="348"/>
      <c r="H450" s="348"/>
      <c r="I450" s="348"/>
      <c r="J450" s="348"/>
      <c r="K450" s="348"/>
      <c r="L450" s="348"/>
      <c r="M450" s="348"/>
      <c r="N450" s="348"/>
      <c r="O450" s="348"/>
      <c r="P450" s="348"/>
      <c r="Q450" s="348"/>
      <c r="R450" s="348"/>
      <c r="S450" s="348"/>
      <c r="T450" s="348"/>
      <c r="U450" s="348"/>
      <c r="V450" s="348"/>
      <c r="W450" s="348"/>
      <c r="X450" s="348"/>
      <c r="Y450" s="348"/>
      <c r="Z450" s="348"/>
    </row>
    <row r="451">
      <c r="A451" s="348"/>
      <c r="B451" s="348"/>
      <c r="C451" s="348"/>
      <c r="D451" s="348"/>
      <c r="E451" s="348"/>
      <c r="F451" s="348"/>
      <c r="G451" s="348"/>
      <c r="H451" s="348"/>
      <c r="I451" s="348"/>
      <c r="J451" s="348"/>
      <c r="K451" s="348"/>
      <c r="L451" s="348"/>
      <c r="M451" s="348"/>
      <c r="N451" s="348"/>
      <c r="O451" s="348"/>
      <c r="P451" s="348"/>
      <c r="Q451" s="348"/>
      <c r="R451" s="348"/>
      <c r="S451" s="348"/>
      <c r="T451" s="348"/>
      <c r="U451" s="348"/>
      <c r="V451" s="348"/>
      <c r="W451" s="348"/>
      <c r="X451" s="348"/>
      <c r="Y451" s="348"/>
      <c r="Z451" s="348"/>
    </row>
    <row r="452">
      <c r="A452" s="348"/>
      <c r="B452" s="348"/>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row>
    <row r="453">
      <c r="A453" s="348"/>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row>
    <row r="454">
      <c r="A454" s="348"/>
      <c r="B454" s="348"/>
      <c r="C454" s="348"/>
      <c r="D454" s="348"/>
      <c r="E454" s="348"/>
      <c r="F454" s="348"/>
      <c r="G454" s="348"/>
      <c r="H454" s="348"/>
      <c r="I454" s="348"/>
      <c r="J454" s="348"/>
      <c r="K454" s="348"/>
      <c r="L454" s="348"/>
      <c r="M454" s="348"/>
      <c r="N454" s="348"/>
      <c r="O454" s="348"/>
      <c r="P454" s="348"/>
      <c r="Q454" s="348"/>
      <c r="R454" s="348"/>
      <c r="S454" s="348"/>
      <c r="T454" s="348"/>
      <c r="U454" s="348"/>
      <c r="V454" s="348"/>
      <c r="W454" s="348"/>
      <c r="X454" s="348"/>
      <c r="Y454" s="348"/>
      <c r="Z454" s="348"/>
    </row>
    <row r="455">
      <c r="A455" s="348"/>
      <c r="B455" s="348"/>
      <c r="C455" s="348"/>
      <c r="D455" s="348"/>
      <c r="E455" s="348"/>
      <c r="F455" s="348"/>
      <c r="G455" s="348"/>
      <c r="H455" s="348"/>
      <c r="I455" s="348"/>
      <c r="J455" s="348"/>
      <c r="K455" s="348"/>
      <c r="L455" s="348"/>
      <c r="M455" s="348"/>
      <c r="N455" s="348"/>
      <c r="O455" s="348"/>
      <c r="P455" s="348"/>
      <c r="Q455" s="348"/>
      <c r="R455" s="348"/>
      <c r="S455" s="348"/>
      <c r="T455" s="348"/>
      <c r="U455" s="348"/>
      <c r="V455" s="348"/>
      <c r="W455" s="348"/>
      <c r="X455" s="348"/>
      <c r="Y455" s="348"/>
      <c r="Z455" s="348"/>
    </row>
    <row r="456">
      <c r="A456" s="348"/>
      <c r="B456" s="348"/>
      <c r="C456" s="348"/>
      <c r="D456" s="348"/>
      <c r="E456" s="348"/>
      <c r="F456" s="348"/>
      <c r="G456" s="348"/>
      <c r="H456" s="348"/>
      <c r="I456" s="348"/>
      <c r="J456" s="348"/>
      <c r="K456" s="348"/>
      <c r="L456" s="348"/>
      <c r="M456" s="348"/>
      <c r="N456" s="348"/>
      <c r="O456" s="348"/>
      <c r="P456" s="348"/>
      <c r="Q456" s="348"/>
      <c r="R456" s="348"/>
      <c r="S456" s="348"/>
      <c r="T456" s="348"/>
      <c r="U456" s="348"/>
      <c r="V456" s="348"/>
      <c r="W456" s="348"/>
      <c r="X456" s="348"/>
      <c r="Y456" s="348"/>
      <c r="Z456" s="348"/>
    </row>
    <row r="457">
      <c r="A457" s="348"/>
      <c r="B457" s="348"/>
      <c r="C457" s="348"/>
      <c r="D457" s="348"/>
      <c r="E457" s="348"/>
      <c r="F457" s="348"/>
      <c r="G457" s="348"/>
      <c r="H457" s="348"/>
      <c r="I457" s="348"/>
      <c r="J457" s="348"/>
      <c r="K457" s="348"/>
      <c r="L457" s="348"/>
      <c r="M457" s="348"/>
      <c r="N457" s="348"/>
      <c r="O457" s="348"/>
      <c r="P457" s="348"/>
      <c r="Q457" s="348"/>
      <c r="R457" s="348"/>
      <c r="S457" s="348"/>
      <c r="T457" s="348"/>
      <c r="U457" s="348"/>
      <c r="V457" s="348"/>
      <c r="W457" s="348"/>
      <c r="X457" s="348"/>
      <c r="Y457" s="348"/>
      <c r="Z457" s="348"/>
    </row>
    <row r="458">
      <c r="A458" s="348"/>
      <c r="B458" s="348"/>
      <c r="C458" s="348"/>
      <c r="D458" s="348"/>
      <c r="E458" s="348"/>
      <c r="F458" s="348"/>
      <c r="G458" s="348"/>
      <c r="H458" s="348"/>
      <c r="I458" s="348"/>
      <c r="J458" s="348"/>
      <c r="K458" s="348"/>
      <c r="L458" s="348"/>
      <c r="M458" s="348"/>
      <c r="N458" s="348"/>
      <c r="O458" s="348"/>
      <c r="P458" s="348"/>
      <c r="Q458" s="348"/>
      <c r="R458" s="348"/>
      <c r="S458" s="348"/>
      <c r="T458" s="348"/>
      <c r="U458" s="348"/>
      <c r="V458" s="348"/>
      <c r="W458" s="348"/>
      <c r="X458" s="348"/>
      <c r="Y458" s="348"/>
      <c r="Z458" s="348"/>
    </row>
    <row r="459">
      <c r="A459" s="348"/>
      <c r="B459" s="348"/>
      <c r="C459" s="348"/>
      <c r="D459" s="348"/>
      <c r="E459" s="348"/>
      <c r="F459" s="348"/>
      <c r="G459" s="348"/>
      <c r="H459" s="348"/>
      <c r="I459" s="348"/>
      <c r="J459" s="348"/>
      <c r="K459" s="348"/>
      <c r="L459" s="348"/>
      <c r="M459" s="348"/>
      <c r="N459" s="348"/>
      <c r="O459" s="348"/>
      <c r="P459" s="348"/>
      <c r="Q459" s="348"/>
      <c r="R459" s="348"/>
      <c r="S459" s="348"/>
      <c r="T459" s="348"/>
      <c r="U459" s="348"/>
      <c r="V459" s="348"/>
      <c r="W459" s="348"/>
      <c r="X459" s="348"/>
      <c r="Y459" s="348"/>
      <c r="Z459" s="348"/>
    </row>
    <row r="460">
      <c r="A460" s="348"/>
      <c r="B460" s="348"/>
      <c r="C460" s="348"/>
      <c r="D460" s="348"/>
      <c r="E460" s="348"/>
      <c r="F460" s="348"/>
      <c r="G460" s="348"/>
      <c r="H460" s="348"/>
      <c r="I460" s="348"/>
      <c r="J460" s="348"/>
      <c r="K460" s="348"/>
      <c r="L460" s="348"/>
      <c r="M460" s="348"/>
      <c r="N460" s="348"/>
      <c r="O460" s="348"/>
      <c r="P460" s="348"/>
      <c r="Q460" s="348"/>
      <c r="R460" s="348"/>
      <c r="S460" s="348"/>
      <c r="T460" s="348"/>
      <c r="U460" s="348"/>
      <c r="V460" s="348"/>
      <c r="W460" s="348"/>
      <c r="X460" s="348"/>
      <c r="Y460" s="348"/>
      <c r="Z460" s="348"/>
    </row>
    <row r="461">
      <c r="A461" s="348"/>
      <c r="B461" s="348"/>
      <c r="C461" s="348"/>
      <c r="D461" s="348"/>
      <c r="E461" s="348"/>
      <c r="F461" s="348"/>
      <c r="G461" s="348"/>
      <c r="H461" s="348"/>
      <c r="I461" s="348"/>
      <c r="J461" s="348"/>
      <c r="K461" s="348"/>
      <c r="L461" s="348"/>
      <c r="M461" s="348"/>
      <c r="N461" s="348"/>
      <c r="O461" s="348"/>
      <c r="P461" s="348"/>
      <c r="Q461" s="348"/>
      <c r="R461" s="348"/>
      <c r="S461" s="348"/>
      <c r="T461" s="348"/>
      <c r="U461" s="348"/>
      <c r="V461" s="348"/>
      <c r="W461" s="348"/>
      <c r="X461" s="348"/>
      <c r="Y461" s="348"/>
      <c r="Z461" s="348"/>
    </row>
    <row r="462">
      <c r="A462" s="348"/>
      <c r="B462" s="348"/>
      <c r="C462" s="348"/>
      <c r="D462" s="348"/>
      <c r="E462" s="348"/>
      <c r="F462" s="348"/>
      <c r="G462" s="348"/>
      <c r="H462" s="348"/>
      <c r="I462" s="348"/>
      <c r="J462" s="348"/>
      <c r="K462" s="348"/>
      <c r="L462" s="348"/>
      <c r="M462" s="348"/>
      <c r="N462" s="348"/>
      <c r="O462" s="348"/>
      <c r="P462" s="348"/>
      <c r="Q462" s="348"/>
      <c r="R462" s="348"/>
      <c r="S462" s="348"/>
      <c r="T462" s="348"/>
      <c r="U462" s="348"/>
      <c r="V462" s="348"/>
      <c r="W462" s="348"/>
      <c r="X462" s="348"/>
      <c r="Y462" s="348"/>
      <c r="Z462" s="348"/>
    </row>
    <row r="463">
      <c r="A463" s="348"/>
      <c r="B463" s="348"/>
      <c r="C463" s="348"/>
      <c r="D463" s="348"/>
      <c r="E463" s="348"/>
      <c r="F463" s="348"/>
      <c r="G463" s="348"/>
      <c r="H463" s="348"/>
      <c r="I463" s="348"/>
      <c r="J463" s="348"/>
      <c r="K463" s="348"/>
      <c r="L463" s="348"/>
      <c r="M463" s="348"/>
      <c r="N463" s="348"/>
      <c r="O463" s="348"/>
      <c r="P463" s="348"/>
      <c r="Q463" s="348"/>
      <c r="R463" s="348"/>
      <c r="S463" s="348"/>
      <c r="T463" s="348"/>
      <c r="U463" s="348"/>
      <c r="V463" s="348"/>
      <c r="W463" s="348"/>
      <c r="X463" s="348"/>
      <c r="Y463" s="348"/>
      <c r="Z463" s="348"/>
    </row>
    <row r="464">
      <c r="A464" s="348"/>
      <c r="B464" s="348"/>
      <c r="C464" s="348"/>
      <c r="D464" s="348"/>
      <c r="E464" s="348"/>
      <c r="F464" s="348"/>
      <c r="G464" s="348"/>
      <c r="H464" s="348"/>
      <c r="I464" s="348"/>
      <c r="J464" s="348"/>
      <c r="K464" s="348"/>
      <c r="L464" s="348"/>
      <c r="M464" s="348"/>
      <c r="N464" s="348"/>
      <c r="O464" s="348"/>
      <c r="P464" s="348"/>
      <c r="Q464" s="348"/>
      <c r="R464" s="348"/>
      <c r="S464" s="348"/>
      <c r="T464" s="348"/>
      <c r="U464" s="348"/>
      <c r="V464" s="348"/>
      <c r="W464" s="348"/>
      <c r="X464" s="348"/>
      <c r="Y464" s="348"/>
      <c r="Z464" s="348"/>
    </row>
    <row r="465">
      <c r="A465" s="348"/>
      <c r="B465" s="348"/>
      <c r="C465" s="348"/>
      <c r="D465" s="348"/>
      <c r="E465" s="348"/>
      <c r="F465" s="348"/>
      <c r="G465" s="348"/>
      <c r="H465" s="348"/>
      <c r="I465" s="348"/>
      <c r="J465" s="348"/>
      <c r="K465" s="348"/>
      <c r="L465" s="348"/>
      <c r="M465" s="348"/>
      <c r="N465" s="348"/>
      <c r="O465" s="348"/>
      <c r="P465" s="348"/>
      <c r="Q465" s="348"/>
      <c r="R465" s="348"/>
      <c r="S465" s="348"/>
      <c r="T465" s="348"/>
      <c r="U465" s="348"/>
      <c r="V465" s="348"/>
      <c r="W465" s="348"/>
      <c r="X465" s="348"/>
      <c r="Y465" s="348"/>
      <c r="Z465" s="348"/>
    </row>
    <row r="466">
      <c r="A466" s="348"/>
      <c r="B466" s="348"/>
      <c r="C466" s="348"/>
      <c r="D466" s="348"/>
      <c r="E466" s="348"/>
      <c r="F466" s="348"/>
      <c r="G466" s="348"/>
      <c r="H466" s="348"/>
      <c r="I466" s="348"/>
      <c r="J466" s="348"/>
      <c r="K466" s="348"/>
      <c r="L466" s="348"/>
      <c r="M466" s="348"/>
      <c r="N466" s="348"/>
      <c r="O466" s="348"/>
      <c r="P466" s="348"/>
      <c r="Q466" s="348"/>
      <c r="R466" s="348"/>
      <c r="S466" s="348"/>
      <c r="T466" s="348"/>
      <c r="U466" s="348"/>
      <c r="V466" s="348"/>
      <c r="W466" s="348"/>
      <c r="X466" s="348"/>
      <c r="Y466" s="348"/>
      <c r="Z466" s="348"/>
    </row>
    <row r="467">
      <c r="A467" s="348"/>
      <c r="B467" s="348"/>
      <c r="C467" s="348"/>
      <c r="D467" s="348"/>
      <c r="E467" s="348"/>
      <c r="F467" s="348"/>
      <c r="G467" s="348"/>
      <c r="H467" s="348"/>
      <c r="I467" s="348"/>
      <c r="J467" s="348"/>
      <c r="K467" s="348"/>
      <c r="L467" s="348"/>
      <c r="M467" s="348"/>
      <c r="N467" s="348"/>
      <c r="O467" s="348"/>
      <c r="P467" s="348"/>
      <c r="Q467" s="348"/>
      <c r="R467" s="348"/>
      <c r="S467" s="348"/>
      <c r="T467" s="348"/>
      <c r="U467" s="348"/>
      <c r="V467" s="348"/>
      <c r="W467" s="348"/>
      <c r="X467" s="348"/>
      <c r="Y467" s="348"/>
      <c r="Z467" s="348"/>
    </row>
    <row r="468">
      <c r="A468" s="348"/>
      <c r="B468" s="348"/>
      <c r="C468" s="348"/>
      <c r="D468" s="348"/>
      <c r="E468" s="348"/>
      <c r="F468" s="348"/>
      <c r="G468" s="348"/>
      <c r="H468" s="348"/>
      <c r="I468" s="348"/>
      <c r="J468" s="348"/>
      <c r="K468" s="348"/>
      <c r="L468" s="348"/>
      <c r="M468" s="348"/>
      <c r="N468" s="348"/>
      <c r="O468" s="348"/>
      <c r="P468" s="348"/>
      <c r="Q468" s="348"/>
      <c r="R468" s="348"/>
      <c r="S468" s="348"/>
      <c r="T468" s="348"/>
      <c r="U468" s="348"/>
      <c r="V468" s="348"/>
      <c r="W468" s="348"/>
      <c r="X468" s="348"/>
      <c r="Y468" s="348"/>
      <c r="Z468" s="348"/>
    </row>
    <row r="469">
      <c r="A469" s="348"/>
      <c r="B469" s="348"/>
      <c r="C469" s="348"/>
      <c r="D469" s="348"/>
      <c r="E469" s="348"/>
      <c r="F469" s="348"/>
      <c r="G469" s="348"/>
      <c r="H469" s="348"/>
      <c r="I469" s="348"/>
      <c r="J469" s="348"/>
      <c r="K469" s="348"/>
      <c r="L469" s="348"/>
      <c r="M469" s="348"/>
      <c r="N469" s="348"/>
      <c r="O469" s="348"/>
      <c r="P469" s="348"/>
      <c r="Q469" s="348"/>
      <c r="R469" s="348"/>
      <c r="S469" s="348"/>
      <c r="T469" s="348"/>
      <c r="U469" s="348"/>
      <c r="V469" s="348"/>
      <c r="W469" s="348"/>
      <c r="X469" s="348"/>
      <c r="Y469" s="348"/>
      <c r="Z469" s="348"/>
    </row>
    <row r="470">
      <c r="A470" s="348"/>
      <c r="B470" s="348"/>
      <c r="C470" s="348"/>
      <c r="D470" s="348"/>
      <c r="E470" s="348"/>
      <c r="F470" s="348"/>
      <c r="G470" s="348"/>
      <c r="H470" s="348"/>
      <c r="I470" s="348"/>
      <c r="J470" s="348"/>
      <c r="K470" s="348"/>
      <c r="L470" s="348"/>
      <c r="M470" s="348"/>
      <c r="N470" s="348"/>
      <c r="O470" s="348"/>
      <c r="P470" s="348"/>
      <c r="Q470" s="348"/>
      <c r="R470" s="348"/>
      <c r="S470" s="348"/>
      <c r="T470" s="348"/>
      <c r="U470" s="348"/>
      <c r="V470" s="348"/>
      <c r="W470" s="348"/>
      <c r="X470" s="348"/>
      <c r="Y470" s="348"/>
      <c r="Z470" s="348"/>
    </row>
    <row r="471">
      <c r="A471" s="348"/>
      <c r="B471" s="348"/>
      <c r="C471" s="348"/>
      <c r="D471" s="348"/>
      <c r="E471" s="348"/>
      <c r="F471" s="348"/>
      <c r="G471" s="348"/>
      <c r="H471" s="348"/>
      <c r="I471" s="348"/>
      <c r="J471" s="348"/>
      <c r="K471" s="348"/>
      <c r="L471" s="348"/>
      <c r="M471" s="348"/>
      <c r="N471" s="348"/>
      <c r="O471" s="348"/>
      <c r="P471" s="348"/>
      <c r="Q471" s="348"/>
      <c r="R471" s="348"/>
      <c r="S471" s="348"/>
      <c r="T471" s="348"/>
      <c r="U471" s="348"/>
      <c r="V471" s="348"/>
      <c r="W471" s="348"/>
      <c r="X471" s="348"/>
      <c r="Y471" s="348"/>
      <c r="Z471" s="348"/>
    </row>
    <row r="472">
      <c r="A472" s="348"/>
      <c r="B472" s="348"/>
      <c r="C472" s="348"/>
      <c r="D472" s="348"/>
      <c r="E472" s="348"/>
      <c r="F472" s="348"/>
      <c r="G472" s="348"/>
      <c r="H472" s="348"/>
      <c r="I472" s="348"/>
      <c r="J472" s="348"/>
      <c r="K472" s="348"/>
      <c r="L472" s="348"/>
      <c r="M472" s="348"/>
      <c r="N472" s="348"/>
      <c r="O472" s="348"/>
      <c r="P472" s="348"/>
      <c r="Q472" s="348"/>
      <c r="R472" s="348"/>
      <c r="S472" s="348"/>
      <c r="T472" s="348"/>
      <c r="U472" s="348"/>
      <c r="V472" s="348"/>
      <c r="W472" s="348"/>
      <c r="X472" s="348"/>
      <c r="Y472" s="348"/>
      <c r="Z472" s="348"/>
    </row>
    <row r="473">
      <c r="A473" s="348"/>
      <c r="B473" s="348"/>
      <c r="C473" s="348"/>
      <c r="D473" s="348"/>
      <c r="E473" s="348"/>
      <c r="F473" s="348"/>
      <c r="G473" s="348"/>
      <c r="H473" s="348"/>
      <c r="I473" s="348"/>
      <c r="J473" s="348"/>
      <c r="K473" s="348"/>
      <c r="L473" s="348"/>
      <c r="M473" s="348"/>
      <c r="N473" s="348"/>
      <c r="O473" s="348"/>
      <c r="P473" s="348"/>
      <c r="Q473" s="348"/>
      <c r="R473" s="348"/>
      <c r="S473" s="348"/>
      <c r="T473" s="348"/>
      <c r="U473" s="348"/>
      <c r="V473" s="348"/>
      <c r="W473" s="348"/>
      <c r="X473" s="348"/>
      <c r="Y473" s="348"/>
      <c r="Z473" s="348"/>
    </row>
    <row r="474">
      <c r="A474" s="348"/>
      <c r="B474" s="348"/>
      <c r="C474" s="348"/>
      <c r="D474" s="348"/>
      <c r="E474" s="348"/>
      <c r="F474" s="348"/>
      <c r="G474" s="348"/>
      <c r="H474" s="348"/>
      <c r="I474" s="348"/>
      <c r="J474" s="348"/>
      <c r="K474" s="348"/>
      <c r="L474" s="348"/>
      <c r="M474" s="348"/>
      <c r="N474" s="348"/>
      <c r="O474" s="348"/>
      <c r="P474" s="348"/>
      <c r="Q474" s="348"/>
      <c r="R474" s="348"/>
      <c r="S474" s="348"/>
      <c r="T474" s="348"/>
      <c r="U474" s="348"/>
      <c r="V474" s="348"/>
      <c r="W474" s="348"/>
      <c r="X474" s="348"/>
      <c r="Y474" s="348"/>
      <c r="Z474" s="348"/>
    </row>
    <row r="475">
      <c r="A475" s="348"/>
      <c r="B475" s="348"/>
      <c r="C475" s="348"/>
      <c r="D475" s="348"/>
      <c r="E475" s="348"/>
      <c r="F475" s="348"/>
      <c r="G475" s="348"/>
      <c r="H475" s="348"/>
      <c r="I475" s="348"/>
      <c r="J475" s="348"/>
      <c r="K475" s="348"/>
      <c r="L475" s="348"/>
      <c r="M475" s="348"/>
      <c r="N475" s="348"/>
      <c r="O475" s="348"/>
      <c r="P475" s="348"/>
      <c r="Q475" s="348"/>
      <c r="R475" s="348"/>
      <c r="S475" s="348"/>
      <c r="T475" s="348"/>
      <c r="U475" s="348"/>
      <c r="V475" s="348"/>
      <c r="W475" s="348"/>
      <c r="X475" s="348"/>
      <c r="Y475" s="348"/>
      <c r="Z475" s="348"/>
    </row>
    <row r="476">
      <c r="A476" s="348"/>
      <c r="B476" s="348"/>
      <c r="C476" s="348"/>
      <c r="D476" s="348"/>
      <c r="E476" s="348"/>
      <c r="F476" s="348"/>
      <c r="G476" s="348"/>
      <c r="H476" s="348"/>
      <c r="I476" s="348"/>
      <c r="J476" s="348"/>
      <c r="K476" s="348"/>
      <c r="L476" s="348"/>
      <c r="M476" s="348"/>
      <c r="N476" s="348"/>
      <c r="O476" s="348"/>
      <c r="P476" s="348"/>
      <c r="Q476" s="348"/>
      <c r="R476" s="348"/>
      <c r="S476" s="348"/>
      <c r="T476" s="348"/>
      <c r="U476" s="348"/>
      <c r="V476" s="348"/>
      <c r="W476" s="348"/>
      <c r="X476" s="348"/>
      <c r="Y476" s="348"/>
      <c r="Z476" s="348"/>
    </row>
    <row r="477">
      <c r="A477" s="348"/>
      <c r="B477" s="348"/>
      <c r="C477" s="348"/>
      <c r="D477" s="348"/>
      <c r="E477" s="348"/>
      <c r="F477" s="348"/>
      <c r="G477" s="348"/>
      <c r="H477" s="348"/>
      <c r="I477" s="348"/>
      <c r="J477" s="348"/>
      <c r="K477" s="348"/>
      <c r="L477" s="348"/>
      <c r="M477" s="348"/>
      <c r="N477" s="348"/>
      <c r="O477" s="348"/>
      <c r="P477" s="348"/>
      <c r="Q477" s="348"/>
      <c r="R477" s="348"/>
      <c r="S477" s="348"/>
      <c r="T477" s="348"/>
      <c r="U477" s="348"/>
      <c r="V477" s="348"/>
      <c r="W477" s="348"/>
      <c r="X477" s="348"/>
      <c r="Y477" s="348"/>
      <c r="Z477" s="348"/>
    </row>
    <row r="478">
      <c r="A478" s="348"/>
      <c r="B478" s="348"/>
      <c r="C478" s="348"/>
      <c r="D478" s="348"/>
      <c r="E478" s="348"/>
      <c r="F478" s="348"/>
      <c r="G478" s="348"/>
      <c r="H478" s="348"/>
      <c r="I478" s="348"/>
      <c r="J478" s="348"/>
      <c r="K478" s="348"/>
      <c r="L478" s="348"/>
      <c r="M478" s="348"/>
      <c r="N478" s="348"/>
      <c r="O478" s="348"/>
      <c r="P478" s="348"/>
      <c r="Q478" s="348"/>
      <c r="R478" s="348"/>
      <c r="S478" s="348"/>
      <c r="T478" s="348"/>
      <c r="U478" s="348"/>
      <c r="V478" s="348"/>
      <c r="W478" s="348"/>
      <c r="X478" s="348"/>
      <c r="Y478" s="348"/>
      <c r="Z478" s="348"/>
    </row>
    <row r="479">
      <c r="A479" s="348"/>
      <c r="B479" s="348"/>
      <c r="C479" s="348"/>
      <c r="D479" s="348"/>
      <c r="E479" s="348"/>
      <c r="F479" s="348"/>
      <c r="G479" s="348"/>
      <c r="H479" s="348"/>
      <c r="I479" s="348"/>
      <c r="J479" s="348"/>
      <c r="K479" s="348"/>
      <c r="L479" s="348"/>
      <c r="M479" s="348"/>
      <c r="N479" s="348"/>
      <c r="O479" s="348"/>
      <c r="P479" s="348"/>
      <c r="Q479" s="348"/>
      <c r="R479" s="348"/>
      <c r="S479" s="348"/>
      <c r="T479" s="348"/>
      <c r="U479" s="348"/>
      <c r="V479" s="348"/>
      <c r="W479" s="348"/>
      <c r="X479" s="348"/>
      <c r="Y479" s="348"/>
      <c r="Z479" s="348"/>
    </row>
    <row r="480">
      <c r="A480" s="348"/>
      <c r="B480" s="348"/>
      <c r="C480" s="348"/>
      <c r="D480" s="348"/>
      <c r="E480" s="348"/>
      <c r="F480" s="348"/>
      <c r="G480" s="348"/>
      <c r="H480" s="348"/>
      <c r="I480" s="348"/>
      <c r="J480" s="348"/>
      <c r="K480" s="348"/>
      <c r="L480" s="348"/>
      <c r="M480" s="348"/>
      <c r="N480" s="348"/>
      <c r="O480" s="348"/>
      <c r="P480" s="348"/>
      <c r="Q480" s="348"/>
      <c r="R480" s="348"/>
      <c r="S480" s="348"/>
      <c r="T480" s="348"/>
      <c r="U480" s="348"/>
      <c r="V480" s="348"/>
      <c r="W480" s="348"/>
      <c r="X480" s="348"/>
      <c r="Y480" s="348"/>
      <c r="Z480" s="348"/>
    </row>
    <row r="481">
      <c r="A481" s="348"/>
      <c r="B481" s="348"/>
      <c r="C481" s="348"/>
      <c r="D481" s="348"/>
      <c r="E481" s="348"/>
      <c r="F481" s="348"/>
      <c r="G481" s="348"/>
      <c r="H481" s="348"/>
      <c r="I481" s="348"/>
      <c r="J481" s="348"/>
      <c r="K481" s="348"/>
      <c r="L481" s="348"/>
      <c r="M481" s="348"/>
      <c r="N481" s="348"/>
      <c r="O481" s="348"/>
      <c r="P481" s="348"/>
      <c r="Q481" s="348"/>
      <c r="R481" s="348"/>
      <c r="S481" s="348"/>
      <c r="T481" s="348"/>
      <c r="U481" s="348"/>
      <c r="V481" s="348"/>
      <c r="W481" s="348"/>
      <c r="X481" s="348"/>
      <c r="Y481" s="348"/>
      <c r="Z481" s="348"/>
    </row>
    <row r="482">
      <c r="A482" s="348"/>
      <c r="B482" s="348"/>
      <c r="C482" s="348"/>
      <c r="D482" s="348"/>
      <c r="E482" s="348"/>
      <c r="F482" s="348"/>
      <c r="G482" s="348"/>
      <c r="H482" s="348"/>
      <c r="I482" s="348"/>
      <c r="J482" s="348"/>
      <c r="K482" s="348"/>
      <c r="L482" s="348"/>
      <c r="M482" s="348"/>
      <c r="N482" s="348"/>
      <c r="O482" s="348"/>
      <c r="P482" s="348"/>
      <c r="Q482" s="348"/>
      <c r="R482" s="348"/>
      <c r="S482" s="348"/>
      <c r="T482" s="348"/>
      <c r="U482" s="348"/>
      <c r="V482" s="348"/>
      <c r="W482" s="348"/>
      <c r="X482" s="348"/>
      <c r="Y482" s="348"/>
      <c r="Z482" s="348"/>
    </row>
    <row r="483">
      <c r="A483" s="348"/>
      <c r="B483" s="348"/>
      <c r="C483" s="348"/>
      <c r="D483" s="348"/>
      <c r="E483" s="348"/>
      <c r="F483" s="348"/>
      <c r="G483" s="348"/>
      <c r="H483" s="348"/>
      <c r="I483" s="348"/>
      <c r="J483" s="348"/>
      <c r="K483" s="348"/>
      <c r="L483" s="348"/>
      <c r="M483" s="348"/>
      <c r="N483" s="348"/>
      <c r="O483" s="348"/>
      <c r="P483" s="348"/>
      <c r="Q483" s="348"/>
      <c r="R483" s="348"/>
      <c r="S483" s="348"/>
      <c r="T483" s="348"/>
      <c r="U483" s="348"/>
      <c r="V483" s="348"/>
      <c r="W483" s="348"/>
      <c r="X483" s="348"/>
      <c r="Y483" s="348"/>
      <c r="Z483" s="348"/>
    </row>
    <row r="484">
      <c r="A484" s="348"/>
      <c r="B484" s="348"/>
      <c r="C484" s="348"/>
      <c r="D484" s="348"/>
      <c r="E484" s="348"/>
      <c r="F484" s="348"/>
      <c r="G484" s="348"/>
      <c r="H484" s="348"/>
      <c r="I484" s="348"/>
      <c r="J484" s="348"/>
      <c r="K484" s="348"/>
      <c r="L484" s="348"/>
      <c r="M484" s="348"/>
      <c r="N484" s="348"/>
      <c r="O484" s="348"/>
      <c r="P484" s="348"/>
      <c r="Q484" s="348"/>
      <c r="R484" s="348"/>
      <c r="S484" s="348"/>
      <c r="T484" s="348"/>
      <c r="U484" s="348"/>
      <c r="V484" s="348"/>
      <c r="W484" s="348"/>
      <c r="X484" s="348"/>
      <c r="Y484" s="348"/>
      <c r="Z484" s="348"/>
    </row>
    <row r="485">
      <c r="A485" s="348"/>
      <c r="B485" s="348"/>
      <c r="C485" s="348"/>
      <c r="D485" s="348"/>
      <c r="E485" s="348"/>
      <c r="F485" s="348"/>
      <c r="G485" s="348"/>
      <c r="H485" s="348"/>
      <c r="I485" s="348"/>
      <c r="J485" s="348"/>
      <c r="K485" s="348"/>
      <c r="L485" s="348"/>
      <c r="M485" s="348"/>
      <c r="N485" s="348"/>
      <c r="O485" s="348"/>
      <c r="P485" s="348"/>
      <c r="Q485" s="348"/>
      <c r="R485" s="348"/>
      <c r="S485" s="348"/>
      <c r="T485" s="348"/>
      <c r="U485" s="348"/>
      <c r="V485" s="348"/>
      <c r="W485" s="348"/>
      <c r="X485" s="348"/>
      <c r="Y485" s="348"/>
      <c r="Z485" s="348"/>
    </row>
    <row r="486">
      <c r="A486" s="348"/>
      <c r="B486" s="348"/>
      <c r="C486" s="348"/>
      <c r="D486" s="348"/>
      <c r="E486" s="348"/>
      <c r="F486" s="348"/>
      <c r="G486" s="348"/>
      <c r="H486" s="348"/>
      <c r="I486" s="348"/>
      <c r="J486" s="348"/>
      <c r="K486" s="348"/>
      <c r="L486" s="348"/>
      <c r="M486" s="348"/>
      <c r="N486" s="348"/>
      <c r="O486" s="348"/>
      <c r="P486" s="348"/>
      <c r="Q486" s="348"/>
      <c r="R486" s="348"/>
      <c r="S486" s="348"/>
      <c r="T486" s="348"/>
      <c r="U486" s="348"/>
      <c r="V486" s="348"/>
      <c r="W486" s="348"/>
      <c r="X486" s="348"/>
      <c r="Y486" s="348"/>
      <c r="Z486" s="348"/>
    </row>
    <row r="487">
      <c r="A487" s="348"/>
      <c r="B487" s="348"/>
      <c r="C487" s="348"/>
      <c r="D487" s="348"/>
      <c r="E487" s="348"/>
      <c r="F487" s="348"/>
      <c r="G487" s="348"/>
      <c r="H487" s="348"/>
      <c r="I487" s="348"/>
      <c r="J487" s="348"/>
      <c r="K487" s="348"/>
      <c r="L487" s="348"/>
      <c r="M487" s="348"/>
      <c r="N487" s="348"/>
      <c r="O487" s="348"/>
      <c r="P487" s="348"/>
      <c r="Q487" s="348"/>
      <c r="R487" s="348"/>
      <c r="S487" s="348"/>
      <c r="T487" s="348"/>
      <c r="U487" s="348"/>
      <c r="V487" s="348"/>
      <c r="W487" s="348"/>
      <c r="X487" s="348"/>
      <c r="Y487" s="348"/>
      <c r="Z487" s="348"/>
    </row>
    <row r="488">
      <c r="A488" s="348"/>
      <c r="B488" s="348"/>
      <c r="C488" s="348"/>
      <c r="D488" s="348"/>
      <c r="E488" s="348"/>
      <c r="F488" s="348"/>
      <c r="G488" s="348"/>
      <c r="H488" s="348"/>
      <c r="I488" s="348"/>
      <c r="J488" s="348"/>
      <c r="K488" s="348"/>
      <c r="L488" s="348"/>
      <c r="M488" s="348"/>
      <c r="N488" s="348"/>
      <c r="O488" s="348"/>
      <c r="P488" s="348"/>
      <c r="Q488" s="348"/>
      <c r="R488" s="348"/>
      <c r="S488" s="348"/>
      <c r="T488" s="348"/>
      <c r="U488" s="348"/>
      <c r="V488" s="348"/>
      <c r="W488" s="348"/>
      <c r="X488" s="348"/>
      <c r="Y488" s="348"/>
      <c r="Z488" s="348"/>
    </row>
    <row r="489">
      <c r="A489" s="348"/>
      <c r="B489" s="348"/>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row>
    <row r="490">
      <c r="A490" s="348"/>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row>
    <row r="491">
      <c r="A491" s="348"/>
      <c r="B491" s="348"/>
      <c r="C491" s="348"/>
      <c r="D491" s="348"/>
      <c r="E491" s="348"/>
      <c r="F491" s="348"/>
      <c r="G491" s="348"/>
      <c r="H491" s="348"/>
      <c r="I491" s="348"/>
      <c r="J491" s="348"/>
      <c r="K491" s="348"/>
      <c r="L491" s="348"/>
      <c r="M491" s="348"/>
      <c r="N491" s="348"/>
      <c r="O491" s="348"/>
      <c r="P491" s="348"/>
      <c r="Q491" s="348"/>
      <c r="R491" s="348"/>
      <c r="S491" s="348"/>
      <c r="T491" s="348"/>
      <c r="U491" s="348"/>
      <c r="V491" s="348"/>
      <c r="W491" s="348"/>
      <c r="X491" s="348"/>
      <c r="Y491" s="348"/>
      <c r="Z491" s="348"/>
    </row>
    <row r="492">
      <c r="A492" s="348"/>
      <c r="B492" s="348"/>
      <c r="C492" s="348"/>
      <c r="D492" s="348"/>
      <c r="E492" s="348"/>
      <c r="F492" s="348"/>
      <c r="G492" s="348"/>
      <c r="H492" s="348"/>
      <c r="I492" s="348"/>
      <c r="J492" s="348"/>
      <c r="K492" s="348"/>
      <c r="L492" s="348"/>
      <c r="M492" s="348"/>
      <c r="N492" s="348"/>
      <c r="O492" s="348"/>
      <c r="P492" s="348"/>
      <c r="Q492" s="348"/>
      <c r="R492" s="348"/>
      <c r="S492" s="348"/>
      <c r="T492" s="348"/>
      <c r="U492" s="348"/>
      <c r="V492" s="348"/>
      <c r="W492" s="348"/>
      <c r="X492" s="348"/>
      <c r="Y492" s="348"/>
      <c r="Z492" s="348"/>
    </row>
    <row r="493">
      <c r="A493" s="348"/>
      <c r="B493" s="348"/>
      <c r="C493" s="348"/>
      <c r="D493" s="348"/>
      <c r="E493" s="348"/>
      <c r="F493" s="348"/>
      <c r="G493" s="348"/>
      <c r="H493" s="348"/>
      <c r="I493" s="348"/>
      <c r="J493" s="348"/>
      <c r="K493" s="348"/>
      <c r="L493" s="348"/>
      <c r="M493" s="348"/>
      <c r="N493" s="348"/>
      <c r="O493" s="348"/>
      <c r="P493" s="348"/>
      <c r="Q493" s="348"/>
      <c r="R493" s="348"/>
      <c r="S493" s="348"/>
      <c r="T493" s="348"/>
      <c r="U493" s="348"/>
      <c r="V493" s="348"/>
      <c r="W493" s="348"/>
      <c r="X493" s="348"/>
      <c r="Y493" s="348"/>
      <c r="Z493" s="348"/>
    </row>
    <row r="494">
      <c r="A494" s="348"/>
      <c r="B494" s="348"/>
      <c r="C494" s="348"/>
      <c r="D494" s="348"/>
      <c r="E494" s="348"/>
      <c r="F494" s="348"/>
      <c r="G494" s="348"/>
      <c r="H494" s="348"/>
      <c r="I494" s="348"/>
      <c r="J494" s="348"/>
      <c r="K494" s="348"/>
      <c r="L494" s="348"/>
      <c r="M494" s="348"/>
      <c r="N494" s="348"/>
      <c r="O494" s="348"/>
      <c r="P494" s="348"/>
      <c r="Q494" s="348"/>
      <c r="R494" s="348"/>
      <c r="S494" s="348"/>
      <c r="T494" s="348"/>
      <c r="U494" s="348"/>
      <c r="V494" s="348"/>
      <c r="W494" s="348"/>
      <c r="X494" s="348"/>
      <c r="Y494" s="348"/>
      <c r="Z494" s="348"/>
    </row>
    <row r="495">
      <c r="A495" s="348"/>
      <c r="B495" s="348"/>
      <c r="C495" s="348"/>
      <c r="D495" s="348"/>
      <c r="E495" s="348"/>
      <c r="F495" s="348"/>
      <c r="G495" s="348"/>
      <c r="H495" s="348"/>
      <c r="I495" s="348"/>
      <c r="J495" s="348"/>
      <c r="K495" s="348"/>
      <c r="L495" s="348"/>
      <c r="M495" s="348"/>
      <c r="N495" s="348"/>
      <c r="O495" s="348"/>
      <c r="P495" s="348"/>
      <c r="Q495" s="348"/>
      <c r="R495" s="348"/>
      <c r="S495" s="348"/>
      <c r="T495" s="348"/>
      <c r="U495" s="348"/>
      <c r="V495" s="348"/>
      <c r="W495" s="348"/>
      <c r="X495" s="348"/>
      <c r="Y495" s="348"/>
      <c r="Z495" s="348"/>
    </row>
    <row r="496">
      <c r="A496" s="348"/>
      <c r="B496" s="348"/>
      <c r="C496" s="348"/>
      <c r="D496" s="348"/>
      <c r="E496" s="348"/>
      <c r="F496" s="348"/>
      <c r="G496" s="348"/>
      <c r="H496" s="348"/>
      <c r="I496" s="348"/>
      <c r="J496" s="348"/>
      <c r="K496" s="348"/>
      <c r="L496" s="348"/>
      <c r="M496" s="348"/>
      <c r="N496" s="348"/>
      <c r="O496" s="348"/>
      <c r="P496" s="348"/>
      <c r="Q496" s="348"/>
      <c r="R496" s="348"/>
      <c r="S496" s="348"/>
      <c r="T496" s="348"/>
      <c r="U496" s="348"/>
      <c r="V496" s="348"/>
      <c r="W496" s="348"/>
      <c r="X496" s="348"/>
      <c r="Y496" s="348"/>
      <c r="Z496" s="348"/>
    </row>
    <row r="497">
      <c r="A497" s="348"/>
      <c r="B497" s="348"/>
      <c r="C497" s="348"/>
      <c r="D497" s="348"/>
      <c r="E497" s="348"/>
      <c r="F497" s="348"/>
      <c r="G497" s="348"/>
      <c r="H497" s="348"/>
      <c r="I497" s="348"/>
      <c r="J497" s="348"/>
      <c r="K497" s="348"/>
      <c r="L497" s="348"/>
      <c r="M497" s="348"/>
      <c r="N497" s="348"/>
      <c r="O497" s="348"/>
      <c r="P497" s="348"/>
      <c r="Q497" s="348"/>
      <c r="R497" s="348"/>
      <c r="S497" s="348"/>
      <c r="T497" s="348"/>
      <c r="U497" s="348"/>
      <c r="V497" s="348"/>
      <c r="W497" s="348"/>
      <c r="X497" s="348"/>
      <c r="Y497" s="348"/>
      <c r="Z497" s="348"/>
    </row>
    <row r="498">
      <c r="A498" s="348"/>
      <c r="B498" s="348"/>
      <c r="C498" s="348"/>
      <c r="D498" s="348"/>
      <c r="E498" s="348"/>
      <c r="F498" s="348"/>
      <c r="G498" s="348"/>
      <c r="H498" s="348"/>
      <c r="I498" s="348"/>
      <c r="J498" s="348"/>
      <c r="K498" s="348"/>
      <c r="L498" s="348"/>
      <c r="M498" s="348"/>
      <c r="N498" s="348"/>
      <c r="O498" s="348"/>
      <c r="P498" s="348"/>
      <c r="Q498" s="348"/>
      <c r="R498" s="348"/>
      <c r="S498" s="348"/>
      <c r="T498" s="348"/>
      <c r="U498" s="348"/>
      <c r="V498" s="348"/>
      <c r="W498" s="348"/>
      <c r="X498" s="348"/>
      <c r="Y498" s="348"/>
      <c r="Z498" s="348"/>
    </row>
    <row r="499">
      <c r="A499" s="348"/>
      <c r="B499" s="348"/>
      <c r="C499" s="348"/>
      <c r="D499" s="348"/>
      <c r="E499" s="348"/>
      <c r="F499" s="348"/>
      <c r="G499" s="348"/>
      <c r="H499" s="348"/>
      <c r="I499" s="348"/>
      <c r="J499" s="348"/>
      <c r="K499" s="348"/>
      <c r="L499" s="348"/>
      <c r="M499" s="348"/>
      <c r="N499" s="348"/>
      <c r="O499" s="348"/>
      <c r="P499" s="348"/>
      <c r="Q499" s="348"/>
      <c r="R499" s="348"/>
      <c r="S499" s="348"/>
      <c r="T499" s="348"/>
      <c r="U499" s="348"/>
      <c r="V499" s="348"/>
      <c r="W499" s="348"/>
      <c r="X499" s="348"/>
      <c r="Y499" s="348"/>
      <c r="Z499" s="348"/>
    </row>
    <row r="500">
      <c r="A500" s="348"/>
      <c r="B500" s="348"/>
      <c r="C500" s="348"/>
      <c r="D500" s="348"/>
      <c r="E500" s="348"/>
      <c r="F500" s="348"/>
      <c r="G500" s="348"/>
      <c r="H500" s="348"/>
      <c r="I500" s="348"/>
      <c r="J500" s="348"/>
      <c r="K500" s="348"/>
      <c r="L500" s="348"/>
      <c r="M500" s="348"/>
      <c r="N500" s="348"/>
      <c r="O500" s="348"/>
      <c r="P500" s="348"/>
      <c r="Q500" s="348"/>
      <c r="R500" s="348"/>
      <c r="S500" s="348"/>
      <c r="T500" s="348"/>
      <c r="U500" s="348"/>
      <c r="V500" s="348"/>
      <c r="W500" s="348"/>
      <c r="X500" s="348"/>
      <c r="Y500" s="348"/>
      <c r="Z500" s="348"/>
    </row>
    <row r="501">
      <c r="A501" s="348"/>
      <c r="B501" s="348"/>
      <c r="C501" s="348"/>
      <c r="D501" s="348"/>
      <c r="E501" s="348"/>
      <c r="F501" s="348"/>
      <c r="G501" s="348"/>
      <c r="H501" s="348"/>
      <c r="I501" s="348"/>
      <c r="J501" s="348"/>
      <c r="K501" s="348"/>
      <c r="L501" s="348"/>
      <c r="M501" s="348"/>
      <c r="N501" s="348"/>
      <c r="O501" s="348"/>
      <c r="P501" s="348"/>
      <c r="Q501" s="348"/>
      <c r="R501" s="348"/>
      <c r="S501" s="348"/>
      <c r="T501" s="348"/>
      <c r="U501" s="348"/>
      <c r="V501" s="348"/>
      <c r="W501" s="348"/>
      <c r="X501" s="348"/>
      <c r="Y501" s="348"/>
      <c r="Z501" s="348"/>
    </row>
    <row r="502">
      <c r="A502" s="348"/>
      <c r="B502" s="348"/>
      <c r="C502" s="348"/>
      <c r="D502" s="348"/>
      <c r="E502" s="348"/>
      <c r="F502" s="348"/>
      <c r="G502" s="348"/>
      <c r="H502" s="348"/>
      <c r="I502" s="348"/>
      <c r="J502" s="348"/>
      <c r="K502" s="348"/>
      <c r="L502" s="348"/>
      <c r="M502" s="348"/>
      <c r="N502" s="348"/>
      <c r="O502" s="348"/>
      <c r="P502" s="348"/>
      <c r="Q502" s="348"/>
      <c r="R502" s="348"/>
      <c r="S502" s="348"/>
      <c r="T502" s="348"/>
      <c r="U502" s="348"/>
      <c r="V502" s="348"/>
      <c r="W502" s="348"/>
      <c r="X502" s="348"/>
      <c r="Y502" s="348"/>
      <c r="Z502" s="348"/>
    </row>
    <row r="503">
      <c r="A503" s="348"/>
      <c r="B503" s="348"/>
      <c r="C503" s="348"/>
      <c r="D503" s="348"/>
      <c r="E503" s="348"/>
      <c r="F503" s="348"/>
      <c r="G503" s="348"/>
      <c r="H503" s="348"/>
      <c r="I503" s="348"/>
      <c r="J503" s="348"/>
      <c r="K503" s="348"/>
      <c r="L503" s="348"/>
      <c r="M503" s="348"/>
      <c r="N503" s="348"/>
      <c r="O503" s="348"/>
      <c r="P503" s="348"/>
      <c r="Q503" s="348"/>
      <c r="R503" s="348"/>
      <c r="S503" s="348"/>
      <c r="T503" s="348"/>
      <c r="U503" s="348"/>
      <c r="V503" s="348"/>
      <c r="W503" s="348"/>
      <c r="X503" s="348"/>
      <c r="Y503" s="348"/>
      <c r="Z503" s="348"/>
    </row>
    <row r="504">
      <c r="A504" s="348"/>
      <c r="B504" s="348"/>
      <c r="C504" s="348"/>
      <c r="D504" s="348"/>
      <c r="E504" s="348"/>
      <c r="F504" s="348"/>
      <c r="G504" s="348"/>
      <c r="H504" s="348"/>
      <c r="I504" s="348"/>
      <c r="J504" s="348"/>
      <c r="K504" s="348"/>
      <c r="L504" s="348"/>
      <c r="M504" s="348"/>
      <c r="N504" s="348"/>
      <c r="O504" s="348"/>
      <c r="P504" s="348"/>
      <c r="Q504" s="348"/>
      <c r="R504" s="348"/>
      <c r="S504" s="348"/>
      <c r="T504" s="348"/>
      <c r="U504" s="348"/>
      <c r="V504" s="348"/>
      <c r="W504" s="348"/>
      <c r="X504" s="348"/>
      <c r="Y504" s="348"/>
      <c r="Z504" s="348"/>
    </row>
    <row r="505">
      <c r="A505" s="348"/>
      <c r="B505" s="348"/>
      <c r="C505" s="348"/>
      <c r="D505" s="348"/>
      <c r="E505" s="348"/>
      <c r="F505" s="348"/>
      <c r="G505" s="348"/>
      <c r="H505" s="348"/>
      <c r="I505" s="348"/>
      <c r="J505" s="348"/>
      <c r="K505" s="348"/>
      <c r="L505" s="348"/>
      <c r="M505" s="348"/>
      <c r="N505" s="348"/>
      <c r="O505" s="348"/>
      <c r="P505" s="348"/>
      <c r="Q505" s="348"/>
      <c r="R505" s="348"/>
      <c r="S505" s="348"/>
      <c r="T505" s="348"/>
      <c r="U505" s="348"/>
      <c r="V505" s="348"/>
      <c r="W505" s="348"/>
      <c r="X505" s="348"/>
      <c r="Y505" s="348"/>
      <c r="Z505" s="348"/>
    </row>
    <row r="506">
      <c r="A506" s="348"/>
      <c r="B506" s="348"/>
      <c r="C506" s="348"/>
      <c r="D506" s="348"/>
      <c r="E506" s="348"/>
      <c r="F506" s="348"/>
      <c r="G506" s="348"/>
      <c r="H506" s="348"/>
      <c r="I506" s="348"/>
      <c r="J506" s="348"/>
      <c r="K506" s="348"/>
      <c r="L506" s="348"/>
      <c r="M506" s="348"/>
      <c r="N506" s="348"/>
      <c r="O506" s="348"/>
      <c r="P506" s="348"/>
      <c r="Q506" s="348"/>
      <c r="R506" s="348"/>
      <c r="S506" s="348"/>
      <c r="T506" s="348"/>
      <c r="U506" s="348"/>
      <c r="V506" s="348"/>
      <c r="W506" s="348"/>
      <c r="X506" s="348"/>
      <c r="Y506" s="348"/>
      <c r="Z506" s="348"/>
    </row>
    <row r="507">
      <c r="A507" s="348"/>
      <c r="B507" s="348"/>
      <c r="C507" s="348"/>
      <c r="D507" s="348"/>
      <c r="E507" s="348"/>
      <c r="F507" s="348"/>
      <c r="G507" s="348"/>
      <c r="H507" s="348"/>
      <c r="I507" s="348"/>
      <c r="J507" s="348"/>
      <c r="K507" s="348"/>
      <c r="L507" s="348"/>
      <c r="M507" s="348"/>
      <c r="N507" s="348"/>
      <c r="O507" s="348"/>
      <c r="P507" s="348"/>
      <c r="Q507" s="348"/>
      <c r="R507" s="348"/>
      <c r="S507" s="348"/>
      <c r="T507" s="348"/>
      <c r="U507" s="348"/>
      <c r="V507" s="348"/>
      <c r="W507" s="348"/>
      <c r="X507" s="348"/>
      <c r="Y507" s="348"/>
      <c r="Z507" s="348"/>
    </row>
    <row r="508">
      <c r="A508" s="348"/>
      <c r="B508" s="348"/>
      <c r="C508" s="348"/>
      <c r="D508" s="348"/>
      <c r="E508" s="348"/>
      <c r="F508" s="348"/>
      <c r="G508" s="348"/>
      <c r="H508" s="348"/>
      <c r="I508" s="348"/>
      <c r="J508" s="348"/>
      <c r="K508" s="348"/>
      <c r="L508" s="348"/>
      <c r="M508" s="348"/>
      <c r="N508" s="348"/>
      <c r="O508" s="348"/>
      <c r="P508" s="348"/>
      <c r="Q508" s="348"/>
      <c r="R508" s="348"/>
      <c r="S508" s="348"/>
      <c r="T508" s="348"/>
      <c r="U508" s="348"/>
      <c r="V508" s="348"/>
      <c r="W508" s="348"/>
      <c r="X508" s="348"/>
      <c r="Y508" s="348"/>
      <c r="Z508" s="348"/>
    </row>
    <row r="509">
      <c r="A509" s="348"/>
      <c r="B509" s="348"/>
      <c r="C509" s="348"/>
      <c r="D509" s="348"/>
      <c r="E509" s="348"/>
      <c r="F509" s="348"/>
      <c r="G509" s="348"/>
      <c r="H509" s="348"/>
      <c r="I509" s="348"/>
      <c r="J509" s="348"/>
      <c r="K509" s="348"/>
      <c r="L509" s="348"/>
      <c r="M509" s="348"/>
      <c r="N509" s="348"/>
      <c r="O509" s="348"/>
      <c r="P509" s="348"/>
      <c r="Q509" s="348"/>
      <c r="R509" s="348"/>
      <c r="S509" s="348"/>
      <c r="T509" s="348"/>
      <c r="U509" s="348"/>
      <c r="V509" s="348"/>
      <c r="W509" s="348"/>
      <c r="X509" s="348"/>
      <c r="Y509" s="348"/>
      <c r="Z509" s="348"/>
    </row>
    <row r="510">
      <c r="A510" s="348"/>
      <c r="B510" s="348"/>
      <c r="C510" s="348"/>
      <c r="D510" s="348"/>
      <c r="E510" s="348"/>
      <c r="F510" s="348"/>
      <c r="G510" s="348"/>
      <c r="H510" s="348"/>
      <c r="I510" s="348"/>
      <c r="J510" s="348"/>
      <c r="K510" s="348"/>
      <c r="L510" s="348"/>
      <c r="M510" s="348"/>
      <c r="N510" s="348"/>
      <c r="O510" s="348"/>
      <c r="P510" s="348"/>
      <c r="Q510" s="348"/>
      <c r="R510" s="348"/>
      <c r="S510" s="348"/>
      <c r="T510" s="348"/>
      <c r="U510" s="348"/>
      <c r="V510" s="348"/>
      <c r="W510" s="348"/>
      <c r="X510" s="348"/>
      <c r="Y510" s="348"/>
      <c r="Z510" s="348"/>
    </row>
    <row r="511">
      <c r="A511" s="348"/>
      <c r="B511" s="348"/>
      <c r="C511" s="348"/>
      <c r="D511" s="348"/>
      <c r="E511" s="348"/>
      <c r="F511" s="348"/>
      <c r="G511" s="348"/>
      <c r="H511" s="348"/>
      <c r="I511" s="348"/>
      <c r="J511" s="348"/>
      <c r="K511" s="348"/>
      <c r="L511" s="348"/>
      <c r="M511" s="348"/>
      <c r="N511" s="348"/>
      <c r="O511" s="348"/>
      <c r="P511" s="348"/>
      <c r="Q511" s="348"/>
      <c r="R511" s="348"/>
      <c r="S511" s="348"/>
      <c r="T511" s="348"/>
      <c r="U511" s="348"/>
      <c r="V511" s="348"/>
      <c r="W511" s="348"/>
      <c r="X511" s="348"/>
      <c r="Y511" s="348"/>
      <c r="Z511" s="348"/>
    </row>
    <row r="512">
      <c r="A512" s="348"/>
      <c r="B512" s="348"/>
      <c r="C512" s="348"/>
      <c r="D512" s="348"/>
      <c r="E512" s="348"/>
      <c r="F512" s="348"/>
      <c r="G512" s="348"/>
      <c r="H512" s="348"/>
      <c r="I512" s="348"/>
      <c r="J512" s="348"/>
      <c r="K512" s="348"/>
      <c r="L512" s="348"/>
      <c r="M512" s="348"/>
      <c r="N512" s="348"/>
      <c r="O512" s="348"/>
      <c r="P512" s="348"/>
      <c r="Q512" s="348"/>
      <c r="R512" s="348"/>
      <c r="S512" s="348"/>
      <c r="T512" s="348"/>
      <c r="U512" s="348"/>
      <c r="V512" s="348"/>
      <c r="W512" s="348"/>
      <c r="X512" s="348"/>
      <c r="Y512" s="348"/>
      <c r="Z512" s="348"/>
    </row>
    <row r="513">
      <c r="A513" s="348"/>
      <c r="B513" s="348"/>
      <c r="C513" s="348"/>
      <c r="D513" s="348"/>
      <c r="E513" s="348"/>
      <c r="F513" s="348"/>
      <c r="G513" s="348"/>
      <c r="H513" s="348"/>
      <c r="I513" s="348"/>
      <c r="J513" s="348"/>
      <c r="K513" s="348"/>
      <c r="L513" s="348"/>
      <c r="M513" s="348"/>
      <c r="N513" s="348"/>
      <c r="O513" s="348"/>
      <c r="P513" s="348"/>
      <c r="Q513" s="348"/>
      <c r="R513" s="348"/>
      <c r="S513" s="348"/>
      <c r="T513" s="348"/>
      <c r="U513" s="348"/>
      <c r="V513" s="348"/>
      <c r="W513" s="348"/>
      <c r="X513" s="348"/>
      <c r="Y513" s="348"/>
      <c r="Z513" s="348"/>
    </row>
    <row r="514">
      <c r="A514" s="348"/>
      <c r="B514" s="348"/>
      <c r="C514" s="348"/>
      <c r="D514" s="348"/>
      <c r="E514" s="348"/>
      <c r="F514" s="348"/>
      <c r="G514" s="348"/>
      <c r="H514" s="348"/>
      <c r="I514" s="348"/>
      <c r="J514" s="348"/>
      <c r="K514" s="348"/>
      <c r="L514" s="348"/>
      <c r="M514" s="348"/>
      <c r="N514" s="348"/>
      <c r="O514" s="348"/>
      <c r="P514" s="348"/>
      <c r="Q514" s="348"/>
      <c r="R514" s="348"/>
      <c r="S514" s="348"/>
      <c r="T514" s="348"/>
      <c r="U514" s="348"/>
      <c r="V514" s="348"/>
      <c r="W514" s="348"/>
      <c r="X514" s="348"/>
      <c r="Y514" s="348"/>
      <c r="Z514" s="348"/>
    </row>
    <row r="515">
      <c r="A515" s="348"/>
      <c r="B515" s="348"/>
      <c r="C515" s="348"/>
      <c r="D515" s="348"/>
      <c r="E515" s="348"/>
      <c r="F515" s="348"/>
      <c r="G515" s="348"/>
      <c r="H515" s="348"/>
      <c r="I515" s="348"/>
      <c r="J515" s="348"/>
      <c r="K515" s="348"/>
      <c r="L515" s="348"/>
      <c r="M515" s="348"/>
      <c r="N515" s="348"/>
      <c r="O515" s="348"/>
      <c r="P515" s="348"/>
      <c r="Q515" s="348"/>
      <c r="R515" s="348"/>
      <c r="S515" s="348"/>
      <c r="T515" s="348"/>
      <c r="U515" s="348"/>
      <c r="V515" s="348"/>
      <c r="W515" s="348"/>
      <c r="X515" s="348"/>
      <c r="Y515" s="348"/>
      <c r="Z515" s="348"/>
    </row>
    <row r="516">
      <c r="A516" s="348"/>
      <c r="B516" s="348"/>
      <c r="C516" s="348"/>
      <c r="D516" s="348"/>
      <c r="E516" s="348"/>
      <c r="F516" s="348"/>
      <c r="G516" s="348"/>
      <c r="H516" s="348"/>
      <c r="I516" s="348"/>
      <c r="J516" s="348"/>
      <c r="K516" s="348"/>
      <c r="L516" s="348"/>
      <c r="M516" s="348"/>
      <c r="N516" s="348"/>
      <c r="O516" s="348"/>
      <c r="P516" s="348"/>
      <c r="Q516" s="348"/>
      <c r="R516" s="348"/>
      <c r="S516" s="348"/>
      <c r="T516" s="348"/>
      <c r="U516" s="348"/>
      <c r="V516" s="348"/>
      <c r="W516" s="348"/>
      <c r="X516" s="348"/>
      <c r="Y516" s="348"/>
      <c r="Z516" s="348"/>
    </row>
    <row r="517">
      <c r="A517" s="348"/>
      <c r="B517" s="348"/>
      <c r="C517" s="348"/>
      <c r="D517" s="348"/>
      <c r="E517" s="348"/>
      <c r="F517" s="348"/>
      <c r="G517" s="348"/>
      <c r="H517" s="348"/>
      <c r="I517" s="348"/>
      <c r="J517" s="348"/>
      <c r="K517" s="348"/>
      <c r="L517" s="348"/>
      <c r="M517" s="348"/>
      <c r="N517" s="348"/>
      <c r="O517" s="348"/>
      <c r="P517" s="348"/>
      <c r="Q517" s="348"/>
      <c r="R517" s="348"/>
      <c r="S517" s="348"/>
      <c r="T517" s="348"/>
      <c r="U517" s="348"/>
      <c r="V517" s="348"/>
      <c r="W517" s="348"/>
      <c r="X517" s="348"/>
      <c r="Y517" s="348"/>
      <c r="Z517" s="348"/>
    </row>
    <row r="518">
      <c r="A518" s="348"/>
      <c r="B518" s="348"/>
      <c r="C518" s="348"/>
      <c r="D518" s="348"/>
      <c r="E518" s="348"/>
      <c r="F518" s="348"/>
      <c r="G518" s="348"/>
      <c r="H518" s="348"/>
      <c r="I518" s="348"/>
      <c r="J518" s="348"/>
      <c r="K518" s="348"/>
      <c r="L518" s="348"/>
      <c r="M518" s="348"/>
      <c r="N518" s="348"/>
      <c r="O518" s="348"/>
      <c r="P518" s="348"/>
      <c r="Q518" s="348"/>
      <c r="R518" s="348"/>
      <c r="S518" s="348"/>
      <c r="T518" s="348"/>
      <c r="U518" s="348"/>
      <c r="V518" s="348"/>
      <c r="W518" s="348"/>
      <c r="X518" s="348"/>
      <c r="Y518" s="348"/>
      <c r="Z518" s="348"/>
    </row>
    <row r="519">
      <c r="A519" s="348"/>
      <c r="B519" s="348"/>
      <c r="C519" s="348"/>
      <c r="D519" s="348"/>
      <c r="E519" s="348"/>
      <c r="F519" s="348"/>
      <c r="G519" s="348"/>
      <c r="H519" s="348"/>
      <c r="I519" s="348"/>
      <c r="J519" s="348"/>
      <c r="K519" s="348"/>
      <c r="L519" s="348"/>
      <c r="M519" s="348"/>
      <c r="N519" s="348"/>
      <c r="O519" s="348"/>
      <c r="P519" s="348"/>
      <c r="Q519" s="348"/>
      <c r="R519" s="348"/>
      <c r="S519" s="348"/>
      <c r="T519" s="348"/>
      <c r="U519" s="348"/>
      <c r="V519" s="348"/>
      <c r="W519" s="348"/>
      <c r="X519" s="348"/>
      <c r="Y519" s="348"/>
      <c r="Z519" s="348"/>
    </row>
    <row r="520">
      <c r="A520" s="348"/>
      <c r="B520" s="348"/>
      <c r="C520" s="348"/>
      <c r="D520" s="348"/>
      <c r="E520" s="348"/>
      <c r="F520" s="348"/>
      <c r="G520" s="348"/>
      <c r="H520" s="348"/>
      <c r="I520" s="348"/>
      <c r="J520" s="348"/>
      <c r="K520" s="348"/>
      <c r="L520" s="348"/>
      <c r="M520" s="348"/>
      <c r="N520" s="348"/>
      <c r="O520" s="348"/>
      <c r="P520" s="348"/>
      <c r="Q520" s="348"/>
      <c r="R520" s="348"/>
      <c r="S520" s="348"/>
      <c r="T520" s="348"/>
      <c r="U520" s="348"/>
      <c r="V520" s="348"/>
      <c r="W520" s="348"/>
      <c r="X520" s="348"/>
      <c r="Y520" s="348"/>
      <c r="Z520" s="348"/>
    </row>
    <row r="521">
      <c r="A521" s="348"/>
      <c r="B521" s="348"/>
      <c r="C521" s="348"/>
      <c r="D521" s="348"/>
      <c r="E521" s="348"/>
      <c r="F521" s="348"/>
      <c r="G521" s="348"/>
      <c r="H521" s="348"/>
      <c r="I521" s="348"/>
      <c r="J521" s="348"/>
      <c r="K521" s="348"/>
      <c r="L521" s="348"/>
      <c r="M521" s="348"/>
      <c r="N521" s="348"/>
      <c r="O521" s="348"/>
      <c r="P521" s="348"/>
      <c r="Q521" s="348"/>
      <c r="R521" s="348"/>
      <c r="S521" s="348"/>
      <c r="T521" s="348"/>
      <c r="U521" s="348"/>
      <c r="V521" s="348"/>
      <c r="W521" s="348"/>
      <c r="X521" s="348"/>
      <c r="Y521" s="348"/>
      <c r="Z521" s="348"/>
    </row>
    <row r="522">
      <c r="A522" s="348"/>
      <c r="B522" s="348"/>
      <c r="C522" s="348"/>
      <c r="D522" s="348"/>
      <c r="E522" s="348"/>
      <c r="F522" s="348"/>
      <c r="G522" s="348"/>
      <c r="H522" s="348"/>
      <c r="I522" s="348"/>
      <c r="J522" s="348"/>
      <c r="K522" s="348"/>
      <c r="L522" s="348"/>
      <c r="M522" s="348"/>
      <c r="N522" s="348"/>
      <c r="O522" s="348"/>
      <c r="P522" s="348"/>
      <c r="Q522" s="348"/>
      <c r="R522" s="348"/>
      <c r="S522" s="348"/>
      <c r="T522" s="348"/>
      <c r="U522" s="348"/>
      <c r="V522" s="348"/>
      <c r="W522" s="348"/>
      <c r="X522" s="348"/>
      <c r="Y522" s="348"/>
      <c r="Z522" s="348"/>
    </row>
    <row r="523">
      <c r="A523" s="348"/>
      <c r="B523" s="348"/>
      <c r="C523" s="348"/>
      <c r="D523" s="348"/>
      <c r="E523" s="348"/>
      <c r="F523" s="348"/>
      <c r="G523" s="348"/>
      <c r="H523" s="348"/>
      <c r="I523" s="348"/>
      <c r="J523" s="348"/>
      <c r="K523" s="348"/>
      <c r="L523" s="348"/>
      <c r="M523" s="348"/>
      <c r="N523" s="348"/>
      <c r="O523" s="348"/>
      <c r="P523" s="348"/>
      <c r="Q523" s="348"/>
      <c r="R523" s="348"/>
      <c r="S523" s="348"/>
      <c r="T523" s="348"/>
      <c r="U523" s="348"/>
      <c r="V523" s="348"/>
      <c r="W523" s="348"/>
      <c r="X523" s="348"/>
      <c r="Y523" s="348"/>
      <c r="Z523" s="348"/>
    </row>
    <row r="524">
      <c r="A524" s="348"/>
      <c r="B524" s="348"/>
      <c r="C524" s="348"/>
      <c r="D524" s="348"/>
      <c r="E524" s="348"/>
      <c r="F524" s="348"/>
      <c r="G524" s="348"/>
      <c r="H524" s="348"/>
      <c r="I524" s="348"/>
      <c r="J524" s="348"/>
      <c r="K524" s="348"/>
      <c r="L524" s="348"/>
      <c r="M524" s="348"/>
      <c r="N524" s="348"/>
      <c r="O524" s="348"/>
      <c r="P524" s="348"/>
      <c r="Q524" s="348"/>
      <c r="R524" s="348"/>
      <c r="S524" s="348"/>
      <c r="T524" s="348"/>
      <c r="U524" s="348"/>
      <c r="V524" s="348"/>
      <c r="W524" s="348"/>
      <c r="X524" s="348"/>
      <c r="Y524" s="348"/>
      <c r="Z524" s="348"/>
    </row>
    <row r="525">
      <c r="A525" s="348"/>
      <c r="B525" s="348"/>
      <c r="C525" s="348"/>
      <c r="D525" s="348"/>
      <c r="E525" s="348"/>
      <c r="F525" s="348"/>
      <c r="G525" s="348"/>
      <c r="H525" s="348"/>
      <c r="I525" s="348"/>
      <c r="J525" s="348"/>
      <c r="K525" s="348"/>
      <c r="L525" s="348"/>
      <c r="M525" s="348"/>
      <c r="N525" s="348"/>
      <c r="O525" s="348"/>
      <c r="P525" s="348"/>
      <c r="Q525" s="348"/>
      <c r="R525" s="348"/>
      <c r="S525" s="348"/>
      <c r="T525" s="348"/>
      <c r="U525" s="348"/>
      <c r="V525" s="348"/>
      <c r="W525" s="348"/>
      <c r="X525" s="348"/>
      <c r="Y525" s="348"/>
      <c r="Z525" s="348"/>
    </row>
    <row r="526">
      <c r="A526" s="348"/>
      <c r="B526" s="348"/>
      <c r="C526" s="348"/>
      <c r="D526" s="348"/>
      <c r="E526" s="348"/>
      <c r="F526" s="348"/>
      <c r="G526" s="348"/>
      <c r="H526" s="348"/>
      <c r="I526" s="348"/>
      <c r="J526" s="348"/>
      <c r="K526" s="348"/>
      <c r="L526" s="348"/>
      <c r="M526" s="348"/>
      <c r="N526" s="348"/>
      <c r="O526" s="348"/>
      <c r="P526" s="348"/>
      <c r="Q526" s="348"/>
      <c r="R526" s="348"/>
      <c r="S526" s="348"/>
      <c r="T526" s="348"/>
      <c r="U526" s="348"/>
      <c r="V526" s="348"/>
      <c r="W526" s="348"/>
      <c r="X526" s="348"/>
      <c r="Y526" s="348"/>
      <c r="Z526" s="348"/>
    </row>
    <row r="527">
      <c r="A527" s="348"/>
      <c r="B527" s="348"/>
      <c r="C527" s="348"/>
      <c r="D527" s="348"/>
      <c r="E527" s="348"/>
      <c r="F527" s="348"/>
      <c r="G527" s="348"/>
      <c r="H527" s="348"/>
      <c r="I527" s="348"/>
      <c r="J527" s="348"/>
      <c r="K527" s="348"/>
      <c r="L527" s="348"/>
      <c r="M527" s="348"/>
      <c r="N527" s="348"/>
      <c r="O527" s="348"/>
      <c r="P527" s="348"/>
      <c r="Q527" s="348"/>
      <c r="R527" s="348"/>
      <c r="S527" s="348"/>
      <c r="T527" s="348"/>
      <c r="U527" s="348"/>
      <c r="V527" s="348"/>
      <c r="W527" s="348"/>
      <c r="X527" s="348"/>
      <c r="Y527" s="348"/>
      <c r="Z527" s="348"/>
    </row>
    <row r="528">
      <c r="A528" s="348"/>
      <c r="B528" s="348"/>
      <c r="C528" s="348"/>
      <c r="D528" s="348"/>
      <c r="E528" s="348"/>
      <c r="F528" s="348"/>
      <c r="G528" s="348"/>
      <c r="H528" s="348"/>
      <c r="I528" s="348"/>
      <c r="J528" s="348"/>
      <c r="K528" s="348"/>
      <c r="L528" s="348"/>
      <c r="M528" s="348"/>
      <c r="N528" s="348"/>
      <c r="O528" s="348"/>
      <c r="P528" s="348"/>
      <c r="Q528" s="348"/>
      <c r="R528" s="348"/>
      <c r="S528" s="348"/>
      <c r="T528" s="348"/>
      <c r="U528" s="348"/>
      <c r="V528" s="348"/>
      <c r="W528" s="348"/>
      <c r="X528" s="348"/>
      <c r="Y528" s="348"/>
      <c r="Z528" s="348"/>
    </row>
    <row r="529">
      <c r="A529" s="348"/>
      <c r="B529" s="348"/>
      <c r="C529" s="348"/>
      <c r="D529" s="348"/>
      <c r="E529" s="348"/>
      <c r="F529" s="348"/>
      <c r="G529" s="348"/>
      <c r="H529" s="348"/>
      <c r="I529" s="348"/>
      <c r="J529" s="348"/>
      <c r="K529" s="348"/>
      <c r="L529" s="348"/>
      <c r="M529" s="348"/>
      <c r="N529" s="348"/>
      <c r="O529" s="348"/>
      <c r="P529" s="348"/>
      <c r="Q529" s="348"/>
      <c r="R529" s="348"/>
      <c r="S529" s="348"/>
      <c r="T529" s="348"/>
      <c r="U529" s="348"/>
      <c r="V529" s="348"/>
      <c r="W529" s="348"/>
      <c r="X529" s="348"/>
      <c r="Y529" s="348"/>
      <c r="Z529" s="348"/>
    </row>
    <row r="530">
      <c r="A530" s="348"/>
      <c r="B530" s="348"/>
      <c r="C530" s="348"/>
      <c r="D530" s="348"/>
      <c r="E530" s="348"/>
      <c r="F530" s="348"/>
      <c r="G530" s="348"/>
      <c r="H530" s="348"/>
      <c r="I530" s="348"/>
      <c r="J530" s="348"/>
      <c r="K530" s="348"/>
      <c r="L530" s="348"/>
      <c r="M530" s="348"/>
      <c r="N530" s="348"/>
      <c r="O530" s="348"/>
      <c r="P530" s="348"/>
      <c r="Q530" s="348"/>
      <c r="R530" s="348"/>
      <c r="S530" s="348"/>
      <c r="T530" s="348"/>
      <c r="U530" s="348"/>
      <c r="V530" s="348"/>
      <c r="W530" s="348"/>
      <c r="X530" s="348"/>
      <c r="Y530" s="348"/>
      <c r="Z530" s="348"/>
    </row>
    <row r="531">
      <c r="A531" s="348"/>
      <c r="B531" s="348"/>
      <c r="C531" s="348"/>
      <c r="D531" s="348"/>
      <c r="E531" s="348"/>
      <c r="F531" s="348"/>
      <c r="G531" s="348"/>
      <c r="H531" s="348"/>
      <c r="I531" s="348"/>
      <c r="J531" s="348"/>
      <c r="K531" s="348"/>
      <c r="L531" s="348"/>
      <c r="M531" s="348"/>
      <c r="N531" s="348"/>
      <c r="O531" s="348"/>
      <c r="P531" s="348"/>
      <c r="Q531" s="348"/>
      <c r="R531" s="348"/>
      <c r="S531" s="348"/>
      <c r="T531" s="348"/>
      <c r="U531" s="348"/>
      <c r="V531" s="348"/>
      <c r="W531" s="348"/>
      <c r="X531" s="348"/>
      <c r="Y531" s="348"/>
      <c r="Z531" s="348"/>
    </row>
    <row r="532">
      <c r="A532" s="348"/>
      <c r="B532" s="348"/>
      <c r="C532" s="348"/>
      <c r="D532" s="348"/>
      <c r="E532" s="348"/>
      <c r="F532" s="348"/>
      <c r="G532" s="348"/>
      <c r="H532" s="348"/>
      <c r="I532" s="348"/>
      <c r="J532" s="348"/>
      <c r="K532" s="348"/>
      <c r="L532" s="348"/>
      <c r="M532" s="348"/>
      <c r="N532" s="348"/>
      <c r="O532" s="348"/>
      <c r="P532" s="348"/>
      <c r="Q532" s="348"/>
      <c r="R532" s="348"/>
      <c r="S532" s="348"/>
      <c r="T532" s="348"/>
      <c r="U532" s="348"/>
      <c r="V532" s="348"/>
      <c r="W532" s="348"/>
      <c r="X532" s="348"/>
      <c r="Y532" s="348"/>
      <c r="Z532" s="348"/>
    </row>
    <row r="533">
      <c r="A533" s="348"/>
      <c r="B533" s="348"/>
      <c r="C533" s="348"/>
      <c r="D533" s="348"/>
      <c r="E533" s="348"/>
      <c r="F533" s="348"/>
      <c r="G533" s="348"/>
      <c r="H533" s="348"/>
      <c r="I533" s="348"/>
      <c r="J533" s="348"/>
      <c r="K533" s="348"/>
      <c r="L533" s="348"/>
      <c r="M533" s="348"/>
      <c r="N533" s="348"/>
      <c r="O533" s="348"/>
      <c r="P533" s="348"/>
      <c r="Q533" s="348"/>
      <c r="R533" s="348"/>
      <c r="S533" s="348"/>
      <c r="T533" s="348"/>
      <c r="U533" s="348"/>
      <c r="V533" s="348"/>
      <c r="W533" s="348"/>
      <c r="X533" s="348"/>
      <c r="Y533" s="348"/>
      <c r="Z533" s="348"/>
    </row>
    <row r="534">
      <c r="A534" s="348"/>
      <c r="B534" s="348"/>
      <c r="C534" s="348"/>
      <c r="D534" s="348"/>
      <c r="E534" s="348"/>
      <c r="F534" s="348"/>
      <c r="G534" s="348"/>
      <c r="H534" s="348"/>
      <c r="I534" s="348"/>
      <c r="J534" s="348"/>
      <c r="K534" s="348"/>
      <c r="L534" s="348"/>
      <c r="M534" s="348"/>
      <c r="N534" s="348"/>
      <c r="O534" s="348"/>
      <c r="P534" s="348"/>
      <c r="Q534" s="348"/>
      <c r="R534" s="348"/>
      <c r="S534" s="348"/>
      <c r="T534" s="348"/>
      <c r="U534" s="348"/>
      <c r="V534" s="348"/>
      <c r="W534" s="348"/>
      <c r="X534" s="348"/>
      <c r="Y534" s="348"/>
      <c r="Z534" s="348"/>
    </row>
    <row r="535">
      <c r="A535" s="348"/>
      <c r="B535" s="348"/>
      <c r="C535" s="348"/>
      <c r="D535" s="348"/>
      <c r="E535" s="348"/>
      <c r="F535" s="348"/>
      <c r="G535" s="348"/>
      <c r="H535" s="348"/>
      <c r="I535" s="348"/>
      <c r="J535" s="348"/>
      <c r="K535" s="348"/>
      <c r="L535" s="348"/>
      <c r="M535" s="348"/>
      <c r="N535" s="348"/>
      <c r="O535" s="348"/>
      <c r="P535" s="348"/>
      <c r="Q535" s="348"/>
      <c r="R535" s="348"/>
      <c r="S535" s="348"/>
      <c r="T535" s="348"/>
      <c r="U535" s="348"/>
      <c r="V535" s="348"/>
      <c r="W535" s="348"/>
      <c r="X535" s="348"/>
      <c r="Y535" s="348"/>
      <c r="Z535" s="348"/>
    </row>
    <row r="536">
      <c r="A536" s="348"/>
      <c r="B536" s="348"/>
      <c r="C536" s="348"/>
      <c r="D536" s="348"/>
      <c r="E536" s="348"/>
      <c r="F536" s="348"/>
      <c r="G536" s="348"/>
      <c r="H536" s="348"/>
      <c r="I536" s="348"/>
      <c r="J536" s="348"/>
      <c r="K536" s="348"/>
      <c r="L536" s="348"/>
      <c r="M536" s="348"/>
      <c r="N536" s="348"/>
      <c r="O536" s="348"/>
      <c r="P536" s="348"/>
      <c r="Q536" s="348"/>
      <c r="R536" s="348"/>
      <c r="S536" s="348"/>
      <c r="T536" s="348"/>
      <c r="U536" s="348"/>
      <c r="V536" s="348"/>
      <c r="W536" s="348"/>
      <c r="X536" s="348"/>
      <c r="Y536" s="348"/>
      <c r="Z536" s="348"/>
    </row>
    <row r="537">
      <c r="A537" s="348"/>
      <c r="B537" s="348"/>
      <c r="C537" s="348"/>
      <c r="D537" s="348"/>
      <c r="E537" s="348"/>
      <c r="F537" s="348"/>
      <c r="G537" s="348"/>
      <c r="H537" s="348"/>
      <c r="I537" s="348"/>
      <c r="J537" s="348"/>
      <c r="K537" s="348"/>
      <c r="L537" s="348"/>
      <c r="M537" s="348"/>
      <c r="N537" s="348"/>
      <c r="O537" s="348"/>
      <c r="P537" s="348"/>
      <c r="Q537" s="348"/>
      <c r="R537" s="348"/>
      <c r="S537" s="348"/>
      <c r="T537" s="348"/>
      <c r="U537" s="348"/>
      <c r="V537" s="348"/>
      <c r="W537" s="348"/>
      <c r="X537" s="348"/>
      <c r="Y537" s="348"/>
      <c r="Z537" s="348"/>
    </row>
    <row r="538">
      <c r="A538" s="348"/>
      <c r="B538" s="348"/>
      <c r="C538" s="348"/>
      <c r="D538" s="348"/>
      <c r="E538" s="348"/>
      <c r="F538" s="348"/>
      <c r="G538" s="348"/>
      <c r="H538" s="348"/>
      <c r="I538" s="348"/>
      <c r="J538" s="348"/>
      <c r="K538" s="348"/>
      <c r="L538" s="348"/>
      <c r="M538" s="348"/>
      <c r="N538" s="348"/>
      <c r="O538" s="348"/>
      <c r="P538" s="348"/>
      <c r="Q538" s="348"/>
      <c r="R538" s="348"/>
      <c r="S538" s="348"/>
      <c r="T538" s="348"/>
      <c r="U538" s="348"/>
      <c r="V538" s="348"/>
      <c r="W538" s="348"/>
      <c r="X538" s="348"/>
      <c r="Y538" s="348"/>
      <c r="Z538" s="348"/>
    </row>
    <row r="539">
      <c r="A539" s="348"/>
      <c r="B539" s="348"/>
      <c r="C539" s="348"/>
      <c r="D539" s="348"/>
      <c r="E539" s="348"/>
      <c r="F539" s="348"/>
      <c r="G539" s="348"/>
      <c r="H539" s="348"/>
      <c r="I539" s="348"/>
      <c r="J539" s="348"/>
      <c r="K539" s="348"/>
      <c r="L539" s="348"/>
      <c r="M539" s="348"/>
      <c r="N539" s="348"/>
      <c r="O539" s="348"/>
      <c r="P539" s="348"/>
      <c r="Q539" s="348"/>
      <c r="R539" s="348"/>
      <c r="S539" s="348"/>
      <c r="T539" s="348"/>
      <c r="U539" s="348"/>
      <c r="V539" s="348"/>
      <c r="W539" s="348"/>
      <c r="X539" s="348"/>
      <c r="Y539" s="348"/>
      <c r="Z539" s="348"/>
    </row>
    <row r="540">
      <c r="A540" s="348"/>
      <c r="B540" s="348"/>
      <c r="C540" s="348"/>
      <c r="D540" s="348"/>
      <c r="E540" s="348"/>
      <c r="F540" s="348"/>
      <c r="G540" s="348"/>
      <c r="H540" s="348"/>
      <c r="I540" s="348"/>
      <c r="J540" s="348"/>
      <c r="K540" s="348"/>
      <c r="L540" s="348"/>
      <c r="M540" s="348"/>
      <c r="N540" s="348"/>
      <c r="O540" s="348"/>
      <c r="P540" s="348"/>
      <c r="Q540" s="348"/>
      <c r="R540" s="348"/>
      <c r="S540" s="348"/>
      <c r="T540" s="348"/>
      <c r="U540" s="348"/>
      <c r="V540" s="348"/>
      <c r="W540" s="348"/>
      <c r="X540" s="348"/>
      <c r="Y540" s="348"/>
      <c r="Z540" s="348"/>
    </row>
    <row r="541">
      <c r="A541" s="348"/>
      <c r="B541" s="348"/>
      <c r="C541" s="348"/>
      <c r="D541" s="348"/>
      <c r="E541" s="348"/>
      <c r="F541" s="348"/>
      <c r="G541" s="348"/>
      <c r="H541" s="348"/>
      <c r="I541" s="348"/>
      <c r="J541" s="348"/>
      <c r="K541" s="348"/>
      <c r="L541" s="348"/>
      <c r="M541" s="348"/>
      <c r="N541" s="348"/>
      <c r="O541" s="348"/>
      <c r="P541" s="348"/>
      <c r="Q541" s="348"/>
      <c r="R541" s="348"/>
      <c r="S541" s="348"/>
      <c r="T541" s="348"/>
      <c r="U541" s="348"/>
      <c r="V541" s="348"/>
      <c r="W541" s="348"/>
      <c r="X541" s="348"/>
      <c r="Y541" s="348"/>
      <c r="Z541" s="348"/>
    </row>
    <row r="542">
      <c r="A542" s="348"/>
      <c r="B542" s="348"/>
      <c r="C542" s="348"/>
      <c r="D542" s="348"/>
      <c r="E542" s="348"/>
      <c r="F542" s="348"/>
      <c r="G542" s="348"/>
      <c r="H542" s="348"/>
      <c r="I542" s="348"/>
      <c r="J542" s="348"/>
      <c r="K542" s="348"/>
      <c r="L542" s="348"/>
      <c r="M542" s="348"/>
      <c r="N542" s="348"/>
      <c r="O542" s="348"/>
      <c r="P542" s="348"/>
      <c r="Q542" s="348"/>
      <c r="R542" s="348"/>
      <c r="S542" s="348"/>
      <c r="T542" s="348"/>
      <c r="U542" s="348"/>
      <c r="V542" s="348"/>
      <c r="W542" s="348"/>
      <c r="X542" s="348"/>
      <c r="Y542" s="348"/>
      <c r="Z542" s="348"/>
    </row>
    <row r="543">
      <c r="A543" s="348"/>
      <c r="B543" s="348"/>
      <c r="C543" s="348"/>
      <c r="D543" s="348"/>
      <c r="E543" s="348"/>
      <c r="F543" s="348"/>
      <c r="G543" s="348"/>
      <c r="H543" s="348"/>
      <c r="I543" s="348"/>
      <c r="J543" s="348"/>
      <c r="K543" s="348"/>
      <c r="L543" s="348"/>
      <c r="M543" s="348"/>
      <c r="N543" s="348"/>
      <c r="O543" s="348"/>
      <c r="P543" s="348"/>
      <c r="Q543" s="348"/>
      <c r="R543" s="348"/>
      <c r="S543" s="348"/>
      <c r="T543" s="348"/>
      <c r="U543" s="348"/>
      <c r="V543" s="348"/>
      <c r="W543" s="348"/>
      <c r="X543" s="348"/>
      <c r="Y543" s="348"/>
      <c r="Z543" s="348"/>
    </row>
    <row r="544">
      <c r="A544" s="348"/>
      <c r="B544" s="348"/>
      <c r="C544" s="348"/>
      <c r="D544" s="348"/>
      <c r="E544" s="348"/>
      <c r="F544" s="348"/>
      <c r="G544" s="348"/>
      <c r="H544" s="348"/>
      <c r="I544" s="348"/>
      <c r="J544" s="348"/>
      <c r="K544" s="348"/>
      <c r="L544" s="348"/>
      <c r="M544" s="348"/>
      <c r="N544" s="348"/>
      <c r="O544" s="348"/>
      <c r="P544" s="348"/>
      <c r="Q544" s="348"/>
      <c r="R544" s="348"/>
      <c r="S544" s="348"/>
      <c r="T544" s="348"/>
      <c r="U544" s="348"/>
      <c r="V544" s="348"/>
      <c r="W544" s="348"/>
      <c r="X544" s="348"/>
      <c r="Y544" s="348"/>
      <c r="Z544" s="348"/>
    </row>
    <row r="545">
      <c r="A545" s="348"/>
      <c r="B545" s="348"/>
      <c r="C545" s="348"/>
      <c r="D545" s="348"/>
      <c r="E545" s="348"/>
      <c r="F545" s="348"/>
      <c r="G545" s="348"/>
      <c r="H545" s="348"/>
      <c r="I545" s="348"/>
      <c r="J545" s="348"/>
      <c r="K545" s="348"/>
      <c r="L545" s="348"/>
      <c r="M545" s="348"/>
      <c r="N545" s="348"/>
      <c r="O545" s="348"/>
      <c r="P545" s="348"/>
      <c r="Q545" s="348"/>
      <c r="R545" s="348"/>
      <c r="S545" s="348"/>
      <c r="T545" s="348"/>
      <c r="U545" s="348"/>
      <c r="V545" s="348"/>
      <c r="W545" s="348"/>
      <c r="X545" s="348"/>
      <c r="Y545" s="348"/>
      <c r="Z545" s="348"/>
    </row>
    <row r="546">
      <c r="A546" s="348"/>
      <c r="B546" s="348"/>
      <c r="C546" s="348"/>
      <c r="D546" s="348"/>
      <c r="E546" s="348"/>
      <c r="F546" s="348"/>
      <c r="G546" s="348"/>
      <c r="H546" s="348"/>
      <c r="I546" s="348"/>
      <c r="J546" s="348"/>
      <c r="K546" s="348"/>
      <c r="L546" s="348"/>
      <c r="M546" s="348"/>
      <c r="N546" s="348"/>
      <c r="O546" s="348"/>
      <c r="P546" s="348"/>
      <c r="Q546" s="348"/>
      <c r="R546" s="348"/>
      <c r="S546" s="348"/>
      <c r="T546" s="348"/>
      <c r="U546" s="348"/>
      <c r="V546" s="348"/>
      <c r="W546" s="348"/>
      <c r="X546" s="348"/>
      <c r="Y546" s="348"/>
      <c r="Z546" s="348"/>
    </row>
    <row r="547">
      <c r="A547" s="348"/>
      <c r="B547" s="348"/>
      <c r="C547" s="348"/>
      <c r="D547" s="348"/>
      <c r="E547" s="348"/>
      <c r="F547" s="348"/>
      <c r="G547" s="348"/>
      <c r="H547" s="348"/>
      <c r="I547" s="348"/>
      <c r="J547" s="348"/>
      <c r="K547" s="348"/>
      <c r="L547" s="348"/>
      <c r="M547" s="348"/>
      <c r="N547" s="348"/>
      <c r="O547" s="348"/>
      <c r="P547" s="348"/>
      <c r="Q547" s="348"/>
      <c r="R547" s="348"/>
      <c r="S547" s="348"/>
      <c r="T547" s="348"/>
      <c r="U547" s="348"/>
      <c r="V547" s="348"/>
      <c r="W547" s="348"/>
      <c r="X547" s="348"/>
      <c r="Y547" s="348"/>
      <c r="Z547" s="348"/>
    </row>
    <row r="548">
      <c r="A548" s="348"/>
      <c r="B548" s="348"/>
      <c r="C548" s="348"/>
      <c r="D548" s="348"/>
      <c r="E548" s="348"/>
      <c r="F548" s="348"/>
      <c r="G548" s="348"/>
      <c r="H548" s="348"/>
      <c r="I548" s="348"/>
      <c r="J548" s="348"/>
      <c r="K548" s="348"/>
      <c r="L548" s="348"/>
      <c r="M548" s="348"/>
      <c r="N548" s="348"/>
      <c r="O548" s="348"/>
      <c r="P548" s="348"/>
      <c r="Q548" s="348"/>
      <c r="R548" s="348"/>
      <c r="S548" s="348"/>
      <c r="T548" s="348"/>
      <c r="U548" s="348"/>
      <c r="V548" s="348"/>
      <c r="W548" s="348"/>
      <c r="X548" s="348"/>
      <c r="Y548" s="348"/>
      <c r="Z548" s="348"/>
    </row>
    <row r="549">
      <c r="A549" s="348"/>
      <c r="B549" s="348"/>
      <c r="C549" s="348"/>
      <c r="D549" s="348"/>
      <c r="E549" s="348"/>
      <c r="F549" s="348"/>
      <c r="G549" s="348"/>
      <c r="H549" s="348"/>
      <c r="I549" s="348"/>
      <c r="J549" s="348"/>
      <c r="K549" s="348"/>
      <c r="L549" s="348"/>
      <c r="M549" s="348"/>
      <c r="N549" s="348"/>
      <c r="O549" s="348"/>
      <c r="P549" s="348"/>
      <c r="Q549" s="348"/>
      <c r="R549" s="348"/>
      <c r="S549" s="348"/>
      <c r="T549" s="348"/>
      <c r="U549" s="348"/>
      <c r="V549" s="348"/>
      <c r="W549" s="348"/>
      <c r="X549" s="348"/>
      <c r="Y549" s="348"/>
      <c r="Z549" s="348"/>
    </row>
    <row r="550">
      <c r="A550" s="348"/>
      <c r="B550" s="348"/>
      <c r="C550" s="348"/>
      <c r="D550" s="348"/>
      <c r="E550" s="348"/>
      <c r="F550" s="348"/>
      <c r="G550" s="348"/>
      <c r="H550" s="348"/>
      <c r="I550" s="348"/>
      <c r="J550" s="348"/>
      <c r="K550" s="348"/>
      <c r="L550" s="348"/>
      <c r="M550" s="348"/>
      <c r="N550" s="348"/>
      <c r="O550" s="348"/>
      <c r="P550" s="348"/>
      <c r="Q550" s="348"/>
      <c r="R550" s="348"/>
      <c r="S550" s="348"/>
      <c r="T550" s="348"/>
      <c r="U550" s="348"/>
      <c r="V550" s="348"/>
      <c r="W550" s="348"/>
      <c r="X550" s="348"/>
      <c r="Y550" s="348"/>
      <c r="Z550" s="348"/>
    </row>
    <row r="551">
      <c r="A551" s="348"/>
      <c r="B551" s="348"/>
      <c r="C551" s="348"/>
      <c r="D551" s="348"/>
      <c r="E551" s="348"/>
      <c r="F551" s="348"/>
      <c r="G551" s="348"/>
      <c r="H551" s="348"/>
      <c r="I551" s="348"/>
      <c r="J551" s="348"/>
      <c r="K551" s="348"/>
      <c r="L551" s="348"/>
      <c r="M551" s="348"/>
      <c r="N551" s="348"/>
      <c r="O551" s="348"/>
      <c r="P551" s="348"/>
      <c r="Q551" s="348"/>
      <c r="R551" s="348"/>
      <c r="S551" s="348"/>
      <c r="T551" s="348"/>
      <c r="U551" s="348"/>
      <c r="V551" s="348"/>
      <c r="W551" s="348"/>
      <c r="X551" s="348"/>
      <c r="Y551" s="348"/>
      <c r="Z551" s="348"/>
    </row>
    <row r="552">
      <c r="A552" s="348"/>
      <c r="B552" s="348"/>
      <c r="C552" s="348"/>
      <c r="D552" s="348"/>
      <c r="E552" s="348"/>
      <c r="F552" s="348"/>
      <c r="G552" s="348"/>
      <c r="H552" s="348"/>
      <c r="I552" s="348"/>
      <c r="J552" s="348"/>
      <c r="K552" s="348"/>
      <c r="L552" s="348"/>
      <c r="M552" s="348"/>
      <c r="N552" s="348"/>
      <c r="O552" s="348"/>
      <c r="P552" s="348"/>
      <c r="Q552" s="348"/>
      <c r="R552" s="348"/>
      <c r="S552" s="348"/>
      <c r="T552" s="348"/>
      <c r="U552" s="348"/>
      <c r="V552" s="348"/>
      <c r="W552" s="348"/>
      <c r="X552" s="348"/>
      <c r="Y552" s="348"/>
      <c r="Z552" s="348"/>
    </row>
    <row r="553">
      <c r="A553" s="348"/>
      <c r="B553" s="348"/>
      <c r="C553" s="348"/>
      <c r="D553" s="348"/>
      <c r="E553" s="348"/>
      <c r="F553" s="348"/>
      <c r="G553" s="348"/>
      <c r="H553" s="348"/>
      <c r="I553" s="348"/>
      <c r="J553" s="348"/>
      <c r="K553" s="348"/>
      <c r="L553" s="348"/>
      <c r="M553" s="348"/>
      <c r="N553" s="348"/>
      <c r="O553" s="348"/>
      <c r="P553" s="348"/>
      <c r="Q553" s="348"/>
      <c r="R553" s="348"/>
      <c r="S553" s="348"/>
      <c r="T553" s="348"/>
      <c r="U553" s="348"/>
      <c r="V553" s="348"/>
      <c r="W553" s="348"/>
      <c r="X553" s="348"/>
      <c r="Y553" s="348"/>
      <c r="Z553" s="348"/>
    </row>
    <row r="554">
      <c r="A554" s="348"/>
      <c r="B554" s="348"/>
      <c r="C554" s="348"/>
      <c r="D554" s="348"/>
      <c r="E554" s="348"/>
      <c r="F554" s="348"/>
      <c r="G554" s="348"/>
      <c r="H554" s="348"/>
      <c r="I554" s="348"/>
      <c r="J554" s="348"/>
      <c r="K554" s="348"/>
      <c r="L554" s="348"/>
      <c r="M554" s="348"/>
      <c r="N554" s="348"/>
      <c r="O554" s="348"/>
      <c r="P554" s="348"/>
      <c r="Q554" s="348"/>
      <c r="R554" s="348"/>
      <c r="S554" s="348"/>
      <c r="T554" s="348"/>
      <c r="U554" s="348"/>
      <c r="V554" s="348"/>
      <c r="W554" s="348"/>
      <c r="X554" s="348"/>
      <c r="Y554" s="348"/>
      <c r="Z554" s="348"/>
    </row>
    <row r="555">
      <c r="A555" s="348"/>
      <c r="B555" s="348"/>
      <c r="C555" s="348"/>
      <c r="D555" s="348"/>
      <c r="E555" s="348"/>
      <c r="F555" s="348"/>
      <c r="G555" s="348"/>
      <c r="H555" s="348"/>
      <c r="I555" s="348"/>
      <c r="J555" s="348"/>
      <c r="K555" s="348"/>
      <c r="L555" s="348"/>
      <c r="M555" s="348"/>
      <c r="N555" s="348"/>
      <c r="O555" s="348"/>
      <c r="P555" s="348"/>
      <c r="Q555" s="348"/>
      <c r="R555" s="348"/>
      <c r="S555" s="348"/>
      <c r="T555" s="348"/>
      <c r="U555" s="348"/>
      <c r="V555" s="348"/>
      <c r="W555" s="348"/>
      <c r="X555" s="348"/>
      <c r="Y555" s="348"/>
      <c r="Z555" s="348"/>
    </row>
    <row r="556">
      <c r="A556" s="348"/>
      <c r="B556" s="348"/>
      <c r="C556" s="348"/>
      <c r="D556" s="348"/>
      <c r="E556" s="348"/>
      <c r="F556" s="348"/>
      <c r="G556" s="348"/>
      <c r="H556" s="348"/>
      <c r="I556" s="348"/>
      <c r="J556" s="348"/>
      <c r="K556" s="348"/>
      <c r="L556" s="348"/>
      <c r="M556" s="348"/>
      <c r="N556" s="348"/>
      <c r="O556" s="348"/>
      <c r="P556" s="348"/>
      <c r="Q556" s="348"/>
      <c r="R556" s="348"/>
      <c r="S556" s="348"/>
      <c r="T556" s="348"/>
      <c r="U556" s="348"/>
      <c r="V556" s="348"/>
      <c r="W556" s="348"/>
      <c r="X556" s="348"/>
      <c r="Y556" s="348"/>
      <c r="Z556" s="348"/>
    </row>
    <row r="557">
      <c r="A557" s="348"/>
      <c r="B557" s="348"/>
      <c r="C557" s="348"/>
      <c r="D557" s="348"/>
      <c r="E557" s="348"/>
      <c r="F557" s="348"/>
      <c r="G557" s="348"/>
      <c r="H557" s="348"/>
      <c r="I557" s="348"/>
      <c r="J557" s="348"/>
      <c r="K557" s="348"/>
      <c r="L557" s="348"/>
      <c r="M557" s="348"/>
      <c r="N557" s="348"/>
      <c r="O557" s="348"/>
      <c r="P557" s="348"/>
      <c r="Q557" s="348"/>
      <c r="R557" s="348"/>
      <c r="S557" s="348"/>
      <c r="T557" s="348"/>
      <c r="U557" s="348"/>
      <c r="V557" s="348"/>
      <c r="W557" s="348"/>
      <c r="X557" s="348"/>
      <c r="Y557" s="348"/>
      <c r="Z557" s="348"/>
    </row>
    <row r="558">
      <c r="A558" s="348"/>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row>
    <row r="559">
      <c r="A559" s="348"/>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row>
    <row r="560">
      <c r="A560" s="348"/>
      <c r="B560" s="348"/>
      <c r="C560" s="348"/>
      <c r="D560" s="348"/>
      <c r="E560" s="348"/>
      <c r="F560" s="348"/>
      <c r="G560" s="348"/>
      <c r="H560" s="348"/>
      <c r="I560" s="348"/>
      <c r="J560" s="348"/>
      <c r="K560" s="348"/>
      <c r="L560" s="348"/>
      <c r="M560" s="348"/>
      <c r="N560" s="348"/>
      <c r="O560" s="348"/>
      <c r="P560" s="348"/>
      <c r="Q560" s="348"/>
      <c r="R560" s="348"/>
      <c r="S560" s="348"/>
      <c r="T560" s="348"/>
      <c r="U560" s="348"/>
      <c r="V560" s="348"/>
      <c r="W560" s="348"/>
      <c r="X560" s="348"/>
      <c r="Y560" s="348"/>
      <c r="Z560" s="348"/>
    </row>
    <row r="561">
      <c r="A561" s="348"/>
      <c r="B561" s="348"/>
      <c r="C561" s="348"/>
      <c r="D561" s="348"/>
      <c r="E561" s="348"/>
      <c r="F561" s="348"/>
      <c r="G561" s="348"/>
      <c r="H561" s="348"/>
      <c r="I561" s="348"/>
      <c r="J561" s="348"/>
      <c r="K561" s="348"/>
      <c r="L561" s="348"/>
      <c r="M561" s="348"/>
      <c r="N561" s="348"/>
      <c r="O561" s="348"/>
      <c r="P561" s="348"/>
      <c r="Q561" s="348"/>
      <c r="R561" s="348"/>
      <c r="S561" s="348"/>
      <c r="T561" s="348"/>
      <c r="U561" s="348"/>
      <c r="V561" s="348"/>
      <c r="W561" s="348"/>
      <c r="X561" s="348"/>
      <c r="Y561" s="348"/>
      <c r="Z561" s="348"/>
    </row>
    <row r="562">
      <c r="A562" s="348"/>
      <c r="B562" s="348"/>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row>
    <row r="563">
      <c r="A563" s="348"/>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row>
    <row r="564">
      <c r="A564" s="348"/>
      <c r="B564" s="348"/>
      <c r="C564" s="348"/>
      <c r="D564" s="348"/>
      <c r="E564" s="348"/>
      <c r="F564" s="348"/>
      <c r="G564" s="348"/>
      <c r="H564" s="348"/>
      <c r="I564" s="348"/>
      <c r="J564" s="348"/>
      <c r="K564" s="348"/>
      <c r="L564" s="348"/>
      <c r="M564" s="348"/>
      <c r="N564" s="348"/>
      <c r="O564" s="348"/>
      <c r="P564" s="348"/>
      <c r="Q564" s="348"/>
      <c r="R564" s="348"/>
      <c r="S564" s="348"/>
      <c r="T564" s="348"/>
      <c r="U564" s="348"/>
      <c r="V564" s="348"/>
      <c r="W564" s="348"/>
      <c r="X564" s="348"/>
      <c r="Y564" s="348"/>
      <c r="Z564" s="348"/>
    </row>
    <row r="565">
      <c r="A565" s="348"/>
      <c r="B565" s="348"/>
      <c r="C565" s="348"/>
      <c r="D565" s="348"/>
      <c r="E565" s="348"/>
      <c r="F565" s="348"/>
      <c r="G565" s="348"/>
      <c r="H565" s="348"/>
      <c r="I565" s="348"/>
      <c r="J565" s="348"/>
      <c r="K565" s="348"/>
      <c r="L565" s="348"/>
      <c r="M565" s="348"/>
      <c r="N565" s="348"/>
      <c r="O565" s="348"/>
      <c r="P565" s="348"/>
      <c r="Q565" s="348"/>
      <c r="R565" s="348"/>
      <c r="S565" s="348"/>
      <c r="T565" s="348"/>
      <c r="U565" s="348"/>
      <c r="V565" s="348"/>
      <c r="W565" s="348"/>
      <c r="X565" s="348"/>
      <c r="Y565" s="348"/>
      <c r="Z565" s="348"/>
    </row>
    <row r="566">
      <c r="A566" s="348"/>
      <c r="B566" s="348"/>
      <c r="C566" s="348"/>
      <c r="D566" s="348"/>
      <c r="E566" s="348"/>
      <c r="F566" s="348"/>
      <c r="G566" s="348"/>
      <c r="H566" s="348"/>
      <c r="I566" s="348"/>
      <c r="J566" s="348"/>
      <c r="K566" s="348"/>
      <c r="L566" s="348"/>
      <c r="M566" s="348"/>
      <c r="N566" s="348"/>
      <c r="O566" s="348"/>
      <c r="P566" s="348"/>
      <c r="Q566" s="348"/>
      <c r="R566" s="348"/>
      <c r="S566" s="348"/>
      <c r="T566" s="348"/>
      <c r="U566" s="348"/>
      <c r="V566" s="348"/>
      <c r="W566" s="348"/>
      <c r="X566" s="348"/>
      <c r="Y566" s="348"/>
      <c r="Z566" s="348"/>
    </row>
    <row r="567">
      <c r="A567" s="348"/>
      <c r="B567" s="348"/>
      <c r="C567" s="348"/>
      <c r="D567" s="348"/>
      <c r="E567" s="348"/>
      <c r="F567" s="348"/>
      <c r="G567" s="348"/>
      <c r="H567" s="348"/>
      <c r="I567" s="348"/>
      <c r="J567" s="348"/>
      <c r="K567" s="348"/>
      <c r="L567" s="348"/>
      <c r="M567" s="348"/>
      <c r="N567" s="348"/>
      <c r="O567" s="348"/>
      <c r="P567" s="348"/>
      <c r="Q567" s="348"/>
      <c r="R567" s="348"/>
      <c r="S567" s="348"/>
      <c r="T567" s="348"/>
      <c r="U567" s="348"/>
      <c r="V567" s="348"/>
      <c r="W567" s="348"/>
      <c r="X567" s="348"/>
      <c r="Y567" s="348"/>
      <c r="Z567" s="348"/>
    </row>
    <row r="568">
      <c r="A568" s="348"/>
      <c r="B568" s="348"/>
      <c r="C568" s="348"/>
      <c r="D568" s="348"/>
      <c r="E568" s="348"/>
      <c r="F568" s="348"/>
      <c r="G568" s="348"/>
      <c r="H568" s="348"/>
      <c r="I568" s="348"/>
      <c r="J568" s="348"/>
      <c r="K568" s="348"/>
      <c r="L568" s="348"/>
      <c r="M568" s="348"/>
      <c r="N568" s="348"/>
      <c r="O568" s="348"/>
      <c r="P568" s="348"/>
      <c r="Q568" s="348"/>
      <c r="R568" s="348"/>
      <c r="S568" s="348"/>
      <c r="T568" s="348"/>
      <c r="U568" s="348"/>
      <c r="V568" s="348"/>
      <c r="W568" s="348"/>
      <c r="X568" s="348"/>
      <c r="Y568" s="348"/>
      <c r="Z568" s="348"/>
    </row>
    <row r="569">
      <c r="A569" s="348"/>
      <c r="B569" s="348"/>
      <c r="C569" s="348"/>
      <c r="D569" s="348"/>
      <c r="E569" s="348"/>
      <c r="F569" s="348"/>
      <c r="G569" s="348"/>
      <c r="H569" s="348"/>
      <c r="I569" s="348"/>
      <c r="J569" s="348"/>
      <c r="K569" s="348"/>
      <c r="L569" s="348"/>
      <c r="M569" s="348"/>
      <c r="N569" s="348"/>
      <c r="O569" s="348"/>
      <c r="P569" s="348"/>
      <c r="Q569" s="348"/>
      <c r="R569" s="348"/>
      <c r="S569" s="348"/>
      <c r="T569" s="348"/>
      <c r="U569" s="348"/>
      <c r="V569" s="348"/>
      <c r="W569" s="348"/>
      <c r="X569" s="348"/>
      <c r="Y569" s="348"/>
      <c r="Z569" s="348"/>
    </row>
    <row r="570">
      <c r="A570" s="348"/>
      <c r="B570" s="348"/>
      <c r="C570" s="348"/>
      <c r="D570" s="348"/>
      <c r="E570" s="348"/>
      <c r="F570" s="348"/>
      <c r="G570" s="348"/>
      <c r="H570" s="348"/>
      <c r="I570" s="348"/>
      <c r="J570" s="348"/>
      <c r="K570" s="348"/>
      <c r="L570" s="348"/>
      <c r="M570" s="348"/>
      <c r="N570" s="348"/>
      <c r="O570" s="348"/>
      <c r="P570" s="348"/>
      <c r="Q570" s="348"/>
      <c r="R570" s="348"/>
      <c r="S570" s="348"/>
      <c r="T570" s="348"/>
      <c r="U570" s="348"/>
      <c r="V570" s="348"/>
      <c r="W570" s="348"/>
      <c r="X570" s="348"/>
      <c r="Y570" s="348"/>
      <c r="Z570" s="348"/>
    </row>
    <row r="571">
      <c r="A571" s="348"/>
      <c r="B571" s="348"/>
      <c r="C571" s="348"/>
      <c r="D571" s="348"/>
      <c r="E571" s="348"/>
      <c r="F571" s="348"/>
      <c r="G571" s="348"/>
      <c r="H571" s="348"/>
      <c r="I571" s="348"/>
      <c r="J571" s="348"/>
      <c r="K571" s="348"/>
      <c r="L571" s="348"/>
      <c r="M571" s="348"/>
      <c r="N571" s="348"/>
      <c r="O571" s="348"/>
      <c r="P571" s="348"/>
      <c r="Q571" s="348"/>
      <c r="R571" s="348"/>
      <c r="S571" s="348"/>
      <c r="T571" s="348"/>
      <c r="U571" s="348"/>
      <c r="V571" s="348"/>
      <c r="W571" s="348"/>
      <c r="X571" s="348"/>
      <c r="Y571" s="348"/>
      <c r="Z571" s="348"/>
    </row>
    <row r="572">
      <c r="A572" s="348"/>
      <c r="B572" s="348"/>
      <c r="C572" s="348"/>
      <c r="D572" s="348"/>
      <c r="E572" s="348"/>
      <c r="F572" s="348"/>
      <c r="G572" s="348"/>
      <c r="H572" s="348"/>
      <c r="I572" s="348"/>
      <c r="J572" s="348"/>
      <c r="K572" s="348"/>
      <c r="L572" s="348"/>
      <c r="M572" s="348"/>
      <c r="N572" s="348"/>
      <c r="O572" s="348"/>
      <c r="P572" s="348"/>
      <c r="Q572" s="348"/>
      <c r="R572" s="348"/>
      <c r="S572" s="348"/>
      <c r="T572" s="348"/>
      <c r="U572" s="348"/>
      <c r="V572" s="348"/>
      <c r="W572" s="348"/>
      <c r="X572" s="348"/>
      <c r="Y572" s="348"/>
      <c r="Z572" s="348"/>
    </row>
    <row r="573">
      <c r="A573" s="348"/>
      <c r="B573" s="348"/>
      <c r="C573" s="348"/>
      <c r="D573" s="348"/>
      <c r="E573" s="348"/>
      <c r="F573" s="348"/>
      <c r="G573" s="348"/>
      <c r="H573" s="348"/>
      <c r="I573" s="348"/>
      <c r="J573" s="348"/>
      <c r="K573" s="348"/>
      <c r="L573" s="348"/>
      <c r="M573" s="348"/>
      <c r="N573" s="348"/>
      <c r="O573" s="348"/>
      <c r="P573" s="348"/>
      <c r="Q573" s="348"/>
      <c r="R573" s="348"/>
      <c r="S573" s="348"/>
      <c r="T573" s="348"/>
      <c r="U573" s="348"/>
      <c r="V573" s="348"/>
      <c r="W573" s="348"/>
      <c r="X573" s="348"/>
      <c r="Y573" s="348"/>
      <c r="Z573" s="348"/>
    </row>
    <row r="574">
      <c r="A574" s="348"/>
      <c r="B574" s="348"/>
      <c r="C574" s="348"/>
      <c r="D574" s="348"/>
      <c r="E574" s="348"/>
      <c r="F574" s="348"/>
      <c r="G574" s="348"/>
      <c r="H574" s="348"/>
      <c r="I574" s="348"/>
      <c r="J574" s="348"/>
      <c r="K574" s="348"/>
      <c r="L574" s="348"/>
      <c r="M574" s="348"/>
      <c r="N574" s="348"/>
      <c r="O574" s="348"/>
      <c r="P574" s="348"/>
      <c r="Q574" s="348"/>
      <c r="R574" s="348"/>
      <c r="S574" s="348"/>
      <c r="T574" s="348"/>
      <c r="U574" s="348"/>
      <c r="V574" s="348"/>
      <c r="W574" s="348"/>
      <c r="X574" s="348"/>
      <c r="Y574" s="348"/>
      <c r="Z574" s="348"/>
    </row>
    <row r="575">
      <c r="A575" s="348"/>
      <c r="B575" s="348"/>
      <c r="C575" s="348"/>
      <c r="D575" s="348"/>
      <c r="E575" s="348"/>
      <c r="F575" s="348"/>
      <c r="G575" s="348"/>
      <c r="H575" s="348"/>
      <c r="I575" s="348"/>
      <c r="J575" s="348"/>
      <c r="K575" s="348"/>
      <c r="L575" s="348"/>
      <c r="M575" s="348"/>
      <c r="N575" s="348"/>
      <c r="O575" s="348"/>
      <c r="P575" s="348"/>
      <c r="Q575" s="348"/>
      <c r="R575" s="348"/>
      <c r="S575" s="348"/>
      <c r="T575" s="348"/>
      <c r="U575" s="348"/>
      <c r="V575" s="348"/>
      <c r="W575" s="348"/>
      <c r="X575" s="348"/>
      <c r="Y575" s="348"/>
      <c r="Z575" s="348"/>
    </row>
    <row r="576">
      <c r="A576" s="348"/>
      <c r="B576" s="348"/>
      <c r="C576" s="348"/>
      <c r="D576" s="348"/>
      <c r="E576" s="348"/>
      <c r="F576" s="348"/>
      <c r="G576" s="348"/>
      <c r="H576" s="348"/>
      <c r="I576" s="348"/>
      <c r="J576" s="348"/>
      <c r="K576" s="348"/>
      <c r="L576" s="348"/>
      <c r="M576" s="348"/>
      <c r="N576" s="348"/>
      <c r="O576" s="348"/>
      <c r="P576" s="348"/>
      <c r="Q576" s="348"/>
      <c r="R576" s="348"/>
      <c r="S576" s="348"/>
      <c r="T576" s="348"/>
      <c r="U576" s="348"/>
      <c r="V576" s="348"/>
      <c r="W576" s="348"/>
      <c r="X576" s="348"/>
      <c r="Y576" s="348"/>
      <c r="Z576" s="348"/>
    </row>
    <row r="577">
      <c r="A577" s="348"/>
      <c r="B577" s="348"/>
      <c r="C577" s="348"/>
      <c r="D577" s="348"/>
      <c r="E577" s="348"/>
      <c r="F577" s="348"/>
      <c r="G577" s="348"/>
      <c r="H577" s="348"/>
      <c r="I577" s="348"/>
      <c r="J577" s="348"/>
      <c r="K577" s="348"/>
      <c r="L577" s="348"/>
      <c r="M577" s="348"/>
      <c r="N577" s="348"/>
      <c r="O577" s="348"/>
      <c r="P577" s="348"/>
      <c r="Q577" s="348"/>
      <c r="R577" s="348"/>
      <c r="S577" s="348"/>
      <c r="T577" s="348"/>
      <c r="U577" s="348"/>
      <c r="V577" s="348"/>
      <c r="W577" s="348"/>
      <c r="X577" s="348"/>
      <c r="Y577" s="348"/>
      <c r="Z577" s="348"/>
    </row>
    <row r="578">
      <c r="A578" s="348"/>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row>
    <row r="579">
      <c r="A579" s="348"/>
      <c r="B579" s="348"/>
      <c r="C579" s="348"/>
      <c r="D579" s="348"/>
      <c r="E579" s="348"/>
      <c r="F579" s="348"/>
      <c r="G579" s="348"/>
      <c r="H579" s="348"/>
      <c r="I579" s="348"/>
      <c r="J579" s="348"/>
      <c r="K579" s="348"/>
      <c r="L579" s="348"/>
      <c r="M579" s="348"/>
      <c r="N579" s="348"/>
      <c r="O579" s="348"/>
      <c r="P579" s="348"/>
      <c r="Q579" s="348"/>
      <c r="R579" s="348"/>
      <c r="S579" s="348"/>
      <c r="T579" s="348"/>
      <c r="U579" s="348"/>
      <c r="V579" s="348"/>
      <c r="W579" s="348"/>
      <c r="X579" s="348"/>
      <c r="Y579" s="348"/>
      <c r="Z579" s="348"/>
    </row>
    <row r="580">
      <c r="A580" s="348"/>
      <c r="B580" s="348"/>
      <c r="C580" s="348"/>
      <c r="D580" s="348"/>
      <c r="E580" s="348"/>
      <c r="F580" s="348"/>
      <c r="G580" s="348"/>
      <c r="H580" s="348"/>
      <c r="I580" s="348"/>
      <c r="J580" s="348"/>
      <c r="K580" s="348"/>
      <c r="L580" s="348"/>
      <c r="M580" s="348"/>
      <c r="N580" s="348"/>
      <c r="O580" s="348"/>
      <c r="P580" s="348"/>
      <c r="Q580" s="348"/>
      <c r="R580" s="348"/>
      <c r="S580" s="348"/>
      <c r="T580" s="348"/>
      <c r="U580" s="348"/>
      <c r="V580" s="348"/>
      <c r="W580" s="348"/>
      <c r="X580" s="348"/>
      <c r="Y580" s="348"/>
      <c r="Z580" s="348"/>
    </row>
    <row r="581">
      <c r="A581" s="348"/>
      <c r="B581" s="348"/>
      <c r="C581" s="348"/>
      <c r="D581" s="348"/>
      <c r="E581" s="348"/>
      <c r="F581" s="348"/>
      <c r="G581" s="348"/>
      <c r="H581" s="348"/>
      <c r="I581" s="348"/>
      <c r="J581" s="348"/>
      <c r="K581" s="348"/>
      <c r="L581" s="348"/>
      <c r="M581" s="348"/>
      <c r="N581" s="348"/>
      <c r="O581" s="348"/>
      <c r="P581" s="348"/>
      <c r="Q581" s="348"/>
      <c r="R581" s="348"/>
      <c r="S581" s="348"/>
      <c r="T581" s="348"/>
      <c r="U581" s="348"/>
      <c r="V581" s="348"/>
      <c r="W581" s="348"/>
      <c r="X581" s="348"/>
      <c r="Y581" s="348"/>
      <c r="Z581" s="348"/>
    </row>
    <row r="582">
      <c r="A582" s="348"/>
      <c r="B582" s="348"/>
      <c r="C582" s="348"/>
      <c r="D582" s="348"/>
      <c r="E582" s="348"/>
      <c r="F582" s="348"/>
      <c r="G582" s="348"/>
      <c r="H582" s="348"/>
      <c r="I582" s="348"/>
      <c r="J582" s="348"/>
      <c r="K582" s="348"/>
      <c r="L582" s="348"/>
      <c r="M582" s="348"/>
      <c r="N582" s="348"/>
      <c r="O582" s="348"/>
      <c r="P582" s="348"/>
      <c r="Q582" s="348"/>
      <c r="R582" s="348"/>
      <c r="S582" s="348"/>
      <c r="T582" s="348"/>
      <c r="U582" s="348"/>
      <c r="V582" s="348"/>
      <c r="W582" s="348"/>
      <c r="X582" s="348"/>
      <c r="Y582" s="348"/>
      <c r="Z582" s="348"/>
    </row>
    <row r="583">
      <c r="A583" s="348"/>
      <c r="B583" s="348"/>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row>
    <row r="584">
      <c r="A584" s="348"/>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row>
    <row r="585">
      <c r="A585" s="348"/>
      <c r="B585" s="348"/>
      <c r="C585" s="348"/>
      <c r="D585" s="348"/>
      <c r="E585" s="348"/>
      <c r="F585" s="348"/>
      <c r="G585" s="348"/>
      <c r="H585" s="348"/>
      <c r="I585" s="348"/>
      <c r="J585" s="348"/>
      <c r="K585" s="348"/>
      <c r="L585" s="348"/>
      <c r="M585" s="348"/>
      <c r="N585" s="348"/>
      <c r="O585" s="348"/>
      <c r="P585" s="348"/>
      <c r="Q585" s="348"/>
      <c r="R585" s="348"/>
      <c r="S585" s="348"/>
      <c r="T585" s="348"/>
      <c r="U585" s="348"/>
      <c r="V585" s="348"/>
      <c r="W585" s="348"/>
      <c r="X585" s="348"/>
      <c r="Y585" s="348"/>
      <c r="Z585" s="348"/>
    </row>
    <row r="586">
      <c r="A586" s="348"/>
      <c r="B586" s="348"/>
      <c r="C586" s="348"/>
      <c r="D586" s="348"/>
      <c r="E586" s="348"/>
      <c r="F586" s="348"/>
      <c r="G586" s="348"/>
      <c r="H586" s="348"/>
      <c r="I586" s="348"/>
      <c r="J586" s="348"/>
      <c r="K586" s="348"/>
      <c r="L586" s="348"/>
      <c r="M586" s="348"/>
      <c r="N586" s="348"/>
      <c r="O586" s="348"/>
      <c r="P586" s="348"/>
      <c r="Q586" s="348"/>
      <c r="R586" s="348"/>
      <c r="S586" s="348"/>
      <c r="T586" s="348"/>
      <c r="U586" s="348"/>
      <c r="V586" s="348"/>
      <c r="W586" s="348"/>
      <c r="X586" s="348"/>
      <c r="Y586" s="348"/>
      <c r="Z586" s="348"/>
    </row>
    <row r="587">
      <c r="A587" s="348"/>
      <c r="B587" s="348"/>
      <c r="C587" s="348"/>
      <c r="D587" s="348"/>
      <c r="E587" s="348"/>
      <c r="F587" s="348"/>
      <c r="G587" s="348"/>
      <c r="H587" s="348"/>
      <c r="I587" s="348"/>
      <c r="J587" s="348"/>
      <c r="K587" s="348"/>
      <c r="L587" s="348"/>
      <c r="M587" s="348"/>
      <c r="N587" s="348"/>
      <c r="O587" s="348"/>
      <c r="P587" s="348"/>
      <c r="Q587" s="348"/>
      <c r="R587" s="348"/>
      <c r="S587" s="348"/>
      <c r="T587" s="348"/>
      <c r="U587" s="348"/>
      <c r="V587" s="348"/>
      <c r="W587" s="348"/>
      <c r="X587" s="348"/>
      <c r="Y587" s="348"/>
      <c r="Z587" s="348"/>
    </row>
    <row r="588">
      <c r="A588" s="348"/>
      <c r="B588" s="348"/>
      <c r="C588" s="348"/>
      <c r="D588" s="348"/>
      <c r="E588" s="348"/>
      <c r="F588" s="348"/>
      <c r="G588" s="348"/>
      <c r="H588" s="348"/>
      <c r="I588" s="348"/>
      <c r="J588" s="348"/>
      <c r="K588" s="348"/>
      <c r="L588" s="348"/>
      <c r="M588" s="348"/>
      <c r="N588" s="348"/>
      <c r="O588" s="348"/>
      <c r="P588" s="348"/>
      <c r="Q588" s="348"/>
      <c r="R588" s="348"/>
      <c r="S588" s="348"/>
      <c r="T588" s="348"/>
      <c r="U588" s="348"/>
      <c r="V588" s="348"/>
      <c r="W588" s="348"/>
      <c r="X588" s="348"/>
      <c r="Y588" s="348"/>
      <c r="Z588" s="348"/>
    </row>
    <row r="589">
      <c r="A589" s="348"/>
      <c r="B589" s="348"/>
      <c r="C589" s="348"/>
      <c r="D589" s="348"/>
      <c r="E589" s="348"/>
      <c r="F589" s="348"/>
      <c r="G589" s="348"/>
      <c r="H589" s="348"/>
      <c r="I589" s="348"/>
      <c r="J589" s="348"/>
      <c r="K589" s="348"/>
      <c r="L589" s="348"/>
      <c r="M589" s="348"/>
      <c r="N589" s="348"/>
      <c r="O589" s="348"/>
      <c r="P589" s="348"/>
      <c r="Q589" s="348"/>
      <c r="R589" s="348"/>
      <c r="S589" s="348"/>
      <c r="T589" s="348"/>
      <c r="U589" s="348"/>
      <c r="V589" s="348"/>
      <c r="W589" s="348"/>
      <c r="X589" s="348"/>
      <c r="Y589" s="348"/>
      <c r="Z589" s="348"/>
    </row>
    <row r="590">
      <c r="A590" s="348"/>
      <c r="B590" s="348"/>
      <c r="C590" s="348"/>
      <c r="D590" s="348"/>
      <c r="E590" s="348"/>
      <c r="F590" s="348"/>
      <c r="G590" s="348"/>
      <c r="H590" s="348"/>
      <c r="I590" s="348"/>
      <c r="J590" s="348"/>
      <c r="K590" s="348"/>
      <c r="L590" s="348"/>
      <c r="M590" s="348"/>
      <c r="N590" s="348"/>
      <c r="O590" s="348"/>
      <c r="P590" s="348"/>
      <c r="Q590" s="348"/>
      <c r="R590" s="348"/>
      <c r="S590" s="348"/>
      <c r="T590" s="348"/>
      <c r="U590" s="348"/>
      <c r="V590" s="348"/>
      <c r="W590" s="348"/>
      <c r="X590" s="348"/>
      <c r="Y590" s="348"/>
      <c r="Z590" s="348"/>
    </row>
    <row r="591">
      <c r="A591" s="348"/>
      <c r="B591" s="348"/>
      <c r="C591" s="348"/>
      <c r="D591" s="348"/>
      <c r="E591" s="348"/>
      <c r="F591" s="348"/>
      <c r="G591" s="348"/>
      <c r="H591" s="348"/>
      <c r="I591" s="348"/>
      <c r="J591" s="348"/>
      <c r="K591" s="348"/>
      <c r="L591" s="348"/>
      <c r="M591" s="348"/>
      <c r="N591" s="348"/>
      <c r="O591" s="348"/>
      <c r="P591" s="348"/>
      <c r="Q591" s="348"/>
      <c r="R591" s="348"/>
      <c r="S591" s="348"/>
      <c r="T591" s="348"/>
      <c r="U591" s="348"/>
      <c r="V591" s="348"/>
      <c r="W591" s="348"/>
      <c r="X591" s="348"/>
      <c r="Y591" s="348"/>
      <c r="Z591" s="348"/>
    </row>
    <row r="592">
      <c r="A592" s="348"/>
      <c r="B592" s="348"/>
      <c r="C592" s="348"/>
      <c r="D592" s="348"/>
      <c r="E592" s="348"/>
      <c r="F592" s="348"/>
      <c r="G592" s="348"/>
      <c r="H592" s="348"/>
      <c r="I592" s="348"/>
      <c r="J592" s="348"/>
      <c r="K592" s="348"/>
      <c r="L592" s="348"/>
      <c r="M592" s="348"/>
      <c r="N592" s="348"/>
      <c r="O592" s="348"/>
      <c r="P592" s="348"/>
      <c r="Q592" s="348"/>
      <c r="R592" s="348"/>
      <c r="S592" s="348"/>
      <c r="T592" s="348"/>
      <c r="U592" s="348"/>
      <c r="V592" s="348"/>
      <c r="W592" s="348"/>
      <c r="X592" s="348"/>
      <c r="Y592" s="348"/>
      <c r="Z592" s="348"/>
    </row>
    <row r="593">
      <c r="A593" s="348"/>
      <c r="B593" s="348"/>
      <c r="C593" s="348"/>
      <c r="D593" s="348"/>
      <c r="E593" s="348"/>
      <c r="F593" s="348"/>
      <c r="G593" s="348"/>
      <c r="H593" s="348"/>
      <c r="I593" s="348"/>
      <c r="J593" s="348"/>
      <c r="K593" s="348"/>
      <c r="L593" s="348"/>
      <c r="M593" s="348"/>
      <c r="N593" s="348"/>
      <c r="O593" s="348"/>
      <c r="P593" s="348"/>
      <c r="Q593" s="348"/>
      <c r="R593" s="348"/>
      <c r="S593" s="348"/>
      <c r="T593" s="348"/>
      <c r="U593" s="348"/>
      <c r="V593" s="348"/>
      <c r="W593" s="348"/>
      <c r="X593" s="348"/>
      <c r="Y593" s="348"/>
      <c r="Z593" s="348"/>
    </row>
    <row r="594">
      <c r="A594" s="348"/>
      <c r="B594" s="348"/>
      <c r="C594" s="348"/>
      <c r="D594" s="348"/>
      <c r="E594" s="348"/>
      <c r="F594" s="348"/>
      <c r="G594" s="348"/>
      <c r="H594" s="348"/>
      <c r="I594" s="348"/>
      <c r="J594" s="348"/>
      <c r="K594" s="348"/>
      <c r="L594" s="348"/>
      <c r="M594" s="348"/>
      <c r="N594" s="348"/>
      <c r="O594" s="348"/>
      <c r="P594" s="348"/>
      <c r="Q594" s="348"/>
      <c r="R594" s="348"/>
      <c r="S594" s="348"/>
      <c r="T594" s="348"/>
      <c r="U594" s="348"/>
      <c r="V594" s="348"/>
      <c r="W594" s="348"/>
      <c r="X594" s="348"/>
      <c r="Y594" s="348"/>
      <c r="Z594" s="348"/>
    </row>
    <row r="595">
      <c r="A595" s="348"/>
      <c r="B595" s="348"/>
      <c r="C595" s="348"/>
      <c r="D595" s="348"/>
      <c r="E595" s="348"/>
      <c r="F595" s="348"/>
      <c r="G595" s="348"/>
      <c r="H595" s="348"/>
      <c r="I595" s="348"/>
      <c r="J595" s="348"/>
      <c r="K595" s="348"/>
      <c r="L595" s="348"/>
      <c r="M595" s="348"/>
      <c r="N595" s="348"/>
      <c r="O595" s="348"/>
      <c r="P595" s="348"/>
      <c r="Q595" s="348"/>
      <c r="R595" s="348"/>
      <c r="S595" s="348"/>
      <c r="T595" s="348"/>
      <c r="U595" s="348"/>
      <c r="V595" s="348"/>
      <c r="W595" s="348"/>
      <c r="X595" s="348"/>
      <c r="Y595" s="348"/>
      <c r="Z595" s="348"/>
    </row>
    <row r="596">
      <c r="A596" s="348"/>
      <c r="B596" s="348"/>
      <c r="C596" s="348"/>
      <c r="D596" s="348"/>
      <c r="E596" s="348"/>
      <c r="F596" s="348"/>
      <c r="G596" s="348"/>
      <c r="H596" s="348"/>
      <c r="I596" s="348"/>
      <c r="J596" s="348"/>
      <c r="K596" s="348"/>
      <c r="L596" s="348"/>
      <c r="M596" s="348"/>
      <c r="N596" s="348"/>
      <c r="O596" s="348"/>
      <c r="P596" s="348"/>
      <c r="Q596" s="348"/>
      <c r="R596" s="348"/>
      <c r="S596" s="348"/>
      <c r="T596" s="348"/>
      <c r="U596" s="348"/>
      <c r="V596" s="348"/>
      <c r="W596" s="348"/>
      <c r="X596" s="348"/>
      <c r="Y596" s="348"/>
      <c r="Z596" s="348"/>
    </row>
    <row r="597">
      <c r="A597" s="348"/>
      <c r="B597" s="348"/>
      <c r="C597" s="348"/>
      <c r="D597" s="348"/>
      <c r="E597" s="348"/>
      <c r="F597" s="348"/>
      <c r="G597" s="348"/>
      <c r="H597" s="348"/>
      <c r="I597" s="348"/>
      <c r="J597" s="348"/>
      <c r="K597" s="348"/>
      <c r="L597" s="348"/>
      <c r="M597" s="348"/>
      <c r="N597" s="348"/>
      <c r="O597" s="348"/>
      <c r="P597" s="348"/>
      <c r="Q597" s="348"/>
      <c r="R597" s="348"/>
      <c r="S597" s="348"/>
      <c r="T597" s="348"/>
      <c r="U597" s="348"/>
      <c r="V597" s="348"/>
      <c r="W597" s="348"/>
      <c r="X597" s="348"/>
      <c r="Y597" s="348"/>
      <c r="Z597" s="348"/>
    </row>
    <row r="598">
      <c r="A598" s="348"/>
      <c r="B598" s="348"/>
      <c r="C598" s="348"/>
      <c r="D598" s="348"/>
      <c r="E598" s="348"/>
      <c r="F598" s="348"/>
      <c r="G598" s="348"/>
      <c r="H598" s="348"/>
      <c r="I598" s="348"/>
      <c r="J598" s="348"/>
      <c r="K598" s="348"/>
      <c r="L598" s="348"/>
      <c r="M598" s="348"/>
      <c r="N598" s="348"/>
      <c r="O598" s="348"/>
      <c r="P598" s="348"/>
      <c r="Q598" s="348"/>
      <c r="R598" s="348"/>
      <c r="S598" s="348"/>
      <c r="T598" s="348"/>
      <c r="U598" s="348"/>
      <c r="V598" s="348"/>
      <c r="W598" s="348"/>
      <c r="X598" s="348"/>
      <c r="Y598" s="348"/>
      <c r="Z598" s="348"/>
    </row>
    <row r="599">
      <c r="A599" s="348"/>
      <c r="B599" s="348"/>
      <c r="C599" s="348"/>
      <c r="D599" s="348"/>
      <c r="E599" s="348"/>
      <c r="F599" s="348"/>
      <c r="G599" s="348"/>
      <c r="H599" s="348"/>
      <c r="I599" s="348"/>
      <c r="J599" s="348"/>
      <c r="K599" s="348"/>
      <c r="L599" s="348"/>
      <c r="M599" s="348"/>
      <c r="N599" s="348"/>
      <c r="O599" s="348"/>
      <c r="P599" s="348"/>
      <c r="Q599" s="348"/>
      <c r="R599" s="348"/>
      <c r="S599" s="348"/>
      <c r="T599" s="348"/>
      <c r="U599" s="348"/>
      <c r="V599" s="348"/>
      <c r="W599" s="348"/>
      <c r="X599" s="348"/>
      <c r="Y599" s="348"/>
      <c r="Z599" s="348"/>
    </row>
    <row r="600">
      <c r="A600" s="348"/>
      <c r="B600" s="348"/>
      <c r="C600" s="348"/>
      <c r="D600" s="348"/>
      <c r="E600" s="348"/>
      <c r="F600" s="348"/>
      <c r="G600" s="348"/>
      <c r="H600" s="348"/>
      <c r="I600" s="348"/>
      <c r="J600" s="348"/>
      <c r="K600" s="348"/>
      <c r="L600" s="348"/>
      <c r="M600" s="348"/>
      <c r="N600" s="348"/>
      <c r="O600" s="348"/>
      <c r="P600" s="348"/>
      <c r="Q600" s="348"/>
      <c r="R600" s="348"/>
      <c r="S600" s="348"/>
      <c r="T600" s="348"/>
      <c r="U600" s="348"/>
      <c r="V600" s="348"/>
      <c r="W600" s="348"/>
      <c r="X600" s="348"/>
      <c r="Y600" s="348"/>
      <c r="Z600" s="348"/>
    </row>
    <row r="601">
      <c r="A601" s="348"/>
      <c r="B601" s="348"/>
      <c r="C601" s="348"/>
      <c r="D601" s="348"/>
      <c r="E601" s="348"/>
      <c r="F601" s="348"/>
      <c r="G601" s="348"/>
      <c r="H601" s="348"/>
      <c r="I601" s="348"/>
      <c r="J601" s="348"/>
      <c r="K601" s="348"/>
      <c r="L601" s="348"/>
      <c r="M601" s="348"/>
      <c r="N601" s="348"/>
      <c r="O601" s="348"/>
      <c r="P601" s="348"/>
      <c r="Q601" s="348"/>
      <c r="R601" s="348"/>
      <c r="S601" s="348"/>
      <c r="T601" s="348"/>
      <c r="U601" s="348"/>
      <c r="V601" s="348"/>
      <c r="W601" s="348"/>
      <c r="X601" s="348"/>
      <c r="Y601" s="348"/>
      <c r="Z601" s="348"/>
    </row>
    <row r="602">
      <c r="A602" s="348"/>
      <c r="B602" s="348"/>
      <c r="C602" s="348"/>
      <c r="D602" s="348"/>
      <c r="E602" s="348"/>
      <c r="F602" s="348"/>
      <c r="G602" s="348"/>
      <c r="H602" s="348"/>
      <c r="I602" s="348"/>
      <c r="J602" s="348"/>
      <c r="K602" s="348"/>
      <c r="L602" s="348"/>
      <c r="M602" s="348"/>
      <c r="N602" s="348"/>
      <c r="O602" s="348"/>
      <c r="P602" s="348"/>
      <c r="Q602" s="348"/>
      <c r="R602" s="348"/>
      <c r="S602" s="348"/>
      <c r="T602" s="348"/>
      <c r="U602" s="348"/>
      <c r="V602" s="348"/>
      <c r="W602" s="348"/>
      <c r="X602" s="348"/>
      <c r="Y602" s="348"/>
      <c r="Z602" s="348"/>
    </row>
    <row r="603">
      <c r="A603" s="348"/>
      <c r="B603" s="348"/>
      <c r="C603" s="348"/>
      <c r="D603" s="348"/>
      <c r="E603" s="348"/>
      <c r="F603" s="348"/>
      <c r="G603" s="348"/>
      <c r="H603" s="348"/>
      <c r="I603" s="348"/>
      <c r="J603" s="348"/>
      <c r="K603" s="348"/>
      <c r="L603" s="348"/>
      <c r="M603" s="348"/>
      <c r="N603" s="348"/>
      <c r="O603" s="348"/>
      <c r="P603" s="348"/>
      <c r="Q603" s="348"/>
      <c r="R603" s="348"/>
      <c r="S603" s="348"/>
      <c r="T603" s="348"/>
      <c r="U603" s="348"/>
      <c r="V603" s="348"/>
      <c r="W603" s="348"/>
      <c r="X603" s="348"/>
      <c r="Y603" s="348"/>
      <c r="Z603" s="348"/>
    </row>
    <row r="604">
      <c r="A604" s="348"/>
      <c r="B604" s="348"/>
      <c r="C604" s="348"/>
      <c r="D604" s="348"/>
      <c r="E604" s="348"/>
      <c r="F604" s="348"/>
      <c r="G604" s="348"/>
      <c r="H604" s="348"/>
      <c r="I604" s="348"/>
      <c r="J604" s="348"/>
      <c r="K604" s="348"/>
      <c r="L604" s="348"/>
      <c r="M604" s="348"/>
      <c r="N604" s="348"/>
      <c r="O604" s="348"/>
      <c r="P604" s="348"/>
      <c r="Q604" s="348"/>
      <c r="R604" s="348"/>
      <c r="S604" s="348"/>
      <c r="T604" s="348"/>
      <c r="U604" s="348"/>
      <c r="V604" s="348"/>
      <c r="W604" s="348"/>
      <c r="X604" s="348"/>
      <c r="Y604" s="348"/>
      <c r="Z604" s="348"/>
    </row>
    <row r="605">
      <c r="A605" s="348"/>
      <c r="B605" s="348"/>
      <c r="C605" s="348"/>
      <c r="D605" s="348"/>
      <c r="E605" s="348"/>
      <c r="F605" s="348"/>
      <c r="G605" s="348"/>
      <c r="H605" s="348"/>
      <c r="I605" s="348"/>
      <c r="J605" s="348"/>
      <c r="K605" s="348"/>
      <c r="L605" s="348"/>
      <c r="M605" s="348"/>
      <c r="N605" s="348"/>
      <c r="O605" s="348"/>
      <c r="P605" s="348"/>
      <c r="Q605" s="348"/>
      <c r="R605" s="348"/>
      <c r="S605" s="348"/>
      <c r="T605" s="348"/>
      <c r="U605" s="348"/>
      <c r="V605" s="348"/>
      <c r="W605" s="348"/>
      <c r="X605" s="348"/>
      <c r="Y605" s="348"/>
      <c r="Z605" s="348"/>
    </row>
    <row r="606">
      <c r="A606" s="348"/>
      <c r="B606" s="348"/>
      <c r="C606" s="348"/>
      <c r="D606" s="348"/>
      <c r="E606" s="348"/>
      <c r="F606" s="348"/>
      <c r="G606" s="348"/>
      <c r="H606" s="348"/>
      <c r="I606" s="348"/>
      <c r="J606" s="348"/>
      <c r="K606" s="348"/>
      <c r="L606" s="348"/>
      <c r="M606" s="348"/>
      <c r="N606" s="348"/>
      <c r="O606" s="348"/>
      <c r="P606" s="348"/>
      <c r="Q606" s="348"/>
      <c r="R606" s="348"/>
      <c r="S606" s="348"/>
      <c r="T606" s="348"/>
      <c r="U606" s="348"/>
      <c r="V606" s="348"/>
      <c r="W606" s="348"/>
      <c r="X606" s="348"/>
      <c r="Y606" s="348"/>
      <c r="Z606" s="348"/>
    </row>
    <row r="607">
      <c r="A607" s="348"/>
      <c r="B607" s="348"/>
      <c r="C607" s="348"/>
      <c r="D607" s="348"/>
      <c r="E607" s="348"/>
      <c r="F607" s="348"/>
      <c r="G607" s="348"/>
      <c r="H607" s="348"/>
      <c r="I607" s="348"/>
      <c r="J607" s="348"/>
      <c r="K607" s="348"/>
      <c r="L607" s="348"/>
      <c r="M607" s="348"/>
      <c r="N607" s="348"/>
      <c r="O607" s="348"/>
      <c r="P607" s="348"/>
      <c r="Q607" s="348"/>
      <c r="R607" s="348"/>
      <c r="S607" s="348"/>
      <c r="T607" s="348"/>
      <c r="U607" s="348"/>
      <c r="V607" s="348"/>
      <c r="W607" s="348"/>
      <c r="X607" s="348"/>
      <c r="Y607" s="348"/>
      <c r="Z607" s="348"/>
    </row>
    <row r="608">
      <c r="A608" s="348"/>
      <c r="B608" s="348"/>
      <c r="C608" s="348"/>
      <c r="D608" s="348"/>
      <c r="E608" s="348"/>
      <c r="F608" s="348"/>
      <c r="G608" s="348"/>
      <c r="H608" s="348"/>
      <c r="I608" s="348"/>
      <c r="J608" s="348"/>
      <c r="K608" s="348"/>
      <c r="L608" s="348"/>
      <c r="M608" s="348"/>
      <c r="N608" s="348"/>
      <c r="O608" s="348"/>
      <c r="P608" s="348"/>
      <c r="Q608" s="348"/>
      <c r="R608" s="348"/>
      <c r="S608" s="348"/>
      <c r="T608" s="348"/>
      <c r="U608" s="348"/>
      <c r="V608" s="348"/>
      <c r="W608" s="348"/>
      <c r="X608" s="348"/>
      <c r="Y608" s="348"/>
      <c r="Z608" s="348"/>
    </row>
    <row r="609">
      <c r="A609" s="348"/>
      <c r="B609" s="348"/>
      <c r="C609" s="348"/>
      <c r="D609" s="348"/>
      <c r="E609" s="348"/>
      <c r="F609" s="348"/>
      <c r="G609" s="348"/>
      <c r="H609" s="348"/>
      <c r="I609" s="348"/>
      <c r="J609" s="348"/>
      <c r="K609" s="348"/>
      <c r="L609" s="348"/>
      <c r="M609" s="348"/>
      <c r="N609" s="348"/>
      <c r="O609" s="348"/>
      <c r="P609" s="348"/>
      <c r="Q609" s="348"/>
      <c r="R609" s="348"/>
      <c r="S609" s="348"/>
      <c r="T609" s="348"/>
      <c r="U609" s="348"/>
      <c r="V609" s="348"/>
      <c r="W609" s="348"/>
      <c r="X609" s="348"/>
      <c r="Y609" s="348"/>
      <c r="Z609" s="348"/>
    </row>
    <row r="610">
      <c r="A610" s="348"/>
      <c r="B610" s="348"/>
      <c r="C610" s="348"/>
      <c r="D610" s="348"/>
      <c r="E610" s="348"/>
      <c r="F610" s="348"/>
      <c r="G610" s="348"/>
      <c r="H610" s="348"/>
      <c r="I610" s="348"/>
      <c r="J610" s="348"/>
      <c r="K610" s="348"/>
      <c r="L610" s="348"/>
      <c r="M610" s="348"/>
      <c r="N610" s="348"/>
      <c r="O610" s="348"/>
      <c r="P610" s="348"/>
      <c r="Q610" s="348"/>
      <c r="R610" s="348"/>
      <c r="S610" s="348"/>
      <c r="T610" s="348"/>
      <c r="U610" s="348"/>
      <c r="V610" s="348"/>
      <c r="W610" s="348"/>
      <c r="X610" s="348"/>
      <c r="Y610" s="348"/>
      <c r="Z610" s="348"/>
    </row>
    <row r="611">
      <c r="A611" s="348"/>
      <c r="B611" s="348"/>
      <c r="C611" s="348"/>
      <c r="D611" s="348"/>
      <c r="E611" s="348"/>
      <c r="F611" s="348"/>
      <c r="G611" s="348"/>
      <c r="H611" s="348"/>
      <c r="I611" s="348"/>
      <c r="J611" s="348"/>
      <c r="K611" s="348"/>
      <c r="L611" s="348"/>
      <c r="M611" s="348"/>
      <c r="N611" s="348"/>
      <c r="O611" s="348"/>
      <c r="P611" s="348"/>
      <c r="Q611" s="348"/>
      <c r="R611" s="348"/>
      <c r="S611" s="348"/>
      <c r="T611" s="348"/>
      <c r="U611" s="348"/>
      <c r="V611" s="348"/>
      <c r="W611" s="348"/>
      <c r="X611" s="348"/>
      <c r="Y611" s="348"/>
      <c r="Z611" s="348"/>
    </row>
    <row r="612">
      <c r="A612" s="348"/>
      <c r="B612" s="348"/>
      <c r="C612" s="348"/>
      <c r="D612" s="348"/>
      <c r="E612" s="348"/>
      <c r="F612" s="348"/>
      <c r="G612" s="348"/>
      <c r="H612" s="348"/>
      <c r="I612" s="348"/>
      <c r="J612" s="348"/>
      <c r="K612" s="348"/>
      <c r="L612" s="348"/>
      <c r="M612" s="348"/>
      <c r="N612" s="348"/>
      <c r="O612" s="348"/>
      <c r="P612" s="348"/>
      <c r="Q612" s="348"/>
      <c r="R612" s="348"/>
      <c r="S612" s="348"/>
      <c r="T612" s="348"/>
      <c r="U612" s="348"/>
      <c r="V612" s="348"/>
      <c r="W612" s="348"/>
      <c r="X612" s="348"/>
      <c r="Y612" s="348"/>
      <c r="Z612" s="348"/>
    </row>
    <row r="613">
      <c r="A613" s="348"/>
      <c r="B613" s="348"/>
      <c r="C613" s="348"/>
      <c r="D613" s="348"/>
      <c r="E613" s="348"/>
      <c r="F613" s="348"/>
      <c r="G613" s="348"/>
      <c r="H613" s="348"/>
      <c r="I613" s="348"/>
      <c r="J613" s="348"/>
      <c r="K613" s="348"/>
      <c r="L613" s="348"/>
      <c r="M613" s="348"/>
      <c r="N613" s="348"/>
      <c r="O613" s="348"/>
      <c r="P613" s="348"/>
      <c r="Q613" s="348"/>
      <c r="R613" s="348"/>
      <c r="S613" s="348"/>
      <c r="T613" s="348"/>
      <c r="U613" s="348"/>
      <c r="V613" s="348"/>
      <c r="W613" s="348"/>
      <c r="X613" s="348"/>
      <c r="Y613" s="348"/>
      <c r="Z613" s="348"/>
    </row>
    <row r="614">
      <c r="A614" s="348"/>
      <c r="B614" s="348"/>
      <c r="C614" s="348"/>
      <c r="D614" s="348"/>
      <c r="E614" s="348"/>
      <c r="F614" s="348"/>
      <c r="G614" s="348"/>
      <c r="H614" s="348"/>
      <c r="I614" s="348"/>
      <c r="J614" s="348"/>
      <c r="K614" s="348"/>
      <c r="L614" s="348"/>
      <c r="M614" s="348"/>
      <c r="N614" s="348"/>
      <c r="O614" s="348"/>
      <c r="P614" s="348"/>
      <c r="Q614" s="348"/>
      <c r="R614" s="348"/>
      <c r="S614" s="348"/>
      <c r="T614" s="348"/>
      <c r="U614" s="348"/>
      <c r="V614" s="348"/>
      <c r="W614" s="348"/>
      <c r="X614" s="348"/>
      <c r="Y614" s="348"/>
      <c r="Z614" s="348"/>
    </row>
    <row r="615">
      <c r="A615" s="348"/>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row>
    <row r="616">
      <c r="A616" s="348"/>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row>
    <row r="617">
      <c r="A617" s="348"/>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row>
    <row r="618">
      <c r="A618" s="348"/>
      <c r="B618" s="348"/>
      <c r="C618" s="348"/>
      <c r="D618" s="348"/>
      <c r="E618" s="348"/>
      <c r="F618" s="348"/>
      <c r="G618" s="348"/>
      <c r="H618" s="348"/>
      <c r="I618" s="348"/>
      <c r="J618" s="348"/>
      <c r="K618" s="348"/>
      <c r="L618" s="348"/>
      <c r="M618" s="348"/>
      <c r="N618" s="348"/>
      <c r="O618" s="348"/>
      <c r="P618" s="348"/>
      <c r="Q618" s="348"/>
      <c r="R618" s="348"/>
      <c r="S618" s="348"/>
      <c r="T618" s="348"/>
      <c r="U618" s="348"/>
      <c r="V618" s="348"/>
      <c r="W618" s="348"/>
      <c r="X618" s="348"/>
      <c r="Y618" s="348"/>
      <c r="Z618" s="348"/>
    </row>
    <row r="619">
      <c r="A619" s="348"/>
      <c r="B619" s="348"/>
      <c r="C619" s="348"/>
      <c r="D619" s="348"/>
      <c r="E619" s="348"/>
      <c r="F619" s="348"/>
      <c r="G619" s="348"/>
      <c r="H619" s="348"/>
      <c r="I619" s="348"/>
      <c r="J619" s="348"/>
      <c r="K619" s="348"/>
      <c r="L619" s="348"/>
      <c r="M619" s="348"/>
      <c r="N619" s="348"/>
      <c r="O619" s="348"/>
      <c r="P619" s="348"/>
      <c r="Q619" s="348"/>
      <c r="R619" s="348"/>
      <c r="S619" s="348"/>
      <c r="T619" s="348"/>
      <c r="U619" s="348"/>
      <c r="V619" s="348"/>
      <c r="W619" s="348"/>
      <c r="X619" s="348"/>
      <c r="Y619" s="348"/>
      <c r="Z619" s="348"/>
    </row>
    <row r="620">
      <c r="A620" s="348"/>
      <c r="B620" s="348"/>
      <c r="C620" s="348"/>
      <c r="D620" s="348"/>
      <c r="E620" s="348"/>
      <c r="F620" s="348"/>
      <c r="G620" s="348"/>
      <c r="H620" s="348"/>
      <c r="I620" s="348"/>
      <c r="J620" s="348"/>
      <c r="K620" s="348"/>
      <c r="L620" s="348"/>
      <c r="M620" s="348"/>
      <c r="N620" s="348"/>
      <c r="O620" s="348"/>
      <c r="P620" s="348"/>
      <c r="Q620" s="348"/>
      <c r="R620" s="348"/>
      <c r="S620" s="348"/>
      <c r="T620" s="348"/>
      <c r="U620" s="348"/>
      <c r="V620" s="348"/>
      <c r="W620" s="348"/>
      <c r="X620" s="348"/>
      <c r="Y620" s="348"/>
      <c r="Z620" s="348"/>
    </row>
    <row r="621">
      <c r="A621" s="348"/>
      <c r="B621" s="348"/>
      <c r="C621" s="348"/>
      <c r="D621" s="348"/>
      <c r="E621" s="348"/>
      <c r="F621" s="348"/>
      <c r="G621" s="348"/>
      <c r="H621" s="348"/>
      <c r="I621" s="348"/>
      <c r="J621" s="348"/>
      <c r="K621" s="348"/>
      <c r="L621" s="348"/>
      <c r="M621" s="348"/>
      <c r="N621" s="348"/>
      <c r="O621" s="348"/>
      <c r="P621" s="348"/>
      <c r="Q621" s="348"/>
      <c r="R621" s="348"/>
      <c r="S621" s="348"/>
      <c r="T621" s="348"/>
      <c r="U621" s="348"/>
      <c r="V621" s="348"/>
      <c r="W621" s="348"/>
      <c r="X621" s="348"/>
      <c r="Y621" s="348"/>
      <c r="Z621" s="348"/>
    </row>
    <row r="622">
      <c r="A622" s="348"/>
      <c r="B622" s="348"/>
      <c r="C622" s="348"/>
      <c r="D622" s="348"/>
      <c r="E622" s="348"/>
      <c r="F622" s="348"/>
      <c r="G622" s="348"/>
      <c r="H622" s="348"/>
      <c r="I622" s="348"/>
      <c r="J622" s="348"/>
      <c r="K622" s="348"/>
      <c r="L622" s="348"/>
      <c r="M622" s="348"/>
      <c r="N622" s="348"/>
      <c r="O622" s="348"/>
      <c r="P622" s="348"/>
      <c r="Q622" s="348"/>
      <c r="R622" s="348"/>
      <c r="S622" s="348"/>
      <c r="T622" s="348"/>
      <c r="U622" s="348"/>
      <c r="V622" s="348"/>
      <c r="W622" s="348"/>
      <c r="X622" s="348"/>
      <c r="Y622" s="348"/>
      <c r="Z622" s="348"/>
    </row>
    <row r="623">
      <c r="A623" s="348"/>
      <c r="B623" s="348"/>
      <c r="C623" s="348"/>
      <c r="D623" s="348"/>
      <c r="E623" s="348"/>
      <c r="F623" s="348"/>
      <c r="G623" s="348"/>
      <c r="H623" s="348"/>
      <c r="I623" s="348"/>
      <c r="J623" s="348"/>
      <c r="K623" s="348"/>
      <c r="L623" s="348"/>
      <c r="M623" s="348"/>
      <c r="N623" s="348"/>
      <c r="O623" s="348"/>
      <c r="P623" s="348"/>
      <c r="Q623" s="348"/>
      <c r="R623" s="348"/>
      <c r="S623" s="348"/>
      <c r="T623" s="348"/>
      <c r="U623" s="348"/>
      <c r="V623" s="348"/>
      <c r="W623" s="348"/>
      <c r="X623" s="348"/>
      <c r="Y623" s="348"/>
      <c r="Z623" s="348"/>
    </row>
    <row r="624">
      <c r="A624" s="348"/>
      <c r="B624" s="348"/>
      <c r="C624" s="348"/>
      <c r="D624" s="348"/>
      <c r="E624" s="348"/>
      <c r="F624" s="348"/>
      <c r="G624" s="348"/>
      <c r="H624" s="348"/>
      <c r="I624" s="348"/>
      <c r="J624" s="348"/>
      <c r="K624" s="348"/>
      <c r="L624" s="348"/>
      <c r="M624" s="348"/>
      <c r="N624" s="348"/>
      <c r="O624" s="348"/>
      <c r="P624" s="348"/>
      <c r="Q624" s="348"/>
      <c r="R624" s="348"/>
      <c r="S624" s="348"/>
      <c r="T624" s="348"/>
      <c r="U624" s="348"/>
      <c r="V624" s="348"/>
      <c r="W624" s="348"/>
      <c r="X624" s="348"/>
      <c r="Y624" s="348"/>
      <c r="Z624" s="348"/>
    </row>
    <row r="625">
      <c r="A625" s="348"/>
      <c r="B625" s="348"/>
      <c r="C625" s="348"/>
      <c r="D625" s="348"/>
      <c r="E625" s="348"/>
      <c r="F625" s="348"/>
      <c r="G625" s="348"/>
      <c r="H625" s="348"/>
      <c r="I625" s="348"/>
      <c r="J625" s="348"/>
      <c r="K625" s="348"/>
      <c r="L625" s="348"/>
      <c r="M625" s="348"/>
      <c r="N625" s="348"/>
      <c r="O625" s="348"/>
      <c r="P625" s="348"/>
      <c r="Q625" s="348"/>
      <c r="R625" s="348"/>
      <c r="S625" s="348"/>
      <c r="T625" s="348"/>
      <c r="U625" s="348"/>
      <c r="V625" s="348"/>
      <c r="W625" s="348"/>
      <c r="X625" s="348"/>
      <c r="Y625" s="348"/>
      <c r="Z625" s="348"/>
    </row>
    <row r="626">
      <c r="A626" s="348"/>
      <c r="B626" s="348"/>
      <c r="C626" s="348"/>
      <c r="D626" s="348"/>
      <c r="E626" s="348"/>
      <c r="F626" s="348"/>
      <c r="G626" s="348"/>
      <c r="H626" s="348"/>
      <c r="I626" s="348"/>
      <c r="J626" s="348"/>
      <c r="K626" s="348"/>
      <c r="L626" s="348"/>
      <c r="M626" s="348"/>
      <c r="N626" s="348"/>
      <c r="O626" s="348"/>
      <c r="P626" s="348"/>
      <c r="Q626" s="348"/>
      <c r="R626" s="348"/>
      <c r="S626" s="348"/>
      <c r="T626" s="348"/>
      <c r="U626" s="348"/>
      <c r="V626" s="348"/>
      <c r="W626" s="348"/>
      <c r="X626" s="348"/>
      <c r="Y626" s="348"/>
      <c r="Z626" s="348"/>
    </row>
    <row r="627">
      <c r="A627" s="348"/>
      <c r="B627" s="348"/>
      <c r="C627" s="348"/>
      <c r="D627" s="348"/>
      <c r="E627" s="348"/>
      <c r="F627" s="348"/>
      <c r="G627" s="348"/>
      <c r="H627" s="348"/>
      <c r="I627" s="348"/>
      <c r="J627" s="348"/>
      <c r="K627" s="348"/>
      <c r="L627" s="348"/>
      <c r="M627" s="348"/>
      <c r="N627" s="348"/>
      <c r="O627" s="348"/>
      <c r="P627" s="348"/>
      <c r="Q627" s="348"/>
      <c r="R627" s="348"/>
      <c r="S627" s="348"/>
      <c r="T627" s="348"/>
      <c r="U627" s="348"/>
      <c r="V627" s="348"/>
      <c r="W627" s="348"/>
      <c r="X627" s="348"/>
      <c r="Y627" s="348"/>
      <c r="Z627" s="348"/>
    </row>
    <row r="628">
      <c r="A628" s="348"/>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row>
    <row r="629">
      <c r="A629" s="348"/>
      <c r="B629" s="348"/>
      <c r="C629" s="348"/>
      <c r="D629" s="348"/>
      <c r="E629" s="348"/>
      <c r="F629" s="348"/>
      <c r="G629" s="348"/>
      <c r="H629" s="348"/>
      <c r="I629" s="348"/>
      <c r="J629" s="348"/>
      <c r="K629" s="348"/>
      <c r="L629" s="348"/>
      <c r="M629" s="348"/>
      <c r="N629" s="348"/>
      <c r="O629" s="348"/>
      <c r="P629" s="348"/>
      <c r="Q629" s="348"/>
      <c r="R629" s="348"/>
      <c r="S629" s="348"/>
      <c r="T629" s="348"/>
      <c r="U629" s="348"/>
      <c r="V629" s="348"/>
      <c r="W629" s="348"/>
      <c r="X629" s="348"/>
      <c r="Y629" s="348"/>
      <c r="Z629" s="348"/>
    </row>
    <row r="630">
      <c r="A630" s="348"/>
      <c r="B630" s="348"/>
      <c r="C630" s="348"/>
      <c r="D630" s="348"/>
      <c r="E630" s="348"/>
      <c r="F630" s="348"/>
      <c r="G630" s="348"/>
      <c r="H630" s="348"/>
      <c r="I630" s="348"/>
      <c r="J630" s="348"/>
      <c r="K630" s="348"/>
      <c r="L630" s="348"/>
      <c r="M630" s="348"/>
      <c r="N630" s="348"/>
      <c r="O630" s="348"/>
      <c r="P630" s="348"/>
      <c r="Q630" s="348"/>
      <c r="R630" s="348"/>
      <c r="S630" s="348"/>
      <c r="T630" s="348"/>
      <c r="U630" s="348"/>
      <c r="V630" s="348"/>
      <c r="W630" s="348"/>
      <c r="X630" s="348"/>
      <c r="Y630" s="348"/>
      <c r="Z630" s="348"/>
    </row>
    <row r="631">
      <c r="A631" s="348"/>
      <c r="B631" s="348"/>
      <c r="C631" s="348"/>
      <c r="D631" s="348"/>
      <c r="E631" s="348"/>
      <c r="F631" s="348"/>
      <c r="G631" s="348"/>
      <c r="H631" s="348"/>
      <c r="I631" s="348"/>
      <c r="J631" s="348"/>
      <c r="K631" s="348"/>
      <c r="L631" s="348"/>
      <c r="M631" s="348"/>
      <c r="N631" s="348"/>
      <c r="O631" s="348"/>
      <c r="P631" s="348"/>
      <c r="Q631" s="348"/>
      <c r="R631" s="348"/>
      <c r="S631" s="348"/>
      <c r="T631" s="348"/>
      <c r="U631" s="348"/>
      <c r="V631" s="348"/>
      <c r="W631" s="348"/>
      <c r="X631" s="348"/>
      <c r="Y631" s="348"/>
      <c r="Z631" s="348"/>
    </row>
    <row r="632">
      <c r="A632" s="348"/>
      <c r="B632" s="348"/>
      <c r="C632" s="348"/>
      <c r="D632" s="348"/>
      <c r="E632" s="348"/>
      <c r="F632" s="348"/>
      <c r="G632" s="348"/>
      <c r="H632" s="348"/>
      <c r="I632" s="348"/>
      <c r="J632" s="348"/>
      <c r="K632" s="348"/>
      <c r="L632" s="348"/>
      <c r="M632" s="348"/>
      <c r="N632" s="348"/>
      <c r="O632" s="348"/>
      <c r="P632" s="348"/>
      <c r="Q632" s="348"/>
      <c r="R632" s="348"/>
      <c r="S632" s="348"/>
      <c r="T632" s="348"/>
      <c r="U632" s="348"/>
      <c r="V632" s="348"/>
      <c r="W632" s="348"/>
      <c r="X632" s="348"/>
      <c r="Y632" s="348"/>
      <c r="Z632" s="348"/>
    </row>
    <row r="633">
      <c r="A633" s="348"/>
      <c r="B633" s="348"/>
      <c r="C633" s="348"/>
      <c r="D633" s="348"/>
      <c r="E633" s="348"/>
      <c r="F633" s="348"/>
      <c r="G633" s="348"/>
      <c r="H633" s="348"/>
      <c r="I633" s="348"/>
      <c r="J633" s="348"/>
      <c r="K633" s="348"/>
      <c r="L633" s="348"/>
      <c r="M633" s="348"/>
      <c r="N633" s="348"/>
      <c r="O633" s="348"/>
      <c r="P633" s="348"/>
      <c r="Q633" s="348"/>
      <c r="R633" s="348"/>
      <c r="S633" s="348"/>
      <c r="T633" s="348"/>
      <c r="U633" s="348"/>
      <c r="V633" s="348"/>
      <c r="W633" s="348"/>
      <c r="X633" s="348"/>
      <c r="Y633" s="348"/>
      <c r="Z633" s="348"/>
    </row>
    <row r="634">
      <c r="A634" s="348"/>
      <c r="B634" s="348"/>
      <c r="C634" s="348"/>
      <c r="D634" s="348"/>
      <c r="E634" s="348"/>
      <c r="F634" s="348"/>
      <c r="G634" s="348"/>
      <c r="H634" s="348"/>
      <c r="I634" s="348"/>
      <c r="J634" s="348"/>
      <c r="K634" s="348"/>
      <c r="L634" s="348"/>
      <c r="M634" s="348"/>
      <c r="N634" s="348"/>
      <c r="O634" s="348"/>
      <c r="P634" s="348"/>
      <c r="Q634" s="348"/>
      <c r="R634" s="348"/>
      <c r="S634" s="348"/>
      <c r="T634" s="348"/>
      <c r="U634" s="348"/>
      <c r="V634" s="348"/>
      <c r="W634" s="348"/>
      <c r="X634" s="348"/>
      <c r="Y634" s="348"/>
      <c r="Z634" s="348"/>
    </row>
    <row r="635">
      <c r="A635" s="348"/>
      <c r="B635" s="348"/>
      <c r="C635" s="348"/>
      <c r="D635" s="348"/>
      <c r="E635" s="348"/>
      <c r="F635" s="348"/>
      <c r="G635" s="348"/>
      <c r="H635" s="348"/>
      <c r="I635" s="348"/>
      <c r="J635" s="348"/>
      <c r="K635" s="348"/>
      <c r="L635" s="348"/>
      <c r="M635" s="348"/>
      <c r="N635" s="348"/>
      <c r="O635" s="348"/>
      <c r="P635" s="348"/>
      <c r="Q635" s="348"/>
      <c r="R635" s="348"/>
      <c r="S635" s="348"/>
      <c r="T635" s="348"/>
      <c r="U635" s="348"/>
      <c r="V635" s="348"/>
      <c r="W635" s="348"/>
      <c r="X635" s="348"/>
      <c r="Y635" s="348"/>
      <c r="Z635" s="348"/>
    </row>
    <row r="636">
      <c r="A636" s="348"/>
      <c r="B636" s="348"/>
      <c r="C636" s="348"/>
      <c r="D636" s="348"/>
      <c r="E636" s="348"/>
      <c r="F636" s="348"/>
      <c r="G636" s="348"/>
      <c r="H636" s="348"/>
      <c r="I636" s="348"/>
      <c r="J636" s="348"/>
      <c r="K636" s="348"/>
      <c r="L636" s="348"/>
      <c r="M636" s="348"/>
      <c r="N636" s="348"/>
      <c r="O636" s="348"/>
      <c r="P636" s="348"/>
      <c r="Q636" s="348"/>
      <c r="R636" s="348"/>
      <c r="S636" s="348"/>
      <c r="T636" s="348"/>
      <c r="U636" s="348"/>
      <c r="V636" s="348"/>
      <c r="W636" s="348"/>
      <c r="X636" s="348"/>
      <c r="Y636" s="348"/>
      <c r="Z636" s="348"/>
    </row>
    <row r="637">
      <c r="A637" s="348"/>
      <c r="B637" s="348"/>
      <c r="C637" s="348"/>
      <c r="D637" s="348"/>
      <c r="E637" s="348"/>
      <c r="F637" s="348"/>
      <c r="G637" s="348"/>
      <c r="H637" s="348"/>
      <c r="I637" s="348"/>
      <c r="J637" s="348"/>
      <c r="K637" s="348"/>
      <c r="L637" s="348"/>
      <c r="M637" s="348"/>
      <c r="N637" s="348"/>
      <c r="O637" s="348"/>
      <c r="P637" s="348"/>
      <c r="Q637" s="348"/>
      <c r="R637" s="348"/>
      <c r="S637" s="348"/>
      <c r="T637" s="348"/>
      <c r="U637" s="348"/>
      <c r="V637" s="348"/>
      <c r="W637" s="348"/>
      <c r="X637" s="348"/>
      <c r="Y637" s="348"/>
      <c r="Z637" s="348"/>
    </row>
    <row r="638">
      <c r="A638" s="348"/>
      <c r="B638" s="348"/>
      <c r="C638" s="348"/>
      <c r="D638" s="348"/>
      <c r="E638" s="348"/>
      <c r="F638" s="348"/>
      <c r="G638" s="348"/>
      <c r="H638" s="348"/>
      <c r="I638" s="348"/>
      <c r="J638" s="348"/>
      <c r="K638" s="348"/>
      <c r="L638" s="348"/>
      <c r="M638" s="348"/>
      <c r="N638" s="348"/>
      <c r="O638" s="348"/>
      <c r="P638" s="348"/>
      <c r="Q638" s="348"/>
      <c r="R638" s="348"/>
      <c r="S638" s="348"/>
      <c r="T638" s="348"/>
      <c r="U638" s="348"/>
      <c r="V638" s="348"/>
      <c r="W638" s="348"/>
      <c r="X638" s="348"/>
      <c r="Y638" s="348"/>
      <c r="Z638" s="348"/>
    </row>
    <row r="639">
      <c r="A639" s="348"/>
      <c r="B639" s="348"/>
      <c r="C639" s="348"/>
      <c r="D639" s="348"/>
      <c r="E639" s="348"/>
      <c r="F639" s="348"/>
      <c r="G639" s="348"/>
      <c r="H639" s="348"/>
      <c r="I639" s="348"/>
      <c r="J639" s="348"/>
      <c r="K639" s="348"/>
      <c r="L639" s="348"/>
      <c r="M639" s="348"/>
      <c r="N639" s="348"/>
      <c r="O639" s="348"/>
      <c r="P639" s="348"/>
      <c r="Q639" s="348"/>
      <c r="R639" s="348"/>
      <c r="S639" s="348"/>
      <c r="T639" s="348"/>
      <c r="U639" s="348"/>
      <c r="V639" s="348"/>
      <c r="W639" s="348"/>
      <c r="X639" s="348"/>
      <c r="Y639" s="348"/>
      <c r="Z639" s="348"/>
    </row>
    <row r="640">
      <c r="A640" s="348"/>
      <c r="B640" s="348"/>
      <c r="C640" s="348"/>
      <c r="D640" s="348"/>
      <c r="E640" s="348"/>
      <c r="F640" s="348"/>
      <c r="G640" s="348"/>
      <c r="H640" s="348"/>
      <c r="I640" s="348"/>
      <c r="J640" s="348"/>
      <c r="K640" s="348"/>
      <c r="L640" s="348"/>
      <c r="M640" s="348"/>
      <c r="N640" s="348"/>
      <c r="O640" s="348"/>
      <c r="P640" s="348"/>
      <c r="Q640" s="348"/>
      <c r="R640" s="348"/>
      <c r="S640" s="348"/>
      <c r="T640" s="348"/>
      <c r="U640" s="348"/>
      <c r="V640" s="348"/>
      <c r="W640" s="348"/>
      <c r="X640" s="348"/>
      <c r="Y640" s="348"/>
      <c r="Z640" s="348"/>
    </row>
    <row r="641">
      <c r="A641" s="348"/>
      <c r="B641" s="348"/>
      <c r="C641" s="348"/>
      <c r="D641" s="348"/>
      <c r="E641" s="348"/>
      <c r="F641" s="348"/>
      <c r="G641" s="348"/>
      <c r="H641" s="348"/>
      <c r="I641" s="348"/>
      <c r="J641" s="348"/>
      <c r="K641" s="348"/>
      <c r="L641" s="348"/>
      <c r="M641" s="348"/>
      <c r="N641" s="348"/>
      <c r="O641" s="348"/>
      <c r="P641" s="348"/>
      <c r="Q641" s="348"/>
      <c r="R641" s="348"/>
      <c r="S641" s="348"/>
      <c r="T641" s="348"/>
      <c r="U641" s="348"/>
      <c r="V641" s="348"/>
      <c r="W641" s="348"/>
      <c r="X641" s="348"/>
      <c r="Y641" s="348"/>
      <c r="Z641" s="348"/>
    </row>
    <row r="642">
      <c r="A642" s="348"/>
      <c r="B642" s="348"/>
      <c r="C642" s="348"/>
      <c r="D642" s="348"/>
      <c r="E642" s="348"/>
      <c r="F642" s="348"/>
      <c r="G642" s="348"/>
      <c r="H642" s="348"/>
      <c r="I642" s="348"/>
      <c r="J642" s="348"/>
      <c r="K642" s="348"/>
      <c r="L642" s="348"/>
      <c r="M642" s="348"/>
      <c r="N642" s="348"/>
      <c r="O642" s="348"/>
      <c r="P642" s="348"/>
      <c r="Q642" s="348"/>
      <c r="R642" s="348"/>
      <c r="S642" s="348"/>
      <c r="T642" s="348"/>
      <c r="U642" s="348"/>
      <c r="V642" s="348"/>
      <c r="W642" s="348"/>
      <c r="X642" s="348"/>
      <c r="Y642" s="348"/>
      <c r="Z642" s="348"/>
    </row>
    <row r="643">
      <c r="A643" s="348"/>
      <c r="B643" s="348"/>
      <c r="C643" s="348"/>
      <c r="D643" s="348"/>
      <c r="E643" s="348"/>
      <c r="F643" s="348"/>
      <c r="G643" s="348"/>
      <c r="H643" s="348"/>
      <c r="I643" s="348"/>
      <c r="J643" s="348"/>
      <c r="K643" s="348"/>
      <c r="L643" s="348"/>
      <c r="M643" s="348"/>
      <c r="N643" s="348"/>
      <c r="O643" s="348"/>
      <c r="P643" s="348"/>
      <c r="Q643" s="348"/>
      <c r="R643" s="348"/>
      <c r="S643" s="348"/>
      <c r="T643" s="348"/>
      <c r="U643" s="348"/>
      <c r="V643" s="348"/>
      <c r="W643" s="348"/>
      <c r="X643" s="348"/>
      <c r="Y643" s="348"/>
      <c r="Z643" s="348"/>
    </row>
    <row r="644">
      <c r="A644" s="348"/>
      <c r="B644" s="348"/>
      <c r="C644" s="348"/>
      <c r="D644" s="348"/>
      <c r="E644" s="348"/>
      <c r="F644" s="348"/>
      <c r="G644" s="348"/>
      <c r="H644" s="348"/>
      <c r="I644" s="348"/>
      <c r="J644" s="348"/>
      <c r="K644" s="348"/>
      <c r="L644" s="348"/>
      <c r="M644" s="348"/>
      <c r="N644" s="348"/>
      <c r="O644" s="348"/>
      <c r="P644" s="348"/>
      <c r="Q644" s="348"/>
      <c r="R644" s="348"/>
      <c r="S644" s="348"/>
      <c r="T644" s="348"/>
      <c r="U644" s="348"/>
      <c r="V644" s="348"/>
      <c r="W644" s="348"/>
      <c r="X644" s="348"/>
      <c r="Y644" s="348"/>
      <c r="Z644" s="348"/>
    </row>
    <row r="645">
      <c r="A645" s="348"/>
      <c r="B645" s="348"/>
      <c r="C645" s="348"/>
      <c r="D645" s="348"/>
      <c r="E645" s="348"/>
      <c r="F645" s="348"/>
      <c r="G645" s="348"/>
      <c r="H645" s="348"/>
      <c r="I645" s="348"/>
      <c r="J645" s="348"/>
      <c r="K645" s="348"/>
      <c r="L645" s="348"/>
      <c r="M645" s="348"/>
      <c r="N645" s="348"/>
      <c r="O645" s="348"/>
      <c r="P645" s="348"/>
      <c r="Q645" s="348"/>
      <c r="R645" s="348"/>
      <c r="S645" s="348"/>
      <c r="T645" s="348"/>
      <c r="U645" s="348"/>
      <c r="V645" s="348"/>
      <c r="W645" s="348"/>
      <c r="X645" s="348"/>
      <c r="Y645" s="348"/>
      <c r="Z645" s="348"/>
    </row>
    <row r="646">
      <c r="A646" s="348"/>
      <c r="B646" s="348"/>
      <c r="C646" s="348"/>
      <c r="D646" s="348"/>
      <c r="E646" s="348"/>
      <c r="F646" s="348"/>
      <c r="G646" s="348"/>
      <c r="H646" s="348"/>
      <c r="I646" s="348"/>
      <c r="J646" s="348"/>
      <c r="K646" s="348"/>
      <c r="L646" s="348"/>
      <c r="M646" s="348"/>
      <c r="N646" s="348"/>
      <c r="O646" s="348"/>
      <c r="P646" s="348"/>
      <c r="Q646" s="348"/>
      <c r="R646" s="348"/>
      <c r="S646" s="348"/>
      <c r="T646" s="348"/>
      <c r="U646" s="348"/>
      <c r="V646" s="348"/>
      <c r="W646" s="348"/>
      <c r="X646" s="348"/>
      <c r="Y646" s="348"/>
      <c r="Z646" s="348"/>
    </row>
    <row r="647">
      <c r="A647" s="348"/>
      <c r="B647" s="348"/>
      <c r="C647" s="348"/>
      <c r="D647" s="348"/>
      <c r="E647" s="348"/>
      <c r="F647" s="348"/>
      <c r="G647" s="348"/>
      <c r="H647" s="348"/>
      <c r="I647" s="348"/>
      <c r="J647" s="348"/>
      <c r="K647" s="348"/>
      <c r="L647" s="348"/>
      <c r="M647" s="348"/>
      <c r="N647" s="348"/>
      <c r="O647" s="348"/>
      <c r="P647" s="348"/>
      <c r="Q647" s="348"/>
      <c r="R647" s="348"/>
      <c r="S647" s="348"/>
      <c r="T647" s="348"/>
      <c r="U647" s="348"/>
      <c r="V647" s="348"/>
      <c r="W647" s="348"/>
      <c r="X647" s="348"/>
      <c r="Y647" s="348"/>
      <c r="Z647" s="348"/>
    </row>
    <row r="648">
      <c r="A648" s="348"/>
      <c r="B648" s="348"/>
      <c r="C648" s="348"/>
      <c r="D648" s="348"/>
      <c r="E648" s="348"/>
      <c r="F648" s="348"/>
      <c r="G648" s="348"/>
      <c r="H648" s="348"/>
      <c r="I648" s="348"/>
      <c r="J648" s="348"/>
      <c r="K648" s="348"/>
      <c r="L648" s="348"/>
      <c r="M648" s="348"/>
      <c r="N648" s="348"/>
      <c r="O648" s="348"/>
      <c r="P648" s="348"/>
      <c r="Q648" s="348"/>
      <c r="R648" s="348"/>
      <c r="S648" s="348"/>
      <c r="T648" s="348"/>
      <c r="U648" s="348"/>
      <c r="V648" s="348"/>
      <c r="W648" s="348"/>
      <c r="X648" s="348"/>
      <c r="Y648" s="348"/>
      <c r="Z648" s="348"/>
    </row>
    <row r="649">
      <c r="A649" s="348"/>
      <c r="B649" s="348"/>
      <c r="C649" s="348"/>
      <c r="D649" s="348"/>
      <c r="E649" s="348"/>
      <c r="F649" s="348"/>
      <c r="G649" s="348"/>
      <c r="H649" s="348"/>
      <c r="I649" s="348"/>
      <c r="J649" s="348"/>
      <c r="K649" s="348"/>
      <c r="L649" s="348"/>
      <c r="M649" s="348"/>
      <c r="N649" s="348"/>
      <c r="O649" s="348"/>
      <c r="P649" s="348"/>
      <c r="Q649" s="348"/>
      <c r="R649" s="348"/>
      <c r="S649" s="348"/>
      <c r="T649" s="348"/>
      <c r="U649" s="348"/>
      <c r="V649" s="348"/>
      <c r="W649" s="348"/>
      <c r="X649" s="348"/>
      <c r="Y649" s="348"/>
      <c r="Z649" s="348"/>
    </row>
    <row r="650">
      <c r="A650" s="348"/>
      <c r="B650" s="348"/>
      <c r="C650" s="348"/>
      <c r="D650" s="348"/>
      <c r="E650" s="348"/>
      <c r="F650" s="348"/>
      <c r="G650" s="348"/>
      <c r="H650" s="348"/>
      <c r="I650" s="348"/>
      <c r="J650" s="348"/>
      <c r="K650" s="348"/>
      <c r="L650" s="348"/>
      <c r="M650" s="348"/>
      <c r="N650" s="348"/>
      <c r="O650" s="348"/>
      <c r="P650" s="348"/>
      <c r="Q650" s="348"/>
      <c r="R650" s="348"/>
      <c r="S650" s="348"/>
      <c r="T650" s="348"/>
      <c r="U650" s="348"/>
      <c r="V650" s="348"/>
      <c r="W650" s="348"/>
      <c r="X650" s="348"/>
      <c r="Y650" s="348"/>
      <c r="Z650" s="348"/>
    </row>
    <row r="651">
      <c r="A651" s="348"/>
      <c r="B651" s="348"/>
      <c r="C651" s="348"/>
      <c r="D651" s="348"/>
      <c r="E651" s="348"/>
      <c r="F651" s="348"/>
      <c r="G651" s="348"/>
      <c r="H651" s="348"/>
      <c r="I651" s="348"/>
      <c r="J651" s="348"/>
      <c r="K651" s="348"/>
      <c r="L651" s="348"/>
      <c r="M651" s="348"/>
      <c r="N651" s="348"/>
      <c r="O651" s="348"/>
      <c r="P651" s="348"/>
      <c r="Q651" s="348"/>
      <c r="R651" s="348"/>
      <c r="S651" s="348"/>
      <c r="T651" s="348"/>
      <c r="U651" s="348"/>
      <c r="V651" s="348"/>
      <c r="W651" s="348"/>
      <c r="X651" s="348"/>
      <c r="Y651" s="348"/>
      <c r="Z651" s="348"/>
    </row>
    <row r="652">
      <c r="A652" s="348"/>
      <c r="B652" s="348"/>
      <c r="C652" s="348"/>
      <c r="D652" s="348"/>
      <c r="E652" s="348"/>
      <c r="F652" s="348"/>
      <c r="G652" s="348"/>
      <c r="H652" s="348"/>
      <c r="I652" s="348"/>
      <c r="J652" s="348"/>
      <c r="K652" s="348"/>
      <c r="L652" s="348"/>
      <c r="M652" s="348"/>
      <c r="N652" s="348"/>
      <c r="O652" s="348"/>
      <c r="P652" s="348"/>
      <c r="Q652" s="348"/>
      <c r="R652" s="348"/>
      <c r="S652" s="348"/>
      <c r="T652" s="348"/>
      <c r="U652" s="348"/>
      <c r="V652" s="348"/>
      <c r="W652" s="348"/>
      <c r="X652" s="348"/>
      <c r="Y652" s="348"/>
      <c r="Z652" s="348"/>
    </row>
    <row r="653">
      <c r="A653" s="348"/>
      <c r="B653" s="348"/>
      <c r="C653" s="348"/>
      <c r="D653" s="348"/>
      <c r="E653" s="348"/>
      <c r="F653" s="348"/>
      <c r="G653" s="348"/>
      <c r="H653" s="348"/>
      <c r="I653" s="348"/>
      <c r="J653" s="348"/>
      <c r="K653" s="348"/>
      <c r="L653" s="348"/>
      <c r="M653" s="348"/>
      <c r="N653" s="348"/>
      <c r="O653" s="348"/>
      <c r="P653" s="348"/>
      <c r="Q653" s="348"/>
      <c r="R653" s="348"/>
      <c r="S653" s="348"/>
      <c r="T653" s="348"/>
      <c r="U653" s="348"/>
      <c r="V653" s="348"/>
      <c r="W653" s="348"/>
      <c r="X653" s="348"/>
      <c r="Y653" s="348"/>
      <c r="Z653" s="348"/>
    </row>
    <row r="654">
      <c r="A654" s="348"/>
      <c r="B654" s="348"/>
      <c r="C654" s="348"/>
      <c r="D654" s="348"/>
      <c r="E654" s="348"/>
      <c r="F654" s="348"/>
      <c r="G654" s="348"/>
      <c r="H654" s="348"/>
      <c r="I654" s="348"/>
      <c r="J654" s="348"/>
      <c r="K654" s="348"/>
      <c r="L654" s="348"/>
      <c r="M654" s="348"/>
      <c r="N654" s="348"/>
      <c r="O654" s="348"/>
      <c r="P654" s="348"/>
      <c r="Q654" s="348"/>
      <c r="R654" s="348"/>
      <c r="S654" s="348"/>
      <c r="T654" s="348"/>
      <c r="U654" s="348"/>
      <c r="V654" s="348"/>
      <c r="W654" s="348"/>
      <c r="X654" s="348"/>
      <c r="Y654" s="348"/>
      <c r="Z654" s="348"/>
    </row>
    <row r="655">
      <c r="A655" s="348"/>
      <c r="B655" s="348"/>
      <c r="C655" s="348"/>
      <c r="D655" s="348"/>
      <c r="E655" s="348"/>
      <c r="F655" s="348"/>
      <c r="G655" s="348"/>
      <c r="H655" s="348"/>
      <c r="I655" s="348"/>
      <c r="J655" s="348"/>
      <c r="K655" s="348"/>
      <c r="L655" s="348"/>
      <c r="M655" s="348"/>
      <c r="N655" s="348"/>
      <c r="O655" s="348"/>
      <c r="P655" s="348"/>
      <c r="Q655" s="348"/>
      <c r="R655" s="348"/>
      <c r="S655" s="348"/>
      <c r="T655" s="348"/>
      <c r="U655" s="348"/>
      <c r="V655" s="348"/>
      <c r="W655" s="348"/>
      <c r="X655" s="348"/>
      <c r="Y655" s="348"/>
      <c r="Z655" s="348"/>
    </row>
    <row r="656">
      <c r="A656" s="348"/>
      <c r="B656" s="348"/>
      <c r="C656" s="348"/>
      <c r="D656" s="348"/>
      <c r="E656" s="348"/>
      <c r="F656" s="348"/>
      <c r="G656" s="348"/>
      <c r="H656" s="348"/>
      <c r="I656" s="348"/>
      <c r="J656" s="348"/>
      <c r="K656" s="348"/>
      <c r="L656" s="348"/>
      <c r="M656" s="348"/>
      <c r="N656" s="348"/>
      <c r="O656" s="348"/>
      <c r="P656" s="348"/>
      <c r="Q656" s="348"/>
      <c r="R656" s="348"/>
      <c r="S656" s="348"/>
      <c r="T656" s="348"/>
      <c r="U656" s="348"/>
      <c r="V656" s="348"/>
      <c r="W656" s="348"/>
      <c r="X656" s="348"/>
      <c r="Y656" s="348"/>
      <c r="Z656" s="348"/>
    </row>
    <row r="657">
      <c r="A657" s="348"/>
      <c r="B657" s="348"/>
      <c r="C657" s="348"/>
      <c r="D657" s="348"/>
      <c r="E657" s="348"/>
      <c r="F657" s="348"/>
      <c r="G657" s="348"/>
      <c r="H657" s="348"/>
      <c r="I657" s="348"/>
      <c r="J657" s="348"/>
      <c r="K657" s="348"/>
      <c r="L657" s="348"/>
      <c r="M657" s="348"/>
      <c r="N657" s="348"/>
      <c r="O657" s="348"/>
      <c r="P657" s="348"/>
      <c r="Q657" s="348"/>
      <c r="R657" s="348"/>
      <c r="S657" s="348"/>
      <c r="T657" s="348"/>
      <c r="U657" s="348"/>
      <c r="V657" s="348"/>
      <c r="W657" s="348"/>
      <c r="X657" s="348"/>
      <c r="Y657" s="348"/>
      <c r="Z657" s="348"/>
    </row>
    <row r="658">
      <c r="A658" s="348"/>
      <c r="B658" s="348"/>
      <c r="C658" s="348"/>
      <c r="D658" s="348"/>
      <c r="E658" s="348"/>
      <c r="F658" s="348"/>
      <c r="G658" s="348"/>
      <c r="H658" s="348"/>
      <c r="I658" s="348"/>
      <c r="J658" s="348"/>
      <c r="K658" s="348"/>
      <c r="L658" s="348"/>
      <c r="M658" s="348"/>
      <c r="N658" s="348"/>
      <c r="O658" s="348"/>
      <c r="P658" s="348"/>
      <c r="Q658" s="348"/>
      <c r="R658" s="348"/>
      <c r="S658" s="348"/>
      <c r="T658" s="348"/>
      <c r="U658" s="348"/>
      <c r="V658" s="348"/>
      <c r="W658" s="348"/>
      <c r="X658" s="348"/>
      <c r="Y658" s="348"/>
      <c r="Z658" s="348"/>
    </row>
    <row r="659">
      <c r="A659" s="348"/>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row>
    <row r="660">
      <c r="A660" s="348"/>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row>
    <row r="661">
      <c r="A661" s="348"/>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row>
    <row r="662">
      <c r="A662" s="348"/>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row>
    <row r="663">
      <c r="A663" s="348"/>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row>
    <row r="664">
      <c r="A664" s="348"/>
      <c r="B664" s="348"/>
      <c r="C664" s="348"/>
      <c r="D664" s="348"/>
      <c r="E664" s="348"/>
      <c r="F664" s="348"/>
      <c r="G664" s="348"/>
      <c r="H664" s="348"/>
      <c r="I664" s="348"/>
      <c r="J664" s="348"/>
      <c r="K664" s="348"/>
      <c r="L664" s="348"/>
      <c r="M664" s="348"/>
      <c r="N664" s="348"/>
      <c r="O664" s="348"/>
      <c r="P664" s="348"/>
      <c r="Q664" s="348"/>
      <c r="R664" s="348"/>
      <c r="S664" s="348"/>
      <c r="T664" s="348"/>
      <c r="U664" s="348"/>
      <c r="V664" s="348"/>
      <c r="W664" s="348"/>
      <c r="X664" s="348"/>
      <c r="Y664" s="348"/>
      <c r="Z664" s="348"/>
    </row>
    <row r="665">
      <c r="A665" s="348"/>
      <c r="B665" s="348"/>
      <c r="C665" s="348"/>
      <c r="D665" s="348"/>
      <c r="E665" s="348"/>
      <c r="F665" s="348"/>
      <c r="G665" s="348"/>
      <c r="H665" s="348"/>
      <c r="I665" s="348"/>
      <c r="J665" s="348"/>
      <c r="K665" s="348"/>
      <c r="L665" s="348"/>
      <c r="M665" s="348"/>
      <c r="N665" s="348"/>
      <c r="O665" s="348"/>
      <c r="P665" s="348"/>
      <c r="Q665" s="348"/>
      <c r="R665" s="348"/>
      <c r="S665" s="348"/>
      <c r="T665" s="348"/>
      <c r="U665" s="348"/>
      <c r="V665" s="348"/>
      <c r="W665" s="348"/>
      <c r="X665" s="348"/>
      <c r="Y665" s="348"/>
      <c r="Z665" s="348"/>
    </row>
    <row r="666">
      <c r="A666" s="348"/>
      <c r="B666" s="348"/>
      <c r="C666" s="348"/>
      <c r="D666" s="348"/>
      <c r="E666" s="348"/>
      <c r="F666" s="348"/>
      <c r="G666" s="348"/>
      <c r="H666" s="348"/>
      <c r="I666" s="348"/>
      <c r="J666" s="348"/>
      <c r="K666" s="348"/>
      <c r="L666" s="348"/>
      <c r="M666" s="348"/>
      <c r="N666" s="348"/>
      <c r="O666" s="348"/>
      <c r="P666" s="348"/>
      <c r="Q666" s="348"/>
      <c r="R666" s="348"/>
      <c r="S666" s="348"/>
      <c r="T666" s="348"/>
      <c r="U666" s="348"/>
      <c r="V666" s="348"/>
      <c r="W666" s="348"/>
      <c r="X666" s="348"/>
      <c r="Y666" s="348"/>
      <c r="Z666" s="348"/>
    </row>
    <row r="667">
      <c r="A667" s="348"/>
      <c r="B667" s="348"/>
      <c r="C667" s="348"/>
      <c r="D667" s="348"/>
      <c r="E667" s="348"/>
      <c r="F667" s="348"/>
      <c r="G667" s="348"/>
      <c r="H667" s="348"/>
      <c r="I667" s="348"/>
      <c r="J667" s="348"/>
      <c r="K667" s="348"/>
      <c r="L667" s="348"/>
      <c r="M667" s="348"/>
      <c r="N667" s="348"/>
      <c r="O667" s="348"/>
      <c r="P667" s="348"/>
      <c r="Q667" s="348"/>
      <c r="R667" s="348"/>
      <c r="S667" s="348"/>
      <c r="T667" s="348"/>
      <c r="U667" s="348"/>
      <c r="V667" s="348"/>
      <c r="W667" s="348"/>
      <c r="X667" s="348"/>
      <c r="Y667" s="348"/>
      <c r="Z667" s="348"/>
    </row>
    <row r="668">
      <c r="A668" s="348"/>
      <c r="B668" s="348"/>
      <c r="C668" s="348"/>
      <c r="D668" s="348"/>
      <c r="E668" s="348"/>
      <c r="F668" s="348"/>
      <c r="G668" s="348"/>
      <c r="H668" s="348"/>
      <c r="I668" s="348"/>
      <c r="J668" s="348"/>
      <c r="K668" s="348"/>
      <c r="L668" s="348"/>
      <c r="M668" s="348"/>
      <c r="N668" s="348"/>
      <c r="O668" s="348"/>
      <c r="P668" s="348"/>
      <c r="Q668" s="348"/>
      <c r="R668" s="348"/>
      <c r="S668" s="348"/>
      <c r="T668" s="348"/>
      <c r="U668" s="348"/>
      <c r="V668" s="348"/>
      <c r="W668" s="348"/>
      <c r="X668" s="348"/>
      <c r="Y668" s="348"/>
      <c r="Z668" s="348"/>
    </row>
    <row r="669">
      <c r="A669" s="348"/>
      <c r="B669" s="348"/>
      <c r="C669" s="348"/>
      <c r="D669" s="348"/>
      <c r="E669" s="348"/>
      <c r="F669" s="348"/>
      <c r="G669" s="348"/>
      <c r="H669" s="348"/>
      <c r="I669" s="348"/>
      <c r="J669" s="348"/>
      <c r="K669" s="348"/>
      <c r="L669" s="348"/>
      <c r="M669" s="348"/>
      <c r="N669" s="348"/>
      <c r="O669" s="348"/>
      <c r="P669" s="348"/>
      <c r="Q669" s="348"/>
      <c r="R669" s="348"/>
      <c r="S669" s="348"/>
      <c r="T669" s="348"/>
      <c r="U669" s="348"/>
      <c r="V669" s="348"/>
      <c r="W669" s="348"/>
      <c r="X669" s="348"/>
      <c r="Y669" s="348"/>
      <c r="Z669" s="348"/>
    </row>
    <row r="670">
      <c r="A670" s="348"/>
      <c r="B670" s="348"/>
      <c r="C670" s="348"/>
      <c r="D670" s="348"/>
      <c r="E670" s="348"/>
      <c r="F670" s="348"/>
      <c r="G670" s="348"/>
      <c r="H670" s="348"/>
      <c r="I670" s="348"/>
      <c r="J670" s="348"/>
      <c r="K670" s="348"/>
      <c r="L670" s="348"/>
      <c r="M670" s="348"/>
      <c r="N670" s="348"/>
      <c r="O670" s="348"/>
      <c r="P670" s="348"/>
      <c r="Q670" s="348"/>
      <c r="R670" s="348"/>
      <c r="S670" s="348"/>
      <c r="T670" s="348"/>
      <c r="U670" s="348"/>
      <c r="V670" s="348"/>
      <c r="W670" s="348"/>
      <c r="X670" s="348"/>
      <c r="Y670" s="348"/>
      <c r="Z670" s="348"/>
    </row>
    <row r="671">
      <c r="A671" s="348"/>
      <c r="B671" s="348"/>
      <c r="C671" s="348"/>
      <c r="D671" s="348"/>
      <c r="E671" s="348"/>
      <c r="F671" s="348"/>
      <c r="G671" s="348"/>
      <c r="H671" s="348"/>
      <c r="I671" s="348"/>
      <c r="J671" s="348"/>
      <c r="K671" s="348"/>
      <c r="L671" s="348"/>
      <c r="M671" s="348"/>
      <c r="N671" s="348"/>
      <c r="O671" s="348"/>
      <c r="P671" s="348"/>
      <c r="Q671" s="348"/>
      <c r="R671" s="348"/>
      <c r="S671" s="348"/>
      <c r="T671" s="348"/>
      <c r="U671" s="348"/>
      <c r="V671" s="348"/>
      <c r="W671" s="348"/>
      <c r="X671" s="348"/>
      <c r="Y671" s="348"/>
      <c r="Z671" s="348"/>
    </row>
    <row r="672">
      <c r="A672" s="348"/>
      <c r="B672" s="348"/>
      <c r="C672" s="348"/>
      <c r="D672" s="348"/>
      <c r="E672" s="348"/>
      <c r="F672" s="348"/>
      <c r="G672" s="348"/>
      <c r="H672" s="348"/>
      <c r="I672" s="348"/>
      <c r="J672" s="348"/>
      <c r="K672" s="348"/>
      <c r="L672" s="348"/>
      <c r="M672" s="348"/>
      <c r="N672" s="348"/>
      <c r="O672" s="348"/>
      <c r="P672" s="348"/>
      <c r="Q672" s="348"/>
      <c r="R672" s="348"/>
      <c r="S672" s="348"/>
      <c r="T672" s="348"/>
      <c r="U672" s="348"/>
      <c r="V672" s="348"/>
      <c r="W672" s="348"/>
      <c r="X672" s="348"/>
      <c r="Y672" s="348"/>
      <c r="Z672" s="348"/>
    </row>
    <row r="673">
      <c r="A673" s="348"/>
      <c r="B673" s="348"/>
      <c r="C673" s="348"/>
      <c r="D673" s="348"/>
      <c r="E673" s="348"/>
      <c r="F673" s="348"/>
      <c r="G673" s="348"/>
      <c r="H673" s="348"/>
      <c r="I673" s="348"/>
      <c r="J673" s="348"/>
      <c r="K673" s="348"/>
      <c r="L673" s="348"/>
      <c r="M673" s="348"/>
      <c r="N673" s="348"/>
      <c r="O673" s="348"/>
      <c r="P673" s="348"/>
      <c r="Q673" s="348"/>
      <c r="R673" s="348"/>
      <c r="S673" s="348"/>
      <c r="T673" s="348"/>
      <c r="U673" s="348"/>
      <c r="V673" s="348"/>
      <c r="W673" s="348"/>
      <c r="X673" s="348"/>
      <c r="Y673" s="348"/>
      <c r="Z673" s="348"/>
    </row>
    <row r="674">
      <c r="A674" s="348"/>
      <c r="B674" s="348"/>
      <c r="C674" s="348"/>
      <c r="D674" s="348"/>
      <c r="E674" s="348"/>
      <c r="F674" s="348"/>
      <c r="G674" s="348"/>
      <c r="H674" s="348"/>
      <c r="I674" s="348"/>
      <c r="J674" s="348"/>
      <c r="K674" s="348"/>
      <c r="L674" s="348"/>
      <c r="M674" s="348"/>
      <c r="N674" s="348"/>
      <c r="O674" s="348"/>
      <c r="P674" s="348"/>
      <c r="Q674" s="348"/>
      <c r="R674" s="348"/>
      <c r="S674" s="348"/>
      <c r="T674" s="348"/>
      <c r="U674" s="348"/>
      <c r="V674" s="348"/>
      <c r="W674" s="348"/>
      <c r="X674" s="348"/>
      <c r="Y674" s="348"/>
      <c r="Z674" s="348"/>
    </row>
    <row r="675">
      <c r="A675" s="348"/>
      <c r="B675" s="348"/>
      <c r="C675" s="348"/>
      <c r="D675" s="348"/>
      <c r="E675" s="348"/>
      <c r="F675" s="348"/>
      <c r="G675" s="348"/>
      <c r="H675" s="348"/>
      <c r="I675" s="348"/>
      <c r="J675" s="348"/>
      <c r="K675" s="348"/>
      <c r="L675" s="348"/>
      <c r="M675" s="348"/>
      <c r="N675" s="348"/>
      <c r="O675" s="348"/>
      <c r="P675" s="348"/>
      <c r="Q675" s="348"/>
      <c r="R675" s="348"/>
      <c r="S675" s="348"/>
      <c r="T675" s="348"/>
      <c r="U675" s="348"/>
      <c r="V675" s="348"/>
      <c r="W675" s="348"/>
      <c r="X675" s="348"/>
      <c r="Y675" s="348"/>
      <c r="Z675" s="348"/>
    </row>
    <row r="676">
      <c r="A676" s="348"/>
      <c r="B676" s="348"/>
      <c r="C676" s="348"/>
      <c r="D676" s="348"/>
      <c r="E676" s="348"/>
      <c r="F676" s="348"/>
      <c r="G676" s="348"/>
      <c r="H676" s="348"/>
      <c r="I676" s="348"/>
      <c r="J676" s="348"/>
      <c r="K676" s="348"/>
      <c r="L676" s="348"/>
      <c r="M676" s="348"/>
      <c r="N676" s="348"/>
      <c r="O676" s="348"/>
      <c r="P676" s="348"/>
      <c r="Q676" s="348"/>
      <c r="R676" s="348"/>
      <c r="S676" s="348"/>
      <c r="T676" s="348"/>
      <c r="U676" s="348"/>
      <c r="V676" s="348"/>
      <c r="W676" s="348"/>
      <c r="X676" s="348"/>
      <c r="Y676" s="348"/>
      <c r="Z676" s="348"/>
    </row>
    <row r="677">
      <c r="A677" s="348"/>
      <c r="B677" s="348"/>
      <c r="C677" s="348"/>
      <c r="D677" s="348"/>
      <c r="E677" s="348"/>
      <c r="F677" s="348"/>
      <c r="G677" s="348"/>
      <c r="H677" s="348"/>
      <c r="I677" s="348"/>
      <c r="J677" s="348"/>
      <c r="K677" s="348"/>
      <c r="L677" s="348"/>
      <c r="M677" s="348"/>
      <c r="N677" s="348"/>
      <c r="O677" s="348"/>
      <c r="P677" s="348"/>
      <c r="Q677" s="348"/>
      <c r="R677" s="348"/>
      <c r="S677" s="348"/>
      <c r="T677" s="348"/>
      <c r="U677" s="348"/>
      <c r="V677" s="348"/>
      <c r="W677" s="348"/>
      <c r="X677" s="348"/>
      <c r="Y677" s="348"/>
      <c r="Z677" s="348"/>
    </row>
    <row r="678">
      <c r="A678" s="348"/>
      <c r="B678" s="348"/>
      <c r="C678" s="348"/>
      <c r="D678" s="348"/>
      <c r="E678" s="348"/>
      <c r="F678" s="348"/>
      <c r="G678" s="348"/>
      <c r="H678" s="348"/>
      <c r="I678" s="348"/>
      <c r="J678" s="348"/>
      <c r="K678" s="348"/>
      <c r="L678" s="348"/>
      <c r="M678" s="348"/>
      <c r="N678" s="348"/>
      <c r="O678" s="348"/>
      <c r="P678" s="348"/>
      <c r="Q678" s="348"/>
      <c r="R678" s="348"/>
      <c r="S678" s="348"/>
      <c r="T678" s="348"/>
      <c r="U678" s="348"/>
      <c r="V678" s="348"/>
      <c r="W678" s="348"/>
      <c r="X678" s="348"/>
      <c r="Y678" s="348"/>
      <c r="Z678" s="348"/>
    </row>
    <row r="679">
      <c r="A679" s="348"/>
      <c r="B679" s="348"/>
      <c r="C679" s="348"/>
      <c r="D679" s="348"/>
      <c r="E679" s="348"/>
      <c r="F679" s="348"/>
      <c r="G679" s="348"/>
      <c r="H679" s="348"/>
      <c r="I679" s="348"/>
      <c r="J679" s="348"/>
      <c r="K679" s="348"/>
      <c r="L679" s="348"/>
      <c r="M679" s="348"/>
      <c r="N679" s="348"/>
      <c r="O679" s="348"/>
      <c r="P679" s="348"/>
      <c r="Q679" s="348"/>
      <c r="R679" s="348"/>
      <c r="S679" s="348"/>
      <c r="T679" s="348"/>
      <c r="U679" s="348"/>
      <c r="V679" s="348"/>
      <c r="W679" s="348"/>
      <c r="X679" s="348"/>
      <c r="Y679" s="348"/>
      <c r="Z679" s="348"/>
    </row>
    <row r="680">
      <c r="A680" s="348"/>
      <c r="B680" s="348"/>
      <c r="C680" s="348"/>
      <c r="D680" s="348"/>
      <c r="E680" s="348"/>
      <c r="F680" s="348"/>
      <c r="G680" s="348"/>
      <c r="H680" s="348"/>
      <c r="I680" s="348"/>
      <c r="J680" s="348"/>
      <c r="K680" s="348"/>
      <c r="L680" s="348"/>
      <c r="M680" s="348"/>
      <c r="N680" s="348"/>
      <c r="O680" s="348"/>
      <c r="P680" s="348"/>
      <c r="Q680" s="348"/>
      <c r="R680" s="348"/>
      <c r="S680" s="348"/>
      <c r="T680" s="348"/>
      <c r="U680" s="348"/>
      <c r="V680" s="348"/>
      <c r="W680" s="348"/>
      <c r="X680" s="348"/>
      <c r="Y680" s="348"/>
      <c r="Z680" s="348"/>
    </row>
    <row r="681">
      <c r="A681" s="348"/>
      <c r="B681" s="348"/>
      <c r="C681" s="348"/>
      <c r="D681" s="348"/>
      <c r="E681" s="348"/>
      <c r="F681" s="348"/>
      <c r="G681" s="348"/>
      <c r="H681" s="348"/>
      <c r="I681" s="348"/>
      <c r="J681" s="348"/>
      <c r="K681" s="348"/>
      <c r="L681" s="348"/>
      <c r="M681" s="348"/>
      <c r="N681" s="348"/>
      <c r="O681" s="348"/>
      <c r="P681" s="348"/>
      <c r="Q681" s="348"/>
      <c r="R681" s="348"/>
      <c r="S681" s="348"/>
      <c r="T681" s="348"/>
      <c r="U681" s="348"/>
      <c r="V681" s="348"/>
      <c r="W681" s="348"/>
      <c r="X681" s="348"/>
      <c r="Y681" s="348"/>
      <c r="Z681" s="348"/>
    </row>
    <row r="682">
      <c r="A682" s="348"/>
      <c r="B682" s="348"/>
      <c r="C682" s="348"/>
      <c r="D682" s="348"/>
      <c r="E682" s="348"/>
      <c r="F682" s="348"/>
      <c r="G682" s="348"/>
      <c r="H682" s="348"/>
      <c r="I682" s="348"/>
      <c r="J682" s="348"/>
      <c r="K682" s="348"/>
      <c r="L682" s="348"/>
      <c r="M682" s="348"/>
      <c r="N682" s="348"/>
      <c r="O682" s="348"/>
      <c r="P682" s="348"/>
      <c r="Q682" s="348"/>
      <c r="R682" s="348"/>
      <c r="S682" s="348"/>
      <c r="T682" s="348"/>
      <c r="U682" s="348"/>
      <c r="V682" s="348"/>
      <c r="W682" s="348"/>
      <c r="X682" s="348"/>
      <c r="Y682" s="348"/>
      <c r="Z682" s="348"/>
    </row>
    <row r="683">
      <c r="A683" s="348"/>
      <c r="B683" s="348"/>
      <c r="C683" s="348"/>
      <c r="D683" s="348"/>
      <c r="E683" s="348"/>
      <c r="F683" s="348"/>
      <c r="G683" s="348"/>
      <c r="H683" s="348"/>
      <c r="I683" s="348"/>
      <c r="J683" s="348"/>
      <c r="K683" s="348"/>
      <c r="L683" s="348"/>
      <c r="M683" s="348"/>
      <c r="N683" s="348"/>
      <c r="O683" s="348"/>
      <c r="P683" s="348"/>
      <c r="Q683" s="348"/>
      <c r="R683" s="348"/>
      <c r="S683" s="348"/>
      <c r="T683" s="348"/>
      <c r="U683" s="348"/>
      <c r="V683" s="348"/>
      <c r="W683" s="348"/>
      <c r="X683" s="348"/>
      <c r="Y683" s="348"/>
      <c r="Z683" s="348"/>
    </row>
    <row r="684">
      <c r="A684" s="348"/>
      <c r="B684" s="348"/>
      <c r="C684" s="348"/>
      <c r="D684" s="348"/>
      <c r="E684" s="348"/>
      <c r="F684" s="348"/>
      <c r="G684" s="348"/>
      <c r="H684" s="348"/>
      <c r="I684" s="348"/>
      <c r="J684" s="348"/>
      <c r="K684" s="348"/>
      <c r="L684" s="348"/>
      <c r="M684" s="348"/>
      <c r="N684" s="348"/>
      <c r="O684" s="348"/>
      <c r="P684" s="348"/>
      <c r="Q684" s="348"/>
      <c r="R684" s="348"/>
      <c r="S684" s="348"/>
      <c r="T684" s="348"/>
      <c r="U684" s="348"/>
      <c r="V684" s="348"/>
      <c r="W684" s="348"/>
      <c r="X684" s="348"/>
      <c r="Y684" s="348"/>
      <c r="Z684" s="348"/>
    </row>
    <row r="685">
      <c r="A685" s="348"/>
      <c r="B685" s="348"/>
      <c r="C685" s="348"/>
      <c r="D685" s="348"/>
      <c r="E685" s="348"/>
      <c r="F685" s="348"/>
      <c r="G685" s="348"/>
      <c r="H685" s="348"/>
      <c r="I685" s="348"/>
      <c r="J685" s="348"/>
      <c r="K685" s="348"/>
      <c r="L685" s="348"/>
      <c r="M685" s="348"/>
      <c r="N685" s="348"/>
      <c r="O685" s="348"/>
      <c r="P685" s="348"/>
      <c r="Q685" s="348"/>
      <c r="R685" s="348"/>
      <c r="S685" s="348"/>
      <c r="T685" s="348"/>
      <c r="U685" s="348"/>
      <c r="V685" s="348"/>
      <c r="W685" s="348"/>
      <c r="X685" s="348"/>
      <c r="Y685" s="348"/>
      <c r="Z685" s="348"/>
    </row>
    <row r="686">
      <c r="A686" s="348"/>
      <c r="B686" s="348"/>
      <c r="C686" s="348"/>
      <c r="D686" s="348"/>
      <c r="E686" s="348"/>
      <c r="F686" s="348"/>
      <c r="G686" s="348"/>
      <c r="H686" s="348"/>
      <c r="I686" s="348"/>
      <c r="J686" s="348"/>
      <c r="K686" s="348"/>
      <c r="L686" s="348"/>
      <c r="M686" s="348"/>
      <c r="N686" s="348"/>
      <c r="O686" s="348"/>
      <c r="P686" s="348"/>
      <c r="Q686" s="348"/>
      <c r="R686" s="348"/>
      <c r="S686" s="348"/>
      <c r="T686" s="348"/>
      <c r="U686" s="348"/>
      <c r="V686" s="348"/>
      <c r="W686" s="348"/>
      <c r="X686" s="348"/>
      <c r="Y686" s="348"/>
      <c r="Z686" s="348"/>
    </row>
    <row r="687">
      <c r="A687" s="348"/>
      <c r="B687" s="348"/>
      <c r="C687" s="348"/>
      <c r="D687" s="348"/>
      <c r="E687" s="348"/>
      <c r="F687" s="348"/>
      <c r="G687" s="348"/>
      <c r="H687" s="348"/>
      <c r="I687" s="348"/>
      <c r="J687" s="348"/>
      <c r="K687" s="348"/>
      <c r="L687" s="348"/>
      <c r="M687" s="348"/>
      <c r="N687" s="348"/>
      <c r="O687" s="348"/>
      <c r="P687" s="348"/>
      <c r="Q687" s="348"/>
      <c r="R687" s="348"/>
      <c r="S687" s="348"/>
      <c r="T687" s="348"/>
      <c r="U687" s="348"/>
      <c r="V687" s="348"/>
      <c r="W687" s="348"/>
      <c r="X687" s="348"/>
      <c r="Y687" s="348"/>
      <c r="Z687" s="348"/>
    </row>
    <row r="688">
      <c r="A688" s="348"/>
      <c r="B688" s="348"/>
      <c r="C688" s="348"/>
      <c r="D688" s="348"/>
      <c r="E688" s="348"/>
      <c r="F688" s="348"/>
      <c r="G688" s="348"/>
      <c r="H688" s="348"/>
      <c r="I688" s="348"/>
      <c r="J688" s="348"/>
      <c r="K688" s="348"/>
      <c r="L688" s="348"/>
      <c r="M688" s="348"/>
      <c r="N688" s="348"/>
      <c r="O688" s="348"/>
      <c r="P688" s="348"/>
      <c r="Q688" s="348"/>
      <c r="R688" s="348"/>
      <c r="S688" s="348"/>
      <c r="T688" s="348"/>
      <c r="U688" s="348"/>
      <c r="V688" s="348"/>
      <c r="W688" s="348"/>
      <c r="X688" s="348"/>
      <c r="Y688" s="348"/>
      <c r="Z688" s="348"/>
    </row>
    <row r="689">
      <c r="A689" s="348"/>
      <c r="B689" s="348"/>
      <c r="C689" s="348"/>
      <c r="D689" s="348"/>
      <c r="E689" s="348"/>
      <c r="F689" s="348"/>
      <c r="G689" s="348"/>
      <c r="H689" s="348"/>
      <c r="I689" s="348"/>
      <c r="J689" s="348"/>
      <c r="K689" s="348"/>
      <c r="L689" s="348"/>
      <c r="M689" s="348"/>
      <c r="N689" s="348"/>
      <c r="O689" s="348"/>
      <c r="P689" s="348"/>
      <c r="Q689" s="348"/>
      <c r="R689" s="348"/>
      <c r="S689" s="348"/>
      <c r="T689" s="348"/>
      <c r="U689" s="348"/>
      <c r="V689" s="348"/>
      <c r="W689" s="348"/>
      <c r="X689" s="348"/>
      <c r="Y689" s="348"/>
      <c r="Z689" s="348"/>
    </row>
    <row r="690">
      <c r="A690" s="348"/>
      <c r="B690" s="348"/>
      <c r="C690" s="348"/>
      <c r="D690" s="348"/>
      <c r="E690" s="348"/>
      <c r="F690" s="348"/>
      <c r="G690" s="348"/>
      <c r="H690" s="348"/>
      <c r="I690" s="348"/>
      <c r="J690" s="348"/>
      <c r="K690" s="348"/>
      <c r="L690" s="348"/>
      <c r="M690" s="348"/>
      <c r="N690" s="348"/>
      <c r="O690" s="348"/>
      <c r="P690" s="348"/>
      <c r="Q690" s="348"/>
      <c r="R690" s="348"/>
      <c r="S690" s="348"/>
      <c r="T690" s="348"/>
      <c r="U690" s="348"/>
      <c r="V690" s="348"/>
      <c r="W690" s="348"/>
      <c r="X690" s="348"/>
      <c r="Y690" s="348"/>
      <c r="Z690" s="348"/>
    </row>
    <row r="691">
      <c r="A691" s="348"/>
      <c r="B691" s="348"/>
      <c r="C691" s="348"/>
      <c r="D691" s="348"/>
      <c r="E691" s="348"/>
      <c r="F691" s="348"/>
      <c r="G691" s="348"/>
      <c r="H691" s="348"/>
      <c r="I691" s="348"/>
      <c r="J691" s="348"/>
      <c r="K691" s="348"/>
      <c r="L691" s="348"/>
      <c r="M691" s="348"/>
      <c r="N691" s="348"/>
      <c r="O691" s="348"/>
      <c r="P691" s="348"/>
      <c r="Q691" s="348"/>
      <c r="R691" s="348"/>
      <c r="S691" s="348"/>
      <c r="T691" s="348"/>
      <c r="U691" s="348"/>
      <c r="V691" s="348"/>
      <c r="W691" s="348"/>
      <c r="X691" s="348"/>
      <c r="Y691" s="348"/>
      <c r="Z691" s="348"/>
    </row>
    <row r="692">
      <c r="A692" s="348"/>
      <c r="B692" s="348"/>
      <c r="C692" s="348"/>
      <c r="D692" s="348"/>
      <c r="E692" s="348"/>
      <c r="F692" s="348"/>
      <c r="G692" s="348"/>
      <c r="H692" s="348"/>
      <c r="I692" s="348"/>
      <c r="J692" s="348"/>
      <c r="K692" s="348"/>
      <c r="L692" s="348"/>
      <c r="M692" s="348"/>
      <c r="N692" s="348"/>
      <c r="O692" s="348"/>
      <c r="P692" s="348"/>
      <c r="Q692" s="348"/>
      <c r="R692" s="348"/>
      <c r="S692" s="348"/>
      <c r="T692" s="348"/>
      <c r="U692" s="348"/>
      <c r="V692" s="348"/>
      <c r="W692" s="348"/>
      <c r="X692" s="348"/>
      <c r="Y692" s="348"/>
      <c r="Z692" s="348"/>
    </row>
    <row r="693">
      <c r="A693" s="348"/>
      <c r="B693" s="348"/>
      <c r="C693" s="348"/>
      <c r="D693" s="348"/>
      <c r="E693" s="348"/>
      <c r="F693" s="348"/>
      <c r="G693" s="348"/>
      <c r="H693" s="348"/>
      <c r="I693" s="348"/>
      <c r="J693" s="348"/>
      <c r="K693" s="348"/>
      <c r="L693" s="348"/>
      <c r="M693" s="348"/>
      <c r="N693" s="348"/>
      <c r="O693" s="348"/>
      <c r="P693" s="348"/>
      <c r="Q693" s="348"/>
      <c r="R693" s="348"/>
      <c r="S693" s="348"/>
      <c r="T693" s="348"/>
      <c r="U693" s="348"/>
      <c r="V693" s="348"/>
      <c r="W693" s="348"/>
      <c r="X693" s="348"/>
      <c r="Y693" s="348"/>
      <c r="Z693" s="348"/>
    </row>
    <row r="694">
      <c r="A694" s="348"/>
      <c r="B694" s="348"/>
      <c r="C694" s="348"/>
      <c r="D694" s="348"/>
      <c r="E694" s="348"/>
      <c r="F694" s="348"/>
      <c r="G694" s="348"/>
      <c r="H694" s="348"/>
      <c r="I694" s="348"/>
      <c r="J694" s="348"/>
      <c r="K694" s="348"/>
      <c r="L694" s="348"/>
      <c r="M694" s="348"/>
      <c r="N694" s="348"/>
      <c r="O694" s="348"/>
      <c r="P694" s="348"/>
      <c r="Q694" s="348"/>
      <c r="R694" s="348"/>
      <c r="S694" s="348"/>
      <c r="T694" s="348"/>
      <c r="U694" s="348"/>
      <c r="V694" s="348"/>
      <c r="W694" s="348"/>
      <c r="X694" s="348"/>
      <c r="Y694" s="348"/>
      <c r="Z694" s="348"/>
    </row>
    <row r="695">
      <c r="A695" s="348"/>
      <c r="B695" s="348"/>
      <c r="C695" s="348"/>
      <c r="D695" s="348"/>
      <c r="E695" s="348"/>
      <c r="F695" s="348"/>
      <c r="G695" s="348"/>
      <c r="H695" s="348"/>
      <c r="I695" s="348"/>
      <c r="J695" s="348"/>
      <c r="K695" s="348"/>
      <c r="L695" s="348"/>
      <c r="M695" s="348"/>
      <c r="N695" s="348"/>
      <c r="O695" s="348"/>
      <c r="P695" s="348"/>
      <c r="Q695" s="348"/>
      <c r="R695" s="348"/>
      <c r="S695" s="348"/>
      <c r="T695" s="348"/>
      <c r="U695" s="348"/>
      <c r="V695" s="348"/>
      <c r="W695" s="348"/>
      <c r="X695" s="348"/>
      <c r="Y695" s="348"/>
      <c r="Z695" s="348"/>
    </row>
    <row r="696">
      <c r="A696" s="348"/>
      <c r="B696" s="348"/>
      <c r="C696" s="348"/>
      <c r="D696" s="348"/>
      <c r="E696" s="348"/>
      <c r="F696" s="348"/>
      <c r="G696" s="348"/>
      <c r="H696" s="348"/>
      <c r="I696" s="348"/>
      <c r="J696" s="348"/>
      <c r="K696" s="348"/>
      <c r="L696" s="348"/>
      <c r="M696" s="348"/>
      <c r="N696" s="348"/>
      <c r="O696" s="348"/>
      <c r="P696" s="348"/>
      <c r="Q696" s="348"/>
      <c r="R696" s="348"/>
      <c r="S696" s="348"/>
      <c r="T696" s="348"/>
      <c r="U696" s="348"/>
      <c r="V696" s="348"/>
      <c r="W696" s="348"/>
      <c r="X696" s="348"/>
      <c r="Y696" s="348"/>
      <c r="Z696" s="348"/>
    </row>
    <row r="697">
      <c r="A697" s="348"/>
      <c r="B697" s="348"/>
      <c r="C697" s="348"/>
      <c r="D697" s="348"/>
      <c r="E697" s="348"/>
      <c r="F697" s="348"/>
      <c r="G697" s="348"/>
      <c r="H697" s="348"/>
      <c r="I697" s="348"/>
      <c r="J697" s="348"/>
      <c r="K697" s="348"/>
      <c r="L697" s="348"/>
      <c r="M697" s="348"/>
      <c r="N697" s="348"/>
      <c r="O697" s="348"/>
      <c r="P697" s="348"/>
      <c r="Q697" s="348"/>
      <c r="R697" s="348"/>
      <c r="S697" s="348"/>
      <c r="T697" s="348"/>
      <c r="U697" s="348"/>
      <c r="V697" s="348"/>
      <c r="W697" s="348"/>
      <c r="X697" s="348"/>
      <c r="Y697" s="348"/>
      <c r="Z697" s="348"/>
    </row>
    <row r="698">
      <c r="A698" s="348"/>
      <c r="B698" s="348"/>
      <c r="C698" s="348"/>
      <c r="D698" s="348"/>
      <c r="E698" s="348"/>
      <c r="F698" s="348"/>
      <c r="G698" s="348"/>
      <c r="H698" s="348"/>
      <c r="I698" s="348"/>
      <c r="J698" s="348"/>
      <c r="K698" s="348"/>
      <c r="L698" s="348"/>
      <c r="M698" s="348"/>
      <c r="N698" s="348"/>
      <c r="O698" s="348"/>
      <c r="P698" s="348"/>
      <c r="Q698" s="348"/>
      <c r="R698" s="348"/>
      <c r="S698" s="348"/>
      <c r="T698" s="348"/>
      <c r="U698" s="348"/>
      <c r="V698" s="348"/>
      <c r="W698" s="348"/>
      <c r="X698" s="348"/>
      <c r="Y698" s="348"/>
      <c r="Z698" s="348"/>
    </row>
    <row r="699">
      <c r="A699" s="348"/>
      <c r="B699" s="348"/>
      <c r="C699" s="348"/>
      <c r="D699" s="348"/>
      <c r="E699" s="348"/>
      <c r="F699" s="348"/>
      <c r="G699" s="348"/>
      <c r="H699" s="348"/>
      <c r="I699" s="348"/>
      <c r="J699" s="348"/>
      <c r="K699" s="348"/>
      <c r="L699" s="348"/>
      <c r="M699" s="348"/>
      <c r="N699" s="348"/>
      <c r="O699" s="348"/>
      <c r="P699" s="348"/>
      <c r="Q699" s="348"/>
      <c r="R699" s="348"/>
      <c r="S699" s="348"/>
      <c r="T699" s="348"/>
      <c r="U699" s="348"/>
      <c r="V699" s="348"/>
      <c r="W699" s="348"/>
      <c r="X699" s="348"/>
      <c r="Y699" s="348"/>
      <c r="Z699" s="348"/>
    </row>
    <row r="700">
      <c r="A700" s="348"/>
      <c r="B700" s="348"/>
      <c r="C700" s="348"/>
      <c r="D700" s="348"/>
      <c r="E700" s="348"/>
      <c r="F700" s="348"/>
      <c r="G700" s="348"/>
      <c r="H700" s="348"/>
      <c r="I700" s="348"/>
      <c r="J700" s="348"/>
      <c r="K700" s="348"/>
      <c r="L700" s="348"/>
      <c r="M700" s="348"/>
      <c r="N700" s="348"/>
      <c r="O700" s="348"/>
      <c r="P700" s="348"/>
      <c r="Q700" s="348"/>
      <c r="R700" s="348"/>
      <c r="S700" s="348"/>
      <c r="T700" s="348"/>
      <c r="U700" s="348"/>
      <c r="V700" s="348"/>
      <c r="W700" s="348"/>
      <c r="X700" s="348"/>
      <c r="Y700" s="348"/>
      <c r="Z700" s="348"/>
    </row>
    <row r="701">
      <c r="A701" s="348"/>
      <c r="B701" s="348"/>
      <c r="C701" s="348"/>
      <c r="D701" s="348"/>
      <c r="E701" s="348"/>
      <c r="F701" s="348"/>
      <c r="G701" s="348"/>
      <c r="H701" s="348"/>
      <c r="I701" s="348"/>
      <c r="J701" s="348"/>
      <c r="K701" s="348"/>
      <c r="L701" s="348"/>
      <c r="M701" s="348"/>
      <c r="N701" s="348"/>
      <c r="O701" s="348"/>
      <c r="P701" s="348"/>
      <c r="Q701" s="348"/>
      <c r="R701" s="348"/>
      <c r="S701" s="348"/>
      <c r="T701" s="348"/>
      <c r="U701" s="348"/>
      <c r="V701" s="348"/>
      <c r="W701" s="348"/>
      <c r="X701" s="348"/>
      <c r="Y701" s="348"/>
      <c r="Z701" s="348"/>
    </row>
    <row r="702">
      <c r="A702" s="348"/>
      <c r="B702" s="348"/>
      <c r="C702" s="348"/>
      <c r="D702" s="348"/>
      <c r="E702" s="348"/>
      <c r="F702" s="348"/>
      <c r="G702" s="348"/>
      <c r="H702" s="348"/>
      <c r="I702" s="348"/>
      <c r="J702" s="348"/>
      <c r="K702" s="348"/>
      <c r="L702" s="348"/>
      <c r="M702" s="348"/>
      <c r="N702" s="348"/>
      <c r="O702" s="348"/>
      <c r="P702" s="348"/>
      <c r="Q702" s="348"/>
      <c r="R702" s="348"/>
      <c r="S702" s="348"/>
      <c r="T702" s="348"/>
      <c r="U702" s="348"/>
      <c r="V702" s="348"/>
      <c r="W702" s="348"/>
      <c r="X702" s="348"/>
      <c r="Y702" s="348"/>
      <c r="Z702" s="348"/>
    </row>
    <row r="703">
      <c r="A703" s="348"/>
      <c r="B703" s="348"/>
      <c r="C703" s="348"/>
      <c r="D703" s="348"/>
      <c r="E703" s="348"/>
      <c r="F703" s="348"/>
      <c r="G703" s="348"/>
      <c r="H703" s="348"/>
      <c r="I703" s="348"/>
      <c r="J703" s="348"/>
      <c r="K703" s="348"/>
      <c r="L703" s="348"/>
      <c r="M703" s="348"/>
      <c r="N703" s="348"/>
      <c r="O703" s="348"/>
      <c r="P703" s="348"/>
      <c r="Q703" s="348"/>
      <c r="R703" s="348"/>
      <c r="S703" s="348"/>
      <c r="T703" s="348"/>
      <c r="U703" s="348"/>
      <c r="V703" s="348"/>
      <c r="W703" s="348"/>
      <c r="X703" s="348"/>
      <c r="Y703" s="348"/>
      <c r="Z703" s="348"/>
    </row>
    <row r="704">
      <c r="A704" s="348"/>
      <c r="B704" s="348"/>
      <c r="C704" s="348"/>
      <c r="D704" s="348"/>
      <c r="E704" s="348"/>
      <c r="F704" s="348"/>
      <c r="G704" s="348"/>
      <c r="H704" s="348"/>
      <c r="I704" s="348"/>
      <c r="J704" s="348"/>
      <c r="K704" s="348"/>
      <c r="L704" s="348"/>
      <c r="M704" s="348"/>
      <c r="N704" s="348"/>
      <c r="O704" s="348"/>
      <c r="P704" s="348"/>
      <c r="Q704" s="348"/>
      <c r="R704" s="348"/>
      <c r="S704" s="348"/>
      <c r="T704" s="348"/>
      <c r="U704" s="348"/>
      <c r="V704" s="348"/>
      <c r="W704" s="348"/>
      <c r="X704" s="348"/>
      <c r="Y704" s="348"/>
      <c r="Z704" s="348"/>
    </row>
    <row r="705">
      <c r="A705" s="348"/>
      <c r="B705" s="348"/>
      <c r="C705" s="348"/>
      <c r="D705" s="348"/>
      <c r="E705" s="348"/>
      <c r="F705" s="348"/>
      <c r="G705" s="348"/>
      <c r="H705" s="348"/>
      <c r="I705" s="348"/>
      <c r="J705" s="348"/>
      <c r="K705" s="348"/>
      <c r="L705" s="348"/>
      <c r="M705" s="348"/>
      <c r="N705" s="348"/>
      <c r="O705" s="348"/>
      <c r="P705" s="348"/>
      <c r="Q705" s="348"/>
      <c r="R705" s="348"/>
      <c r="S705" s="348"/>
      <c r="T705" s="348"/>
      <c r="U705" s="348"/>
      <c r="V705" s="348"/>
      <c r="W705" s="348"/>
      <c r="X705" s="348"/>
      <c r="Y705" s="348"/>
      <c r="Z705" s="348"/>
    </row>
    <row r="706">
      <c r="A706" s="348"/>
      <c r="B706" s="348"/>
      <c r="C706" s="348"/>
      <c r="D706" s="348"/>
      <c r="E706" s="348"/>
      <c r="F706" s="348"/>
      <c r="G706" s="348"/>
      <c r="H706" s="348"/>
      <c r="I706" s="348"/>
      <c r="J706" s="348"/>
      <c r="K706" s="348"/>
      <c r="L706" s="348"/>
      <c r="M706" s="348"/>
      <c r="N706" s="348"/>
      <c r="O706" s="348"/>
      <c r="P706" s="348"/>
      <c r="Q706" s="348"/>
      <c r="R706" s="348"/>
      <c r="S706" s="348"/>
      <c r="T706" s="348"/>
      <c r="U706" s="348"/>
      <c r="V706" s="348"/>
      <c r="W706" s="348"/>
      <c r="X706" s="348"/>
      <c r="Y706" s="348"/>
      <c r="Z706" s="348"/>
    </row>
    <row r="707">
      <c r="A707" s="348"/>
      <c r="B707" s="348"/>
      <c r="C707" s="348"/>
      <c r="D707" s="348"/>
      <c r="E707" s="348"/>
      <c r="F707" s="348"/>
      <c r="G707" s="348"/>
      <c r="H707" s="348"/>
      <c r="I707" s="348"/>
      <c r="J707" s="348"/>
      <c r="K707" s="348"/>
      <c r="L707" s="348"/>
      <c r="M707" s="348"/>
      <c r="N707" s="348"/>
      <c r="O707" s="348"/>
      <c r="P707" s="348"/>
      <c r="Q707" s="348"/>
      <c r="R707" s="348"/>
      <c r="S707" s="348"/>
      <c r="T707" s="348"/>
      <c r="U707" s="348"/>
      <c r="V707" s="348"/>
      <c r="W707" s="348"/>
      <c r="X707" s="348"/>
      <c r="Y707" s="348"/>
      <c r="Z707" s="348"/>
    </row>
    <row r="708">
      <c r="A708" s="348"/>
      <c r="B708" s="348"/>
      <c r="C708" s="348"/>
      <c r="D708" s="348"/>
      <c r="E708" s="348"/>
      <c r="F708" s="348"/>
      <c r="G708" s="348"/>
      <c r="H708" s="348"/>
      <c r="I708" s="348"/>
      <c r="J708" s="348"/>
      <c r="K708" s="348"/>
      <c r="L708" s="348"/>
      <c r="M708" s="348"/>
      <c r="N708" s="348"/>
      <c r="O708" s="348"/>
      <c r="P708" s="348"/>
      <c r="Q708" s="348"/>
      <c r="R708" s="348"/>
      <c r="S708" s="348"/>
      <c r="T708" s="348"/>
      <c r="U708" s="348"/>
      <c r="V708" s="348"/>
      <c r="W708" s="348"/>
      <c r="X708" s="348"/>
      <c r="Y708" s="348"/>
      <c r="Z708" s="348"/>
    </row>
    <row r="709">
      <c r="A709" s="348"/>
      <c r="B709" s="348"/>
      <c r="C709" s="348"/>
      <c r="D709" s="348"/>
      <c r="E709" s="348"/>
      <c r="F709" s="348"/>
      <c r="G709" s="348"/>
      <c r="H709" s="348"/>
      <c r="I709" s="348"/>
      <c r="J709" s="348"/>
      <c r="K709" s="348"/>
      <c r="L709" s="348"/>
      <c r="M709" s="348"/>
      <c r="N709" s="348"/>
      <c r="O709" s="348"/>
      <c r="P709" s="348"/>
      <c r="Q709" s="348"/>
      <c r="R709" s="348"/>
      <c r="S709" s="348"/>
      <c r="T709" s="348"/>
      <c r="U709" s="348"/>
      <c r="V709" s="348"/>
      <c r="W709" s="348"/>
      <c r="X709" s="348"/>
      <c r="Y709" s="348"/>
      <c r="Z709" s="348"/>
    </row>
    <row r="710">
      <c r="A710" s="348"/>
      <c r="B710" s="348"/>
      <c r="C710" s="348"/>
      <c r="D710" s="348"/>
      <c r="E710" s="348"/>
      <c r="F710" s="348"/>
      <c r="G710" s="348"/>
      <c r="H710" s="348"/>
      <c r="I710" s="348"/>
      <c r="J710" s="348"/>
      <c r="K710" s="348"/>
      <c r="L710" s="348"/>
      <c r="M710" s="348"/>
      <c r="N710" s="348"/>
      <c r="O710" s="348"/>
      <c r="P710" s="348"/>
      <c r="Q710" s="348"/>
      <c r="R710" s="348"/>
      <c r="S710" s="348"/>
      <c r="T710" s="348"/>
      <c r="U710" s="348"/>
      <c r="V710" s="348"/>
      <c r="W710" s="348"/>
      <c r="X710" s="348"/>
      <c r="Y710" s="348"/>
      <c r="Z710" s="348"/>
    </row>
    <row r="711">
      <c r="A711" s="348"/>
      <c r="B711" s="348"/>
      <c r="C711" s="348"/>
      <c r="D711" s="348"/>
      <c r="E711" s="348"/>
      <c r="F711" s="348"/>
      <c r="G711" s="348"/>
      <c r="H711" s="348"/>
      <c r="I711" s="348"/>
      <c r="J711" s="348"/>
      <c r="K711" s="348"/>
      <c r="L711" s="348"/>
      <c r="M711" s="348"/>
      <c r="N711" s="348"/>
      <c r="O711" s="348"/>
      <c r="P711" s="348"/>
      <c r="Q711" s="348"/>
      <c r="R711" s="348"/>
      <c r="S711" s="348"/>
      <c r="T711" s="348"/>
      <c r="U711" s="348"/>
      <c r="V711" s="348"/>
      <c r="W711" s="348"/>
      <c r="X711" s="348"/>
      <c r="Y711" s="348"/>
      <c r="Z711" s="348"/>
    </row>
    <row r="712">
      <c r="A712" s="348"/>
      <c r="B712" s="348"/>
      <c r="C712" s="348"/>
      <c r="D712" s="348"/>
      <c r="E712" s="348"/>
      <c r="F712" s="348"/>
      <c r="G712" s="348"/>
      <c r="H712" s="348"/>
      <c r="I712" s="348"/>
      <c r="J712" s="348"/>
      <c r="K712" s="348"/>
      <c r="L712" s="348"/>
      <c r="M712" s="348"/>
      <c r="N712" s="348"/>
      <c r="O712" s="348"/>
      <c r="P712" s="348"/>
      <c r="Q712" s="348"/>
      <c r="R712" s="348"/>
      <c r="S712" s="348"/>
      <c r="T712" s="348"/>
      <c r="U712" s="348"/>
      <c r="V712" s="348"/>
      <c r="W712" s="348"/>
      <c r="X712" s="348"/>
      <c r="Y712" s="348"/>
      <c r="Z712" s="348"/>
    </row>
    <row r="713">
      <c r="A713" s="348"/>
      <c r="B713" s="348"/>
      <c r="C713" s="348"/>
      <c r="D713" s="348"/>
      <c r="E713" s="348"/>
      <c r="F713" s="348"/>
      <c r="G713" s="348"/>
      <c r="H713" s="348"/>
      <c r="I713" s="348"/>
      <c r="J713" s="348"/>
      <c r="K713" s="348"/>
      <c r="L713" s="348"/>
      <c r="M713" s="348"/>
      <c r="N713" s="348"/>
      <c r="O713" s="348"/>
      <c r="P713" s="348"/>
      <c r="Q713" s="348"/>
      <c r="R713" s="348"/>
      <c r="S713" s="348"/>
      <c r="T713" s="348"/>
      <c r="U713" s="348"/>
      <c r="V713" s="348"/>
      <c r="W713" s="348"/>
      <c r="X713" s="348"/>
      <c r="Y713" s="348"/>
      <c r="Z713" s="348"/>
    </row>
    <row r="714">
      <c r="A714" s="348"/>
      <c r="B714" s="348"/>
      <c r="C714" s="348"/>
      <c r="D714" s="348"/>
      <c r="E714" s="348"/>
      <c r="F714" s="348"/>
      <c r="G714" s="348"/>
      <c r="H714" s="348"/>
      <c r="I714" s="348"/>
      <c r="J714" s="348"/>
      <c r="K714" s="348"/>
      <c r="L714" s="348"/>
      <c r="M714" s="348"/>
      <c r="N714" s="348"/>
      <c r="O714" s="348"/>
      <c r="P714" s="348"/>
      <c r="Q714" s="348"/>
      <c r="R714" s="348"/>
      <c r="S714" s="348"/>
      <c r="T714" s="348"/>
      <c r="U714" s="348"/>
      <c r="V714" s="348"/>
      <c r="W714" s="348"/>
      <c r="X714" s="348"/>
      <c r="Y714" s="348"/>
      <c r="Z714" s="348"/>
    </row>
    <row r="715">
      <c r="A715" s="348"/>
      <c r="B715" s="348"/>
      <c r="C715" s="348"/>
      <c r="D715" s="348"/>
      <c r="E715" s="348"/>
      <c r="F715" s="348"/>
      <c r="G715" s="348"/>
      <c r="H715" s="348"/>
      <c r="I715" s="348"/>
      <c r="J715" s="348"/>
      <c r="K715" s="348"/>
      <c r="L715" s="348"/>
      <c r="M715" s="348"/>
      <c r="N715" s="348"/>
      <c r="O715" s="348"/>
      <c r="P715" s="348"/>
      <c r="Q715" s="348"/>
      <c r="R715" s="348"/>
      <c r="S715" s="348"/>
      <c r="T715" s="348"/>
      <c r="U715" s="348"/>
      <c r="V715" s="348"/>
      <c r="W715" s="348"/>
      <c r="X715" s="348"/>
      <c r="Y715" s="348"/>
      <c r="Z715" s="348"/>
    </row>
    <row r="716">
      <c r="A716" s="348"/>
      <c r="B716" s="348"/>
      <c r="C716" s="348"/>
      <c r="D716" s="348"/>
      <c r="E716" s="348"/>
      <c r="F716" s="348"/>
      <c r="G716" s="348"/>
      <c r="H716" s="348"/>
      <c r="I716" s="348"/>
      <c r="J716" s="348"/>
      <c r="K716" s="348"/>
      <c r="L716" s="348"/>
      <c r="M716" s="348"/>
      <c r="N716" s="348"/>
      <c r="O716" s="348"/>
      <c r="P716" s="348"/>
      <c r="Q716" s="348"/>
      <c r="R716" s="348"/>
      <c r="S716" s="348"/>
      <c r="T716" s="348"/>
      <c r="U716" s="348"/>
      <c r="V716" s="348"/>
      <c r="W716" s="348"/>
      <c r="X716" s="348"/>
      <c r="Y716" s="348"/>
      <c r="Z716" s="348"/>
    </row>
    <row r="717">
      <c r="A717" s="348"/>
      <c r="B717" s="348"/>
      <c r="C717" s="348"/>
      <c r="D717" s="348"/>
      <c r="E717" s="348"/>
      <c r="F717" s="348"/>
      <c r="G717" s="348"/>
      <c r="H717" s="348"/>
      <c r="I717" s="348"/>
      <c r="J717" s="348"/>
      <c r="K717" s="348"/>
      <c r="L717" s="348"/>
      <c r="M717" s="348"/>
      <c r="N717" s="348"/>
      <c r="O717" s="348"/>
      <c r="P717" s="348"/>
      <c r="Q717" s="348"/>
      <c r="R717" s="348"/>
      <c r="S717" s="348"/>
      <c r="T717" s="348"/>
      <c r="U717" s="348"/>
      <c r="V717" s="348"/>
      <c r="W717" s="348"/>
      <c r="X717" s="348"/>
      <c r="Y717" s="348"/>
      <c r="Z717" s="348"/>
    </row>
    <row r="718">
      <c r="A718" s="348"/>
      <c r="B718" s="348"/>
      <c r="C718" s="348"/>
      <c r="D718" s="348"/>
      <c r="E718" s="348"/>
      <c r="F718" s="348"/>
      <c r="G718" s="348"/>
      <c r="H718" s="348"/>
      <c r="I718" s="348"/>
      <c r="J718" s="348"/>
      <c r="K718" s="348"/>
      <c r="L718" s="348"/>
      <c r="M718" s="348"/>
      <c r="N718" s="348"/>
      <c r="O718" s="348"/>
      <c r="P718" s="348"/>
      <c r="Q718" s="348"/>
      <c r="R718" s="348"/>
      <c r="S718" s="348"/>
      <c r="T718" s="348"/>
      <c r="U718" s="348"/>
      <c r="V718" s="348"/>
      <c r="W718" s="348"/>
      <c r="X718" s="348"/>
      <c r="Y718" s="348"/>
      <c r="Z718" s="348"/>
    </row>
    <row r="719">
      <c r="A719" s="348"/>
      <c r="B719" s="348"/>
      <c r="C719" s="348"/>
      <c r="D719" s="348"/>
      <c r="E719" s="348"/>
      <c r="F719" s="348"/>
      <c r="G719" s="348"/>
      <c r="H719" s="348"/>
      <c r="I719" s="348"/>
      <c r="J719" s="348"/>
      <c r="K719" s="348"/>
      <c r="L719" s="348"/>
      <c r="M719" s="348"/>
      <c r="N719" s="348"/>
      <c r="O719" s="348"/>
      <c r="P719" s="348"/>
      <c r="Q719" s="348"/>
      <c r="R719" s="348"/>
      <c r="S719" s="348"/>
      <c r="T719" s="348"/>
      <c r="U719" s="348"/>
      <c r="V719" s="348"/>
      <c r="W719" s="348"/>
      <c r="X719" s="348"/>
      <c r="Y719" s="348"/>
      <c r="Z719" s="348"/>
    </row>
    <row r="720">
      <c r="A720" s="348"/>
      <c r="B720" s="348"/>
      <c r="C720" s="348"/>
      <c r="D720" s="348"/>
      <c r="E720" s="348"/>
      <c r="F720" s="348"/>
      <c r="G720" s="348"/>
      <c r="H720" s="348"/>
      <c r="I720" s="348"/>
      <c r="J720" s="348"/>
      <c r="K720" s="348"/>
      <c r="L720" s="348"/>
      <c r="M720" s="348"/>
      <c r="N720" s="348"/>
      <c r="O720" s="348"/>
      <c r="P720" s="348"/>
      <c r="Q720" s="348"/>
      <c r="R720" s="348"/>
      <c r="S720" s="348"/>
      <c r="T720" s="348"/>
      <c r="U720" s="348"/>
      <c r="V720" s="348"/>
      <c r="W720" s="348"/>
      <c r="X720" s="348"/>
      <c r="Y720" s="348"/>
      <c r="Z720" s="348"/>
    </row>
    <row r="721">
      <c r="A721" s="348"/>
      <c r="B721" s="348"/>
      <c r="C721" s="348"/>
      <c r="D721" s="348"/>
      <c r="E721" s="348"/>
      <c r="F721" s="348"/>
      <c r="G721" s="348"/>
      <c r="H721" s="348"/>
      <c r="I721" s="348"/>
      <c r="J721" s="348"/>
      <c r="K721" s="348"/>
      <c r="L721" s="348"/>
      <c r="M721" s="348"/>
      <c r="N721" s="348"/>
      <c r="O721" s="348"/>
      <c r="P721" s="348"/>
      <c r="Q721" s="348"/>
      <c r="R721" s="348"/>
      <c r="S721" s="348"/>
      <c r="T721" s="348"/>
      <c r="U721" s="348"/>
      <c r="V721" s="348"/>
      <c r="W721" s="348"/>
      <c r="X721" s="348"/>
      <c r="Y721" s="348"/>
      <c r="Z721" s="348"/>
    </row>
    <row r="722">
      <c r="A722" s="348"/>
      <c r="B722" s="348"/>
      <c r="C722" s="348"/>
      <c r="D722" s="348"/>
      <c r="E722" s="348"/>
      <c r="F722" s="348"/>
      <c r="G722" s="348"/>
      <c r="H722" s="348"/>
      <c r="I722" s="348"/>
      <c r="J722" s="348"/>
      <c r="K722" s="348"/>
      <c r="L722" s="348"/>
      <c r="M722" s="348"/>
      <c r="N722" s="348"/>
      <c r="O722" s="348"/>
      <c r="P722" s="348"/>
      <c r="Q722" s="348"/>
      <c r="R722" s="348"/>
      <c r="S722" s="348"/>
      <c r="T722" s="348"/>
      <c r="U722" s="348"/>
      <c r="V722" s="348"/>
      <c r="W722" s="348"/>
      <c r="X722" s="348"/>
      <c r="Y722" s="348"/>
      <c r="Z722" s="348"/>
    </row>
    <row r="723">
      <c r="A723" s="348"/>
      <c r="B723" s="348"/>
      <c r="C723" s="348"/>
      <c r="D723" s="348"/>
      <c r="E723" s="348"/>
      <c r="F723" s="348"/>
      <c r="G723" s="348"/>
      <c r="H723" s="348"/>
      <c r="I723" s="348"/>
      <c r="J723" s="348"/>
      <c r="K723" s="348"/>
      <c r="L723" s="348"/>
      <c r="M723" s="348"/>
      <c r="N723" s="348"/>
      <c r="O723" s="348"/>
      <c r="P723" s="348"/>
      <c r="Q723" s="348"/>
      <c r="R723" s="348"/>
      <c r="S723" s="348"/>
      <c r="T723" s="348"/>
      <c r="U723" s="348"/>
      <c r="V723" s="348"/>
      <c r="W723" s="348"/>
      <c r="X723" s="348"/>
      <c r="Y723" s="348"/>
      <c r="Z723" s="348"/>
    </row>
    <row r="724">
      <c r="A724" s="348"/>
      <c r="B724" s="348"/>
      <c r="C724" s="348"/>
      <c r="D724" s="348"/>
      <c r="E724" s="348"/>
      <c r="F724" s="348"/>
      <c r="G724" s="348"/>
      <c r="H724" s="348"/>
      <c r="I724" s="348"/>
      <c r="J724" s="348"/>
      <c r="K724" s="348"/>
      <c r="L724" s="348"/>
      <c r="M724" s="348"/>
      <c r="N724" s="348"/>
      <c r="O724" s="348"/>
      <c r="P724" s="348"/>
      <c r="Q724" s="348"/>
      <c r="R724" s="348"/>
      <c r="S724" s="348"/>
      <c r="T724" s="348"/>
      <c r="U724" s="348"/>
      <c r="V724" s="348"/>
      <c r="W724" s="348"/>
      <c r="X724" s="348"/>
      <c r="Y724" s="348"/>
      <c r="Z724" s="348"/>
    </row>
    <row r="725">
      <c r="A725" s="348"/>
      <c r="B725" s="348"/>
      <c r="C725" s="348"/>
      <c r="D725" s="348"/>
      <c r="E725" s="348"/>
      <c r="F725" s="348"/>
      <c r="G725" s="348"/>
      <c r="H725" s="348"/>
      <c r="I725" s="348"/>
      <c r="J725" s="348"/>
      <c r="K725" s="348"/>
      <c r="L725" s="348"/>
      <c r="M725" s="348"/>
      <c r="N725" s="348"/>
      <c r="O725" s="348"/>
      <c r="P725" s="348"/>
      <c r="Q725" s="348"/>
      <c r="R725" s="348"/>
      <c r="S725" s="348"/>
      <c r="T725" s="348"/>
      <c r="U725" s="348"/>
      <c r="V725" s="348"/>
      <c r="W725" s="348"/>
      <c r="X725" s="348"/>
      <c r="Y725" s="348"/>
      <c r="Z725" s="348"/>
    </row>
    <row r="726">
      <c r="A726" s="348"/>
      <c r="B726" s="348"/>
      <c r="C726" s="348"/>
      <c r="D726" s="348"/>
      <c r="E726" s="348"/>
      <c r="F726" s="348"/>
      <c r="G726" s="348"/>
      <c r="H726" s="348"/>
      <c r="I726" s="348"/>
      <c r="J726" s="348"/>
      <c r="K726" s="348"/>
      <c r="L726" s="348"/>
      <c r="M726" s="348"/>
      <c r="N726" s="348"/>
      <c r="O726" s="348"/>
      <c r="P726" s="348"/>
      <c r="Q726" s="348"/>
      <c r="R726" s="348"/>
      <c r="S726" s="348"/>
      <c r="T726" s="348"/>
      <c r="U726" s="348"/>
      <c r="V726" s="348"/>
      <c r="W726" s="348"/>
      <c r="X726" s="348"/>
      <c r="Y726" s="348"/>
      <c r="Z726" s="348"/>
    </row>
    <row r="727">
      <c r="A727" s="348"/>
      <c r="B727" s="348"/>
      <c r="C727" s="348"/>
      <c r="D727" s="348"/>
      <c r="E727" s="348"/>
      <c r="F727" s="348"/>
      <c r="G727" s="348"/>
      <c r="H727" s="348"/>
      <c r="I727" s="348"/>
      <c r="J727" s="348"/>
      <c r="K727" s="348"/>
      <c r="L727" s="348"/>
      <c r="M727" s="348"/>
      <c r="N727" s="348"/>
      <c r="O727" s="348"/>
      <c r="P727" s="348"/>
      <c r="Q727" s="348"/>
      <c r="R727" s="348"/>
      <c r="S727" s="348"/>
      <c r="T727" s="348"/>
      <c r="U727" s="348"/>
      <c r="V727" s="348"/>
      <c r="W727" s="348"/>
      <c r="X727" s="348"/>
      <c r="Y727" s="348"/>
      <c r="Z727" s="348"/>
    </row>
    <row r="728">
      <c r="A728" s="348"/>
      <c r="B728" s="348"/>
      <c r="C728" s="348"/>
      <c r="D728" s="348"/>
      <c r="E728" s="348"/>
      <c r="F728" s="348"/>
      <c r="G728" s="348"/>
      <c r="H728" s="348"/>
      <c r="I728" s="348"/>
      <c r="J728" s="348"/>
      <c r="K728" s="348"/>
      <c r="L728" s="348"/>
      <c r="M728" s="348"/>
      <c r="N728" s="348"/>
      <c r="O728" s="348"/>
      <c r="P728" s="348"/>
      <c r="Q728" s="348"/>
      <c r="R728" s="348"/>
      <c r="S728" s="348"/>
      <c r="T728" s="348"/>
      <c r="U728" s="348"/>
      <c r="V728" s="348"/>
      <c r="W728" s="348"/>
      <c r="X728" s="348"/>
      <c r="Y728" s="348"/>
      <c r="Z728" s="348"/>
    </row>
    <row r="729">
      <c r="A729" s="348"/>
      <c r="B729" s="348"/>
      <c r="C729" s="348"/>
      <c r="D729" s="348"/>
      <c r="E729" s="348"/>
      <c r="F729" s="348"/>
      <c r="G729" s="348"/>
      <c r="H729" s="348"/>
      <c r="I729" s="348"/>
      <c r="J729" s="348"/>
      <c r="K729" s="348"/>
      <c r="L729" s="348"/>
      <c r="M729" s="348"/>
      <c r="N729" s="348"/>
      <c r="O729" s="348"/>
      <c r="P729" s="348"/>
      <c r="Q729" s="348"/>
      <c r="R729" s="348"/>
      <c r="S729" s="348"/>
      <c r="T729" s="348"/>
      <c r="U729" s="348"/>
      <c r="V729" s="348"/>
      <c r="W729" s="348"/>
      <c r="X729" s="348"/>
      <c r="Y729" s="348"/>
      <c r="Z729" s="348"/>
    </row>
    <row r="730">
      <c r="A730" s="348"/>
      <c r="B730" s="348"/>
      <c r="C730" s="348"/>
      <c r="D730" s="348"/>
      <c r="E730" s="348"/>
      <c r="F730" s="348"/>
      <c r="G730" s="348"/>
      <c r="H730" s="348"/>
      <c r="I730" s="348"/>
      <c r="J730" s="348"/>
      <c r="K730" s="348"/>
      <c r="L730" s="348"/>
      <c r="M730" s="348"/>
      <c r="N730" s="348"/>
      <c r="O730" s="348"/>
      <c r="P730" s="348"/>
      <c r="Q730" s="348"/>
      <c r="R730" s="348"/>
      <c r="S730" s="348"/>
      <c r="T730" s="348"/>
      <c r="U730" s="348"/>
      <c r="V730" s="348"/>
      <c r="W730" s="348"/>
      <c r="X730" s="348"/>
      <c r="Y730" s="348"/>
      <c r="Z730" s="348"/>
    </row>
    <row r="731">
      <c r="A731" s="348"/>
      <c r="B731" s="348"/>
      <c r="C731" s="348"/>
      <c r="D731" s="348"/>
      <c r="E731" s="348"/>
      <c r="F731" s="348"/>
      <c r="G731" s="348"/>
      <c r="H731" s="348"/>
      <c r="I731" s="348"/>
      <c r="J731" s="348"/>
      <c r="K731" s="348"/>
      <c r="L731" s="348"/>
      <c r="M731" s="348"/>
      <c r="N731" s="348"/>
      <c r="O731" s="348"/>
      <c r="P731" s="348"/>
      <c r="Q731" s="348"/>
      <c r="R731" s="348"/>
      <c r="S731" s="348"/>
      <c r="T731" s="348"/>
      <c r="U731" s="348"/>
      <c r="V731" s="348"/>
      <c r="W731" s="348"/>
      <c r="X731" s="348"/>
      <c r="Y731" s="348"/>
      <c r="Z731" s="348"/>
    </row>
    <row r="732">
      <c r="A732" s="348"/>
      <c r="B732" s="348"/>
      <c r="C732" s="348"/>
      <c r="D732" s="348"/>
      <c r="E732" s="348"/>
      <c r="F732" s="348"/>
      <c r="G732" s="348"/>
      <c r="H732" s="348"/>
      <c r="I732" s="348"/>
      <c r="J732" s="348"/>
      <c r="K732" s="348"/>
      <c r="L732" s="348"/>
      <c r="M732" s="348"/>
      <c r="N732" s="348"/>
      <c r="O732" s="348"/>
      <c r="P732" s="348"/>
      <c r="Q732" s="348"/>
      <c r="R732" s="348"/>
      <c r="S732" s="348"/>
      <c r="T732" s="348"/>
      <c r="U732" s="348"/>
      <c r="V732" s="348"/>
      <c r="W732" s="348"/>
      <c r="X732" s="348"/>
      <c r="Y732" s="348"/>
      <c r="Z732" s="348"/>
    </row>
    <row r="733">
      <c r="A733" s="348"/>
      <c r="B733" s="348"/>
      <c r="C733" s="348"/>
      <c r="D733" s="348"/>
      <c r="E733" s="348"/>
      <c r="F733" s="348"/>
      <c r="G733" s="348"/>
      <c r="H733" s="348"/>
      <c r="I733" s="348"/>
      <c r="J733" s="348"/>
      <c r="K733" s="348"/>
      <c r="L733" s="348"/>
      <c r="M733" s="348"/>
      <c r="N733" s="348"/>
      <c r="O733" s="348"/>
      <c r="P733" s="348"/>
      <c r="Q733" s="348"/>
      <c r="R733" s="348"/>
      <c r="S733" s="348"/>
      <c r="T733" s="348"/>
      <c r="U733" s="348"/>
      <c r="V733" s="348"/>
      <c r="W733" s="348"/>
      <c r="X733" s="348"/>
      <c r="Y733" s="348"/>
      <c r="Z733" s="348"/>
    </row>
    <row r="734">
      <c r="A734" s="348"/>
      <c r="B734" s="348"/>
      <c r="C734" s="348"/>
      <c r="D734" s="348"/>
      <c r="E734" s="348"/>
      <c r="F734" s="348"/>
      <c r="G734" s="348"/>
      <c r="H734" s="348"/>
      <c r="I734" s="348"/>
      <c r="J734" s="348"/>
      <c r="K734" s="348"/>
      <c r="L734" s="348"/>
      <c r="M734" s="348"/>
      <c r="N734" s="348"/>
      <c r="O734" s="348"/>
      <c r="P734" s="348"/>
      <c r="Q734" s="348"/>
      <c r="R734" s="348"/>
      <c r="S734" s="348"/>
      <c r="T734" s="348"/>
      <c r="U734" s="348"/>
      <c r="V734" s="348"/>
      <c r="W734" s="348"/>
      <c r="X734" s="348"/>
      <c r="Y734" s="348"/>
      <c r="Z734" s="348"/>
    </row>
    <row r="735">
      <c r="A735" s="348"/>
      <c r="B735" s="348"/>
      <c r="C735" s="348"/>
      <c r="D735" s="348"/>
      <c r="E735" s="348"/>
      <c r="F735" s="348"/>
      <c r="G735" s="348"/>
      <c r="H735" s="348"/>
      <c r="I735" s="348"/>
      <c r="J735" s="348"/>
      <c r="K735" s="348"/>
      <c r="L735" s="348"/>
      <c r="M735" s="348"/>
      <c r="N735" s="348"/>
      <c r="O735" s="348"/>
      <c r="P735" s="348"/>
      <c r="Q735" s="348"/>
      <c r="R735" s="348"/>
      <c r="S735" s="348"/>
      <c r="T735" s="348"/>
      <c r="U735" s="348"/>
      <c r="V735" s="348"/>
      <c r="W735" s="348"/>
      <c r="X735" s="348"/>
      <c r="Y735" s="348"/>
      <c r="Z735" s="348"/>
    </row>
    <row r="736">
      <c r="A736" s="348"/>
      <c r="B736" s="348"/>
      <c r="C736" s="348"/>
      <c r="D736" s="348"/>
      <c r="E736" s="348"/>
      <c r="F736" s="348"/>
      <c r="G736" s="348"/>
      <c r="H736" s="348"/>
      <c r="I736" s="348"/>
      <c r="J736" s="348"/>
      <c r="K736" s="348"/>
      <c r="L736" s="348"/>
      <c r="M736" s="348"/>
      <c r="N736" s="348"/>
      <c r="O736" s="348"/>
      <c r="P736" s="348"/>
      <c r="Q736" s="348"/>
      <c r="R736" s="348"/>
      <c r="S736" s="348"/>
      <c r="T736" s="348"/>
      <c r="U736" s="348"/>
      <c r="V736" s="348"/>
      <c r="W736" s="348"/>
      <c r="X736" s="348"/>
      <c r="Y736" s="348"/>
      <c r="Z736" s="348"/>
    </row>
    <row r="737">
      <c r="A737" s="348"/>
      <c r="B737" s="348"/>
      <c r="C737" s="348"/>
      <c r="D737" s="348"/>
      <c r="E737" s="348"/>
      <c r="F737" s="348"/>
      <c r="G737" s="348"/>
      <c r="H737" s="348"/>
      <c r="I737" s="348"/>
      <c r="J737" s="348"/>
      <c r="K737" s="348"/>
      <c r="L737" s="348"/>
      <c r="M737" s="348"/>
      <c r="N737" s="348"/>
      <c r="O737" s="348"/>
      <c r="P737" s="348"/>
      <c r="Q737" s="348"/>
      <c r="R737" s="348"/>
      <c r="S737" s="348"/>
      <c r="T737" s="348"/>
      <c r="U737" s="348"/>
      <c r="V737" s="348"/>
      <c r="W737" s="348"/>
      <c r="X737" s="348"/>
      <c r="Y737" s="348"/>
      <c r="Z737" s="348"/>
    </row>
    <row r="738">
      <c r="A738" s="348"/>
      <c r="B738" s="348"/>
      <c r="C738" s="348"/>
      <c r="D738" s="348"/>
      <c r="E738" s="348"/>
      <c r="F738" s="348"/>
      <c r="G738" s="348"/>
      <c r="H738" s="348"/>
      <c r="I738" s="348"/>
      <c r="J738" s="348"/>
      <c r="K738" s="348"/>
      <c r="L738" s="348"/>
      <c r="M738" s="348"/>
      <c r="N738" s="348"/>
      <c r="O738" s="348"/>
      <c r="P738" s="348"/>
      <c r="Q738" s="348"/>
      <c r="R738" s="348"/>
      <c r="S738" s="348"/>
      <c r="T738" s="348"/>
      <c r="U738" s="348"/>
      <c r="V738" s="348"/>
      <c r="W738" s="348"/>
      <c r="X738" s="348"/>
      <c r="Y738" s="348"/>
      <c r="Z738" s="348"/>
    </row>
    <row r="739">
      <c r="A739" s="348"/>
      <c r="B739" s="348"/>
      <c r="C739" s="348"/>
      <c r="D739" s="348"/>
      <c r="E739" s="348"/>
      <c r="F739" s="348"/>
      <c r="G739" s="348"/>
      <c r="H739" s="348"/>
      <c r="I739" s="348"/>
      <c r="J739" s="348"/>
      <c r="K739" s="348"/>
      <c r="L739" s="348"/>
      <c r="M739" s="348"/>
      <c r="N739" s="348"/>
      <c r="O739" s="348"/>
      <c r="P739" s="348"/>
      <c r="Q739" s="348"/>
      <c r="R739" s="348"/>
      <c r="S739" s="348"/>
      <c r="T739" s="348"/>
      <c r="U739" s="348"/>
      <c r="V739" s="348"/>
      <c r="W739" s="348"/>
      <c r="X739" s="348"/>
      <c r="Y739" s="348"/>
      <c r="Z739" s="348"/>
    </row>
    <row r="740">
      <c r="A740" s="348"/>
      <c r="B740" s="348"/>
      <c r="C740" s="348"/>
      <c r="D740" s="348"/>
      <c r="E740" s="348"/>
      <c r="F740" s="348"/>
      <c r="G740" s="348"/>
      <c r="H740" s="348"/>
      <c r="I740" s="348"/>
      <c r="J740" s="348"/>
      <c r="K740" s="348"/>
      <c r="L740" s="348"/>
      <c r="M740" s="348"/>
      <c r="N740" s="348"/>
      <c r="O740" s="348"/>
      <c r="P740" s="348"/>
      <c r="Q740" s="348"/>
      <c r="R740" s="348"/>
      <c r="S740" s="348"/>
      <c r="T740" s="348"/>
      <c r="U740" s="348"/>
      <c r="V740" s="348"/>
      <c r="W740" s="348"/>
      <c r="X740" s="348"/>
      <c r="Y740" s="348"/>
      <c r="Z740" s="348"/>
    </row>
    <row r="741">
      <c r="A741" s="348"/>
      <c r="B741" s="348"/>
      <c r="C741" s="348"/>
      <c r="D741" s="348"/>
      <c r="E741" s="348"/>
      <c r="F741" s="348"/>
      <c r="G741" s="348"/>
      <c r="H741" s="348"/>
      <c r="I741" s="348"/>
      <c r="J741" s="348"/>
      <c r="K741" s="348"/>
      <c r="L741" s="348"/>
      <c r="M741" s="348"/>
      <c r="N741" s="348"/>
      <c r="O741" s="348"/>
      <c r="P741" s="348"/>
      <c r="Q741" s="348"/>
      <c r="R741" s="348"/>
      <c r="S741" s="348"/>
      <c r="T741" s="348"/>
      <c r="U741" s="348"/>
      <c r="V741" s="348"/>
      <c r="W741" s="348"/>
      <c r="X741" s="348"/>
      <c r="Y741" s="348"/>
      <c r="Z741" s="348"/>
    </row>
    <row r="742">
      <c r="A742" s="348"/>
      <c r="B742" s="348"/>
      <c r="C742" s="348"/>
      <c r="D742" s="348"/>
      <c r="E742" s="348"/>
      <c r="F742" s="348"/>
      <c r="G742" s="348"/>
      <c r="H742" s="348"/>
      <c r="I742" s="348"/>
      <c r="J742" s="348"/>
      <c r="K742" s="348"/>
      <c r="L742" s="348"/>
      <c r="M742" s="348"/>
      <c r="N742" s="348"/>
      <c r="O742" s="348"/>
      <c r="P742" s="348"/>
      <c r="Q742" s="348"/>
      <c r="R742" s="348"/>
      <c r="S742" s="348"/>
      <c r="T742" s="348"/>
      <c r="U742" s="348"/>
      <c r="V742" s="348"/>
      <c r="W742" s="348"/>
      <c r="X742" s="348"/>
      <c r="Y742" s="348"/>
      <c r="Z742" s="348"/>
    </row>
    <row r="743">
      <c r="A743" s="348"/>
      <c r="B743" s="348"/>
      <c r="C743" s="348"/>
      <c r="D743" s="348"/>
      <c r="E743" s="348"/>
      <c r="F743" s="348"/>
      <c r="G743" s="348"/>
      <c r="H743" s="348"/>
      <c r="I743" s="348"/>
      <c r="J743" s="348"/>
      <c r="K743" s="348"/>
      <c r="L743" s="348"/>
      <c r="M743" s="348"/>
      <c r="N743" s="348"/>
      <c r="O743" s="348"/>
      <c r="P743" s="348"/>
      <c r="Q743" s="348"/>
      <c r="R743" s="348"/>
      <c r="S743" s="348"/>
      <c r="T743" s="348"/>
      <c r="U743" s="348"/>
      <c r="V743" s="348"/>
      <c r="W743" s="348"/>
      <c r="X743" s="348"/>
      <c r="Y743" s="348"/>
      <c r="Z743" s="348"/>
    </row>
    <row r="744">
      <c r="A744" s="348"/>
      <c r="B744" s="348"/>
      <c r="C744" s="348"/>
      <c r="D744" s="348"/>
      <c r="E744" s="348"/>
      <c r="F744" s="348"/>
      <c r="G744" s="348"/>
      <c r="H744" s="348"/>
      <c r="I744" s="348"/>
      <c r="J744" s="348"/>
      <c r="K744" s="348"/>
      <c r="L744" s="348"/>
      <c r="M744" s="348"/>
      <c r="N744" s="348"/>
      <c r="O744" s="348"/>
      <c r="P744" s="348"/>
      <c r="Q744" s="348"/>
      <c r="R744" s="348"/>
      <c r="S744" s="348"/>
      <c r="T744" s="348"/>
      <c r="U744" s="348"/>
      <c r="V744" s="348"/>
      <c r="W744" s="348"/>
      <c r="X744" s="348"/>
      <c r="Y744" s="348"/>
      <c r="Z744" s="348"/>
    </row>
    <row r="745">
      <c r="A745" s="348"/>
      <c r="B745" s="348"/>
      <c r="C745" s="348"/>
      <c r="D745" s="348"/>
      <c r="E745" s="348"/>
      <c r="F745" s="348"/>
      <c r="G745" s="348"/>
      <c r="H745" s="348"/>
      <c r="I745" s="348"/>
      <c r="J745" s="348"/>
      <c r="K745" s="348"/>
      <c r="L745" s="348"/>
      <c r="M745" s="348"/>
      <c r="N745" s="348"/>
      <c r="O745" s="348"/>
      <c r="P745" s="348"/>
      <c r="Q745" s="348"/>
      <c r="R745" s="348"/>
      <c r="S745" s="348"/>
      <c r="T745" s="348"/>
      <c r="U745" s="348"/>
      <c r="V745" s="348"/>
      <c r="W745" s="348"/>
      <c r="X745" s="348"/>
      <c r="Y745" s="348"/>
      <c r="Z745" s="348"/>
    </row>
    <row r="746">
      <c r="A746" s="348"/>
      <c r="B746" s="348"/>
      <c r="C746" s="348"/>
      <c r="D746" s="348"/>
      <c r="E746" s="348"/>
      <c r="F746" s="348"/>
      <c r="G746" s="348"/>
      <c r="H746" s="348"/>
      <c r="I746" s="348"/>
      <c r="J746" s="348"/>
      <c r="K746" s="348"/>
      <c r="L746" s="348"/>
      <c r="M746" s="348"/>
      <c r="N746" s="348"/>
      <c r="O746" s="348"/>
      <c r="P746" s="348"/>
      <c r="Q746" s="348"/>
      <c r="R746" s="348"/>
      <c r="S746" s="348"/>
      <c r="T746" s="348"/>
      <c r="U746" s="348"/>
      <c r="V746" s="348"/>
      <c r="W746" s="348"/>
      <c r="X746" s="348"/>
      <c r="Y746" s="348"/>
      <c r="Z746" s="348"/>
    </row>
    <row r="747">
      <c r="A747" s="348"/>
      <c r="B747" s="348"/>
      <c r="C747" s="348"/>
      <c r="D747" s="348"/>
      <c r="E747" s="348"/>
      <c r="F747" s="348"/>
      <c r="G747" s="348"/>
      <c r="H747" s="348"/>
      <c r="I747" s="348"/>
      <c r="J747" s="348"/>
      <c r="K747" s="348"/>
      <c r="L747" s="348"/>
      <c r="M747" s="348"/>
      <c r="N747" s="348"/>
      <c r="O747" s="348"/>
      <c r="P747" s="348"/>
      <c r="Q747" s="348"/>
      <c r="R747" s="348"/>
      <c r="S747" s="348"/>
      <c r="T747" s="348"/>
      <c r="U747" s="348"/>
      <c r="V747" s="348"/>
      <c r="W747" s="348"/>
      <c r="X747" s="348"/>
      <c r="Y747" s="348"/>
      <c r="Z747" s="348"/>
    </row>
    <row r="748">
      <c r="A748" s="348"/>
      <c r="B748" s="348"/>
      <c r="C748" s="348"/>
      <c r="D748" s="348"/>
      <c r="E748" s="348"/>
      <c r="F748" s="348"/>
      <c r="G748" s="348"/>
      <c r="H748" s="348"/>
      <c r="I748" s="348"/>
      <c r="J748" s="348"/>
      <c r="K748" s="348"/>
      <c r="L748" s="348"/>
      <c r="M748" s="348"/>
      <c r="N748" s="348"/>
      <c r="O748" s="348"/>
      <c r="P748" s="348"/>
      <c r="Q748" s="348"/>
      <c r="R748" s="348"/>
      <c r="S748" s="348"/>
      <c r="T748" s="348"/>
      <c r="U748" s="348"/>
      <c r="V748" s="348"/>
      <c r="W748" s="348"/>
      <c r="X748" s="348"/>
      <c r="Y748" s="348"/>
      <c r="Z748" s="348"/>
    </row>
    <row r="749">
      <c r="A749" s="348"/>
      <c r="B749" s="348"/>
      <c r="C749" s="348"/>
      <c r="D749" s="348"/>
      <c r="E749" s="348"/>
      <c r="F749" s="348"/>
      <c r="G749" s="348"/>
      <c r="H749" s="348"/>
      <c r="I749" s="348"/>
      <c r="J749" s="348"/>
      <c r="K749" s="348"/>
      <c r="L749" s="348"/>
      <c r="M749" s="348"/>
      <c r="N749" s="348"/>
      <c r="O749" s="348"/>
      <c r="P749" s="348"/>
      <c r="Q749" s="348"/>
      <c r="R749" s="348"/>
      <c r="S749" s="348"/>
      <c r="T749" s="348"/>
      <c r="U749" s="348"/>
      <c r="V749" s="348"/>
      <c r="W749" s="348"/>
      <c r="X749" s="348"/>
      <c r="Y749" s="348"/>
      <c r="Z749" s="348"/>
    </row>
    <row r="750">
      <c r="A750" s="348"/>
      <c r="B750" s="348"/>
      <c r="C750" s="348"/>
      <c r="D750" s="348"/>
      <c r="E750" s="348"/>
      <c r="F750" s="348"/>
      <c r="G750" s="348"/>
      <c r="H750" s="348"/>
      <c r="I750" s="348"/>
      <c r="J750" s="348"/>
      <c r="K750" s="348"/>
      <c r="L750" s="348"/>
      <c r="M750" s="348"/>
      <c r="N750" s="348"/>
      <c r="O750" s="348"/>
      <c r="P750" s="348"/>
      <c r="Q750" s="348"/>
      <c r="R750" s="348"/>
      <c r="S750" s="348"/>
      <c r="T750" s="348"/>
      <c r="U750" s="348"/>
      <c r="V750" s="348"/>
      <c r="W750" s="348"/>
      <c r="X750" s="348"/>
      <c r="Y750" s="348"/>
      <c r="Z750" s="348"/>
    </row>
    <row r="751">
      <c r="A751" s="348"/>
      <c r="B751" s="348"/>
      <c r="C751" s="348"/>
      <c r="D751" s="348"/>
      <c r="E751" s="348"/>
      <c r="F751" s="348"/>
      <c r="G751" s="348"/>
      <c r="H751" s="348"/>
      <c r="I751" s="348"/>
      <c r="J751" s="348"/>
      <c r="K751" s="348"/>
      <c r="L751" s="348"/>
      <c r="M751" s="348"/>
      <c r="N751" s="348"/>
      <c r="O751" s="348"/>
      <c r="P751" s="348"/>
      <c r="Q751" s="348"/>
      <c r="R751" s="348"/>
      <c r="S751" s="348"/>
      <c r="T751" s="348"/>
      <c r="U751" s="348"/>
      <c r="V751" s="348"/>
      <c r="W751" s="348"/>
      <c r="X751" s="348"/>
      <c r="Y751" s="348"/>
      <c r="Z751" s="348"/>
    </row>
    <row r="752">
      <c r="A752" s="348"/>
      <c r="B752" s="348"/>
      <c r="C752" s="348"/>
      <c r="D752" s="348"/>
      <c r="E752" s="348"/>
      <c r="F752" s="348"/>
      <c r="G752" s="348"/>
      <c r="H752" s="348"/>
      <c r="I752" s="348"/>
      <c r="J752" s="348"/>
      <c r="K752" s="348"/>
      <c r="L752" s="348"/>
      <c r="M752" s="348"/>
      <c r="N752" s="348"/>
      <c r="O752" s="348"/>
      <c r="P752" s="348"/>
      <c r="Q752" s="348"/>
      <c r="R752" s="348"/>
      <c r="S752" s="348"/>
      <c r="T752" s="348"/>
      <c r="U752" s="348"/>
      <c r="V752" s="348"/>
      <c r="W752" s="348"/>
      <c r="X752" s="348"/>
      <c r="Y752" s="348"/>
      <c r="Z752" s="348"/>
    </row>
    <row r="753">
      <c r="A753" s="348"/>
      <c r="B753" s="348"/>
      <c r="C753" s="348"/>
      <c r="D753" s="348"/>
      <c r="E753" s="348"/>
      <c r="F753" s="348"/>
      <c r="G753" s="348"/>
      <c r="H753" s="348"/>
      <c r="I753" s="348"/>
      <c r="J753" s="348"/>
      <c r="K753" s="348"/>
      <c r="L753" s="348"/>
      <c r="M753" s="348"/>
      <c r="N753" s="348"/>
      <c r="O753" s="348"/>
      <c r="P753" s="348"/>
      <c r="Q753" s="348"/>
      <c r="R753" s="348"/>
      <c r="S753" s="348"/>
      <c r="T753" s="348"/>
      <c r="U753" s="348"/>
      <c r="V753" s="348"/>
      <c r="W753" s="348"/>
      <c r="X753" s="348"/>
      <c r="Y753" s="348"/>
      <c r="Z753" s="348"/>
    </row>
    <row r="754">
      <c r="A754" s="348"/>
      <c r="B754" s="348"/>
      <c r="C754" s="348"/>
      <c r="D754" s="348"/>
      <c r="E754" s="348"/>
      <c r="F754" s="348"/>
      <c r="G754" s="348"/>
      <c r="H754" s="348"/>
      <c r="I754" s="348"/>
      <c r="J754" s="348"/>
      <c r="K754" s="348"/>
      <c r="L754" s="348"/>
      <c r="M754" s="348"/>
      <c r="N754" s="348"/>
      <c r="O754" s="348"/>
      <c r="P754" s="348"/>
      <c r="Q754" s="348"/>
      <c r="R754" s="348"/>
      <c r="S754" s="348"/>
      <c r="T754" s="348"/>
      <c r="U754" s="348"/>
      <c r="V754" s="348"/>
      <c r="W754" s="348"/>
      <c r="X754" s="348"/>
      <c r="Y754" s="348"/>
      <c r="Z754" s="348"/>
    </row>
    <row r="755">
      <c r="A755" s="348"/>
      <c r="B755" s="348"/>
      <c r="C755" s="348"/>
      <c r="D755" s="348"/>
      <c r="E755" s="348"/>
      <c r="F755" s="348"/>
      <c r="G755" s="348"/>
      <c r="H755" s="348"/>
      <c r="I755" s="348"/>
      <c r="J755" s="348"/>
      <c r="K755" s="348"/>
      <c r="L755" s="348"/>
      <c r="M755" s="348"/>
      <c r="N755" s="348"/>
      <c r="O755" s="348"/>
      <c r="P755" s="348"/>
      <c r="Q755" s="348"/>
      <c r="R755" s="348"/>
      <c r="S755" s="348"/>
      <c r="T755" s="348"/>
      <c r="U755" s="348"/>
      <c r="V755" s="348"/>
      <c r="W755" s="348"/>
      <c r="X755" s="348"/>
      <c r="Y755" s="348"/>
      <c r="Z755" s="348"/>
    </row>
    <row r="756">
      <c r="A756" s="348"/>
      <c r="B756" s="348"/>
      <c r="C756" s="348"/>
      <c r="D756" s="348"/>
      <c r="E756" s="348"/>
      <c r="F756" s="348"/>
      <c r="G756" s="348"/>
      <c r="H756" s="348"/>
      <c r="I756" s="348"/>
      <c r="J756" s="348"/>
      <c r="K756" s="348"/>
      <c r="L756" s="348"/>
      <c r="M756" s="348"/>
      <c r="N756" s="348"/>
      <c r="O756" s="348"/>
      <c r="P756" s="348"/>
      <c r="Q756" s="348"/>
      <c r="R756" s="348"/>
      <c r="S756" s="348"/>
      <c r="T756" s="348"/>
      <c r="U756" s="348"/>
      <c r="V756" s="348"/>
      <c r="W756" s="348"/>
      <c r="X756" s="348"/>
      <c r="Y756" s="348"/>
      <c r="Z756" s="348"/>
    </row>
    <row r="757">
      <c r="A757" s="348"/>
      <c r="B757" s="348"/>
      <c r="C757" s="348"/>
      <c r="D757" s="348"/>
      <c r="E757" s="348"/>
      <c r="F757" s="348"/>
      <c r="G757" s="348"/>
      <c r="H757" s="348"/>
      <c r="I757" s="348"/>
      <c r="J757" s="348"/>
      <c r="K757" s="348"/>
      <c r="L757" s="348"/>
      <c r="M757" s="348"/>
      <c r="N757" s="348"/>
      <c r="O757" s="348"/>
      <c r="P757" s="348"/>
      <c r="Q757" s="348"/>
      <c r="R757" s="348"/>
      <c r="S757" s="348"/>
      <c r="T757" s="348"/>
      <c r="U757" s="348"/>
      <c r="V757" s="348"/>
      <c r="W757" s="348"/>
      <c r="X757" s="348"/>
      <c r="Y757" s="348"/>
      <c r="Z757" s="348"/>
    </row>
    <row r="758">
      <c r="A758" s="348"/>
      <c r="B758" s="348"/>
      <c r="C758" s="348"/>
      <c r="D758" s="348"/>
      <c r="E758" s="348"/>
      <c r="F758" s="348"/>
      <c r="G758" s="348"/>
      <c r="H758" s="348"/>
      <c r="I758" s="348"/>
      <c r="J758" s="348"/>
      <c r="K758" s="348"/>
      <c r="L758" s="348"/>
      <c r="M758" s="348"/>
      <c r="N758" s="348"/>
      <c r="O758" s="348"/>
      <c r="P758" s="348"/>
      <c r="Q758" s="348"/>
      <c r="R758" s="348"/>
      <c r="S758" s="348"/>
      <c r="T758" s="348"/>
      <c r="U758" s="348"/>
      <c r="V758" s="348"/>
      <c r="W758" s="348"/>
      <c r="X758" s="348"/>
      <c r="Y758" s="348"/>
      <c r="Z758" s="348"/>
    </row>
    <row r="759">
      <c r="A759" s="348"/>
      <c r="B759" s="348"/>
      <c r="C759" s="348"/>
      <c r="D759" s="348"/>
      <c r="E759" s="348"/>
      <c r="F759" s="348"/>
      <c r="G759" s="348"/>
      <c r="H759" s="348"/>
      <c r="I759" s="348"/>
      <c r="J759" s="348"/>
      <c r="K759" s="348"/>
      <c r="L759" s="348"/>
      <c r="M759" s="348"/>
      <c r="N759" s="348"/>
      <c r="O759" s="348"/>
      <c r="P759" s="348"/>
      <c r="Q759" s="348"/>
      <c r="R759" s="348"/>
      <c r="S759" s="348"/>
      <c r="T759" s="348"/>
      <c r="U759" s="348"/>
      <c r="V759" s="348"/>
      <c r="W759" s="348"/>
      <c r="X759" s="348"/>
      <c r="Y759" s="348"/>
      <c r="Z759" s="348"/>
    </row>
    <row r="760">
      <c r="A760" s="348"/>
      <c r="B760" s="348"/>
      <c r="C760" s="348"/>
      <c r="D760" s="348"/>
      <c r="E760" s="348"/>
      <c r="F760" s="348"/>
      <c r="G760" s="348"/>
      <c r="H760" s="348"/>
      <c r="I760" s="348"/>
      <c r="J760" s="348"/>
      <c r="K760" s="348"/>
      <c r="L760" s="348"/>
      <c r="M760" s="348"/>
      <c r="N760" s="348"/>
      <c r="O760" s="348"/>
      <c r="P760" s="348"/>
      <c r="Q760" s="348"/>
      <c r="R760" s="348"/>
      <c r="S760" s="348"/>
      <c r="T760" s="348"/>
      <c r="U760" s="348"/>
      <c r="V760" s="348"/>
      <c r="W760" s="348"/>
      <c r="X760" s="348"/>
      <c r="Y760" s="348"/>
      <c r="Z760" s="348"/>
    </row>
    <row r="761">
      <c r="A761" s="348"/>
      <c r="B761" s="348"/>
      <c r="C761" s="348"/>
      <c r="D761" s="348"/>
      <c r="E761" s="348"/>
      <c r="F761" s="348"/>
      <c r="G761" s="348"/>
      <c r="H761" s="348"/>
      <c r="I761" s="348"/>
      <c r="J761" s="348"/>
      <c r="K761" s="348"/>
      <c r="L761" s="348"/>
      <c r="M761" s="348"/>
      <c r="N761" s="348"/>
      <c r="O761" s="348"/>
      <c r="P761" s="348"/>
      <c r="Q761" s="348"/>
      <c r="R761" s="348"/>
      <c r="S761" s="348"/>
      <c r="T761" s="348"/>
      <c r="U761" s="348"/>
      <c r="V761" s="348"/>
      <c r="W761" s="348"/>
      <c r="X761" s="348"/>
      <c r="Y761" s="348"/>
      <c r="Z761" s="348"/>
    </row>
    <row r="762">
      <c r="A762" s="348"/>
      <c r="B762" s="348"/>
      <c r="C762" s="348"/>
      <c r="D762" s="348"/>
      <c r="E762" s="348"/>
      <c r="F762" s="348"/>
      <c r="G762" s="348"/>
      <c r="H762" s="348"/>
      <c r="I762" s="348"/>
      <c r="J762" s="348"/>
      <c r="K762" s="348"/>
      <c r="L762" s="348"/>
      <c r="M762" s="348"/>
      <c r="N762" s="348"/>
      <c r="O762" s="348"/>
      <c r="P762" s="348"/>
      <c r="Q762" s="348"/>
      <c r="R762" s="348"/>
      <c r="S762" s="348"/>
      <c r="T762" s="348"/>
      <c r="U762" s="348"/>
      <c r="V762" s="348"/>
      <c r="W762" s="348"/>
      <c r="X762" s="348"/>
      <c r="Y762" s="348"/>
      <c r="Z762" s="348"/>
    </row>
    <row r="763">
      <c r="A763" s="348"/>
      <c r="B763" s="348"/>
      <c r="C763" s="348"/>
      <c r="D763" s="348"/>
      <c r="E763" s="348"/>
      <c r="F763" s="348"/>
      <c r="G763" s="348"/>
      <c r="H763" s="348"/>
      <c r="I763" s="348"/>
      <c r="J763" s="348"/>
      <c r="K763" s="348"/>
      <c r="L763" s="348"/>
      <c r="M763" s="348"/>
      <c r="N763" s="348"/>
      <c r="O763" s="348"/>
      <c r="P763" s="348"/>
      <c r="Q763" s="348"/>
      <c r="R763" s="348"/>
      <c r="S763" s="348"/>
      <c r="T763" s="348"/>
      <c r="U763" s="348"/>
      <c r="V763" s="348"/>
      <c r="W763" s="348"/>
      <c r="X763" s="348"/>
      <c r="Y763" s="348"/>
      <c r="Z763" s="348"/>
    </row>
    <row r="764">
      <c r="A764" s="348"/>
      <c r="B764" s="348"/>
      <c r="C764" s="348"/>
      <c r="D764" s="348"/>
      <c r="E764" s="348"/>
      <c r="F764" s="348"/>
      <c r="G764" s="348"/>
      <c r="H764" s="348"/>
      <c r="I764" s="348"/>
      <c r="J764" s="348"/>
      <c r="K764" s="348"/>
      <c r="L764" s="348"/>
      <c r="M764" s="348"/>
      <c r="N764" s="348"/>
      <c r="O764" s="348"/>
      <c r="P764" s="348"/>
      <c r="Q764" s="348"/>
      <c r="R764" s="348"/>
      <c r="S764" s="348"/>
      <c r="T764" s="348"/>
      <c r="U764" s="348"/>
      <c r="V764" s="348"/>
      <c r="W764" s="348"/>
      <c r="X764" s="348"/>
      <c r="Y764" s="348"/>
      <c r="Z764" s="348"/>
    </row>
    <row r="765">
      <c r="A765" s="348"/>
      <c r="B765" s="348"/>
      <c r="C765" s="348"/>
      <c r="D765" s="348"/>
      <c r="E765" s="348"/>
      <c r="F765" s="348"/>
      <c r="G765" s="348"/>
      <c r="H765" s="348"/>
      <c r="I765" s="348"/>
      <c r="J765" s="348"/>
      <c r="K765" s="348"/>
      <c r="L765" s="348"/>
      <c r="M765" s="348"/>
      <c r="N765" s="348"/>
      <c r="O765" s="348"/>
      <c r="P765" s="348"/>
      <c r="Q765" s="348"/>
      <c r="R765" s="348"/>
      <c r="S765" s="348"/>
      <c r="T765" s="348"/>
      <c r="U765" s="348"/>
      <c r="V765" s="348"/>
      <c r="W765" s="348"/>
      <c r="X765" s="348"/>
      <c r="Y765" s="348"/>
      <c r="Z765" s="348"/>
    </row>
    <row r="766">
      <c r="A766" s="348"/>
      <c r="B766" s="348"/>
      <c r="C766" s="348"/>
      <c r="D766" s="348"/>
      <c r="E766" s="348"/>
      <c r="F766" s="348"/>
      <c r="G766" s="348"/>
      <c r="H766" s="348"/>
      <c r="I766" s="348"/>
      <c r="J766" s="348"/>
      <c r="K766" s="348"/>
      <c r="L766" s="348"/>
      <c r="M766" s="348"/>
      <c r="N766" s="348"/>
      <c r="O766" s="348"/>
      <c r="P766" s="348"/>
      <c r="Q766" s="348"/>
      <c r="R766" s="348"/>
      <c r="S766" s="348"/>
      <c r="T766" s="348"/>
      <c r="U766" s="348"/>
      <c r="V766" s="348"/>
      <c r="W766" s="348"/>
      <c r="X766" s="348"/>
      <c r="Y766" s="348"/>
      <c r="Z766" s="348"/>
    </row>
    <row r="767">
      <c r="A767" s="348"/>
      <c r="B767" s="348"/>
      <c r="C767" s="348"/>
      <c r="D767" s="348"/>
      <c r="E767" s="348"/>
      <c r="F767" s="348"/>
      <c r="G767" s="348"/>
      <c r="H767" s="348"/>
      <c r="I767" s="348"/>
      <c r="J767" s="348"/>
      <c r="K767" s="348"/>
      <c r="L767" s="348"/>
      <c r="M767" s="348"/>
      <c r="N767" s="348"/>
      <c r="O767" s="348"/>
      <c r="P767" s="348"/>
      <c r="Q767" s="348"/>
      <c r="R767" s="348"/>
      <c r="S767" s="348"/>
      <c r="T767" s="348"/>
      <c r="U767" s="348"/>
      <c r="V767" s="348"/>
      <c r="W767" s="348"/>
      <c r="X767" s="348"/>
      <c r="Y767" s="348"/>
      <c r="Z767" s="348"/>
    </row>
    <row r="768">
      <c r="A768" s="348"/>
      <c r="B768" s="348"/>
      <c r="C768" s="348"/>
      <c r="D768" s="348"/>
      <c r="E768" s="348"/>
      <c r="F768" s="348"/>
      <c r="G768" s="348"/>
      <c r="H768" s="348"/>
      <c r="I768" s="348"/>
      <c r="J768" s="348"/>
      <c r="K768" s="348"/>
      <c r="L768" s="348"/>
      <c r="M768" s="348"/>
      <c r="N768" s="348"/>
      <c r="O768" s="348"/>
      <c r="P768" s="348"/>
      <c r="Q768" s="348"/>
      <c r="R768" s="348"/>
      <c r="S768" s="348"/>
      <c r="T768" s="348"/>
      <c r="U768" s="348"/>
      <c r="V768" s="348"/>
      <c r="W768" s="348"/>
      <c r="X768" s="348"/>
      <c r="Y768" s="348"/>
      <c r="Z768" s="348"/>
    </row>
    <row r="769">
      <c r="A769" s="348"/>
      <c r="B769" s="348"/>
      <c r="C769" s="348"/>
      <c r="D769" s="348"/>
      <c r="E769" s="348"/>
      <c r="F769" s="348"/>
      <c r="G769" s="348"/>
      <c r="H769" s="348"/>
      <c r="I769" s="348"/>
      <c r="J769" s="348"/>
      <c r="K769" s="348"/>
      <c r="L769" s="348"/>
      <c r="M769" s="348"/>
      <c r="N769" s="348"/>
      <c r="O769" s="348"/>
      <c r="P769" s="348"/>
      <c r="Q769" s="348"/>
      <c r="R769" s="348"/>
      <c r="S769" s="348"/>
      <c r="T769" s="348"/>
      <c r="U769" s="348"/>
      <c r="V769" s="348"/>
      <c r="W769" s="348"/>
      <c r="X769" s="348"/>
      <c r="Y769" s="348"/>
      <c r="Z769" s="348"/>
    </row>
    <row r="770">
      <c r="A770" s="348"/>
      <c r="B770" s="348"/>
      <c r="C770" s="348"/>
      <c r="D770" s="348"/>
      <c r="E770" s="348"/>
      <c r="F770" s="348"/>
      <c r="G770" s="348"/>
      <c r="H770" s="348"/>
      <c r="I770" s="348"/>
      <c r="J770" s="348"/>
      <c r="K770" s="348"/>
      <c r="L770" s="348"/>
      <c r="M770" s="348"/>
      <c r="N770" s="348"/>
      <c r="O770" s="348"/>
      <c r="P770" s="348"/>
      <c r="Q770" s="348"/>
      <c r="R770" s="348"/>
      <c r="S770" s="348"/>
      <c r="T770" s="348"/>
      <c r="U770" s="348"/>
      <c r="V770" s="348"/>
      <c r="W770" s="348"/>
      <c r="X770" s="348"/>
      <c r="Y770" s="348"/>
      <c r="Z770" s="348"/>
    </row>
    <row r="771">
      <c r="A771" s="348"/>
      <c r="B771" s="348"/>
      <c r="C771" s="348"/>
      <c r="D771" s="348"/>
      <c r="E771" s="348"/>
      <c r="F771" s="348"/>
      <c r="G771" s="348"/>
      <c r="H771" s="348"/>
      <c r="I771" s="348"/>
      <c r="J771" s="348"/>
      <c r="K771" s="348"/>
      <c r="L771" s="348"/>
      <c r="M771" s="348"/>
      <c r="N771" s="348"/>
      <c r="O771" s="348"/>
      <c r="P771" s="348"/>
      <c r="Q771" s="348"/>
      <c r="R771" s="348"/>
      <c r="S771" s="348"/>
      <c r="T771" s="348"/>
      <c r="U771" s="348"/>
      <c r="V771" s="348"/>
      <c r="W771" s="348"/>
      <c r="X771" s="348"/>
      <c r="Y771" s="348"/>
      <c r="Z771" s="348"/>
    </row>
    <row r="772">
      <c r="A772" s="348"/>
      <c r="B772" s="348"/>
      <c r="C772" s="348"/>
      <c r="D772" s="348"/>
      <c r="E772" s="348"/>
      <c r="F772" s="348"/>
      <c r="G772" s="348"/>
      <c r="H772" s="348"/>
      <c r="I772" s="348"/>
      <c r="J772" s="348"/>
      <c r="K772" s="348"/>
      <c r="L772" s="348"/>
      <c r="M772" s="348"/>
      <c r="N772" s="348"/>
      <c r="O772" s="348"/>
      <c r="P772" s="348"/>
      <c r="Q772" s="348"/>
      <c r="R772" s="348"/>
      <c r="S772" s="348"/>
      <c r="T772" s="348"/>
      <c r="U772" s="348"/>
      <c r="V772" s="348"/>
      <c r="W772" s="348"/>
      <c r="X772" s="348"/>
      <c r="Y772" s="348"/>
      <c r="Z772" s="348"/>
    </row>
    <row r="773">
      <c r="A773" s="348"/>
      <c r="B773" s="348"/>
      <c r="C773" s="348"/>
      <c r="D773" s="348"/>
      <c r="E773" s="348"/>
      <c r="F773" s="348"/>
      <c r="G773" s="348"/>
      <c r="H773" s="348"/>
      <c r="I773" s="348"/>
      <c r="J773" s="348"/>
      <c r="K773" s="348"/>
      <c r="L773" s="348"/>
      <c r="M773" s="348"/>
      <c r="N773" s="348"/>
      <c r="O773" s="348"/>
      <c r="P773" s="348"/>
      <c r="Q773" s="348"/>
      <c r="R773" s="348"/>
      <c r="S773" s="348"/>
      <c r="T773" s="348"/>
      <c r="U773" s="348"/>
      <c r="V773" s="348"/>
      <c r="W773" s="348"/>
      <c r="X773" s="348"/>
      <c r="Y773" s="348"/>
      <c r="Z773" s="348"/>
    </row>
    <row r="774">
      <c r="A774" s="348"/>
      <c r="B774" s="348"/>
      <c r="C774" s="348"/>
      <c r="D774" s="348"/>
      <c r="E774" s="348"/>
      <c r="F774" s="348"/>
      <c r="G774" s="348"/>
      <c r="H774" s="348"/>
      <c r="I774" s="348"/>
      <c r="J774" s="348"/>
      <c r="K774" s="348"/>
      <c r="L774" s="348"/>
      <c r="M774" s="348"/>
      <c r="N774" s="348"/>
      <c r="O774" s="348"/>
      <c r="P774" s="348"/>
      <c r="Q774" s="348"/>
      <c r="R774" s="348"/>
      <c r="S774" s="348"/>
      <c r="T774" s="348"/>
      <c r="U774" s="348"/>
      <c r="V774" s="348"/>
      <c r="W774" s="348"/>
      <c r="X774" s="348"/>
      <c r="Y774" s="348"/>
      <c r="Z774" s="348"/>
    </row>
    <row r="775">
      <c r="A775" s="348"/>
      <c r="B775" s="348"/>
      <c r="C775" s="348"/>
      <c r="D775" s="348"/>
      <c r="E775" s="348"/>
      <c r="F775" s="348"/>
      <c r="G775" s="348"/>
      <c r="H775" s="348"/>
      <c r="I775" s="348"/>
      <c r="J775" s="348"/>
      <c r="K775" s="348"/>
      <c r="L775" s="348"/>
      <c r="M775" s="348"/>
      <c r="N775" s="348"/>
      <c r="O775" s="348"/>
      <c r="P775" s="348"/>
      <c r="Q775" s="348"/>
      <c r="R775" s="348"/>
      <c r="S775" s="348"/>
      <c r="T775" s="348"/>
      <c r="U775" s="348"/>
      <c r="V775" s="348"/>
      <c r="W775" s="348"/>
      <c r="X775" s="348"/>
      <c r="Y775" s="348"/>
      <c r="Z775" s="348"/>
    </row>
    <row r="776">
      <c r="A776" s="348"/>
      <c r="B776" s="348"/>
      <c r="C776" s="348"/>
      <c r="D776" s="348"/>
      <c r="E776" s="348"/>
      <c r="F776" s="348"/>
      <c r="G776" s="348"/>
      <c r="H776" s="348"/>
      <c r="I776" s="348"/>
      <c r="J776" s="348"/>
      <c r="K776" s="348"/>
      <c r="L776" s="348"/>
      <c r="M776" s="348"/>
      <c r="N776" s="348"/>
      <c r="O776" s="348"/>
      <c r="P776" s="348"/>
      <c r="Q776" s="348"/>
      <c r="R776" s="348"/>
      <c r="S776" s="348"/>
      <c r="T776" s="348"/>
      <c r="U776" s="348"/>
      <c r="V776" s="348"/>
      <c r="W776" s="348"/>
      <c r="X776" s="348"/>
      <c r="Y776" s="348"/>
      <c r="Z776" s="348"/>
    </row>
    <row r="777">
      <c r="A777" s="348"/>
      <c r="B777" s="348"/>
      <c r="C777" s="348"/>
      <c r="D777" s="348"/>
      <c r="E777" s="348"/>
      <c r="F777" s="348"/>
      <c r="G777" s="348"/>
      <c r="H777" s="348"/>
      <c r="I777" s="348"/>
      <c r="J777" s="348"/>
      <c r="K777" s="348"/>
      <c r="L777" s="348"/>
      <c r="M777" s="348"/>
      <c r="N777" s="348"/>
      <c r="O777" s="348"/>
      <c r="P777" s="348"/>
      <c r="Q777" s="348"/>
      <c r="R777" s="348"/>
      <c r="S777" s="348"/>
      <c r="T777" s="348"/>
      <c r="U777" s="348"/>
      <c r="V777" s="348"/>
      <c r="W777" s="348"/>
      <c r="X777" s="348"/>
      <c r="Y777" s="348"/>
      <c r="Z777" s="348"/>
    </row>
    <row r="778">
      <c r="A778" s="348"/>
      <c r="B778" s="348"/>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row>
    <row r="779">
      <c r="A779" s="348"/>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row>
    <row r="780">
      <c r="A780" s="348"/>
      <c r="B780" s="348"/>
      <c r="C780" s="348"/>
      <c r="D780" s="348"/>
      <c r="E780" s="348"/>
      <c r="F780" s="348"/>
      <c r="G780" s="348"/>
      <c r="H780" s="348"/>
      <c r="I780" s="348"/>
      <c r="J780" s="348"/>
      <c r="K780" s="348"/>
      <c r="L780" s="348"/>
      <c r="M780" s="348"/>
      <c r="N780" s="348"/>
      <c r="O780" s="348"/>
      <c r="P780" s="348"/>
      <c r="Q780" s="348"/>
      <c r="R780" s="348"/>
      <c r="S780" s="348"/>
      <c r="T780" s="348"/>
      <c r="U780" s="348"/>
      <c r="V780" s="348"/>
      <c r="W780" s="348"/>
      <c r="X780" s="348"/>
      <c r="Y780" s="348"/>
      <c r="Z780" s="348"/>
    </row>
    <row r="781">
      <c r="A781" s="348"/>
      <c r="B781" s="348"/>
      <c r="C781" s="348"/>
      <c r="D781" s="348"/>
      <c r="E781" s="348"/>
      <c r="F781" s="348"/>
      <c r="G781" s="348"/>
      <c r="H781" s="348"/>
      <c r="I781" s="348"/>
      <c r="J781" s="348"/>
      <c r="K781" s="348"/>
      <c r="L781" s="348"/>
      <c r="M781" s="348"/>
      <c r="N781" s="348"/>
      <c r="O781" s="348"/>
      <c r="P781" s="348"/>
      <c r="Q781" s="348"/>
      <c r="R781" s="348"/>
      <c r="S781" s="348"/>
      <c r="T781" s="348"/>
      <c r="U781" s="348"/>
      <c r="V781" s="348"/>
      <c r="W781" s="348"/>
      <c r="X781" s="348"/>
      <c r="Y781" s="348"/>
      <c r="Z781" s="348"/>
    </row>
    <row r="782">
      <c r="A782" s="348"/>
      <c r="B782" s="348"/>
      <c r="C782" s="348"/>
      <c r="D782" s="348"/>
      <c r="E782" s="348"/>
      <c r="F782" s="348"/>
      <c r="G782" s="348"/>
      <c r="H782" s="348"/>
      <c r="I782" s="348"/>
      <c r="J782" s="348"/>
      <c r="K782" s="348"/>
      <c r="L782" s="348"/>
      <c r="M782" s="348"/>
      <c r="N782" s="348"/>
      <c r="O782" s="348"/>
      <c r="P782" s="348"/>
      <c r="Q782" s="348"/>
      <c r="R782" s="348"/>
      <c r="S782" s="348"/>
      <c r="T782" s="348"/>
      <c r="U782" s="348"/>
      <c r="V782" s="348"/>
      <c r="W782" s="348"/>
      <c r="X782" s="348"/>
      <c r="Y782" s="348"/>
      <c r="Z782" s="348"/>
    </row>
    <row r="783">
      <c r="A783" s="348"/>
      <c r="B783" s="348"/>
      <c r="C783" s="348"/>
      <c r="D783" s="348"/>
      <c r="E783" s="348"/>
      <c r="F783" s="348"/>
      <c r="G783" s="348"/>
      <c r="H783" s="348"/>
      <c r="I783" s="348"/>
      <c r="J783" s="348"/>
      <c r="K783" s="348"/>
      <c r="L783" s="348"/>
      <c r="M783" s="348"/>
      <c r="N783" s="348"/>
      <c r="O783" s="348"/>
      <c r="P783" s="348"/>
      <c r="Q783" s="348"/>
      <c r="R783" s="348"/>
      <c r="S783" s="348"/>
      <c r="T783" s="348"/>
      <c r="U783" s="348"/>
      <c r="V783" s="348"/>
      <c r="W783" s="348"/>
      <c r="X783" s="348"/>
      <c r="Y783" s="348"/>
      <c r="Z783" s="348"/>
    </row>
    <row r="784">
      <c r="A784" s="348"/>
      <c r="B784" s="348"/>
      <c r="C784" s="348"/>
      <c r="D784" s="348"/>
      <c r="E784" s="348"/>
      <c r="F784" s="348"/>
      <c r="G784" s="348"/>
      <c r="H784" s="348"/>
      <c r="I784" s="348"/>
      <c r="J784" s="348"/>
      <c r="K784" s="348"/>
      <c r="L784" s="348"/>
      <c r="M784" s="348"/>
      <c r="N784" s="348"/>
      <c r="O784" s="348"/>
      <c r="P784" s="348"/>
      <c r="Q784" s="348"/>
      <c r="R784" s="348"/>
      <c r="S784" s="348"/>
      <c r="T784" s="348"/>
      <c r="U784" s="348"/>
      <c r="V784" s="348"/>
      <c r="W784" s="348"/>
      <c r="X784" s="348"/>
      <c r="Y784" s="348"/>
      <c r="Z784" s="348"/>
    </row>
    <row r="785">
      <c r="A785" s="348"/>
      <c r="B785" s="348"/>
      <c r="C785" s="348"/>
      <c r="D785" s="348"/>
      <c r="E785" s="348"/>
      <c r="F785" s="348"/>
      <c r="G785" s="348"/>
      <c r="H785" s="348"/>
      <c r="I785" s="348"/>
      <c r="J785" s="348"/>
      <c r="K785" s="348"/>
      <c r="L785" s="348"/>
      <c r="M785" s="348"/>
      <c r="N785" s="348"/>
      <c r="O785" s="348"/>
      <c r="P785" s="348"/>
      <c r="Q785" s="348"/>
      <c r="R785" s="348"/>
      <c r="S785" s="348"/>
      <c r="T785" s="348"/>
      <c r="U785" s="348"/>
      <c r="V785" s="348"/>
      <c r="W785" s="348"/>
      <c r="X785" s="348"/>
      <c r="Y785" s="348"/>
      <c r="Z785" s="348"/>
    </row>
    <row r="786">
      <c r="A786" s="348"/>
      <c r="B786" s="348"/>
      <c r="C786" s="348"/>
      <c r="D786" s="348"/>
      <c r="E786" s="348"/>
      <c r="F786" s="348"/>
      <c r="G786" s="348"/>
      <c r="H786" s="348"/>
      <c r="I786" s="348"/>
      <c r="J786" s="348"/>
      <c r="K786" s="348"/>
      <c r="L786" s="348"/>
      <c r="M786" s="348"/>
      <c r="N786" s="348"/>
      <c r="O786" s="348"/>
      <c r="P786" s="348"/>
      <c r="Q786" s="348"/>
      <c r="R786" s="348"/>
      <c r="S786" s="348"/>
      <c r="T786" s="348"/>
      <c r="U786" s="348"/>
      <c r="V786" s="348"/>
      <c r="W786" s="348"/>
      <c r="X786" s="348"/>
      <c r="Y786" s="348"/>
      <c r="Z786" s="348"/>
    </row>
    <row r="787">
      <c r="A787" s="348"/>
      <c r="B787" s="348"/>
      <c r="C787" s="348"/>
      <c r="D787" s="348"/>
      <c r="E787" s="348"/>
      <c r="F787" s="348"/>
      <c r="G787" s="348"/>
      <c r="H787" s="348"/>
      <c r="I787" s="348"/>
      <c r="J787" s="348"/>
      <c r="K787" s="348"/>
      <c r="L787" s="348"/>
      <c r="M787" s="348"/>
      <c r="N787" s="348"/>
      <c r="O787" s="348"/>
      <c r="P787" s="348"/>
      <c r="Q787" s="348"/>
      <c r="R787" s="348"/>
      <c r="S787" s="348"/>
      <c r="T787" s="348"/>
      <c r="U787" s="348"/>
      <c r="V787" s="348"/>
      <c r="W787" s="348"/>
      <c r="X787" s="348"/>
      <c r="Y787" s="348"/>
      <c r="Z787" s="348"/>
    </row>
    <row r="788">
      <c r="A788" s="348"/>
      <c r="B788" s="348"/>
      <c r="C788" s="348"/>
      <c r="D788" s="348"/>
      <c r="E788" s="348"/>
      <c r="F788" s="348"/>
      <c r="G788" s="348"/>
      <c r="H788" s="348"/>
      <c r="I788" s="348"/>
      <c r="J788" s="348"/>
      <c r="K788" s="348"/>
      <c r="L788" s="348"/>
      <c r="M788" s="348"/>
      <c r="N788" s="348"/>
      <c r="O788" s="348"/>
      <c r="P788" s="348"/>
      <c r="Q788" s="348"/>
      <c r="R788" s="348"/>
      <c r="S788" s="348"/>
      <c r="T788" s="348"/>
      <c r="U788" s="348"/>
      <c r="V788" s="348"/>
      <c r="W788" s="348"/>
      <c r="X788" s="348"/>
      <c r="Y788" s="348"/>
      <c r="Z788" s="348"/>
    </row>
    <row r="789">
      <c r="A789" s="348"/>
      <c r="B789" s="348"/>
      <c r="C789" s="348"/>
      <c r="D789" s="348"/>
      <c r="E789" s="348"/>
      <c r="F789" s="348"/>
      <c r="G789" s="348"/>
      <c r="H789" s="348"/>
      <c r="I789" s="348"/>
      <c r="J789" s="348"/>
      <c r="K789" s="348"/>
      <c r="L789" s="348"/>
      <c r="M789" s="348"/>
      <c r="N789" s="348"/>
      <c r="O789" s="348"/>
      <c r="P789" s="348"/>
      <c r="Q789" s="348"/>
      <c r="R789" s="348"/>
      <c r="S789" s="348"/>
      <c r="T789" s="348"/>
      <c r="U789" s="348"/>
      <c r="V789" s="348"/>
      <c r="W789" s="348"/>
      <c r="X789" s="348"/>
      <c r="Y789" s="348"/>
      <c r="Z789" s="348"/>
    </row>
    <row r="790">
      <c r="A790" s="348"/>
      <c r="B790" s="348"/>
      <c r="C790" s="348"/>
      <c r="D790" s="348"/>
      <c r="E790" s="348"/>
      <c r="F790" s="348"/>
      <c r="G790" s="348"/>
      <c r="H790" s="348"/>
      <c r="I790" s="348"/>
      <c r="J790" s="348"/>
      <c r="K790" s="348"/>
      <c r="L790" s="348"/>
      <c r="M790" s="348"/>
      <c r="N790" s="348"/>
      <c r="O790" s="348"/>
      <c r="P790" s="348"/>
      <c r="Q790" s="348"/>
      <c r="R790" s="348"/>
      <c r="S790" s="348"/>
      <c r="T790" s="348"/>
      <c r="U790" s="348"/>
      <c r="V790" s="348"/>
      <c r="W790" s="348"/>
      <c r="X790" s="348"/>
      <c r="Y790" s="348"/>
      <c r="Z790" s="348"/>
    </row>
    <row r="791">
      <c r="A791" s="348"/>
      <c r="B791" s="348"/>
      <c r="C791" s="348"/>
      <c r="D791" s="348"/>
      <c r="E791" s="348"/>
      <c r="F791" s="348"/>
      <c r="G791" s="348"/>
      <c r="H791" s="348"/>
      <c r="I791" s="348"/>
      <c r="J791" s="348"/>
      <c r="K791" s="348"/>
      <c r="L791" s="348"/>
      <c r="M791" s="348"/>
      <c r="N791" s="348"/>
      <c r="O791" s="348"/>
      <c r="P791" s="348"/>
      <c r="Q791" s="348"/>
      <c r="R791" s="348"/>
      <c r="S791" s="348"/>
      <c r="T791" s="348"/>
      <c r="U791" s="348"/>
      <c r="V791" s="348"/>
      <c r="W791" s="348"/>
      <c r="X791" s="348"/>
      <c r="Y791" s="348"/>
      <c r="Z791" s="348"/>
    </row>
    <row r="792">
      <c r="A792" s="348"/>
      <c r="B792" s="348"/>
      <c r="C792" s="348"/>
      <c r="D792" s="348"/>
      <c r="E792" s="348"/>
      <c r="F792" s="348"/>
      <c r="G792" s="348"/>
      <c r="H792" s="348"/>
      <c r="I792" s="348"/>
      <c r="J792" s="348"/>
      <c r="K792" s="348"/>
      <c r="L792" s="348"/>
      <c r="M792" s="348"/>
      <c r="N792" s="348"/>
      <c r="O792" s="348"/>
      <c r="P792" s="348"/>
      <c r="Q792" s="348"/>
      <c r="R792" s="348"/>
      <c r="S792" s="348"/>
      <c r="T792" s="348"/>
      <c r="U792" s="348"/>
      <c r="V792" s="348"/>
      <c r="W792" s="348"/>
      <c r="X792" s="348"/>
      <c r="Y792" s="348"/>
      <c r="Z792" s="348"/>
    </row>
    <row r="793">
      <c r="A793" s="348"/>
      <c r="B793" s="348"/>
      <c r="C793" s="348"/>
      <c r="D793" s="348"/>
      <c r="E793" s="348"/>
      <c r="F793" s="348"/>
      <c r="G793" s="348"/>
      <c r="H793" s="348"/>
      <c r="I793" s="348"/>
      <c r="J793" s="348"/>
      <c r="K793" s="348"/>
      <c r="L793" s="348"/>
      <c r="M793" s="348"/>
      <c r="N793" s="348"/>
      <c r="O793" s="348"/>
      <c r="P793" s="348"/>
      <c r="Q793" s="348"/>
      <c r="R793" s="348"/>
      <c r="S793" s="348"/>
      <c r="T793" s="348"/>
      <c r="U793" s="348"/>
      <c r="V793" s="348"/>
      <c r="W793" s="348"/>
      <c r="X793" s="348"/>
      <c r="Y793" s="348"/>
      <c r="Z793" s="348"/>
    </row>
    <row r="794">
      <c r="A794" s="348"/>
      <c r="B794" s="348"/>
      <c r="C794" s="348"/>
      <c r="D794" s="348"/>
      <c r="E794" s="348"/>
      <c r="F794" s="348"/>
      <c r="G794" s="348"/>
      <c r="H794" s="348"/>
      <c r="I794" s="348"/>
      <c r="J794" s="348"/>
      <c r="K794" s="348"/>
      <c r="L794" s="348"/>
      <c r="M794" s="348"/>
      <c r="N794" s="348"/>
      <c r="O794" s="348"/>
      <c r="P794" s="348"/>
      <c r="Q794" s="348"/>
      <c r="R794" s="348"/>
      <c r="S794" s="348"/>
      <c r="T794" s="348"/>
      <c r="U794" s="348"/>
      <c r="V794" s="348"/>
      <c r="W794" s="348"/>
      <c r="X794" s="348"/>
      <c r="Y794" s="348"/>
      <c r="Z794" s="348"/>
    </row>
    <row r="795">
      <c r="A795" s="348"/>
      <c r="B795" s="348"/>
      <c r="C795" s="348"/>
      <c r="D795" s="348"/>
      <c r="E795" s="348"/>
      <c r="F795" s="348"/>
      <c r="G795" s="348"/>
      <c r="H795" s="348"/>
      <c r="I795" s="348"/>
      <c r="J795" s="348"/>
      <c r="K795" s="348"/>
      <c r="L795" s="348"/>
      <c r="M795" s="348"/>
      <c r="N795" s="348"/>
      <c r="O795" s="348"/>
      <c r="P795" s="348"/>
      <c r="Q795" s="348"/>
      <c r="R795" s="348"/>
      <c r="S795" s="348"/>
      <c r="T795" s="348"/>
      <c r="U795" s="348"/>
      <c r="V795" s="348"/>
      <c r="W795" s="348"/>
      <c r="X795" s="348"/>
      <c r="Y795" s="348"/>
      <c r="Z795" s="348"/>
    </row>
    <row r="796">
      <c r="A796" s="348"/>
      <c r="B796" s="348"/>
      <c r="C796" s="348"/>
      <c r="D796" s="348"/>
      <c r="E796" s="348"/>
      <c r="F796" s="348"/>
      <c r="G796" s="348"/>
      <c r="H796" s="348"/>
      <c r="I796" s="348"/>
      <c r="J796" s="348"/>
      <c r="K796" s="348"/>
      <c r="L796" s="348"/>
      <c r="M796" s="348"/>
      <c r="N796" s="348"/>
      <c r="O796" s="348"/>
      <c r="P796" s="348"/>
      <c r="Q796" s="348"/>
      <c r="R796" s="348"/>
      <c r="S796" s="348"/>
      <c r="T796" s="348"/>
      <c r="U796" s="348"/>
      <c r="V796" s="348"/>
      <c r="W796" s="348"/>
      <c r="X796" s="348"/>
      <c r="Y796" s="348"/>
      <c r="Z796" s="348"/>
    </row>
    <row r="797">
      <c r="A797" s="348"/>
      <c r="B797" s="348"/>
      <c r="C797" s="348"/>
      <c r="D797" s="348"/>
      <c r="E797" s="348"/>
      <c r="F797" s="348"/>
      <c r="G797" s="348"/>
      <c r="H797" s="348"/>
      <c r="I797" s="348"/>
      <c r="J797" s="348"/>
      <c r="K797" s="348"/>
      <c r="L797" s="348"/>
      <c r="M797" s="348"/>
      <c r="N797" s="348"/>
      <c r="O797" s="348"/>
      <c r="P797" s="348"/>
      <c r="Q797" s="348"/>
      <c r="R797" s="348"/>
      <c r="S797" s="348"/>
      <c r="T797" s="348"/>
      <c r="U797" s="348"/>
      <c r="V797" s="348"/>
      <c r="W797" s="348"/>
      <c r="X797" s="348"/>
      <c r="Y797" s="348"/>
      <c r="Z797" s="348"/>
    </row>
    <row r="798">
      <c r="A798" s="348"/>
      <c r="B798" s="348"/>
      <c r="C798" s="348"/>
      <c r="D798" s="348"/>
      <c r="E798" s="348"/>
      <c r="F798" s="348"/>
      <c r="G798" s="348"/>
      <c r="H798" s="348"/>
      <c r="I798" s="348"/>
      <c r="J798" s="348"/>
      <c r="K798" s="348"/>
      <c r="L798" s="348"/>
      <c r="M798" s="348"/>
      <c r="N798" s="348"/>
      <c r="O798" s="348"/>
      <c r="P798" s="348"/>
      <c r="Q798" s="348"/>
      <c r="R798" s="348"/>
      <c r="S798" s="348"/>
      <c r="T798" s="348"/>
      <c r="U798" s="348"/>
      <c r="V798" s="348"/>
      <c r="W798" s="348"/>
      <c r="X798" s="348"/>
      <c r="Y798" s="348"/>
      <c r="Z798" s="348"/>
    </row>
    <row r="799">
      <c r="A799" s="348"/>
      <c r="B799" s="348"/>
      <c r="C799" s="348"/>
      <c r="D799" s="348"/>
      <c r="E799" s="348"/>
      <c r="F799" s="348"/>
      <c r="G799" s="348"/>
      <c r="H799" s="348"/>
      <c r="I799" s="348"/>
      <c r="J799" s="348"/>
      <c r="K799" s="348"/>
      <c r="L799" s="348"/>
      <c r="M799" s="348"/>
      <c r="N799" s="348"/>
      <c r="O799" s="348"/>
      <c r="P799" s="348"/>
      <c r="Q799" s="348"/>
      <c r="R799" s="348"/>
      <c r="S799" s="348"/>
      <c r="T799" s="348"/>
      <c r="U799" s="348"/>
      <c r="V799" s="348"/>
      <c r="W799" s="348"/>
      <c r="X799" s="348"/>
      <c r="Y799" s="348"/>
      <c r="Z799" s="348"/>
    </row>
    <row r="800">
      <c r="A800" s="348"/>
      <c r="B800" s="348"/>
      <c r="C800" s="348"/>
      <c r="D800" s="348"/>
      <c r="E800" s="348"/>
      <c r="F800" s="348"/>
      <c r="G800" s="348"/>
      <c r="H800" s="348"/>
      <c r="I800" s="348"/>
      <c r="J800" s="348"/>
      <c r="K800" s="348"/>
      <c r="L800" s="348"/>
      <c r="M800" s="348"/>
      <c r="N800" s="348"/>
      <c r="O800" s="348"/>
      <c r="P800" s="348"/>
      <c r="Q800" s="348"/>
      <c r="R800" s="348"/>
      <c r="S800" s="348"/>
      <c r="T800" s="348"/>
      <c r="U800" s="348"/>
      <c r="V800" s="348"/>
      <c r="W800" s="348"/>
      <c r="X800" s="348"/>
      <c r="Y800" s="348"/>
      <c r="Z800" s="348"/>
    </row>
    <row r="801">
      <c r="A801" s="348"/>
      <c r="B801" s="348"/>
      <c r="C801" s="348"/>
      <c r="D801" s="348"/>
      <c r="E801" s="348"/>
      <c r="F801" s="348"/>
      <c r="G801" s="348"/>
      <c r="H801" s="348"/>
      <c r="I801" s="348"/>
      <c r="J801" s="348"/>
      <c r="K801" s="348"/>
      <c r="L801" s="348"/>
      <c r="M801" s="348"/>
      <c r="N801" s="348"/>
      <c r="O801" s="348"/>
      <c r="P801" s="348"/>
      <c r="Q801" s="348"/>
      <c r="R801" s="348"/>
      <c r="S801" s="348"/>
      <c r="T801" s="348"/>
      <c r="U801" s="348"/>
      <c r="V801" s="348"/>
      <c r="W801" s="348"/>
      <c r="X801" s="348"/>
      <c r="Y801" s="348"/>
      <c r="Z801" s="348"/>
    </row>
    <row r="802">
      <c r="A802" s="348"/>
      <c r="B802" s="348"/>
      <c r="C802" s="348"/>
      <c r="D802" s="348"/>
      <c r="E802" s="348"/>
      <c r="F802" s="348"/>
      <c r="G802" s="348"/>
      <c r="H802" s="348"/>
      <c r="I802" s="348"/>
      <c r="J802" s="348"/>
      <c r="K802" s="348"/>
      <c r="L802" s="348"/>
      <c r="M802" s="348"/>
      <c r="N802" s="348"/>
      <c r="O802" s="348"/>
      <c r="P802" s="348"/>
      <c r="Q802" s="348"/>
      <c r="R802" s="348"/>
      <c r="S802" s="348"/>
      <c r="T802" s="348"/>
      <c r="U802" s="348"/>
      <c r="V802" s="348"/>
      <c r="W802" s="348"/>
      <c r="X802" s="348"/>
      <c r="Y802" s="348"/>
      <c r="Z802" s="348"/>
    </row>
    <row r="803">
      <c r="A803" s="348"/>
      <c r="B803" s="348"/>
      <c r="C803" s="348"/>
      <c r="D803" s="348"/>
      <c r="E803" s="348"/>
      <c r="F803" s="348"/>
      <c r="G803" s="348"/>
      <c r="H803" s="348"/>
      <c r="I803" s="348"/>
      <c r="J803" s="348"/>
      <c r="K803" s="348"/>
      <c r="L803" s="348"/>
      <c r="M803" s="348"/>
      <c r="N803" s="348"/>
      <c r="O803" s="348"/>
      <c r="P803" s="348"/>
      <c r="Q803" s="348"/>
      <c r="R803" s="348"/>
      <c r="S803" s="348"/>
      <c r="T803" s="348"/>
      <c r="U803" s="348"/>
      <c r="V803" s="348"/>
      <c r="W803" s="348"/>
      <c r="X803" s="348"/>
      <c r="Y803" s="348"/>
      <c r="Z803" s="348"/>
    </row>
    <row r="804">
      <c r="A804" s="348"/>
      <c r="B804" s="348"/>
      <c r="C804" s="348"/>
      <c r="D804" s="348"/>
      <c r="E804" s="348"/>
      <c r="F804" s="348"/>
      <c r="G804" s="348"/>
      <c r="H804" s="348"/>
      <c r="I804" s="348"/>
      <c r="J804" s="348"/>
      <c r="K804" s="348"/>
      <c r="L804" s="348"/>
      <c r="M804" s="348"/>
      <c r="N804" s="348"/>
      <c r="O804" s="348"/>
      <c r="P804" s="348"/>
      <c r="Q804" s="348"/>
      <c r="R804" s="348"/>
      <c r="S804" s="348"/>
      <c r="T804" s="348"/>
      <c r="U804" s="348"/>
      <c r="V804" s="348"/>
      <c r="W804" s="348"/>
      <c r="X804" s="348"/>
      <c r="Y804" s="348"/>
      <c r="Z804" s="348"/>
    </row>
    <row r="805">
      <c r="A805" s="348"/>
      <c r="B805" s="348"/>
      <c r="C805" s="348"/>
      <c r="D805" s="348"/>
      <c r="E805" s="348"/>
      <c r="F805" s="348"/>
      <c r="G805" s="348"/>
      <c r="H805" s="348"/>
      <c r="I805" s="348"/>
      <c r="J805" s="348"/>
      <c r="K805" s="348"/>
      <c r="L805" s="348"/>
      <c r="M805" s="348"/>
      <c r="N805" s="348"/>
      <c r="O805" s="348"/>
      <c r="P805" s="348"/>
      <c r="Q805" s="348"/>
      <c r="R805" s="348"/>
      <c r="S805" s="348"/>
      <c r="T805" s="348"/>
      <c r="U805" s="348"/>
      <c r="V805" s="348"/>
      <c r="W805" s="348"/>
      <c r="X805" s="348"/>
      <c r="Y805" s="348"/>
      <c r="Z805" s="348"/>
    </row>
    <row r="806">
      <c r="A806" s="348"/>
      <c r="B806" s="348"/>
      <c r="C806" s="348"/>
      <c r="D806" s="348"/>
      <c r="E806" s="348"/>
      <c r="F806" s="348"/>
      <c r="G806" s="348"/>
      <c r="H806" s="348"/>
      <c r="I806" s="348"/>
      <c r="J806" s="348"/>
      <c r="K806" s="348"/>
      <c r="L806" s="348"/>
      <c r="M806" s="348"/>
      <c r="N806" s="348"/>
      <c r="O806" s="348"/>
      <c r="P806" s="348"/>
      <c r="Q806" s="348"/>
      <c r="R806" s="348"/>
      <c r="S806" s="348"/>
      <c r="T806" s="348"/>
      <c r="U806" s="348"/>
      <c r="V806" s="348"/>
      <c r="W806" s="348"/>
      <c r="X806" s="348"/>
      <c r="Y806" s="348"/>
      <c r="Z806" s="348"/>
    </row>
    <row r="807">
      <c r="A807" s="348"/>
      <c r="B807" s="348"/>
      <c r="C807" s="348"/>
      <c r="D807" s="348"/>
      <c r="E807" s="348"/>
      <c r="F807" s="348"/>
      <c r="G807" s="348"/>
      <c r="H807" s="348"/>
      <c r="I807" s="348"/>
      <c r="J807" s="348"/>
      <c r="K807" s="348"/>
      <c r="L807" s="348"/>
      <c r="M807" s="348"/>
      <c r="N807" s="348"/>
      <c r="O807" s="348"/>
      <c r="P807" s="348"/>
      <c r="Q807" s="348"/>
      <c r="R807" s="348"/>
      <c r="S807" s="348"/>
      <c r="T807" s="348"/>
      <c r="U807" s="348"/>
      <c r="V807" s="348"/>
      <c r="W807" s="348"/>
      <c r="X807" s="348"/>
      <c r="Y807" s="348"/>
      <c r="Z807" s="348"/>
    </row>
    <row r="808">
      <c r="A808" s="348"/>
      <c r="B808" s="348"/>
      <c r="C808" s="348"/>
      <c r="D808" s="348"/>
      <c r="E808" s="348"/>
      <c r="F808" s="348"/>
      <c r="G808" s="348"/>
      <c r="H808" s="348"/>
      <c r="I808" s="348"/>
      <c r="J808" s="348"/>
      <c r="K808" s="348"/>
      <c r="L808" s="348"/>
      <c r="M808" s="348"/>
      <c r="N808" s="348"/>
      <c r="O808" s="348"/>
      <c r="P808" s="348"/>
      <c r="Q808" s="348"/>
      <c r="R808" s="348"/>
      <c r="S808" s="348"/>
      <c r="T808" s="348"/>
      <c r="U808" s="348"/>
      <c r="V808" s="348"/>
      <c r="W808" s="348"/>
      <c r="X808" s="348"/>
      <c r="Y808" s="348"/>
      <c r="Z808" s="348"/>
    </row>
    <row r="809">
      <c r="A809" s="348"/>
      <c r="B809" s="348"/>
      <c r="C809" s="348"/>
      <c r="D809" s="348"/>
      <c r="E809" s="348"/>
      <c r="F809" s="348"/>
      <c r="G809" s="348"/>
      <c r="H809" s="348"/>
      <c r="I809" s="348"/>
      <c r="J809" s="348"/>
      <c r="K809" s="348"/>
      <c r="L809" s="348"/>
      <c r="M809" s="348"/>
      <c r="N809" s="348"/>
      <c r="O809" s="348"/>
      <c r="P809" s="348"/>
      <c r="Q809" s="348"/>
      <c r="R809" s="348"/>
      <c r="S809" s="348"/>
      <c r="T809" s="348"/>
      <c r="U809" s="348"/>
      <c r="V809" s="348"/>
      <c r="W809" s="348"/>
      <c r="X809" s="348"/>
      <c r="Y809" s="348"/>
      <c r="Z809" s="348"/>
    </row>
    <row r="810">
      <c r="A810" s="348"/>
      <c r="B810" s="348"/>
      <c r="C810" s="348"/>
      <c r="D810" s="348"/>
      <c r="E810" s="348"/>
      <c r="F810" s="348"/>
      <c r="G810" s="348"/>
      <c r="H810" s="348"/>
      <c r="I810" s="348"/>
      <c r="J810" s="348"/>
      <c r="K810" s="348"/>
      <c r="L810" s="348"/>
      <c r="M810" s="348"/>
      <c r="N810" s="348"/>
      <c r="O810" s="348"/>
      <c r="P810" s="348"/>
      <c r="Q810" s="348"/>
      <c r="R810" s="348"/>
      <c r="S810" s="348"/>
      <c r="T810" s="348"/>
      <c r="U810" s="348"/>
      <c r="V810" s="348"/>
      <c r="W810" s="348"/>
      <c r="X810" s="348"/>
      <c r="Y810" s="348"/>
      <c r="Z810" s="348"/>
    </row>
    <row r="811">
      <c r="A811" s="348"/>
      <c r="B811" s="348"/>
      <c r="C811" s="348"/>
      <c r="D811" s="348"/>
      <c r="E811" s="348"/>
      <c r="F811" s="348"/>
      <c r="G811" s="348"/>
      <c r="H811" s="348"/>
      <c r="I811" s="348"/>
      <c r="J811" s="348"/>
      <c r="K811" s="348"/>
      <c r="L811" s="348"/>
      <c r="M811" s="348"/>
      <c r="N811" s="348"/>
      <c r="O811" s="348"/>
      <c r="P811" s="348"/>
      <c r="Q811" s="348"/>
      <c r="R811" s="348"/>
      <c r="S811" s="348"/>
      <c r="T811" s="348"/>
      <c r="U811" s="348"/>
      <c r="V811" s="348"/>
      <c r="W811" s="348"/>
      <c r="X811" s="348"/>
      <c r="Y811" s="348"/>
      <c r="Z811" s="348"/>
    </row>
    <row r="812">
      <c r="A812" s="348"/>
      <c r="B812" s="348"/>
      <c r="C812" s="348"/>
      <c r="D812" s="348"/>
      <c r="E812" s="348"/>
      <c r="F812" s="348"/>
      <c r="G812" s="348"/>
      <c r="H812" s="348"/>
      <c r="I812" s="348"/>
      <c r="J812" s="348"/>
      <c r="K812" s="348"/>
      <c r="L812" s="348"/>
      <c r="M812" s="348"/>
      <c r="N812" s="348"/>
      <c r="O812" s="348"/>
      <c r="P812" s="348"/>
      <c r="Q812" s="348"/>
      <c r="R812" s="348"/>
      <c r="S812" s="348"/>
      <c r="T812" s="348"/>
      <c r="U812" s="348"/>
      <c r="V812" s="348"/>
      <c r="W812" s="348"/>
      <c r="X812" s="348"/>
      <c r="Y812" s="348"/>
      <c r="Z812" s="348"/>
    </row>
    <row r="813">
      <c r="A813" s="348"/>
      <c r="B813" s="348"/>
      <c r="C813" s="348"/>
      <c r="D813" s="348"/>
      <c r="E813" s="348"/>
      <c r="F813" s="348"/>
      <c r="G813" s="348"/>
      <c r="H813" s="348"/>
      <c r="I813" s="348"/>
      <c r="J813" s="348"/>
      <c r="K813" s="348"/>
      <c r="L813" s="348"/>
      <c r="M813" s="348"/>
      <c r="N813" s="348"/>
      <c r="O813" s="348"/>
      <c r="P813" s="348"/>
      <c r="Q813" s="348"/>
      <c r="R813" s="348"/>
      <c r="S813" s="348"/>
      <c r="T813" s="348"/>
      <c r="U813" s="348"/>
      <c r="V813" s="348"/>
      <c r="W813" s="348"/>
      <c r="X813" s="348"/>
      <c r="Y813" s="348"/>
      <c r="Z813" s="348"/>
    </row>
    <row r="814">
      <c r="A814" s="348"/>
      <c r="B814" s="348"/>
      <c r="C814" s="348"/>
      <c r="D814" s="348"/>
      <c r="E814" s="348"/>
      <c r="F814" s="348"/>
      <c r="G814" s="348"/>
      <c r="H814" s="348"/>
      <c r="I814" s="348"/>
      <c r="J814" s="348"/>
      <c r="K814" s="348"/>
      <c r="L814" s="348"/>
      <c r="M814" s="348"/>
      <c r="N814" s="348"/>
      <c r="O814" s="348"/>
      <c r="P814" s="348"/>
      <c r="Q814" s="348"/>
      <c r="R814" s="348"/>
      <c r="S814" s="348"/>
      <c r="T814" s="348"/>
      <c r="U814" s="348"/>
      <c r="V814" s="348"/>
      <c r="W814" s="348"/>
      <c r="X814" s="348"/>
      <c r="Y814" s="348"/>
      <c r="Z814" s="348"/>
    </row>
    <row r="815">
      <c r="A815" s="348"/>
      <c r="B815" s="348"/>
      <c r="C815" s="348"/>
      <c r="D815" s="348"/>
      <c r="E815" s="348"/>
      <c r="F815" s="348"/>
      <c r="G815" s="348"/>
      <c r="H815" s="348"/>
      <c r="I815" s="348"/>
      <c r="J815" s="348"/>
      <c r="K815" s="348"/>
      <c r="L815" s="348"/>
      <c r="M815" s="348"/>
      <c r="N815" s="348"/>
      <c r="O815" s="348"/>
      <c r="P815" s="348"/>
      <c r="Q815" s="348"/>
      <c r="R815" s="348"/>
      <c r="S815" s="348"/>
      <c r="T815" s="348"/>
      <c r="U815" s="348"/>
      <c r="V815" s="348"/>
      <c r="W815" s="348"/>
      <c r="X815" s="348"/>
      <c r="Y815" s="348"/>
      <c r="Z815" s="348"/>
    </row>
    <row r="816">
      <c r="A816" s="348"/>
      <c r="B816" s="348"/>
      <c r="C816" s="348"/>
      <c r="D816" s="348"/>
      <c r="E816" s="348"/>
      <c r="F816" s="348"/>
      <c r="G816" s="348"/>
      <c r="H816" s="348"/>
      <c r="I816" s="348"/>
      <c r="J816" s="348"/>
      <c r="K816" s="348"/>
      <c r="L816" s="348"/>
      <c r="M816" s="348"/>
      <c r="N816" s="348"/>
      <c r="O816" s="348"/>
      <c r="P816" s="348"/>
      <c r="Q816" s="348"/>
      <c r="R816" s="348"/>
      <c r="S816" s="348"/>
      <c r="T816" s="348"/>
      <c r="U816" s="348"/>
      <c r="V816" s="348"/>
      <c r="W816" s="348"/>
      <c r="X816" s="348"/>
      <c r="Y816" s="348"/>
      <c r="Z816" s="348"/>
    </row>
    <row r="817">
      <c r="A817" s="348"/>
      <c r="B817" s="348"/>
      <c r="C817" s="348"/>
      <c r="D817" s="348"/>
      <c r="E817" s="348"/>
      <c r="F817" s="348"/>
      <c r="G817" s="348"/>
      <c r="H817" s="348"/>
      <c r="I817" s="348"/>
      <c r="J817" s="348"/>
      <c r="K817" s="348"/>
      <c r="L817" s="348"/>
      <c r="M817" s="348"/>
      <c r="N817" s="348"/>
      <c r="O817" s="348"/>
      <c r="P817" s="348"/>
      <c r="Q817" s="348"/>
      <c r="R817" s="348"/>
      <c r="S817" s="348"/>
      <c r="T817" s="348"/>
      <c r="U817" s="348"/>
      <c r="V817" s="348"/>
      <c r="W817" s="348"/>
      <c r="X817" s="348"/>
      <c r="Y817" s="348"/>
      <c r="Z817" s="348"/>
    </row>
    <row r="818">
      <c r="A818" s="348"/>
      <c r="B818" s="348"/>
      <c r="C818" s="348"/>
      <c r="D818" s="348"/>
      <c r="E818" s="348"/>
      <c r="F818" s="348"/>
      <c r="G818" s="348"/>
      <c r="H818" s="348"/>
      <c r="I818" s="348"/>
      <c r="J818" s="348"/>
      <c r="K818" s="348"/>
      <c r="L818" s="348"/>
      <c r="M818" s="348"/>
      <c r="N818" s="348"/>
      <c r="O818" s="348"/>
      <c r="P818" s="348"/>
      <c r="Q818" s="348"/>
      <c r="R818" s="348"/>
      <c r="S818" s="348"/>
      <c r="T818" s="348"/>
      <c r="U818" s="348"/>
      <c r="V818" s="348"/>
      <c r="W818" s="348"/>
      <c r="X818" s="348"/>
      <c r="Y818" s="348"/>
      <c r="Z818" s="348"/>
    </row>
    <row r="819">
      <c r="A819" s="348"/>
      <c r="B819" s="348"/>
      <c r="C819" s="348"/>
      <c r="D819" s="348"/>
      <c r="E819" s="348"/>
      <c r="F819" s="348"/>
      <c r="G819" s="348"/>
      <c r="H819" s="348"/>
      <c r="I819" s="348"/>
      <c r="J819" s="348"/>
      <c r="K819" s="348"/>
      <c r="L819" s="348"/>
      <c r="M819" s="348"/>
      <c r="N819" s="348"/>
      <c r="O819" s="348"/>
      <c r="P819" s="348"/>
      <c r="Q819" s="348"/>
      <c r="R819" s="348"/>
      <c r="S819" s="348"/>
      <c r="T819" s="348"/>
      <c r="U819" s="348"/>
      <c r="V819" s="348"/>
      <c r="W819" s="348"/>
      <c r="X819" s="348"/>
      <c r="Y819" s="348"/>
      <c r="Z819" s="348"/>
    </row>
    <row r="820">
      <c r="A820" s="348"/>
      <c r="B820" s="348"/>
      <c r="C820" s="348"/>
      <c r="D820" s="348"/>
      <c r="E820" s="348"/>
      <c r="F820" s="348"/>
      <c r="G820" s="348"/>
      <c r="H820" s="348"/>
      <c r="I820" s="348"/>
      <c r="J820" s="348"/>
      <c r="K820" s="348"/>
      <c r="L820" s="348"/>
      <c r="M820" s="348"/>
      <c r="N820" s="348"/>
      <c r="O820" s="348"/>
      <c r="P820" s="348"/>
      <c r="Q820" s="348"/>
      <c r="R820" s="348"/>
      <c r="S820" s="348"/>
      <c r="T820" s="348"/>
      <c r="U820" s="348"/>
      <c r="V820" s="348"/>
      <c r="W820" s="348"/>
      <c r="X820" s="348"/>
      <c r="Y820" s="348"/>
      <c r="Z820" s="348"/>
    </row>
    <row r="821">
      <c r="A821" s="348"/>
      <c r="B821" s="348"/>
      <c r="C821" s="348"/>
      <c r="D821" s="348"/>
      <c r="E821" s="348"/>
      <c r="F821" s="348"/>
      <c r="G821" s="348"/>
      <c r="H821" s="348"/>
      <c r="I821" s="348"/>
      <c r="J821" s="348"/>
      <c r="K821" s="348"/>
      <c r="L821" s="348"/>
      <c r="M821" s="348"/>
      <c r="N821" s="348"/>
      <c r="O821" s="348"/>
      <c r="P821" s="348"/>
      <c r="Q821" s="348"/>
      <c r="R821" s="348"/>
      <c r="S821" s="348"/>
      <c r="T821" s="348"/>
      <c r="U821" s="348"/>
      <c r="V821" s="348"/>
      <c r="W821" s="348"/>
      <c r="X821" s="348"/>
      <c r="Y821" s="348"/>
      <c r="Z821" s="348"/>
    </row>
    <row r="822">
      <c r="A822" s="348"/>
      <c r="B822" s="348"/>
      <c r="C822" s="348"/>
      <c r="D822" s="348"/>
      <c r="E822" s="348"/>
      <c r="F822" s="348"/>
      <c r="G822" s="348"/>
      <c r="H822" s="348"/>
      <c r="I822" s="348"/>
      <c r="J822" s="348"/>
      <c r="K822" s="348"/>
      <c r="L822" s="348"/>
      <c r="M822" s="348"/>
      <c r="N822" s="348"/>
      <c r="O822" s="348"/>
      <c r="P822" s="348"/>
      <c r="Q822" s="348"/>
      <c r="R822" s="348"/>
      <c r="S822" s="348"/>
      <c r="T822" s="348"/>
      <c r="U822" s="348"/>
      <c r="V822" s="348"/>
      <c r="W822" s="348"/>
      <c r="X822" s="348"/>
      <c r="Y822" s="348"/>
      <c r="Z822" s="348"/>
    </row>
    <row r="823">
      <c r="A823" s="348"/>
      <c r="B823" s="348"/>
      <c r="C823" s="348"/>
      <c r="D823" s="348"/>
      <c r="E823" s="348"/>
      <c r="F823" s="348"/>
      <c r="G823" s="348"/>
      <c r="H823" s="348"/>
      <c r="I823" s="348"/>
      <c r="J823" s="348"/>
      <c r="K823" s="348"/>
      <c r="L823" s="348"/>
      <c r="M823" s="348"/>
      <c r="N823" s="348"/>
      <c r="O823" s="348"/>
      <c r="P823" s="348"/>
      <c r="Q823" s="348"/>
      <c r="R823" s="348"/>
      <c r="S823" s="348"/>
      <c r="T823" s="348"/>
      <c r="U823" s="348"/>
      <c r="V823" s="348"/>
      <c r="W823" s="348"/>
      <c r="X823" s="348"/>
      <c r="Y823" s="348"/>
      <c r="Z823" s="348"/>
    </row>
    <row r="824">
      <c r="A824" s="348"/>
      <c r="B824" s="348"/>
      <c r="C824" s="348"/>
      <c r="D824" s="348"/>
      <c r="E824" s="348"/>
      <c r="F824" s="348"/>
      <c r="G824" s="348"/>
      <c r="H824" s="348"/>
      <c r="I824" s="348"/>
      <c r="J824" s="348"/>
      <c r="K824" s="348"/>
      <c r="L824" s="348"/>
      <c r="M824" s="348"/>
      <c r="N824" s="348"/>
      <c r="O824" s="348"/>
      <c r="P824" s="348"/>
      <c r="Q824" s="348"/>
      <c r="R824" s="348"/>
      <c r="S824" s="348"/>
      <c r="T824" s="348"/>
      <c r="U824" s="348"/>
      <c r="V824" s="348"/>
      <c r="W824" s="348"/>
      <c r="X824" s="348"/>
      <c r="Y824" s="348"/>
      <c r="Z824" s="348"/>
    </row>
    <row r="825">
      <c r="A825" s="348"/>
      <c r="B825" s="348"/>
      <c r="C825" s="348"/>
      <c r="D825" s="348"/>
      <c r="E825" s="348"/>
      <c r="F825" s="348"/>
      <c r="G825" s="348"/>
      <c r="H825" s="348"/>
      <c r="I825" s="348"/>
      <c r="J825" s="348"/>
      <c r="K825" s="348"/>
      <c r="L825" s="348"/>
      <c r="M825" s="348"/>
      <c r="N825" s="348"/>
      <c r="O825" s="348"/>
      <c r="P825" s="348"/>
      <c r="Q825" s="348"/>
      <c r="R825" s="348"/>
      <c r="S825" s="348"/>
      <c r="T825" s="348"/>
      <c r="U825" s="348"/>
      <c r="V825" s="348"/>
      <c r="W825" s="348"/>
      <c r="X825" s="348"/>
      <c r="Y825" s="348"/>
      <c r="Z825" s="348"/>
    </row>
    <row r="826">
      <c r="A826" s="348"/>
      <c r="B826" s="348"/>
      <c r="C826" s="348"/>
      <c r="D826" s="348"/>
      <c r="E826" s="348"/>
      <c r="F826" s="348"/>
      <c r="G826" s="348"/>
      <c r="H826" s="348"/>
      <c r="I826" s="348"/>
      <c r="J826" s="348"/>
      <c r="K826" s="348"/>
      <c r="L826" s="348"/>
      <c r="M826" s="348"/>
      <c r="N826" s="348"/>
      <c r="O826" s="348"/>
      <c r="P826" s="348"/>
      <c r="Q826" s="348"/>
      <c r="R826" s="348"/>
      <c r="S826" s="348"/>
      <c r="T826" s="348"/>
      <c r="U826" s="348"/>
      <c r="V826" s="348"/>
      <c r="W826" s="348"/>
      <c r="X826" s="348"/>
      <c r="Y826" s="348"/>
      <c r="Z826" s="348"/>
    </row>
    <row r="827">
      <c r="A827" s="348"/>
      <c r="B827" s="348"/>
      <c r="C827" s="348"/>
      <c r="D827" s="348"/>
      <c r="E827" s="348"/>
      <c r="F827" s="348"/>
      <c r="G827" s="348"/>
      <c r="H827" s="348"/>
      <c r="I827" s="348"/>
      <c r="J827" s="348"/>
      <c r="K827" s="348"/>
      <c r="L827" s="348"/>
      <c r="M827" s="348"/>
      <c r="N827" s="348"/>
      <c r="O827" s="348"/>
      <c r="P827" s="348"/>
      <c r="Q827" s="348"/>
      <c r="R827" s="348"/>
      <c r="S827" s="348"/>
      <c r="T827" s="348"/>
      <c r="U827" s="348"/>
      <c r="V827" s="348"/>
      <c r="W827" s="348"/>
      <c r="X827" s="348"/>
      <c r="Y827" s="348"/>
      <c r="Z827" s="348"/>
    </row>
    <row r="828">
      <c r="A828" s="348"/>
      <c r="B828" s="348"/>
      <c r="C828" s="348"/>
      <c r="D828" s="348"/>
      <c r="E828" s="348"/>
      <c r="F828" s="348"/>
      <c r="G828" s="348"/>
      <c r="H828" s="348"/>
      <c r="I828" s="348"/>
      <c r="J828" s="348"/>
      <c r="K828" s="348"/>
      <c r="L828" s="348"/>
      <c r="M828" s="348"/>
      <c r="N828" s="348"/>
      <c r="O828" s="348"/>
      <c r="P828" s="348"/>
      <c r="Q828" s="348"/>
      <c r="R828" s="348"/>
      <c r="S828" s="348"/>
      <c r="T828" s="348"/>
      <c r="U828" s="348"/>
      <c r="V828" s="348"/>
      <c r="W828" s="348"/>
      <c r="X828" s="348"/>
      <c r="Y828" s="348"/>
      <c r="Z828" s="348"/>
    </row>
    <row r="829">
      <c r="A829" s="348"/>
      <c r="B829" s="348"/>
      <c r="C829" s="348"/>
      <c r="D829" s="348"/>
      <c r="E829" s="348"/>
      <c r="F829" s="348"/>
      <c r="G829" s="348"/>
      <c r="H829" s="348"/>
      <c r="I829" s="348"/>
      <c r="J829" s="348"/>
      <c r="K829" s="348"/>
      <c r="L829" s="348"/>
      <c r="M829" s="348"/>
      <c r="N829" s="348"/>
      <c r="O829" s="348"/>
      <c r="P829" s="348"/>
      <c r="Q829" s="348"/>
      <c r="R829" s="348"/>
      <c r="S829" s="348"/>
      <c r="T829" s="348"/>
      <c r="U829" s="348"/>
      <c r="V829" s="348"/>
      <c r="W829" s="348"/>
      <c r="X829" s="348"/>
      <c r="Y829" s="348"/>
      <c r="Z829" s="348"/>
    </row>
    <row r="830">
      <c r="A830" s="348"/>
      <c r="B830" s="348"/>
      <c r="C830" s="348"/>
      <c r="D830" s="348"/>
      <c r="E830" s="348"/>
      <c r="F830" s="348"/>
      <c r="G830" s="348"/>
      <c r="H830" s="348"/>
      <c r="I830" s="348"/>
      <c r="J830" s="348"/>
      <c r="K830" s="348"/>
      <c r="L830" s="348"/>
      <c r="M830" s="348"/>
      <c r="N830" s="348"/>
      <c r="O830" s="348"/>
      <c r="P830" s="348"/>
      <c r="Q830" s="348"/>
      <c r="R830" s="348"/>
      <c r="S830" s="348"/>
      <c r="T830" s="348"/>
      <c r="U830" s="348"/>
      <c r="V830" s="348"/>
      <c r="W830" s="348"/>
      <c r="X830" s="348"/>
      <c r="Y830" s="348"/>
      <c r="Z830" s="348"/>
    </row>
    <row r="831">
      <c r="A831" s="348"/>
      <c r="B831" s="348"/>
      <c r="C831" s="348"/>
      <c r="D831" s="348"/>
      <c r="E831" s="348"/>
      <c r="F831" s="348"/>
      <c r="G831" s="348"/>
      <c r="H831" s="348"/>
      <c r="I831" s="348"/>
      <c r="J831" s="348"/>
      <c r="K831" s="348"/>
      <c r="L831" s="348"/>
      <c r="M831" s="348"/>
      <c r="N831" s="348"/>
      <c r="O831" s="348"/>
      <c r="P831" s="348"/>
      <c r="Q831" s="348"/>
      <c r="R831" s="348"/>
      <c r="S831" s="348"/>
      <c r="T831" s="348"/>
      <c r="U831" s="348"/>
      <c r="V831" s="348"/>
      <c r="W831" s="348"/>
      <c r="X831" s="348"/>
      <c r="Y831" s="348"/>
      <c r="Z831" s="348"/>
    </row>
    <row r="832">
      <c r="A832" s="348"/>
      <c r="B832" s="348"/>
      <c r="C832" s="348"/>
      <c r="D832" s="348"/>
      <c r="E832" s="348"/>
      <c r="F832" s="348"/>
      <c r="G832" s="348"/>
      <c r="H832" s="348"/>
      <c r="I832" s="348"/>
      <c r="J832" s="348"/>
      <c r="K832" s="348"/>
      <c r="L832" s="348"/>
      <c r="M832" s="348"/>
      <c r="N832" s="348"/>
      <c r="O832" s="348"/>
      <c r="P832" s="348"/>
      <c r="Q832" s="348"/>
      <c r="R832" s="348"/>
      <c r="S832" s="348"/>
      <c r="T832" s="348"/>
      <c r="U832" s="348"/>
      <c r="V832" s="348"/>
      <c r="W832" s="348"/>
      <c r="X832" s="348"/>
      <c r="Y832" s="348"/>
      <c r="Z832" s="348"/>
    </row>
    <row r="833">
      <c r="A833" s="348"/>
      <c r="B833" s="348"/>
      <c r="C833" s="348"/>
      <c r="D833" s="348"/>
      <c r="E833" s="348"/>
      <c r="F833" s="348"/>
      <c r="G833" s="348"/>
      <c r="H833" s="348"/>
      <c r="I833" s="348"/>
      <c r="J833" s="348"/>
      <c r="K833" s="348"/>
      <c r="L833" s="348"/>
      <c r="M833" s="348"/>
      <c r="N833" s="348"/>
      <c r="O833" s="348"/>
      <c r="P833" s="348"/>
      <c r="Q833" s="348"/>
      <c r="R833" s="348"/>
      <c r="S833" s="348"/>
      <c r="T833" s="348"/>
      <c r="U833" s="348"/>
      <c r="V833" s="348"/>
      <c r="W833" s="348"/>
      <c r="X833" s="348"/>
      <c r="Y833" s="348"/>
      <c r="Z833" s="348"/>
    </row>
    <row r="834">
      <c r="A834" s="348"/>
      <c r="B834" s="348"/>
      <c r="C834" s="348"/>
      <c r="D834" s="348"/>
      <c r="E834" s="348"/>
      <c r="F834" s="348"/>
      <c r="G834" s="348"/>
      <c r="H834" s="348"/>
      <c r="I834" s="348"/>
      <c r="J834" s="348"/>
      <c r="K834" s="348"/>
      <c r="L834" s="348"/>
      <c r="M834" s="348"/>
      <c r="N834" s="348"/>
      <c r="O834" s="348"/>
      <c r="P834" s="348"/>
      <c r="Q834" s="348"/>
      <c r="R834" s="348"/>
      <c r="S834" s="348"/>
      <c r="T834" s="348"/>
      <c r="U834" s="348"/>
      <c r="V834" s="348"/>
      <c r="W834" s="348"/>
      <c r="X834" s="348"/>
      <c r="Y834" s="348"/>
      <c r="Z834" s="348"/>
    </row>
    <row r="835">
      <c r="A835" s="348"/>
      <c r="B835" s="348"/>
      <c r="C835" s="348"/>
      <c r="D835" s="348"/>
      <c r="E835" s="348"/>
      <c r="F835" s="348"/>
      <c r="G835" s="348"/>
      <c r="H835" s="348"/>
      <c r="I835" s="348"/>
      <c r="J835" s="348"/>
      <c r="K835" s="348"/>
      <c r="L835" s="348"/>
      <c r="M835" s="348"/>
      <c r="N835" s="348"/>
      <c r="O835" s="348"/>
      <c r="P835" s="348"/>
      <c r="Q835" s="348"/>
      <c r="R835" s="348"/>
      <c r="S835" s="348"/>
      <c r="T835" s="348"/>
      <c r="U835" s="348"/>
      <c r="V835" s="348"/>
      <c r="W835" s="348"/>
      <c r="X835" s="348"/>
      <c r="Y835" s="348"/>
      <c r="Z835" s="348"/>
    </row>
    <row r="836">
      <c r="A836" s="348"/>
      <c r="B836" s="348"/>
      <c r="C836" s="348"/>
      <c r="D836" s="348"/>
      <c r="E836" s="348"/>
      <c r="F836" s="348"/>
      <c r="G836" s="348"/>
      <c r="H836" s="348"/>
      <c r="I836" s="348"/>
      <c r="J836" s="348"/>
      <c r="K836" s="348"/>
      <c r="L836" s="348"/>
      <c r="M836" s="348"/>
      <c r="N836" s="348"/>
      <c r="O836" s="348"/>
      <c r="P836" s="348"/>
      <c r="Q836" s="348"/>
      <c r="R836" s="348"/>
      <c r="S836" s="348"/>
      <c r="T836" s="348"/>
      <c r="U836" s="348"/>
      <c r="V836" s="348"/>
      <c r="W836" s="348"/>
      <c r="X836" s="348"/>
      <c r="Y836" s="348"/>
      <c r="Z836" s="348"/>
    </row>
    <row r="837">
      <c r="A837" s="348"/>
      <c r="B837" s="348"/>
      <c r="C837" s="348"/>
      <c r="D837" s="348"/>
      <c r="E837" s="348"/>
      <c r="F837" s="348"/>
      <c r="G837" s="348"/>
      <c r="H837" s="348"/>
      <c r="I837" s="348"/>
      <c r="J837" s="348"/>
      <c r="K837" s="348"/>
      <c r="L837" s="348"/>
      <c r="M837" s="348"/>
      <c r="N837" s="348"/>
      <c r="O837" s="348"/>
      <c r="P837" s="348"/>
      <c r="Q837" s="348"/>
      <c r="R837" s="348"/>
      <c r="S837" s="348"/>
      <c r="T837" s="348"/>
      <c r="U837" s="348"/>
      <c r="V837" s="348"/>
      <c r="W837" s="348"/>
      <c r="X837" s="348"/>
      <c r="Y837" s="348"/>
      <c r="Z837" s="348"/>
    </row>
    <row r="838">
      <c r="A838" s="348"/>
      <c r="B838" s="348"/>
      <c r="C838" s="348"/>
      <c r="D838" s="348"/>
      <c r="E838" s="348"/>
      <c r="F838" s="348"/>
      <c r="G838" s="348"/>
      <c r="H838" s="348"/>
      <c r="I838" s="348"/>
      <c r="J838" s="348"/>
      <c r="K838" s="348"/>
      <c r="L838" s="348"/>
      <c r="M838" s="348"/>
      <c r="N838" s="348"/>
      <c r="O838" s="348"/>
      <c r="P838" s="348"/>
      <c r="Q838" s="348"/>
      <c r="R838" s="348"/>
      <c r="S838" s="348"/>
      <c r="T838" s="348"/>
      <c r="U838" s="348"/>
      <c r="V838" s="348"/>
      <c r="W838" s="348"/>
      <c r="X838" s="348"/>
      <c r="Y838" s="348"/>
      <c r="Z838" s="348"/>
    </row>
    <row r="839">
      <c r="A839" s="348"/>
      <c r="B839" s="348"/>
      <c r="C839" s="348"/>
      <c r="D839" s="348"/>
      <c r="E839" s="348"/>
      <c r="F839" s="348"/>
      <c r="G839" s="348"/>
      <c r="H839" s="348"/>
      <c r="I839" s="348"/>
      <c r="J839" s="348"/>
      <c r="K839" s="348"/>
      <c r="L839" s="348"/>
      <c r="M839" s="348"/>
      <c r="N839" s="348"/>
      <c r="O839" s="348"/>
      <c r="P839" s="348"/>
      <c r="Q839" s="348"/>
      <c r="R839" s="348"/>
      <c r="S839" s="348"/>
      <c r="T839" s="348"/>
      <c r="U839" s="348"/>
      <c r="V839" s="348"/>
      <c r="W839" s="348"/>
      <c r="X839" s="348"/>
      <c r="Y839" s="348"/>
      <c r="Z839" s="348"/>
    </row>
    <row r="840">
      <c r="A840" s="348"/>
      <c r="B840" s="348"/>
      <c r="C840" s="348"/>
      <c r="D840" s="348"/>
      <c r="E840" s="348"/>
      <c r="F840" s="348"/>
      <c r="G840" s="348"/>
      <c r="H840" s="348"/>
      <c r="I840" s="348"/>
      <c r="J840" s="348"/>
      <c r="K840" s="348"/>
      <c r="L840" s="348"/>
      <c r="M840" s="348"/>
      <c r="N840" s="348"/>
      <c r="O840" s="348"/>
      <c r="P840" s="348"/>
      <c r="Q840" s="348"/>
      <c r="R840" s="348"/>
      <c r="S840" s="348"/>
      <c r="T840" s="348"/>
      <c r="U840" s="348"/>
      <c r="V840" s="348"/>
      <c r="W840" s="348"/>
      <c r="X840" s="348"/>
      <c r="Y840" s="348"/>
      <c r="Z840" s="348"/>
    </row>
    <row r="841">
      <c r="A841" s="348"/>
      <c r="B841" s="348"/>
      <c r="C841" s="348"/>
      <c r="D841" s="348"/>
      <c r="E841" s="348"/>
      <c r="F841" s="348"/>
      <c r="G841" s="348"/>
      <c r="H841" s="348"/>
      <c r="I841" s="348"/>
      <c r="J841" s="348"/>
      <c r="K841" s="348"/>
      <c r="L841" s="348"/>
      <c r="M841" s="348"/>
      <c r="N841" s="348"/>
      <c r="O841" s="348"/>
      <c r="P841" s="348"/>
      <c r="Q841" s="348"/>
      <c r="R841" s="348"/>
      <c r="S841" s="348"/>
      <c r="T841" s="348"/>
      <c r="U841" s="348"/>
      <c r="V841" s="348"/>
      <c r="W841" s="348"/>
      <c r="X841" s="348"/>
      <c r="Y841" s="348"/>
      <c r="Z841" s="348"/>
    </row>
    <row r="842">
      <c r="A842" s="348"/>
      <c r="B842" s="348"/>
      <c r="C842" s="348"/>
      <c r="D842" s="348"/>
      <c r="E842" s="348"/>
      <c r="F842" s="348"/>
      <c r="G842" s="348"/>
      <c r="H842" s="348"/>
      <c r="I842" s="348"/>
      <c r="J842" s="348"/>
      <c r="K842" s="348"/>
      <c r="L842" s="348"/>
      <c r="M842" s="348"/>
      <c r="N842" s="348"/>
      <c r="O842" s="348"/>
      <c r="P842" s="348"/>
      <c r="Q842" s="348"/>
      <c r="R842" s="348"/>
      <c r="S842" s="348"/>
      <c r="T842" s="348"/>
      <c r="U842" s="348"/>
      <c r="V842" s="348"/>
      <c r="W842" s="348"/>
      <c r="X842" s="348"/>
      <c r="Y842" s="348"/>
      <c r="Z842" s="348"/>
    </row>
    <row r="843">
      <c r="A843" s="348"/>
      <c r="B843" s="348"/>
      <c r="C843" s="348"/>
      <c r="D843" s="348"/>
      <c r="E843" s="348"/>
      <c r="F843" s="348"/>
      <c r="G843" s="348"/>
      <c r="H843" s="348"/>
      <c r="I843" s="348"/>
      <c r="J843" s="348"/>
      <c r="K843" s="348"/>
      <c r="L843" s="348"/>
      <c r="M843" s="348"/>
      <c r="N843" s="348"/>
      <c r="O843" s="348"/>
      <c r="P843" s="348"/>
      <c r="Q843" s="348"/>
      <c r="R843" s="348"/>
      <c r="S843" s="348"/>
      <c r="T843" s="348"/>
      <c r="U843" s="348"/>
      <c r="V843" s="348"/>
      <c r="W843" s="348"/>
      <c r="X843" s="348"/>
      <c r="Y843" s="348"/>
      <c r="Z843" s="348"/>
    </row>
    <row r="844">
      <c r="A844" s="348"/>
      <c r="B844" s="348"/>
      <c r="C844" s="348"/>
      <c r="D844" s="348"/>
      <c r="E844" s="348"/>
      <c r="F844" s="348"/>
      <c r="G844" s="348"/>
      <c r="H844" s="348"/>
      <c r="I844" s="348"/>
      <c r="J844" s="348"/>
      <c r="K844" s="348"/>
      <c r="L844" s="348"/>
      <c r="M844" s="348"/>
      <c r="N844" s="348"/>
      <c r="O844" s="348"/>
      <c r="P844" s="348"/>
      <c r="Q844" s="348"/>
      <c r="R844" s="348"/>
      <c r="S844" s="348"/>
      <c r="T844" s="348"/>
      <c r="U844" s="348"/>
      <c r="V844" s="348"/>
      <c r="W844" s="348"/>
      <c r="X844" s="348"/>
      <c r="Y844" s="348"/>
      <c r="Z844" s="348"/>
    </row>
    <row r="845">
      <c r="A845" s="348"/>
      <c r="B845" s="348"/>
      <c r="C845" s="348"/>
      <c r="D845" s="348"/>
      <c r="E845" s="348"/>
      <c r="F845" s="348"/>
      <c r="G845" s="348"/>
      <c r="H845" s="348"/>
      <c r="I845" s="348"/>
      <c r="J845" s="348"/>
      <c r="K845" s="348"/>
      <c r="L845" s="348"/>
      <c r="M845" s="348"/>
      <c r="N845" s="348"/>
      <c r="O845" s="348"/>
      <c r="P845" s="348"/>
      <c r="Q845" s="348"/>
      <c r="R845" s="348"/>
      <c r="S845" s="348"/>
      <c r="T845" s="348"/>
      <c r="U845" s="348"/>
      <c r="V845" s="348"/>
      <c r="W845" s="348"/>
      <c r="X845" s="348"/>
      <c r="Y845" s="348"/>
      <c r="Z845" s="348"/>
    </row>
    <row r="846">
      <c r="A846" s="348"/>
      <c r="B846" s="348"/>
      <c r="C846" s="348"/>
      <c r="D846" s="348"/>
      <c r="E846" s="348"/>
      <c r="F846" s="348"/>
      <c r="G846" s="348"/>
      <c r="H846" s="348"/>
      <c r="I846" s="348"/>
      <c r="J846" s="348"/>
      <c r="K846" s="348"/>
      <c r="L846" s="348"/>
      <c r="M846" s="348"/>
      <c r="N846" s="348"/>
      <c r="O846" s="348"/>
      <c r="P846" s="348"/>
      <c r="Q846" s="348"/>
      <c r="R846" s="348"/>
      <c r="S846" s="348"/>
      <c r="T846" s="348"/>
      <c r="U846" s="348"/>
      <c r="V846" s="348"/>
      <c r="W846" s="348"/>
      <c r="X846" s="348"/>
      <c r="Y846" s="348"/>
      <c r="Z846" s="348"/>
    </row>
    <row r="847">
      <c r="A847" s="348"/>
      <c r="B847" s="348"/>
      <c r="C847" s="348"/>
      <c r="D847" s="348"/>
      <c r="E847" s="348"/>
      <c r="F847" s="348"/>
      <c r="G847" s="348"/>
      <c r="H847" s="348"/>
      <c r="I847" s="348"/>
      <c r="J847" s="348"/>
      <c r="K847" s="348"/>
      <c r="L847" s="348"/>
      <c r="M847" s="348"/>
      <c r="N847" s="348"/>
      <c r="O847" s="348"/>
      <c r="P847" s="348"/>
      <c r="Q847" s="348"/>
      <c r="R847" s="348"/>
      <c r="S847" s="348"/>
      <c r="T847" s="348"/>
      <c r="U847" s="348"/>
      <c r="V847" s="348"/>
      <c r="W847" s="348"/>
      <c r="X847" s="348"/>
      <c r="Y847" s="348"/>
      <c r="Z847" s="348"/>
    </row>
    <row r="848">
      <c r="A848" s="348"/>
      <c r="B848" s="348"/>
      <c r="C848" s="348"/>
      <c r="D848" s="348"/>
      <c r="E848" s="348"/>
      <c r="F848" s="348"/>
      <c r="G848" s="348"/>
      <c r="H848" s="348"/>
      <c r="I848" s="348"/>
      <c r="J848" s="348"/>
      <c r="K848" s="348"/>
      <c r="L848" s="348"/>
      <c r="M848" s="348"/>
      <c r="N848" s="348"/>
      <c r="O848" s="348"/>
      <c r="P848" s="348"/>
      <c r="Q848" s="348"/>
      <c r="R848" s="348"/>
      <c r="S848" s="348"/>
      <c r="T848" s="348"/>
      <c r="U848" s="348"/>
      <c r="V848" s="348"/>
      <c r="W848" s="348"/>
      <c r="X848" s="348"/>
      <c r="Y848" s="348"/>
      <c r="Z848" s="348"/>
    </row>
    <row r="849">
      <c r="A849" s="348"/>
      <c r="B849" s="348"/>
      <c r="C849" s="348"/>
      <c r="D849" s="348"/>
      <c r="E849" s="348"/>
      <c r="F849" s="348"/>
      <c r="G849" s="348"/>
      <c r="H849" s="348"/>
      <c r="I849" s="348"/>
      <c r="J849" s="348"/>
      <c r="K849" s="348"/>
      <c r="L849" s="348"/>
      <c r="M849" s="348"/>
      <c r="N849" s="348"/>
      <c r="O849" s="348"/>
      <c r="P849" s="348"/>
      <c r="Q849" s="348"/>
      <c r="R849" s="348"/>
      <c r="S849" s="348"/>
      <c r="T849" s="348"/>
      <c r="U849" s="348"/>
      <c r="V849" s="348"/>
      <c r="W849" s="348"/>
      <c r="X849" s="348"/>
      <c r="Y849" s="348"/>
      <c r="Z849" s="348"/>
    </row>
    <row r="850">
      <c r="A850" s="348"/>
      <c r="B850" s="348"/>
      <c r="C850" s="348"/>
      <c r="D850" s="348"/>
      <c r="E850" s="348"/>
      <c r="F850" s="348"/>
      <c r="G850" s="348"/>
      <c r="H850" s="348"/>
      <c r="I850" s="348"/>
      <c r="J850" s="348"/>
      <c r="K850" s="348"/>
      <c r="L850" s="348"/>
      <c r="M850" s="348"/>
      <c r="N850" s="348"/>
      <c r="O850" s="348"/>
      <c r="P850" s="348"/>
      <c r="Q850" s="348"/>
      <c r="R850" s="348"/>
      <c r="S850" s="348"/>
      <c r="T850" s="348"/>
      <c r="U850" s="348"/>
      <c r="V850" s="348"/>
      <c r="W850" s="348"/>
      <c r="X850" s="348"/>
      <c r="Y850" s="348"/>
      <c r="Z850" s="348"/>
    </row>
    <row r="851">
      <c r="A851" s="348"/>
      <c r="B851" s="348"/>
      <c r="C851" s="348"/>
      <c r="D851" s="348"/>
      <c r="E851" s="348"/>
      <c r="F851" s="348"/>
      <c r="G851" s="348"/>
      <c r="H851" s="348"/>
      <c r="I851" s="348"/>
      <c r="J851" s="348"/>
      <c r="K851" s="348"/>
      <c r="L851" s="348"/>
      <c r="M851" s="348"/>
      <c r="N851" s="348"/>
      <c r="O851" s="348"/>
      <c r="P851" s="348"/>
      <c r="Q851" s="348"/>
      <c r="R851" s="348"/>
      <c r="S851" s="348"/>
      <c r="T851" s="348"/>
      <c r="U851" s="348"/>
      <c r="V851" s="348"/>
      <c r="W851" s="348"/>
      <c r="X851" s="348"/>
      <c r="Y851" s="348"/>
      <c r="Z851" s="348"/>
    </row>
    <row r="852">
      <c r="A852" s="348"/>
      <c r="B852" s="348"/>
      <c r="C852" s="348"/>
      <c r="D852" s="348"/>
      <c r="E852" s="348"/>
      <c r="F852" s="348"/>
      <c r="G852" s="348"/>
      <c r="H852" s="348"/>
      <c r="I852" s="348"/>
      <c r="J852" s="348"/>
      <c r="K852" s="348"/>
      <c r="L852" s="348"/>
      <c r="M852" s="348"/>
      <c r="N852" s="348"/>
      <c r="O852" s="348"/>
      <c r="P852" s="348"/>
      <c r="Q852" s="348"/>
      <c r="R852" s="348"/>
      <c r="S852" s="348"/>
      <c r="T852" s="348"/>
      <c r="U852" s="348"/>
      <c r="V852" s="348"/>
      <c r="W852" s="348"/>
      <c r="X852" s="348"/>
      <c r="Y852" s="348"/>
      <c r="Z852" s="348"/>
    </row>
    <row r="853">
      <c r="A853" s="348"/>
      <c r="B853" s="348"/>
      <c r="C853" s="348"/>
      <c r="D853" s="348"/>
      <c r="E853" s="348"/>
      <c r="F853" s="348"/>
      <c r="G853" s="348"/>
      <c r="H853" s="348"/>
      <c r="I853" s="348"/>
      <c r="J853" s="348"/>
      <c r="K853" s="348"/>
      <c r="L853" s="348"/>
      <c r="M853" s="348"/>
      <c r="N853" s="348"/>
      <c r="O853" s="348"/>
      <c r="P853" s="348"/>
      <c r="Q853" s="348"/>
      <c r="R853" s="348"/>
      <c r="S853" s="348"/>
      <c r="T853" s="348"/>
      <c r="U853" s="348"/>
      <c r="V853" s="348"/>
      <c r="W853" s="348"/>
      <c r="X853" s="348"/>
      <c r="Y853" s="348"/>
      <c r="Z853" s="348"/>
    </row>
    <row r="854">
      <c r="A854" s="348"/>
      <c r="B854" s="348"/>
      <c r="C854" s="348"/>
      <c r="D854" s="348"/>
      <c r="E854" s="348"/>
      <c r="F854" s="348"/>
      <c r="G854" s="348"/>
      <c r="H854" s="348"/>
      <c r="I854" s="348"/>
      <c r="J854" s="348"/>
      <c r="K854" s="348"/>
      <c r="L854" s="348"/>
      <c r="M854" s="348"/>
      <c r="N854" s="348"/>
      <c r="O854" s="348"/>
      <c r="P854" s="348"/>
      <c r="Q854" s="348"/>
      <c r="R854" s="348"/>
      <c r="S854" s="348"/>
      <c r="T854" s="348"/>
      <c r="U854" s="348"/>
      <c r="V854" s="348"/>
      <c r="W854" s="348"/>
      <c r="X854" s="348"/>
      <c r="Y854" s="348"/>
      <c r="Z854" s="348"/>
    </row>
    <row r="855">
      <c r="A855" s="348"/>
      <c r="B855" s="348"/>
      <c r="C855" s="348"/>
      <c r="D855" s="348"/>
      <c r="E855" s="348"/>
      <c r="F855" s="348"/>
      <c r="G855" s="348"/>
      <c r="H855" s="348"/>
      <c r="I855" s="348"/>
      <c r="J855" s="348"/>
      <c r="K855" s="348"/>
      <c r="L855" s="348"/>
      <c r="M855" s="348"/>
      <c r="N855" s="348"/>
      <c r="O855" s="348"/>
      <c r="P855" s="348"/>
      <c r="Q855" s="348"/>
      <c r="R855" s="348"/>
      <c r="S855" s="348"/>
      <c r="T855" s="348"/>
      <c r="U855" s="348"/>
      <c r="V855" s="348"/>
      <c r="W855" s="348"/>
      <c r="X855" s="348"/>
      <c r="Y855" s="348"/>
      <c r="Z855" s="348"/>
    </row>
    <row r="856">
      <c r="A856" s="348"/>
      <c r="B856" s="348"/>
      <c r="C856" s="348"/>
      <c r="D856" s="348"/>
      <c r="E856" s="348"/>
      <c r="F856" s="348"/>
      <c r="G856" s="348"/>
      <c r="H856" s="348"/>
      <c r="I856" s="348"/>
      <c r="J856" s="348"/>
      <c r="K856" s="348"/>
      <c r="L856" s="348"/>
      <c r="M856" s="348"/>
      <c r="N856" s="348"/>
      <c r="O856" s="348"/>
      <c r="P856" s="348"/>
      <c r="Q856" s="348"/>
      <c r="R856" s="348"/>
      <c r="S856" s="348"/>
      <c r="T856" s="348"/>
      <c r="U856" s="348"/>
      <c r="V856" s="348"/>
      <c r="W856" s="348"/>
      <c r="X856" s="348"/>
      <c r="Y856" s="348"/>
      <c r="Z856" s="348"/>
    </row>
    <row r="857">
      <c r="A857" s="348"/>
      <c r="B857" s="348"/>
      <c r="C857" s="348"/>
      <c r="D857" s="348"/>
      <c r="E857" s="348"/>
      <c r="F857" s="348"/>
      <c r="G857" s="348"/>
      <c r="H857" s="348"/>
      <c r="I857" s="348"/>
      <c r="J857" s="348"/>
      <c r="K857" s="348"/>
      <c r="L857" s="348"/>
      <c r="M857" s="348"/>
      <c r="N857" s="348"/>
      <c r="O857" s="348"/>
      <c r="P857" s="348"/>
      <c r="Q857" s="348"/>
      <c r="R857" s="348"/>
      <c r="S857" s="348"/>
      <c r="T857" s="348"/>
      <c r="U857" s="348"/>
      <c r="V857" s="348"/>
      <c r="W857" s="348"/>
      <c r="X857" s="348"/>
      <c r="Y857" s="348"/>
      <c r="Z857" s="348"/>
    </row>
    <row r="858">
      <c r="A858" s="348"/>
      <c r="B858" s="348"/>
      <c r="C858" s="348"/>
      <c r="D858" s="348"/>
      <c r="E858" s="348"/>
      <c r="F858" s="348"/>
      <c r="G858" s="348"/>
      <c r="H858" s="348"/>
      <c r="I858" s="348"/>
      <c r="J858" s="348"/>
      <c r="K858" s="348"/>
      <c r="L858" s="348"/>
      <c r="M858" s="348"/>
      <c r="N858" s="348"/>
      <c r="O858" s="348"/>
      <c r="P858" s="348"/>
      <c r="Q858" s="348"/>
      <c r="R858" s="348"/>
      <c r="S858" s="348"/>
      <c r="T858" s="348"/>
      <c r="U858" s="348"/>
      <c r="V858" s="348"/>
      <c r="W858" s="348"/>
      <c r="X858" s="348"/>
      <c r="Y858" s="348"/>
      <c r="Z858" s="348"/>
    </row>
    <row r="859">
      <c r="A859" s="348"/>
      <c r="B859" s="348"/>
      <c r="C859" s="348"/>
      <c r="D859" s="348"/>
      <c r="E859" s="348"/>
      <c r="F859" s="348"/>
      <c r="G859" s="348"/>
      <c r="H859" s="348"/>
      <c r="I859" s="348"/>
      <c r="J859" s="348"/>
      <c r="K859" s="348"/>
      <c r="L859" s="348"/>
      <c r="M859" s="348"/>
      <c r="N859" s="348"/>
      <c r="O859" s="348"/>
      <c r="P859" s="348"/>
      <c r="Q859" s="348"/>
      <c r="R859" s="348"/>
      <c r="S859" s="348"/>
      <c r="T859" s="348"/>
      <c r="U859" s="348"/>
      <c r="V859" s="348"/>
      <c r="W859" s="348"/>
      <c r="X859" s="348"/>
      <c r="Y859" s="348"/>
      <c r="Z859" s="348"/>
    </row>
    <row r="860">
      <c r="A860" s="348"/>
      <c r="B860" s="348"/>
      <c r="C860" s="348"/>
      <c r="D860" s="348"/>
      <c r="E860" s="348"/>
      <c r="F860" s="348"/>
      <c r="G860" s="348"/>
      <c r="H860" s="348"/>
      <c r="I860" s="348"/>
      <c r="J860" s="348"/>
      <c r="K860" s="348"/>
      <c r="L860" s="348"/>
      <c r="M860" s="348"/>
      <c r="N860" s="348"/>
      <c r="O860" s="348"/>
      <c r="P860" s="348"/>
      <c r="Q860" s="348"/>
      <c r="R860" s="348"/>
      <c r="S860" s="348"/>
      <c r="T860" s="348"/>
      <c r="U860" s="348"/>
      <c r="V860" s="348"/>
      <c r="W860" s="348"/>
      <c r="X860" s="348"/>
      <c r="Y860" s="348"/>
      <c r="Z860" s="348"/>
    </row>
    <row r="861">
      <c r="A861" s="348"/>
      <c r="B861" s="348"/>
      <c r="C861" s="348"/>
      <c r="D861" s="348"/>
      <c r="E861" s="348"/>
      <c r="F861" s="348"/>
      <c r="G861" s="348"/>
      <c r="H861" s="348"/>
      <c r="I861" s="348"/>
      <c r="J861" s="348"/>
      <c r="K861" s="348"/>
      <c r="L861" s="348"/>
      <c r="M861" s="348"/>
      <c r="N861" s="348"/>
      <c r="O861" s="348"/>
      <c r="P861" s="348"/>
      <c r="Q861" s="348"/>
      <c r="R861" s="348"/>
      <c r="S861" s="348"/>
      <c r="T861" s="348"/>
      <c r="U861" s="348"/>
      <c r="V861" s="348"/>
      <c r="W861" s="348"/>
      <c r="X861" s="348"/>
      <c r="Y861" s="348"/>
      <c r="Z861" s="348"/>
    </row>
    <row r="862">
      <c r="A862" s="348"/>
      <c r="B862" s="348"/>
      <c r="C862" s="348"/>
      <c r="D862" s="348"/>
      <c r="E862" s="348"/>
      <c r="F862" s="348"/>
      <c r="G862" s="348"/>
      <c r="H862" s="348"/>
      <c r="I862" s="348"/>
      <c r="J862" s="348"/>
      <c r="K862" s="348"/>
      <c r="L862" s="348"/>
      <c r="M862" s="348"/>
      <c r="N862" s="348"/>
      <c r="O862" s="348"/>
      <c r="P862" s="348"/>
      <c r="Q862" s="348"/>
      <c r="R862" s="348"/>
      <c r="S862" s="348"/>
      <c r="T862" s="348"/>
      <c r="U862" s="348"/>
      <c r="V862" s="348"/>
      <c r="W862" s="348"/>
      <c r="X862" s="348"/>
      <c r="Y862" s="348"/>
      <c r="Z862" s="348"/>
    </row>
    <row r="863">
      <c r="A863" s="348"/>
      <c r="B863" s="348"/>
      <c r="C863" s="348"/>
      <c r="D863" s="348"/>
      <c r="E863" s="348"/>
      <c r="F863" s="348"/>
      <c r="G863" s="348"/>
      <c r="H863" s="348"/>
      <c r="I863" s="348"/>
      <c r="J863" s="348"/>
      <c r="K863" s="348"/>
      <c r="L863" s="348"/>
      <c r="M863" s="348"/>
      <c r="N863" s="348"/>
      <c r="O863" s="348"/>
      <c r="P863" s="348"/>
      <c r="Q863" s="348"/>
      <c r="R863" s="348"/>
      <c r="S863" s="348"/>
      <c r="T863" s="348"/>
      <c r="U863" s="348"/>
      <c r="V863" s="348"/>
      <c r="W863" s="348"/>
      <c r="X863" s="348"/>
      <c r="Y863" s="348"/>
      <c r="Z863" s="348"/>
    </row>
    <row r="864">
      <c r="A864" s="348"/>
      <c r="B864" s="348"/>
      <c r="C864" s="348"/>
      <c r="D864" s="348"/>
      <c r="E864" s="348"/>
      <c r="F864" s="348"/>
      <c r="G864" s="348"/>
      <c r="H864" s="348"/>
      <c r="I864" s="348"/>
      <c r="J864" s="348"/>
      <c r="K864" s="348"/>
      <c r="L864" s="348"/>
      <c r="M864" s="348"/>
      <c r="N864" s="348"/>
      <c r="O864" s="348"/>
      <c r="P864" s="348"/>
      <c r="Q864" s="348"/>
      <c r="R864" s="348"/>
      <c r="S864" s="348"/>
      <c r="T864" s="348"/>
      <c r="U864" s="348"/>
      <c r="V864" s="348"/>
      <c r="W864" s="348"/>
      <c r="X864" s="348"/>
      <c r="Y864" s="348"/>
      <c r="Z864" s="348"/>
    </row>
    <row r="865">
      <c r="A865" s="348"/>
      <c r="B865" s="348"/>
      <c r="C865" s="348"/>
      <c r="D865" s="348"/>
      <c r="E865" s="348"/>
      <c r="F865" s="348"/>
      <c r="G865" s="348"/>
      <c r="H865" s="348"/>
      <c r="I865" s="348"/>
      <c r="J865" s="348"/>
      <c r="K865" s="348"/>
      <c r="L865" s="348"/>
      <c r="M865" s="348"/>
      <c r="N865" s="348"/>
      <c r="O865" s="348"/>
      <c r="P865" s="348"/>
      <c r="Q865" s="348"/>
      <c r="R865" s="348"/>
      <c r="S865" s="348"/>
      <c r="T865" s="348"/>
      <c r="U865" s="348"/>
      <c r="V865" s="348"/>
      <c r="W865" s="348"/>
      <c r="X865" s="348"/>
      <c r="Y865" s="348"/>
      <c r="Z865" s="348"/>
    </row>
    <row r="866">
      <c r="A866" s="348"/>
      <c r="B866" s="348"/>
      <c r="C866" s="348"/>
      <c r="D866" s="348"/>
      <c r="E866" s="348"/>
      <c r="F866" s="348"/>
      <c r="G866" s="348"/>
      <c r="H866" s="348"/>
      <c r="I866" s="348"/>
      <c r="J866" s="348"/>
      <c r="K866" s="348"/>
      <c r="L866" s="348"/>
      <c r="M866" s="348"/>
      <c r="N866" s="348"/>
      <c r="O866" s="348"/>
      <c r="P866" s="348"/>
      <c r="Q866" s="348"/>
      <c r="R866" s="348"/>
      <c r="S866" s="348"/>
      <c r="T866" s="348"/>
      <c r="U866" s="348"/>
      <c r="V866" s="348"/>
      <c r="W866" s="348"/>
      <c r="X866" s="348"/>
      <c r="Y866" s="348"/>
      <c r="Z866" s="348"/>
    </row>
    <row r="867">
      <c r="A867" s="348"/>
      <c r="B867" s="348"/>
      <c r="C867" s="348"/>
      <c r="D867" s="348"/>
      <c r="E867" s="348"/>
      <c r="F867" s="348"/>
      <c r="G867" s="348"/>
      <c r="H867" s="348"/>
      <c r="I867" s="348"/>
      <c r="J867" s="348"/>
      <c r="K867" s="348"/>
      <c r="L867" s="348"/>
      <c r="M867" s="348"/>
      <c r="N867" s="348"/>
      <c r="O867" s="348"/>
      <c r="P867" s="348"/>
      <c r="Q867" s="348"/>
      <c r="R867" s="348"/>
      <c r="S867" s="348"/>
      <c r="T867" s="348"/>
      <c r="U867" s="348"/>
      <c r="V867" s="348"/>
      <c r="W867" s="348"/>
      <c r="X867" s="348"/>
      <c r="Y867" s="348"/>
      <c r="Z867" s="348"/>
    </row>
    <row r="868">
      <c r="A868" s="348"/>
      <c r="B868" s="348"/>
      <c r="C868" s="348"/>
      <c r="D868" s="348"/>
      <c r="E868" s="348"/>
      <c r="F868" s="348"/>
      <c r="G868" s="348"/>
      <c r="H868" s="348"/>
      <c r="I868" s="348"/>
      <c r="J868" s="348"/>
      <c r="K868" s="348"/>
      <c r="L868" s="348"/>
      <c r="M868" s="348"/>
      <c r="N868" s="348"/>
      <c r="O868" s="348"/>
      <c r="P868" s="348"/>
      <c r="Q868" s="348"/>
      <c r="R868" s="348"/>
      <c r="S868" s="348"/>
      <c r="T868" s="348"/>
      <c r="U868" s="348"/>
      <c r="V868" s="348"/>
      <c r="W868" s="348"/>
      <c r="X868" s="348"/>
      <c r="Y868" s="348"/>
      <c r="Z868" s="348"/>
    </row>
    <row r="869">
      <c r="A869" s="348"/>
      <c r="B869" s="348"/>
      <c r="C869" s="348"/>
      <c r="D869" s="348"/>
      <c r="E869" s="348"/>
      <c r="F869" s="348"/>
      <c r="G869" s="348"/>
      <c r="H869" s="348"/>
      <c r="I869" s="348"/>
      <c r="J869" s="348"/>
      <c r="K869" s="348"/>
      <c r="L869" s="348"/>
      <c r="M869" s="348"/>
      <c r="N869" s="348"/>
      <c r="O869" s="348"/>
      <c r="P869" s="348"/>
      <c r="Q869" s="348"/>
      <c r="R869" s="348"/>
      <c r="S869" s="348"/>
      <c r="T869" s="348"/>
      <c r="U869" s="348"/>
      <c r="V869" s="348"/>
      <c r="W869" s="348"/>
      <c r="X869" s="348"/>
      <c r="Y869" s="348"/>
      <c r="Z869" s="348"/>
    </row>
    <row r="870">
      <c r="A870" s="348"/>
      <c r="B870" s="348"/>
      <c r="C870" s="348"/>
      <c r="D870" s="348"/>
      <c r="E870" s="348"/>
      <c r="F870" s="348"/>
      <c r="G870" s="348"/>
      <c r="H870" s="348"/>
      <c r="I870" s="348"/>
      <c r="J870" s="348"/>
      <c r="K870" s="348"/>
      <c r="L870" s="348"/>
      <c r="M870" s="348"/>
      <c r="N870" s="348"/>
      <c r="O870" s="348"/>
      <c r="P870" s="348"/>
      <c r="Q870" s="348"/>
      <c r="R870" s="348"/>
      <c r="S870" s="348"/>
      <c r="T870" s="348"/>
      <c r="U870" s="348"/>
      <c r="V870" s="348"/>
      <c r="W870" s="348"/>
      <c r="X870" s="348"/>
      <c r="Y870" s="348"/>
      <c r="Z870" s="348"/>
    </row>
    <row r="871">
      <c r="A871" s="348"/>
      <c r="B871" s="348"/>
      <c r="C871" s="348"/>
      <c r="D871" s="348"/>
      <c r="E871" s="348"/>
      <c r="F871" s="348"/>
      <c r="G871" s="348"/>
      <c r="H871" s="348"/>
      <c r="I871" s="348"/>
      <c r="J871" s="348"/>
      <c r="K871" s="348"/>
      <c r="L871" s="348"/>
      <c r="M871" s="348"/>
      <c r="N871" s="348"/>
      <c r="O871" s="348"/>
      <c r="P871" s="348"/>
      <c r="Q871" s="348"/>
      <c r="R871" s="348"/>
      <c r="S871" s="348"/>
      <c r="T871" s="348"/>
      <c r="U871" s="348"/>
      <c r="V871" s="348"/>
      <c r="W871" s="348"/>
      <c r="X871" s="348"/>
      <c r="Y871" s="348"/>
      <c r="Z871" s="348"/>
    </row>
    <row r="872">
      <c r="A872" s="348"/>
      <c r="B872" s="348"/>
      <c r="C872" s="348"/>
      <c r="D872" s="348"/>
      <c r="E872" s="348"/>
      <c r="F872" s="348"/>
      <c r="G872" s="348"/>
      <c r="H872" s="348"/>
      <c r="I872" s="348"/>
      <c r="J872" s="348"/>
      <c r="K872" s="348"/>
      <c r="L872" s="348"/>
      <c r="M872" s="348"/>
      <c r="N872" s="348"/>
      <c r="O872" s="348"/>
      <c r="P872" s="348"/>
      <c r="Q872" s="348"/>
      <c r="R872" s="348"/>
      <c r="S872" s="348"/>
      <c r="T872" s="348"/>
      <c r="U872" s="348"/>
      <c r="V872" s="348"/>
      <c r="W872" s="348"/>
      <c r="X872" s="348"/>
      <c r="Y872" s="348"/>
      <c r="Z872" s="348"/>
    </row>
    <row r="873">
      <c r="A873" s="348"/>
      <c r="B873" s="348"/>
      <c r="C873" s="348"/>
      <c r="D873" s="348"/>
      <c r="E873" s="348"/>
      <c r="F873" s="348"/>
      <c r="G873" s="348"/>
      <c r="H873" s="348"/>
      <c r="I873" s="348"/>
      <c r="J873" s="348"/>
      <c r="K873" s="348"/>
      <c r="L873" s="348"/>
      <c r="M873" s="348"/>
      <c r="N873" s="348"/>
      <c r="O873" s="348"/>
      <c r="P873" s="348"/>
      <c r="Q873" s="348"/>
      <c r="R873" s="348"/>
      <c r="S873" s="348"/>
      <c r="T873" s="348"/>
      <c r="U873" s="348"/>
      <c r="V873" s="348"/>
      <c r="W873" s="348"/>
      <c r="X873" s="348"/>
      <c r="Y873" s="348"/>
      <c r="Z873" s="348"/>
    </row>
    <row r="874">
      <c r="A874" s="348"/>
      <c r="B874" s="348"/>
      <c r="C874" s="348"/>
      <c r="D874" s="348"/>
      <c r="E874" s="348"/>
      <c r="F874" s="348"/>
      <c r="G874" s="348"/>
      <c r="H874" s="348"/>
      <c r="I874" s="348"/>
      <c r="J874" s="348"/>
      <c r="K874" s="348"/>
      <c r="L874" s="348"/>
      <c r="M874" s="348"/>
      <c r="N874" s="348"/>
      <c r="O874" s="348"/>
      <c r="P874" s="348"/>
      <c r="Q874" s="348"/>
      <c r="R874" s="348"/>
      <c r="S874" s="348"/>
      <c r="T874" s="348"/>
      <c r="U874" s="348"/>
      <c r="V874" s="348"/>
      <c r="W874" s="348"/>
      <c r="X874" s="348"/>
      <c r="Y874" s="348"/>
      <c r="Z874" s="348"/>
    </row>
    <row r="875">
      <c r="A875" s="348"/>
      <c r="B875" s="348"/>
      <c r="C875" s="348"/>
      <c r="D875" s="348"/>
      <c r="E875" s="348"/>
      <c r="F875" s="348"/>
      <c r="G875" s="348"/>
      <c r="H875" s="348"/>
      <c r="I875" s="348"/>
      <c r="J875" s="348"/>
      <c r="K875" s="348"/>
      <c r="L875" s="348"/>
      <c r="M875" s="348"/>
      <c r="N875" s="348"/>
      <c r="O875" s="348"/>
      <c r="P875" s="348"/>
      <c r="Q875" s="348"/>
      <c r="R875" s="348"/>
      <c r="S875" s="348"/>
      <c r="T875" s="348"/>
      <c r="U875" s="348"/>
      <c r="V875" s="348"/>
      <c r="W875" s="348"/>
      <c r="X875" s="348"/>
      <c r="Y875" s="348"/>
      <c r="Z875" s="348"/>
    </row>
    <row r="876">
      <c r="A876" s="348"/>
      <c r="B876" s="348"/>
      <c r="C876" s="348"/>
      <c r="D876" s="348"/>
      <c r="E876" s="348"/>
      <c r="F876" s="348"/>
      <c r="G876" s="348"/>
      <c r="H876" s="348"/>
      <c r="I876" s="348"/>
      <c r="J876" s="348"/>
      <c r="K876" s="348"/>
      <c r="L876" s="348"/>
      <c r="M876" s="348"/>
      <c r="N876" s="348"/>
      <c r="O876" s="348"/>
      <c r="P876" s="348"/>
      <c r="Q876" s="348"/>
      <c r="R876" s="348"/>
      <c r="S876" s="348"/>
      <c r="T876" s="348"/>
      <c r="U876" s="348"/>
      <c r="V876" s="348"/>
      <c r="W876" s="348"/>
      <c r="X876" s="348"/>
      <c r="Y876" s="348"/>
      <c r="Z876" s="348"/>
    </row>
    <row r="877">
      <c r="A877" s="348"/>
      <c r="B877" s="348"/>
      <c r="C877" s="348"/>
      <c r="D877" s="348"/>
      <c r="E877" s="348"/>
      <c r="F877" s="348"/>
      <c r="G877" s="348"/>
      <c r="H877" s="348"/>
      <c r="I877" s="348"/>
      <c r="J877" s="348"/>
      <c r="K877" s="348"/>
      <c r="L877" s="348"/>
      <c r="M877" s="348"/>
      <c r="N877" s="348"/>
      <c r="O877" s="348"/>
      <c r="P877" s="348"/>
      <c r="Q877" s="348"/>
      <c r="R877" s="348"/>
      <c r="S877" s="348"/>
      <c r="T877" s="348"/>
      <c r="U877" s="348"/>
      <c r="V877" s="348"/>
      <c r="W877" s="348"/>
      <c r="X877" s="348"/>
      <c r="Y877" s="348"/>
      <c r="Z877" s="348"/>
    </row>
    <row r="878">
      <c r="A878" s="348"/>
      <c r="B878" s="348"/>
      <c r="C878" s="348"/>
      <c r="D878" s="348"/>
      <c r="E878" s="348"/>
      <c r="F878" s="348"/>
      <c r="G878" s="348"/>
      <c r="H878" s="348"/>
      <c r="I878" s="348"/>
      <c r="J878" s="348"/>
      <c r="K878" s="348"/>
      <c r="L878" s="348"/>
      <c r="M878" s="348"/>
      <c r="N878" s="348"/>
      <c r="O878" s="348"/>
      <c r="P878" s="348"/>
      <c r="Q878" s="348"/>
      <c r="R878" s="348"/>
      <c r="S878" s="348"/>
      <c r="T878" s="348"/>
      <c r="U878" s="348"/>
      <c r="V878" s="348"/>
      <c r="W878" s="348"/>
      <c r="X878" s="348"/>
      <c r="Y878" s="348"/>
      <c r="Z878" s="348"/>
    </row>
    <row r="879">
      <c r="A879" s="348"/>
      <c r="B879" s="348"/>
      <c r="C879" s="348"/>
      <c r="D879" s="348"/>
      <c r="E879" s="348"/>
      <c r="F879" s="348"/>
      <c r="G879" s="348"/>
      <c r="H879" s="348"/>
      <c r="I879" s="348"/>
      <c r="J879" s="348"/>
      <c r="K879" s="348"/>
      <c r="L879" s="348"/>
      <c r="M879" s="348"/>
      <c r="N879" s="348"/>
      <c r="O879" s="348"/>
      <c r="P879" s="348"/>
      <c r="Q879" s="348"/>
      <c r="R879" s="348"/>
      <c r="S879" s="348"/>
      <c r="T879" s="348"/>
      <c r="U879" s="348"/>
      <c r="V879" s="348"/>
      <c r="W879" s="348"/>
      <c r="X879" s="348"/>
      <c r="Y879" s="348"/>
      <c r="Z879" s="348"/>
    </row>
    <row r="880">
      <c r="A880" s="348"/>
      <c r="B880" s="348"/>
      <c r="C880" s="348"/>
      <c r="D880" s="348"/>
      <c r="E880" s="348"/>
      <c r="F880" s="348"/>
      <c r="G880" s="348"/>
      <c r="H880" s="348"/>
      <c r="I880" s="348"/>
      <c r="J880" s="348"/>
      <c r="K880" s="348"/>
      <c r="L880" s="348"/>
      <c r="M880" s="348"/>
      <c r="N880" s="348"/>
      <c r="O880" s="348"/>
      <c r="P880" s="348"/>
      <c r="Q880" s="348"/>
      <c r="R880" s="348"/>
      <c r="S880" s="348"/>
      <c r="T880" s="348"/>
      <c r="U880" s="348"/>
      <c r="V880" s="348"/>
      <c r="W880" s="348"/>
      <c r="X880" s="348"/>
      <c r="Y880" s="348"/>
      <c r="Z880" s="348"/>
    </row>
    <row r="881">
      <c r="A881" s="348"/>
      <c r="B881" s="348"/>
      <c r="C881" s="348"/>
      <c r="D881" s="348"/>
      <c r="E881" s="348"/>
      <c r="F881" s="348"/>
      <c r="G881" s="348"/>
      <c r="H881" s="348"/>
      <c r="I881" s="348"/>
      <c r="J881" s="348"/>
      <c r="K881" s="348"/>
      <c r="L881" s="348"/>
      <c r="M881" s="348"/>
      <c r="N881" s="348"/>
      <c r="O881" s="348"/>
      <c r="P881" s="348"/>
      <c r="Q881" s="348"/>
      <c r="R881" s="348"/>
      <c r="S881" s="348"/>
      <c r="T881" s="348"/>
      <c r="U881" s="348"/>
      <c r="V881" s="348"/>
      <c r="W881" s="348"/>
      <c r="X881" s="348"/>
      <c r="Y881" s="348"/>
      <c r="Z881" s="348"/>
    </row>
    <row r="882">
      <c r="A882" s="348"/>
      <c r="B882" s="348"/>
      <c r="C882" s="348"/>
      <c r="D882" s="348"/>
      <c r="E882" s="348"/>
      <c r="F882" s="348"/>
      <c r="G882" s="348"/>
      <c r="H882" s="348"/>
      <c r="I882" s="348"/>
      <c r="J882" s="348"/>
      <c r="K882" s="348"/>
      <c r="L882" s="348"/>
      <c r="M882" s="348"/>
      <c r="N882" s="348"/>
      <c r="O882" s="348"/>
      <c r="P882" s="348"/>
      <c r="Q882" s="348"/>
      <c r="R882" s="348"/>
      <c r="S882" s="348"/>
      <c r="T882" s="348"/>
      <c r="U882" s="348"/>
      <c r="V882" s="348"/>
      <c r="W882" s="348"/>
      <c r="X882" s="348"/>
      <c r="Y882" s="348"/>
      <c r="Z882" s="348"/>
    </row>
    <row r="883">
      <c r="A883" s="348"/>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row>
    <row r="884">
      <c r="A884" s="348"/>
      <c r="B884" s="348"/>
      <c r="C884" s="348"/>
      <c r="D884" s="348"/>
      <c r="E884" s="348"/>
      <c r="F884" s="348"/>
      <c r="G884" s="348"/>
      <c r="H884" s="348"/>
      <c r="I884" s="348"/>
      <c r="J884" s="348"/>
      <c r="K884" s="348"/>
      <c r="L884" s="348"/>
      <c r="M884" s="348"/>
      <c r="N884" s="348"/>
      <c r="O884" s="348"/>
      <c r="P884" s="348"/>
      <c r="Q884" s="348"/>
      <c r="R884" s="348"/>
      <c r="S884" s="348"/>
      <c r="T884" s="348"/>
      <c r="U884" s="348"/>
      <c r="V884" s="348"/>
      <c r="W884" s="348"/>
      <c r="X884" s="348"/>
      <c r="Y884" s="348"/>
      <c r="Z884" s="348"/>
    </row>
    <row r="885">
      <c r="A885" s="348"/>
      <c r="B885" s="348"/>
      <c r="C885" s="348"/>
      <c r="D885" s="348"/>
      <c r="E885" s="348"/>
      <c r="F885" s="348"/>
      <c r="G885" s="348"/>
      <c r="H885" s="348"/>
      <c r="I885" s="348"/>
      <c r="J885" s="348"/>
      <c r="K885" s="348"/>
      <c r="L885" s="348"/>
      <c r="M885" s="348"/>
      <c r="N885" s="348"/>
      <c r="O885" s="348"/>
      <c r="P885" s="348"/>
      <c r="Q885" s="348"/>
      <c r="R885" s="348"/>
      <c r="S885" s="348"/>
      <c r="T885" s="348"/>
      <c r="U885" s="348"/>
      <c r="V885" s="348"/>
      <c r="W885" s="348"/>
      <c r="X885" s="348"/>
      <c r="Y885" s="348"/>
      <c r="Z885" s="348"/>
    </row>
    <row r="886">
      <c r="A886" s="348"/>
      <c r="B886" s="348"/>
      <c r="C886" s="348"/>
      <c r="D886" s="348"/>
      <c r="E886" s="348"/>
      <c r="F886" s="348"/>
      <c r="G886" s="348"/>
      <c r="H886" s="348"/>
      <c r="I886" s="348"/>
      <c r="J886" s="348"/>
      <c r="K886" s="348"/>
      <c r="L886" s="348"/>
      <c r="M886" s="348"/>
      <c r="N886" s="348"/>
      <c r="O886" s="348"/>
      <c r="P886" s="348"/>
      <c r="Q886" s="348"/>
      <c r="R886" s="348"/>
      <c r="S886" s="348"/>
      <c r="T886" s="348"/>
      <c r="U886" s="348"/>
      <c r="V886" s="348"/>
      <c r="W886" s="348"/>
      <c r="X886" s="348"/>
      <c r="Y886" s="348"/>
      <c r="Z886" s="348"/>
    </row>
    <row r="887">
      <c r="A887" s="348"/>
      <c r="B887" s="348"/>
      <c r="C887" s="348"/>
      <c r="D887" s="348"/>
      <c r="E887" s="348"/>
      <c r="F887" s="348"/>
      <c r="G887" s="348"/>
      <c r="H887" s="348"/>
      <c r="I887" s="348"/>
      <c r="J887" s="348"/>
      <c r="K887" s="348"/>
      <c r="L887" s="348"/>
      <c r="M887" s="348"/>
      <c r="N887" s="348"/>
      <c r="O887" s="348"/>
      <c r="P887" s="348"/>
      <c r="Q887" s="348"/>
      <c r="R887" s="348"/>
      <c r="S887" s="348"/>
      <c r="T887" s="348"/>
      <c r="U887" s="348"/>
      <c r="V887" s="348"/>
      <c r="W887" s="348"/>
      <c r="X887" s="348"/>
      <c r="Y887" s="348"/>
      <c r="Z887" s="348"/>
    </row>
    <row r="888">
      <c r="A888" s="348"/>
      <c r="B888" s="348"/>
      <c r="C888" s="348"/>
      <c r="D888" s="348"/>
      <c r="E888" s="348"/>
      <c r="F888" s="348"/>
      <c r="G888" s="348"/>
      <c r="H888" s="348"/>
      <c r="I888" s="348"/>
      <c r="J888" s="348"/>
      <c r="K888" s="348"/>
      <c r="L888" s="348"/>
      <c r="M888" s="348"/>
      <c r="N888" s="348"/>
      <c r="O888" s="348"/>
      <c r="P888" s="348"/>
      <c r="Q888" s="348"/>
      <c r="R888" s="348"/>
      <c r="S888" s="348"/>
      <c r="T888" s="348"/>
      <c r="U888" s="348"/>
      <c r="V888" s="348"/>
      <c r="W888" s="348"/>
      <c r="X888" s="348"/>
      <c r="Y888" s="348"/>
      <c r="Z888" s="348"/>
    </row>
    <row r="889">
      <c r="A889" s="348"/>
      <c r="B889" s="348"/>
      <c r="C889" s="348"/>
      <c r="D889" s="348"/>
      <c r="E889" s="348"/>
      <c r="F889" s="348"/>
      <c r="G889" s="348"/>
      <c r="H889" s="348"/>
      <c r="I889" s="348"/>
      <c r="J889" s="348"/>
      <c r="K889" s="348"/>
      <c r="L889" s="348"/>
      <c r="M889" s="348"/>
      <c r="N889" s="348"/>
      <c r="O889" s="348"/>
      <c r="P889" s="348"/>
      <c r="Q889" s="348"/>
      <c r="R889" s="348"/>
      <c r="S889" s="348"/>
      <c r="T889" s="348"/>
      <c r="U889" s="348"/>
      <c r="V889" s="348"/>
      <c r="W889" s="348"/>
      <c r="X889" s="348"/>
      <c r="Y889" s="348"/>
      <c r="Z889" s="348"/>
    </row>
    <row r="890">
      <c r="A890" s="348"/>
      <c r="B890" s="348"/>
      <c r="C890" s="348"/>
      <c r="D890" s="348"/>
      <c r="E890" s="348"/>
      <c r="F890" s="348"/>
      <c r="G890" s="348"/>
      <c r="H890" s="348"/>
      <c r="I890" s="348"/>
      <c r="J890" s="348"/>
      <c r="K890" s="348"/>
      <c r="L890" s="348"/>
      <c r="M890" s="348"/>
      <c r="N890" s="348"/>
      <c r="O890" s="348"/>
      <c r="P890" s="348"/>
      <c r="Q890" s="348"/>
      <c r="R890" s="348"/>
      <c r="S890" s="348"/>
      <c r="T890" s="348"/>
      <c r="U890" s="348"/>
      <c r="V890" s="348"/>
      <c r="W890" s="348"/>
      <c r="X890" s="348"/>
      <c r="Y890" s="348"/>
      <c r="Z890" s="348"/>
    </row>
    <row r="891">
      <c r="A891" s="348"/>
      <c r="B891" s="348"/>
      <c r="C891" s="348"/>
      <c r="D891" s="348"/>
      <c r="E891" s="348"/>
      <c r="F891" s="348"/>
      <c r="G891" s="348"/>
      <c r="H891" s="348"/>
      <c r="I891" s="348"/>
      <c r="J891" s="348"/>
      <c r="K891" s="348"/>
      <c r="L891" s="348"/>
      <c r="M891" s="348"/>
      <c r="N891" s="348"/>
      <c r="O891" s="348"/>
      <c r="P891" s="348"/>
      <c r="Q891" s="348"/>
      <c r="R891" s="348"/>
      <c r="S891" s="348"/>
      <c r="T891" s="348"/>
      <c r="U891" s="348"/>
      <c r="V891" s="348"/>
      <c r="W891" s="348"/>
      <c r="X891" s="348"/>
      <c r="Y891" s="348"/>
      <c r="Z891" s="348"/>
    </row>
    <row r="892">
      <c r="A892" s="348"/>
      <c r="B892" s="348"/>
      <c r="C892" s="348"/>
      <c r="D892" s="348"/>
      <c r="E892" s="348"/>
      <c r="F892" s="348"/>
      <c r="G892" s="348"/>
      <c r="H892" s="348"/>
      <c r="I892" s="348"/>
      <c r="J892" s="348"/>
      <c r="K892" s="348"/>
      <c r="L892" s="348"/>
      <c r="M892" s="348"/>
      <c r="N892" s="348"/>
      <c r="O892" s="348"/>
      <c r="P892" s="348"/>
      <c r="Q892" s="348"/>
      <c r="R892" s="348"/>
      <c r="S892" s="348"/>
      <c r="T892" s="348"/>
      <c r="U892" s="348"/>
      <c r="V892" s="348"/>
      <c r="W892" s="348"/>
      <c r="X892" s="348"/>
      <c r="Y892" s="348"/>
      <c r="Z892" s="348"/>
    </row>
    <row r="893">
      <c r="A893" s="348"/>
      <c r="B893" s="348"/>
      <c r="C893" s="348"/>
      <c r="D893" s="348"/>
      <c r="E893" s="348"/>
      <c r="F893" s="348"/>
      <c r="G893" s="348"/>
      <c r="H893" s="348"/>
      <c r="I893" s="348"/>
      <c r="J893" s="348"/>
      <c r="K893" s="348"/>
      <c r="L893" s="348"/>
      <c r="M893" s="348"/>
      <c r="N893" s="348"/>
      <c r="O893" s="348"/>
      <c r="P893" s="348"/>
      <c r="Q893" s="348"/>
      <c r="R893" s="348"/>
      <c r="S893" s="348"/>
      <c r="T893" s="348"/>
      <c r="U893" s="348"/>
      <c r="V893" s="348"/>
      <c r="W893" s="348"/>
      <c r="X893" s="348"/>
      <c r="Y893" s="348"/>
      <c r="Z893" s="348"/>
    </row>
    <row r="894">
      <c r="A894" s="348"/>
      <c r="B894" s="348"/>
      <c r="C894" s="348"/>
      <c r="D894" s="348"/>
      <c r="E894" s="348"/>
      <c r="F894" s="348"/>
      <c r="G894" s="348"/>
      <c r="H894" s="348"/>
      <c r="I894" s="348"/>
      <c r="J894" s="348"/>
      <c r="K894" s="348"/>
      <c r="L894" s="348"/>
      <c r="M894" s="348"/>
      <c r="N894" s="348"/>
      <c r="O894" s="348"/>
      <c r="P894" s="348"/>
      <c r="Q894" s="348"/>
      <c r="R894" s="348"/>
      <c r="S894" s="348"/>
      <c r="T894" s="348"/>
      <c r="U894" s="348"/>
      <c r="V894" s="348"/>
      <c r="W894" s="348"/>
      <c r="X894" s="348"/>
      <c r="Y894" s="348"/>
      <c r="Z894" s="348"/>
    </row>
    <row r="895">
      <c r="A895" s="348"/>
      <c r="B895" s="348"/>
      <c r="C895" s="348"/>
      <c r="D895" s="348"/>
      <c r="E895" s="348"/>
      <c r="F895" s="348"/>
      <c r="G895" s="348"/>
      <c r="H895" s="348"/>
      <c r="I895" s="348"/>
      <c r="J895" s="348"/>
      <c r="K895" s="348"/>
      <c r="L895" s="348"/>
      <c r="M895" s="348"/>
      <c r="N895" s="348"/>
      <c r="O895" s="348"/>
      <c r="P895" s="348"/>
      <c r="Q895" s="348"/>
      <c r="R895" s="348"/>
      <c r="S895" s="348"/>
      <c r="T895" s="348"/>
      <c r="U895" s="348"/>
      <c r="V895" s="348"/>
      <c r="W895" s="348"/>
      <c r="X895" s="348"/>
      <c r="Y895" s="348"/>
      <c r="Z895" s="348"/>
    </row>
    <row r="896">
      <c r="A896" s="348"/>
      <c r="B896" s="348"/>
      <c r="C896" s="348"/>
      <c r="D896" s="348"/>
      <c r="E896" s="348"/>
      <c r="F896" s="348"/>
      <c r="G896" s="348"/>
      <c r="H896" s="348"/>
      <c r="I896" s="348"/>
      <c r="J896" s="348"/>
      <c r="K896" s="348"/>
      <c r="L896" s="348"/>
      <c r="M896" s="348"/>
      <c r="N896" s="348"/>
      <c r="O896" s="348"/>
      <c r="P896" s="348"/>
      <c r="Q896" s="348"/>
      <c r="R896" s="348"/>
      <c r="S896" s="348"/>
      <c r="T896" s="348"/>
      <c r="U896" s="348"/>
      <c r="V896" s="348"/>
      <c r="W896" s="348"/>
      <c r="X896" s="348"/>
      <c r="Y896" s="348"/>
      <c r="Z896" s="348"/>
    </row>
    <row r="897">
      <c r="A897" s="348"/>
      <c r="B897" s="348"/>
      <c r="C897" s="348"/>
      <c r="D897" s="348"/>
      <c r="E897" s="348"/>
      <c r="F897" s="348"/>
      <c r="G897" s="348"/>
      <c r="H897" s="348"/>
      <c r="I897" s="348"/>
      <c r="J897" s="348"/>
      <c r="K897" s="348"/>
      <c r="L897" s="348"/>
      <c r="M897" s="348"/>
      <c r="N897" s="348"/>
      <c r="O897" s="348"/>
      <c r="P897" s="348"/>
      <c r="Q897" s="348"/>
      <c r="R897" s="348"/>
      <c r="S897" s="348"/>
      <c r="T897" s="348"/>
      <c r="U897" s="348"/>
      <c r="V897" s="348"/>
      <c r="W897" s="348"/>
      <c r="X897" s="348"/>
      <c r="Y897" s="348"/>
      <c r="Z897" s="348"/>
    </row>
    <row r="898">
      <c r="A898" s="348"/>
      <c r="B898" s="348"/>
      <c r="C898" s="348"/>
      <c r="D898" s="348"/>
      <c r="E898" s="348"/>
      <c r="F898" s="348"/>
      <c r="G898" s="348"/>
      <c r="H898" s="348"/>
      <c r="I898" s="348"/>
      <c r="J898" s="348"/>
      <c r="K898" s="348"/>
      <c r="L898" s="348"/>
      <c r="M898" s="348"/>
      <c r="N898" s="348"/>
      <c r="O898" s="348"/>
      <c r="P898" s="348"/>
      <c r="Q898" s="348"/>
      <c r="R898" s="348"/>
      <c r="S898" s="348"/>
      <c r="T898" s="348"/>
      <c r="U898" s="348"/>
      <c r="V898" s="348"/>
      <c r="W898" s="348"/>
      <c r="X898" s="348"/>
      <c r="Y898" s="348"/>
      <c r="Z898" s="348"/>
    </row>
    <row r="899">
      <c r="A899" s="348"/>
      <c r="B899" s="348"/>
      <c r="C899" s="348"/>
      <c r="D899" s="348"/>
      <c r="E899" s="348"/>
      <c r="F899" s="348"/>
      <c r="G899" s="348"/>
      <c r="H899" s="348"/>
      <c r="I899" s="348"/>
      <c r="J899" s="348"/>
      <c r="K899" s="348"/>
      <c r="L899" s="348"/>
      <c r="M899" s="348"/>
      <c r="N899" s="348"/>
      <c r="O899" s="348"/>
      <c r="P899" s="348"/>
      <c r="Q899" s="348"/>
      <c r="R899" s="348"/>
      <c r="S899" s="348"/>
      <c r="T899" s="348"/>
      <c r="U899" s="348"/>
      <c r="V899" s="348"/>
      <c r="W899" s="348"/>
      <c r="X899" s="348"/>
      <c r="Y899" s="348"/>
      <c r="Z899" s="348"/>
    </row>
    <row r="900">
      <c r="A900" s="348"/>
      <c r="B900" s="348"/>
      <c r="C900" s="348"/>
      <c r="D900" s="348"/>
      <c r="E900" s="348"/>
      <c r="F900" s="348"/>
      <c r="G900" s="348"/>
      <c r="H900" s="348"/>
      <c r="I900" s="348"/>
      <c r="J900" s="348"/>
      <c r="K900" s="348"/>
      <c r="L900" s="348"/>
      <c r="M900" s="348"/>
      <c r="N900" s="348"/>
      <c r="O900" s="348"/>
      <c r="P900" s="348"/>
      <c r="Q900" s="348"/>
      <c r="R900" s="348"/>
      <c r="S900" s="348"/>
      <c r="T900" s="348"/>
      <c r="U900" s="348"/>
      <c r="V900" s="348"/>
      <c r="W900" s="348"/>
      <c r="X900" s="348"/>
      <c r="Y900" s="348"/>
      <c r="Z900" s="348"/>
    </row>
    <row r="901">
      <c r="A901" s="348"/>
      <c r="B901" s="348"/>
      <c r="C901" s="348"/>
      <c r="D901" s="348"/>
      <c r="E901" s="348"/>
      <c r="F901" s="348"/>
      <c r="G901" s="348"/>
      <c r="H901" s="348"/>
      <c r="I901" s="348"/>
      <c r="J901" s="348"/>
      <c r="K901" s="348"/>
      <c r="L901" s="348"/>
      <c r="M901" s="348"/>
      <c r="N901" s="348"/>
      <c r="O901" s="348"/>
      <c r="P901" s="348"/>
      <c r="Q901" s="348"/>
      <c r="R901" s="348"/>
      <c r="S901" s="348"/>
      <c r="T901" s="348"/>
      <c r="U901" s="348"/>
      <c r="V901" s="348"/>
      <c r="W901" s="348"/>
      <c r="X901" s="348"/>
      <c r="Y901" s="348"/>
      <c r="Z901" s="348"/>
    </row>
    <row r="902">
      <c r="A902" s="348"/>
      <c r="B902" s="348"/>
      <c r="C902" s="348"/>
      <c r="D902" s="348"/>
      <c r="E902" s="348"/>
      <c r="F902" s="348"/>
      <c r="G902" s="348"/>
      <c r="H902" s="348"/>
      <c r="I902" s="348"/>
      <c r="J902" s="348"/>
      <c r="K902" s="348"/>
      <c r="L902" s="348"/>
      <c r="M902" s="348"/>
      <c r="N902" s="348"/>
      <c r="O902" s="348"/>
      <c r="P902" s="348"/>
      <c r="Q902" s="348"/>
      <c r="R902" s="348"/>
      <c r="S902" s="348"/>
      <c r="T902" s="348"/>
      <c r="U902" s="348"/>
      <c r="V902" s="348"/>
      <c r="W902" s="348"/>
      <c r="X902" s="348"/>
      <c r="Y902" s="348"/>
      <c r="Z902" s="348"/>
    </row>
    <row r="903">
      <c r="A903" s="348"/>
      <c r="B903" s="348"/>
      <c r="C903" s="348"/>
      <c r="D903" s="348"/>
      <c r="E903" s="348"/>
      <c r="F903" s="348"/>
      <c r="G903" s="348"/>
      <c r="H903" s="348"/>
      <c r="I903" s="348"/>
      <c r="J903" s="348"/>
      <c r="K903" s="348"/>
      <c r="L903" s="348"/>
      <c r="M903" s="348"/>
      <c r="N903" s="348"/>
      <c r="O903" s="348"/>
      <c r="P903" s="348"/>
      <c r="Q903" s="348"/>
      <c r="R903" s="348"/>
      <c r="S903" s="348"/>
      <c r="T903" s="348"/>
      <c r="U903" s="348"/>
      <c r="V903" s="348"/>
      <c r="W903" s="348"/>
      <c r="X903" s="348"/>
      <c r="Y903" s="348"/>
      <c r="Z903" s="348"/>
    </row>
    <row r="904">
      <c r="A904" s="348"/>
      <c r="B904" s="348"/>
      <c r="C904" s="348"/>
      <c r="D904" s="348"/>
      <c r="E904" s="348"/>
      <c r="F904" s="348"/>
      <c r="G904" s="348"/>
      <c r="H904" s="348"/>
      <c r="I904" s="348"/>
      <c r="J904" s="348"/>
      <c r="K904" s="348"/>
      <c r="L904" s="348"/>
      <c r="M904" s="348"/>
      <c r="N904" s="348"/>
      <c r="O904" s="348"/>
      <c r="P904" s="348"/>
      <c r="Q904" s="348"/>
      <c r="R904" s="348"/>
      <c r="S904" s="348"/>
      <c r="T904" s="348"/>
      <c r="U904" s="348"/>
      <c r="V904" s="348"/>
      <c r="W904" s="348"/>
      <c r="X904" s="348"/>
      <c r="Y904" s="348"/>
      <c r="Z904" s="348"/>
    </row>
    <row r="905">
      <c r="A905" s="348"/>
      <c r="B905" s="348"/>
      <c r="C905" s="348"/>
      <c r="D905" s="348"/>
      <c r="E905" s="348"/>
      <c r="F905" s="348"/>
      <c r="G905" s="348"/>
      <c r="H905" s="348"/>
      <c r="I905" s="348"/>
      <c r="J905" s="348"/>
      <c r="K905" s="348"/>
      <c r="L905" s="348"/>
      <c r="M905" s="348"/>
      <c r="N905" s="348"/>
      <c r="O905" s="348"/>
      <c r="P905" s="348"/>
      <c r="Q905" s="348"/>
      <c r="R905" s="348"/>
      <c r="S905" s="348"/>
      <c r="T905" s="348"/>
      <c r="U905" s="348"/>
      <c r="V905" s="348"/>
      <c r="W905" s="348"/>
      <c r="X905" s="348"/>
      <c r="Y905" s="348"/>
      <c r="Z905" s="348"/>
    </row>
    <row r="906">
      <c r="A906" s="348"/>
      <c r="B906" s="348"/>
      <c r="C906" s="348"/>
      <c r="D906" s="348"/>
      <c r="E906" s="348"/>
      <c r="F906" s="348"/>
      <c r="G906" s="348"/>
      <c r="H906" s="348"/>
      <c r="I906" s="348"/>
      <c r="J906" s="348"/>
      <c r="K906" s="348"/>
      <c r="L906" s="348"/>
      <c r="M906" s="348"/>
      <c r="N906" s="348"/>
      <c r="O906" s="348"/>
      <c r="P906" s="348"/>
      <c r="Q906" s="348"/>
      <c r="R906" s="348"/>
      <c r="S906" s="348"/>
      <c r="T906" s="348"/>
      <c r="U906" s="348"/>
      <c r="V906" s="348"/>
      <c r="W906" s="348"/>
      <c r="X906" s="348"/>
      <c r="Y906" s="348"/>
      <c r="Z906" s="348"/>
    </row>
    <row r="907">
      <c r="A907" s="348"/>
      <c r="B907" s="348"/>
      <c r="C907" s="348"/>
      <c r="D907" s="348"/>
      <c r="E907" s="348"/>
      <c r="F907" s="348"/>
      <c r="G907" s="348"/>
      <c r="H907" s="348"/>
      <c r="I907" s="348"/>
      <c r="J907" s="348"/>
      <c r="K907" s="348"/>
      <c r="L907" s="348"/>
      <c r="M907" s="348"/>
      <c r="N907" s="348"/>
      <c r="O907" s="348"/>
      <c r="P907" s="348"/>
      <c r="Q907" s="348"/>
      <c r="R907" s="348"/>
      <c r="S907" s="348"/>
      <c r="T907" s="348"/>
      <c r="U907" s="348"/>
      <c r="V907" s="348"/>
      <c r="W907" s="348"/>
      <c r="X907" s="348"/>
      <c r="Y907" s="348"/>
      <c r="Z907" s="348"/>
    </row>
    <row r="908">
      <c r="A908" s="348"/>
      <c r="B908" s="348"/>
      <c r="C908" s="348"/>
      <c r="D908" s="348"/>
      <c r="E908" s="348"/>
      <c r="F908" s="348"/>
      <c r="G908" s="348"/>
      <c r="H908" s="348"/>
      <c r="I908" s="348"/>
      <c r="J908" s="348"/>
      <c r="K908" s="348"/>
      <c r="L908" s="348"/>
      <c r="M908" s="348"/>
      <c r="N908" s="348"/>
      <c r="O908" s="348"/>
      <c r="P908" s="348"/>
      <c r="Q908" s="348"/>
      <c r="R908" s="348"/>
      <c r="S908" s="348"/>
      <c r="T908" s="348"/>
      <c r="U908" s="348"/>
      <c r="V908" s="348"/>
      <c r="W908" s="348"/>
      <c r="X908" s="348"/>
      <c r="Y908" s="348"/>
      <c r="Z908" s="348"/>
    </row>
    <row r="909">
      <c r="A909" s="348"/>
      <c r="B909" s="348"/>
      <c r="C909" s="348"/>
      <c r="D909" s="348"/>
      <c r="E909" s="348"/>
      <c r="F909" s="348"/>
      <c r="G909" s="348"/>
      <c r="H909" s="348"/>
      <c r="I909" s="348"/>
      <c r="J909" s="348"/>
      <c r="K909" s="348"/>
      <c r="L909" s="348"/>
      <c r="M909" s="348"/>
      <c r="N909" s="348"/>
      <c r="O909" s="348"/>
      <c r="P909" s="348"/>
      <c r="Q909" s="348"/>
      <c r="R909" s="348"/>
      <c r="S909" s="348"/>
      <c r="T909" s="348"/>
      <c r="U909" s="348"/>
      <c r="V909" s="348"/>
      <c r="W909" s="348"/>
      <c r="X909" s="348"/>
      <c r="Y909" s="348"/>
      <c r="Z909" s="348"/>
    </row>
    <row r="910">
      <c r="A910" s="348"/>
      <c r="B910" s="348"/>
      <c r="C910" s="348"/>
      <c r="D910" s="348"/>
      <c r="E910" s="348"/>
      <c r="F910" s="348"/>
      <c r="G910" s="348"/>
      <c r="H910" s="348"/>
      <c r="I910" s="348"/>
      <c r="J910" s="348"/>
      <c r="K910" s="348"/>
      <c r="L910" s="348"/>
      <c r="M910" s="348"/>
      <c r="N910" s="348"/>
      <c r="O910" s="348"/>
      <c r="P910" s="348"/>
      <c r="Q910" s="348"/>
      <c r="R910" s="348"/>
      <c r="S910" s="348"/>
      <c r="T910" s="348"/>
      <c r="U910" s="348"/>
      <c r="V910" s="348"/>
      <c r="W910" s="348"/>
      <c r="X910" s="348"/>
      <c r="Y910" s="348"/>
      <c r="Z910" s="348"/>
    </row>
    <row r="911">
      <c r="A911" s="348"/>
      <c r="B911" s="348"/>
      <c r="C911" s="348"/>
      <c r="D911" s="348"/>
      <c r="E911" s="348"/>
      <c r="F911" s="348"/>
      <c r="G911" s="348"/>
      <c r="H911" s="348"/>
      <c r="I911" s="348"/>
      <c r="J911" s="348"/>
      <c r="K911" s="348"/>
      <c r="L911" s="348"/>
      <c r="M911" s="348"/>
      <c r="N911" s="348"/>
      <c r="O911" s="348"/>
      <c r="P911" s="348"/>
      <c r="Q911" s="348"/>
      <c r="R911" s="348"/>
      <c r="S911" s="348"/>
      <c r="T911" s="348"/>
      <c r="U911" s="348"/>
      <c r="V911" s="348"/>
      <c r="W911" s="348"/>
      <c r="X911" s="348"/>
      <c r="Y911" s="348"/>
      <c r="Z911" s="348"/>
    </row>
    <row r="912">
      <c r="A912" s="348"/>
      <c r="B912" s="348"/>
      <c r="C912" s="348"/>
      <c r="D912" s="348"/>
      <c r="E912" s="348"/>
      <c r="F912" s="348"/>
      <c r="G912" s="348"/>
      <c r="H912" s="348"/>
      <c r="I912" s="348"/>
      <c r="J912" s="348"/>
      <c r="K912" s="348"/>
      <c r="L912" s="348"/>
      <c r="M912" s="348"/>
      <c r="N912" s="348"/>
      <c r="O912" s="348"/>
      <c r="P912" s="348"/>
      <c r="Q912" s="348"/>
      <c r="R912" s="348"/>
      <c r="S912" s="348"/>
      <c r="T912" s="348"/>
      <c r="U912" s="348"/>
      <c r="V912" s="348"/>
      <c r="W912" s="348"/>
      <c r="X912" s="348"/>
      <c r="Y912" s="348"/>
      <c r="Z912" s="348"/>
    </row>
    <row r="913">
      <c r="A913" s="348"/>
      <c r="B913" s="348"/>
      <c r="C913" s="348"/>
      <c r="D913" s="348"/>
      <c r="E913" s="348"/>
      <c r="F913" s="348"/>
      <c r="G913" s="348"/>
      <c r="H913" s="348"/>
      <c r="I913" s="348"/>
      <c r="J913" s="348"/>
      <c r="K913" s="348"/>
      <c r="L913" s="348"/>
      <c r="M913" s="348"/>
      <c r="N913" s="348"/>
      <c r="O913" s="348"/>
      <c r="P913" s="348"/>
      <c r="Q913" s="348"/>
      <c r="R913" s="348"/>
      <c r="S913" s="348"/>
      <c r="T913" s="348"/>
      <c r="U913" s="348"/>
      <c r="V913" s="348"/>
      <c r="W913" s="348"/>
      <c r="X913" s="348"/>
      <c r="Y913" s="348"/>
      <c r="Z913" s="348"/>
    </row>
    <row r="914">
      <c r="A914" s="348"/>
      <c r="B914" s="348"/>
      <c r="C914" s="348"/>
      <c r="D914" s="348"/>
      <c r="E914" s="348"/>
      <c r="F914" s="348"/>
      <c r="G914" s="348"/>
      <c r="H914" s="348"/>
      <c r="I914" s="348"/>
      <c r="J914" s="348"/>
      <c r="K914" s="348"/>
      <c r="L914" s="348"/>
      <c r="M914" s="348"/>
      <c r="N914" s="348"/>
      <c r="O914" s="348"/>
      <c r="P914" s="348"/>
      <c r="Q914" s="348"/>
      <c r="R914" s="348"/>
      <c r="S914" s="348"/>
      <c r="T914" s="348"/>
      <c r="U914" s="348"/>
      <c r="V914" s="348"/>
      <c r="W914" s="348"/>
      <c r="X914" s="348"/>
      <c r="Y914" s="348"/>
      <c r="Z914" s="348"/>
    </row>
    <row r="915">
      <c r="A915" s="348"/>
      <c r="B915" s="348"/>
      <c r="C915" s="348"/>
      <c r="D915" s="348"/>
      <c r="E915" s="348"/>
      <c r="F915" s="348"/>
      <c r="G915" s="348"/>
      <c r="H915" s="348"/>
      <c r="I915" s="348"/>
      <c r="J915" s="348"/>
      <c r="K915" s="348"/>
      <c r="L915" s="348"/>
      <c r="M915" s="348"/>
      <c r="N915" s="348"/>
      <c r="O915" s="348"/>
      <c r="P915" s="348"/>
      <c r="Q915" s="348"/>
      <c r="R915" s="348"/>
      <c r="S915" s="348"/>
      <c r="T915" s="348"/>
      <c r="U915" s="348"/>
      <c r="V915" s="348"/>
      <c r="W915" s="348"/>
      <c r="X915" s="348"/>
      <c r="Y915" s="348"/>
      <c r="Z915" s="348"/>
    </row>
    <row r="916">
      <c r="A916" s="348"/>
      <c r="B916" s="348"/>
      <c r="C916" s="348"/>
      <c r="D916" s="348"/>
      <c r="E916" s="348"/>
      <c r="F916" s="348"/>
      <c r="G916" s="348"/>
      <c r="H916" s="348"/>
      <c r="I916" s="348"/>
      <c r="J916" s="348"/>
      <c r="K916" s="348"/>
      <c r="L916" s="348"/>
      <c r="M916" s="348"/>
      <c r="N916" s="348"/>
      <c r="O916" s="348"/>
      <c r="P916" s="348"/>
      <c r="Q916" s="348"/>
      <c r="R916" s="348"/>
      <c r="S916" s="348"/>
      <c r="T916" s="348"/>
      <c r="U916" s="348"/>
      <c r="V916" s="348"/>
      <c r="W916" s="348"/>
      <c r="X916" s="348"/>
      <c r="Y916" s="348"/>
      <c r="Z916" s="348"/>
    </row>
    <row r="917">
      <c r="A917" s="348"/>
      <c r="B917" s="348"/>
      <c r="C917" s="348"/>
      <c r="D917" s="348"/>
      <c r="E917" s="348"/>
      <c r="F917" s="348"/>
      <c r="G917" s="348"/>
      <c r="H917" s="348"/>
      <c r="I917" s="348"/>
      <c r="J917" s="348"/>
      <c r="K917" s="348"/>
      <c r="L917" s="348"/>
      <c r="M917" s="348"/>
      <c r="N917" s="348"/>
      <c r="O917" s="348"/>
      <c r="P917" s="348"/>
      <c r="Q917" s="348"/>
      <c r="R917" s="348"/>
      <c r="S917" s="348"/>
      <c r="T917" s="348"/>
      <c r="U917" s="348"/>
      <c r="V917" s="348"/>
      <c r="W917" s="348"/>
      <c r="X917" s="348"/>
      <c r="Y917" s="348"/>
      <c r="Z917" s="348"/>
    </row>
    <row r="918">
      <c r="A918" s="348"/>
      <c r="B918" s="348"/>
      <c r="C918" s="348"/>
      <c r="D918" s="348"/>
      <c r="E918" s="348"/>
      <c r="F918" s="348"/>
      <c r="G918" s="348"/>
      <c r="H918" s="348"/>
      <c r="I918" s="348"/>
      <c r="J918" s="348"/>
      <c r="K918" s="348"/>
      <c r="L918" s="348"/>
      <c r="M918" s="348"/>
      <c r="N918" s="348"/>
      <c r="O918" s="348"/>
      <c r="P918" s="348"/>
      <c r="Q918" s="348"/>
      <c r="R918" s="348"/>
      <c r="S918" s="348"/>
      <c r="T918" s="348"/>
      <c r="U918" s="348"/>
      <c r="V918" s="348"/>
      <c r="W918" s="348"/>
      <c r="X918" s="348"/>
      <c r="Y918" s="348"/>
      <c r="Z918" s="348"/>
    </row>
    <row r="919">
      <c r="A919" s="348"/>
      <c r="B919" s="348"/>
      <c r="C919" s="348"/>
      <c r="D919" s="348"/>
      <c r="E919" s="348"/>
      <c r="F919" s="348"/>
      <c r="G919" s="348"/>
      <c r="H919" s="348"/>
      <c r="I919" s="348"/>
      <c r="J919" s="348"/>
      <c r="K919" s="348"/>
      <c r="L919" s="348"/>
      <c r="M919" s="348"/>
      <c r="N919" s="348"/>
      <c r="O919" s="348"/>
      <c r="P919" s="348"/>
      <c r="Q919" s="348"/>
      <c r="R919" s="348"/>
      <c r="S919" s="348"/>
      <c r="T919" s="348"/>
      <c r="U919" s="348"/>
      <c r="V919" s="348"/>
      <c r="W919" s="348"/>
      <c r="X919" s="348"/>
      <c r="Y919" s="348"/>
      <c r="Z919" s="348"/>
    </row>
    <row r="920">
      <c r="A920" s="348"/>
      <c r="B920" s="348"/>
      <c r="C920" s="348"/>
      <c r="D920" s="348"/>
      <c r="E920" s="348"/>
      <c r="F920" s="348"/>
      <c r="G920" s="348"/>
      <c r="H920" s="348"/>
      <c r="I920" s="348"/>
      <c r="J920" s="348"/>
      <c r="K920" s="348"/>
      <c r="L920" s="348"/>
      <c r="M920" s="348"/>
      <c r="N920" s="348"/>
      <c r="O920" s="348"/>
      <c r="P920" s="348"/>
      <c r="Q920" s="348"/>
      <c r="R920" s="348"/>
      <c r="S920" s="348"/>
      <c r="T920" s="348"/>
      <c r="U920" s="348"/>
      <c r="V920" s="348"/>
      <c r="W920" s="348"/>
      <c r="X920" s="348"/>
      <c r="Y920" s="348"/>
      <c r="Z920" s="348"/>
    </row>
    <row r="921">
      <c r="A921" s="348"/>
      <c r="B921" s="348"/>
      <c r="C921" s="348"/>
      <c r="D921" s="348"/>
      <c r="E921" s="348"/>
      <c r="F921" s="348"/>
      <c r="G921" s="348"/>
      <c r="H921" s="348"/>
      <c r="I921" s="348"/>
      <c r="J921" s="348"/>
      <c r="K921" s="348"/>
      <c r="L921" s="348"/>
      <c r="M921" s="348"/>
      <c r="N921" s="348"/>
      <c r="O921" s="348"/>
      <c r="P921" s="348"/>
      <c r="Q921" s="348"/>
      <c r="R921" s="348"/>
      <c r="S921" s="348"/>
      <c r="T921" s="348"/>
      <c r="U921" s="348"/>
      <c r="V921" s="348"/>
      <c r="W921" s="348"/>
      <c r="X921" s="348"/>
      <c r="Y921" s="348"/>
      <c r="Z921" s="348"/>
    </row>
    <row r="922">
      <c r="A922" s="348"/>
      <c r="B922" s="348"/>
      <c r="C922" s="348"/>
      <c r="D922" s="348"/>
      <c r="E922" s="348"/>
      <c r="F922" s="348"/>
      <c r="G922" s="348"/>
      <c r="H922" s="348"/>
      <c r="I922" s="348"/>
      <c r="J922" s="348"/>
      <c r="K922" s="348"/>
      <c r="L922" s="348"/>
      <c r="M922" s="348"/>
      <c r="N922" s="348"/>
      <c r="O922" s="348"/>
      <c r="P922" s="348"/>
      <c r="Q922" s="348"/>
      <c r="R922" s="348"/>
      <c r="S922" s="348"/>
      <c r="T922" s="348"/>
      <c r="U922" s="348"/>
      <c r="V922" s="348"/>
      <c r="W922" s="348"/>
      <c r="X922" s="348"/>
      <c r="Y922" s="348"/>
      <c r="Z922" s="348"/>
    </row>
    <row r="923">
      <c r="A923" s="348"/>
      <c r="B923" s="348"/>
      <c r="C923" s="348"/>
      <c r="D923" s="348"/>
      <c r="E923" s="348"/>
      <c r="F923" s="348"/>
      <c r="G923" s="348"/>
      <c r="H923" s="348"/>
      <c r="I923" s="348"/>
      <c r="J923" s="348"/>
      <c r="K923" s="348"/>
      <c r="L923" s="348"/>
      <c r="M923" s="348"/>
      <c r="N923" s="348"/>
      <c r="O923" s="348"/>
      <c r="P923" s="348"/>
      <c r="Q923" s="348"/>
      <c r="R923" s="348"/>
      <c r="S923" s="348"/>
      <c r="T923" s="348"/>
      <c r="U923" s="348"/>
      <c r="V923" s="348"/>
      <c r="W923" s="348"/>
      <c r="X923" s="348"/>
      <c r="Y923" s="348"/>
      <c r="Z923" s="348"/>
    </row>
    <row r="924">
      <c r="A924" s="348"/>
      <c r="B924" s="348"/>
      <c r="C924" s="348"/>
      <c r="D924" s="348"/>
      <c r="E924" s="348"/>
      <c r="F924" s="348"/>
      <c r="G924" s="348"/>
      <c r="H924" s="348"/>
      <c r="I924" s="348"/>
      <c r="J924" s="348"/>
      <c r="K924" s="348"/>
      <c r="L924" s="348"/>
      <c r="M924" s="348"/>
      <c r="N924" s="348"/>
      <c r="O924" s="348"/>
      <c r="P924" s="348"/>
      <c r="Q924" s="348"/>
      <c r="R924" s="348"/>
      <c r="S924" s="348"/>
      <c r="T924" s="348"/>
      <c r="U924" s="348"/>
      <c r="V924" s="348"/>
      <c r="W924" s="348"/>
      <c r="X924" s="348"/>
      <c r="Y924" s="348"/>
      <c r="Z924" s="348"/>
    </row>
    <row r="925">
      <c r="A925" s="348"/>
      <c r="B925" s="348"/>
      <c r="C925" s="348"/>
      <c r="D925" s="348"/>
      <c r="E925" s="348"/>
      <c r="F925" s="348"/>
      <c r="G925" s="348"/>
      <c r="H925" s="348"/>
      <c r="I925" s="348"/>
      <c r="J925" s="348"/>
      <c r="K925" s="348"/>
      <c r="L925" s="348"/>
      <c r="M925" s="348"/>
      <c r="N925" s="348"/>
      <c r="O925" s="348"/>
      <c r="P925" s="348"/>
      <c r="Q925" s="348"/>
      <c r="R925" s="348"/>
      <c r="S925" s="348"/>
      <c r="T925" s="348"/>
      <c r="U925" s="348"/>
      <c r="V925" s="348"/>
      <c r="W925" s="348"/>
      <c r="X925" s="348"/>
      <c r="Y925" s="348"/>
      <c r="Z925" s="348"/>
    </row>
    <row r="926">
      <c r="A926" s="348"/>
      <c r="B926" s="348"/>
      <c r="C926" s="348"/>
      <c r="D926" s="348"/>
      <c r="E926" s="348"/>
      <c r="F926" s="348"/>
      <c r="G926" s="348"/>
      <c r="H926" s="348"/>
      <c r="I926" s="348"/>
      <c r="J926" s="348"/>
      <c r="K926" s="348"/>
      <c r="L926" s="348"/>
      <c r="M926" s="348"/>
      <c r="N926" s="348"/>
      <c r="O926" s="348"/>
      <c r="P926" s="348"/>
      <c r="Q926" s="348"/>
      <c r="R926" s="348"/>
      <c r="S926" s="348"/>
      <c r="T926" s="348"/>
      <c r="U926" s="348"/>
      <c r="V926" s="348"/>
      <c r="W926" s="348"/>
      <c r="X926" s="348"/>
      <c r="Y926" s="348"/>
      <c r="Z926" s="348"/>
    </row>
    <row r="927">
      <c r="A927" s="348"/>
      <c r="B927" s="348"/>
      <c r="C927" s="348"/>
      <c r="D927" s="348"/>
      <c r="E927" s="348"/>
      <c r="F927" s="348"/>
      <c r="G927" s="348"/>
      <c r="H927" s="348"/>
      <c r="I927" s="348"/>
      <c r="J927" s="348"/>
      <c r="K927" s="348"/>
      <c r="L927" s="348"/>
      <c r="M927" s="348"/>
      <c r="N927" s="348"/>
      <c r="O927" s="348"/>
      <c r="P927" s="348"/>
      <c r="Q927" s="348"/>
      <c r="R927" s="348"/>
      <c r="S927" s="348"/>
      <c r="T927" s="348"/>
      <c r="U927" s="348"/>
      <c r="V927" s="348"/>
      <c r="W927" s="348"/>
      <c r="X927" s="348"/>
      <c r="Y927" s="348"/>
      <c r="Z927" s="348"/>
    </row>
    <row r="928">
      <c r="A928" s="348"/>
      <c r="B928" s="348"/>
      <c r="C928" s="348"/>
      <c r="D928" s="348"/>
      <c r="E928" s="348"/>
      <c r="F928" s="348"/>
      <c r="G928" s="348"/>
      <c r="H928" s="348"/>
      <c r="I928" s="348"/>
      <c r="J928" s="348"/>
      <c r="K928" s="348"/>
      <c r="L928" s="348"/>
      <c r="M928" s="348"/>
      <c r="N928" s="348"/>
      <c r="O928" s="348"/>
      <c r="P928" s="348"/>
      <c r="Q928" s="348"/>
      <c r="R928" s="348"/>
      <c r="S928" s="348"/>
      <c r="T928" s="348"/>
      <c r="U928" s="348"/>
      <c r="V928" s="348"/>
      <c r="W928" s="348"/>
      <c r="X928" s="348"/>
      <c r="Y928" s="348"/>
      <c r="Z928" s="348"/>
    </row>
    <row r="929">
      <c r="A929" s="348"/>
      <c r="B929" s="348"/>
      <c r="C929" s="348"/>
      <c r="D929" s="348"/>
      <c r="E929" s="348"/>
      <c r="F929" s="348"/>
      <c r="G929" s="348"/>
      <c r="H929" s="348"/>
      <c r="I929" s="348"/>
      <c r="J929" s="348"/>
      <c r="K929" s="348"/>
      <c r="L929" s="348"/>
      <c r="M929" s="348"/>
      <c r="N929" s="348"/>
      <c r="O929" s="348"/>
      <c r="P929" s="348"/>
      <c r="Q929" s="348"/>
      <c r="R929" s="348"/>
      <c r="S929" s="348"/>
      <c r="T929" s="348"/>
      <c r="U929" s="348"/>
      <c r="V929" s="348"/>
      <c r="W929" s="348"/>
      <c r="X929" s="348"/>
      <c r="Y929" s="348"/>
      <c r="Z929" s="348"/>
    </row>
    <row r="930">
      <c r="A930" s="348"/>
      <c r="B930" s="348"/>
      <c r="C930" s="348"/>
      <c r="D930" s="348"/>
      <c r="E930" s="348"/>
      <c r="F930" s="348"/>
      <c r="G930" s="348"/>
      <c r="H930" s="348"/>
      <c r="I930" s="348"/>
      <c r="J930" s="348"/>
      <c r="K930" s="348"/>
      <c r="L930" s="348"/>
      <c r="M930" s="348"/>
      <c r="N930" s="348"/>
      <c r="O930" s="348"/>
      <c r="P930" s="348"/>
      <c r="Q930" s="348"/>
      <c r="R930" s="348"/>
      <c r="S930" s="348"/>
      <c r="T930" s="348"/>
      <c r="U930" s="348"/>
      <c r="V930" s="348"/>
      <c r="W930" s="348"/>
      <c r="X930" s="348"/>
      <c r="Y930" s="348"/>
      <c r="Z930" s="348"/>
    </row>
    <row r="931">
      <c r="A931" s="348"/>
      <c r="B931" s="348"/>
      <c r="C931" s="348"/>
      <c r="D931" s="348"/>
      <c r="E931" s="348"/>
      <c r="F931" s="348"/>
      <c r="G931" s="348"/>
      <c r="H931" s="348"/>
      <c r="I931" s="348"/>
      <c r="J931" s="348"/>
      <c r="K931" s="348"/>
      <c r="L931" s="348"/>
      <c r="M931" s="348"/>
      <c r="N931" s="348"/>
      <c r="O931" s="348"/>
      <c r="P931" s="348"/>
      <c r="Q931" s="348"/>
      <c r="R931" s="348"/>
      <c r="S931" s="348"/>
      <c r="T931" s="348"/>
      <c r="U931" s="348"/>
      <c r="V931" s="348"/>
      <c r="W931" s="348"/>
      <c r="X931" s="348"/>
      <c r="Y931" s="348"/>
      <c r="Z931" s="348"/>
    </row>
    <row r="932">
      <c r="A932" s="348"/>
      <c r="B932" s="348"/>
      <c r="C932" s="348"/>
      <c r="D932" s="348"/>
      <c r="E932" s="348"/>
      <c r="F932" s="348"/>
      <c r="G932" s="348"/>
      <c r="H932" s="348"/>
      <c r="I932" s="348"/>
      <c r="J932" s="348"/>
      <c r="K932" s="348"/>
      <c r="L932" s="348"/>
      <c r="M932" s="348"/>
      <c r="N932" s="348"/>
      <c r="O932" s="348"/>
      <c r="P932" s="348"/>
      <c r="Q932" s="348"/>
      <c r="R932" s="348"/>
      <c r="S932" s="348"/>
      <c r="T932" s="348"/>
      <c r="U932" s="348"/>
      <c r="V932" s="348"/>
      <c r="W932" s="348"/>
      <c r="X932" s="348"/>
      <c r="Y932" s="348"/>
      <c r="Z932" s="348"/>
    </row>
    <row r="933">
      <c r="A933" s="348"/>
      <c r="B933" s="348"/>
      <c r="C933" s="348"/>
      <c r="D933" s="348"/>
      <c r="E933" s="348"/>
      <c r="F933" s="348"/>
      <c r="G933" s="348"/>
      <c r="H933" s="348"/>
      <c r="I933" s="348"/>
      <c r="J933" s="348"/>
      <c r="K933" s="348"/>
      <c r="L933" s="348"/>
      <c r="M933" s="348"/>
      <c r="N933" s="348"/>
      <c r="O933" s="348"/>
      <c r="P933" s="348"/>
      <c r="Q933" s="348"/>
      <c r="R933" s="348"/>
      <c r="S933" s="348"/>
      <c r="T933" s="348"/>
      <c r="U933" s="348"/>
      <c r="V933" s="348"/>
      <c r="W933" s="348"/>
      <c r="X933" s="348"/>
      <c r="Y933" s="348"/>
      <c r="Z933" s="348"/>
    </row>
    <row r="934">
      <c r="A934" s="348"/>
      <c r="B934" s="348"/>
      <c r="C934" s="348"/>
      <c r="D934" s="348"/>
      <c r="E934" s="348"/>
      <c r="F934" s="348"/>
      <c r="G934" s="348"/>
      <c r="H934" s="348"/>
      <c r="I934" s="348"/>
      <c r="J934" s="348"/>
      <c r="K934" s="348"/>
      <c r="L934" s="348"/>
      <c r="M934" s="348"/>
      <c r="N934" s="348"/>
      <c r="O934" s="348"/>
      <c r="P934" s="348"/>
      <c r="Q934" s="348"/>
      <c r="R934" s="348"/>
      <c r="S934" s="348"/>
      <c r="T934" s="348"/>
      <c r="U934" s="348"/>
      <c r="V934" s="348"/>
      <c r="W934" s="348"/>
      <c r="X934" s="348"/>
      <c r="Y934" s="348"/>
      <c r="Z934" s="348"/>
    </row>
    <row r="935">
      <c r="A935" s="348"/>
      <c r="B935" s="348"/>
      <c r="C935" s="348"/>
      <c r="D935" s="348"/>
      <c r="E935" s="348"/>
      <c r="F935" s="348"/>
      <c r="G935" s="348"/>
      <c r="H935" s="348"/>
      <c r="I935" s="348"/>
      <c r="J935" s="348"/>
      <c r="K935" s="348"/>
      <c r="L935" s="348"/>
      <c r="M935" s="348"/>
      <c r="N935" s="348"/>
      <c r="O935" s="348"/>
      <c r="P935" s="348"/>
      <c r="Q935" s="348"/>
      <c r="R935" s="348"/>
      <c r="S935" s="348"/>
      <c r="T935" s="348"/>
      <c r="U935" s="348"/>
      <c r="V935" s="348"/>
      <c r="W935" s="348"/>
      <c r="X935" s="348"/>
      <c r="Y935" s="348"/>
      <c r="Z935" s="348"/>
    </row>
    <row r="936">
      <c r="A936" s="348"/>
      <c r="B936" s="348"/>
      <c r="C936" s="348"/>
      <c r="D936" s="348"/>
      <c r="E936" s="348"/>
      <c r="F936" s="348"/>
      <c r="G936" s="348"/>
      <c r="H936" s="348"/>
      <c r="I936" s="348"/>
      <c r="J936" s="348"/>
      <c r="K936" s="348"/>
      <c r="L936" s="348"/>
      <c r="M936" s="348"/>
      <c r="N936" s="348"/>
      <c r="O936" s="348"/>
      <c r="P936" s="348"/>
      <c r="Q936" s="348"/>
      <c r="R936" s="348"/>
      <c r="S936" s="348"/>
      <c r="T936" s="348"/>
      <c r="U936" s="348"/>
      <c r="V936" s="348"/>
      <c r="W936" s="348"/>
      <c r="X936" s="348"/>
      <c r="Y936" s="348"/>
      <c r="Z936" s="348"/>
    </row>
    <row r="937">
      <c r="A937" s="348"/>
      <c r="B937" s="348"/>
      <c r="C937" s="348"/>
      <c r="D937" s="348"/>
      <c r="E937" s="348"/>
      <c r="F937" s="348"/>
      <c r="G937" s="348"/>
      <c r="H937" s="348"/>
      <c r="I937" s="348"/>
      <c r="J937" s="348"/>
      <c r="K937" s="348"/>
      <c r="L937" s="348"/>
      <c r="M937" s="348"/>
      <c r="N937" s="348"/>
      <c r="O937" s="348"/>
      <c r="P937" s="348"/>
      <c r="Q937" s="348"/>
      <c r="R937" s="348"/>
      <c r="S937" s="348"/>
      <c r="T937" s="348"/>
      <c r="U937" s="348"/>
      <c r="V937" s="348"/>
      <c r="W937" s="348"/>
      <c r="X937" s="348"/>
      <c r="Y937" s="348"/>
      <c r="Z937" s="348"/>
    </row>
    <row r="938">
      <c r="A938" s="348"/>
      <c r="B938" s="348"/>
      <c r="C938" s="348"/>
      <c r="D938" s="348"/>
      <c r="E938" s="348"/>
      <c r="F938" s="348"/>
      <c r="G938" s="348"/>
      <c r="H938" s="348"/>
      <c r="I938" s="348"/>
      <c r="J938" s="348"/>
      <c r="K938" s="348"/>
      <c r="L938" s="348"/>
      <c r="M938" s="348"/>
      <c r="N938" s="348"/>
      <c r="O938" s="348"/>
      <c r="P938" s="348"/>
      <c r="Q938" s="348"/>
      <c r="R938" s="348"/>
      <c r="S938" s="348"/>
      <c r="T938" s="348"/>
      <c r="U938" s="348"/>
      <c r="V938" s="348"/>
      <c r="W938" s="348"/>
      <c r="X938" s="348"/>
      <c r="Y938" s="348"/>
      <c r="Z938" s="348"/>
    </row>
    <row r="939">
      <c r="A939" s="348"/>
      <c r="B939" s="348"/>
      <c r="C939" s="348"/>
      <c r="D939" s="348"/>
      <c r="E939" s="348"/>
      <c r="F939" s="348"/>
      <c r="G939" s="348"/>
      <c r="H939" s="348"/>
      <c r="I939" s="348"/>
      <c r="J939" s="348"/>
      <c r="K939" s="348"/>
      <c r="L939" s="348"/>
      <c r="M939" s="348"/>
      <c r="N939" s="348"/>
      <c r="O939" s="348"/>
      <c r="P939" s="348"/>
      <c r="Q939" s="348"/>
      <c r="R939" s="348"/>
      <c r="S939" s="348"/>
      <c r="T939" s="348"/>
      <c r="U939" s="348"/>
      <c r="V939" s="348"/>
      <c r="W939" s="348"/>
      <c r="X939" s="348"/>
      <c r="Y939" s="348"/>
      <c r="Z939" s="348"/>
    </row>
    <row r="940">
      <c r="A940" s="348"/>
      <c r="B940" s="348"/>
      <c r="C940" s="348"/>
      <c r="D940" s="348"/>
      <c r="E940" s="348"/>
      <c r="F940" s="348"/>
      <c r="G940" s="348"/>
      <c r="H940" s="348"/>
      <c r="I940" s="348"/>
      <c r="J940" s="348"/>
      <c r="K940" s="348"/>
      <c r="L940" s="348"/>
      <c r="M940" s="348"/>
      <c r="N940" s="348"/>
      <c r="O940" s="348"/>
      <c r="P940" s="348"/>
      <c r="Q940" s="348"/>
      <c r="R940" s="348"/>
      <c r="S940" s="348"/>
      <c r="T940" s="348"/>
      <c r="U940" s="348"/>
      <c r="V940" s="348"/>
      <c r="W940" s="348"/>
      <c r="X940" s="348"/>
      <c r="Y940" s="348"/>
      <c r="Z940" s="348"/>
    </row>
    <row r="941">
      <c r="A941" s="348"/>
      <c r="B941" s="348"/>
      <c r="C941" s="348"/>
      <c r="D941" s="348"/>
      <c r="E941" s="348"/>
      <c r="F941" s="348"/>
      <c r="G941" s="348"/>
      <c r="H941" s="348"/>
      <c r="I941" s="348"/>
      <c r="J941" s="348"/>
      <c r="K941" s="348"/>
      <c r="L941" s="348"/>
      <c r="M941" s="348"/>
      <c r="N941" s="348"/>
      <c r="O941" s="348"/>
      <c r="P941" s="348"/>
      <c r="Q941" s="348"/>
      <c r="R941" s="348"/>
      <c r="S941" s="348"/>
      <c r="T941" s="348"/>
      <c r="U941" s="348"/>
      <c r="V941" s="348"/>
      <c r="W941" s="348"/>
      <c r="X941" s="348"/>
      <c r="Y941" s="348"/>
      <c r="Z941" s="348"/>
    </row>
    <row r="942">
      <c r="A942" s="348"/>
      <c r="B942" s="348"/>
      <c r="C942" s="348"/>
      <c r="D942" s="348"/>
      <c r="E942" s="348"/>
      <c r="F942" s="348"/>
      <c r="G942" s="348"/>
      <c r="H942" s="348"/>
      <c r="I942" s="348"/>
      <c r="J942" s="348"/>
      <c r="K942" s="348"/>
      <c r="L942" s="348"/>
      <c r="M942" s="348"/>
      <c r="N942" s="348"/>
      <c r="O942" s="348"/>
      <c r="P942" s="348"/>
      <c r="Q942" s="348"/>
      <c r="R942" s="348"/>
      <c r="S942" s="348"/>
      <c r="T942" s="348"/>
      <c r="U942" s="348"/>
      <c r="V942" s="348"/>
      <c r="W942" s="348"/>
      <c r="X942" s="348"/>
      <c r="Y942" s="348"/>
      <c r="Z942" s="348"/>
    </row>
    <row r="943">
      <c r="A943" s="348"/>
      <c r="B943" s="348"/>
      <c r="C943" s="348"/>
      <c r="D943" s="348"/>
      <c r="E943" s="348"/>
      <c r="F943" s="348"/>
      <c r="G943" s="348"/>
      <c r="H943" s="348"/>
      <c r="I943" s="348"/>
      <c r="J943" s="348"/>
      <c r="K943" s="348"/>
      <c r="L943" s="348"/>
      <c r="M943" s="348"/>
      <c r="N943" s="348"/>
      <c r="O943" s="348"/>
      <c r="P943" s="348"/>
      <c r="Q943" s="348"/>
      <c r="R943" s="348"/>
      <c r="S943" s="348"/>
      <c r="T943" s="348"/>
      <c r="U943" s="348"/>
      <c r="V943" s="348"/>
      <c r="W943" s="348"/>
      <c r="X943" s="348"/>
      <c r="Y943" s="348"/>
      <c r="Z943" s="348"/>
    </row>
    <row r="944">
      <c r="A944" s="348"/>
      <c r="B944" s="348"/>
      <c r="C944" s="348"/>
      <c r="D944" s="348"/>
      <c r="E944" s="348"/>
      <c r="F944" s="348"/>
      <c r="G944" s="348"/>
      <c r="H944" s="348"/>
      <c r="I944" s="348"/>
      <c r="J944" s="348"/>
      <c r="K944" s="348"/>
      <c r="L944" s="348"/>
      <c r="M944" s="348"/>
      <c r="N944" s="348"/>
      <c r="O944" s="348"/>
      <c r="P944" s="348"/>
      <c r="Q944" s="348"/>
      <c r="R944" s="348"/>
      <c r="S944" s="348"/>
      <c r="T944" s="348"/>
      <c r="U944" s="348"/>
      <c r="V944" s="348"/>
      <c r="W944" s="348"/>
      <c r="X944" s="348"/>
      <c r="Y944" s="348"/>
      <c r="Z944" s="348"/>
    </row>
    <row r="945">
      <c r="A945" s="348"/>
      <c r="B945" s="348"/>
      <c r="C945" s="348"/>
      <c r="D945" s="348"/>
      <c r="E945" s="348"/>
      <c r="F945" s="348"/>
      <c r="G945" s="348"/>
      <c r="H945" s="348"/>
      <c r="I945" s="348"/>
      <c r="J945" s="348"/>
      <c r="K945" s="348"/>
      <c r="L945" s="348"/>
      <c r="M945" s="348"/>
      <c r="N945" s="348"/>
      <c r="O945" s="348"/>
      <c r="P945" s="348"/>
      <c r="Q945" s="348"/>
      <c r="R945" s="348"/>
      <c r="S945" s="348"/>
      <c r="T945" s="348"/>
      <c r="U945" s="348"/>
      <c r="V945" s="348"/>
      <c r="W945" s="348"/>
      <c r="X945" s="348"/>
      <c r="Y945" s="348"/>
      <c r="Z945" s="348"/>
    </row>
    <row r="946">
      <c r="A946" s="348"/>
      <c r="B946" s="348"/>
      <c r="C946" s="348"/>
      <c r="D946" s="348"/>
      <c r="E946" s="348"/>
      <c r="F946" s="348"/>
      <c r="G946" s="348"/>
      <c r="H946" s="348"/>
      <c r="I946" s="348"/>
      <c r="J946" s="348"/>
      <c r="K946" s="348"/>
      <c r="L946" s="348"/>
      <c r="M946" s="348"/>
      <c r="N946" s="348"/>
      <c r="O946" s="348"/>
      <c r="P946" s="348"/>
      <c r="Q946" s="348"/>
      <c r="R946" s="348"/>
      <c r="S946" s="348"/>
      <c r="T946" s="348"/>
      <c r="U946" s="348"/>
      <c r="V946" s="348"/>
      <c r="W946" s="348"/>
      <c r="X946" s="348"/>
      <c r="Y946" s="348"/>
      <c r="Z946" s="348"/>
    </row>
    <row r="947">
      <c r="A947" s="348"/>
      <c r="B947" s="348"/>
      <c r="C947" s="348"/>
      <c r="D947" s="348"/>
      <c r="E947" s="348"/>
      <c r="F947" s="348"/>
      <c r="G947" s="348"/>
      <c r="H947" s="348"/>
      <c r="I947" s="348"/>
      <c r="J947" s="348"/>
      <c r="K947" s="348"/>
      <c r="L947" s="348"/>
      <c r="M947" s="348"/>
      <c r="N947" s="348"/>
      <c r="O947" s="348"/>
      <c r="P947" s="348"/>
      <c r="Q947" s="348"/>
      <c r="R947" s="348"/>
      <c r="S947" s="348"/>
      <c r="T947" s="348"/>
      <c r="U947" s="348"/>
      <c r="V947" s="348"/>
      <c r="W947" s="348"/>
      <c r="X947" s="348"/>
      <c r="Y947" s="348"/>
      <c r="Z947" s="348"/>
    </row>
    <row r="948">
      <c r="A948" s="348"/>
      <c r="B948" s="348"/>
      <c r="C948" s="348"/>
      <c r="D948" s="348"/>
      <c r="E948" s="348"/>
      <c r="F948" s="348"/>
      <c r="G948" s="348"/>
      <c r="H948" s="348"/>
      <c r="I948" s="348"/>
      <c r="J948" s="348"/>
      <c r="K948" s="348"/>
      <c r="L948" s="348"/>
      <c r="M948" s="348"/>
      <c r="N948" s="348"/>
      <c r="O948" s="348"/>
      <c r="P948" s="348"/>
      <c r="Q948" s="348"/>
      <c r="R948" s="348"/>
      <c r="S948" s="348"/>
      <c r="T948" s="348"/>
      <c r="U948" s="348"/>
      <c r="V948" s="348"/>
      <c r="W948" s="348"/>
      <c r="X948" s="348"/>
      <c r="Y948" s="348"/>
      <c r="Z948" s="348"/>
    </row>
    <row r="949">
      <c r="A949" s="348"/>
      <c r="B949" s="348"/>
      <c r="C949" s="348"/>
      <c r="D949" s="348"/>
      <c r="E949" s="348"/>
      <c r="F949" s="348"/>
      <c r="G949" s="348"/>
      <c r="H949" s="348"/>
      <c r="I949" s="348"/>
      <c r="J949" s="348"/>
      <c r="K949" s="348"/>
      <c r="L949" s="348"/>
      <c r="M949" s="348"/>
      <c r="N949" s="348"/>
      <c r="O949" s="348"/>
      <c r="P949" s="348"/>
      <c r="Q949" s="348"/>
      <c r="R949" s="348"/>
      <c r="S949" s="348"/>
      <c r="T949" s="348"/>
      <c r="U949" s="348"/>
      <c r="V949" s="348"/>
      <c r="W949" s="348"/>
      <c r="X949" s="348"/>
      <c r="Y949" s="348"/>
      <c r="Z949" s="348"/>
    </row>
    <row r="950">
      <c r="A950" s="348"/>
      <c r="B950" s="348"/>
      <c r="C950" s="348"/>
      <c r="D950" s="348"/>
      <c r="E950" s="348"/>
      <c r="F950" s="348"/>
      <c r="G950" s="348"/>
      <c r="H950" s="348"/>
      <c r="I950" s="348"/>
      <c r="J950" s="348"/>
      <c r="K950" s="348"/>
      <c r="L950" s="348"/>
      <c r="M950" s="348"/>
      <c r="N950" s="348"/>
      <c r="O950" s="348"/>
      <c r="P950" s="348"/>
      <c r="Q950" s="348"/>
      <c r="R950" s="348"/>
      <c r="S950" s="348"/>
      <c r="T950" s="348"/>
      <c r="U950" s="348"/>
      <c r="V950" s="348"/>
      <c r="W950" s="348"/>
      <c r="X950" s="348"/>
      <c r="Y950" s="348"/>
      <c r="Z950" s="348"/>
    </row>
    <row r="951">
      <c r="A951" s="348"/>
      <c r="B951" s="348"/>
      <c r="C951" s="348"/>
      <c r="D951" s="348"/>
      <c r="E951" s="348"/>
      <c r="F951" s="348"/>
      <c r="G951" s="348"/>
      <c r="H951" s="348"/>
      <c r="I951" s="348"/>
      <c r="J951" s="348"/>
      <c r="K951" s="348"/>
      <c r="L951" s="348"/>
      <c r="M951" s="348"/>
      <c r="N951" s="348"/>
      <c r="O951" s="348"/>
      <c r="P951" s="348"/>
      <c r="Q951" s="348"/>
      <c r="R951" s="348"/>
      <c r="S951" s="348"/>
      <c r="T951" s="348"/>
      <c r="U951" s="348"/>
      <c r="V951" s="348"/>
      <c r="W951" s="348"/>
      <c r="X951" s="348"/>
      <c r="Y951" s="348"/>
      <c r="Z951" s="348"/>
    </row>
    <row r="952">
      <c r="A952" s="348"/>
      <c r="B952" s="348"/>
      <c r="C952" s="348"/>
      <c r="D952" s="348"/>
      <c r="E952" s="348"/>
      <c r="F952" s="348"/>
      <c r="G952" s="348"/>
      <c r="H952" s="348"/>
      <c r="I952" s="348"/>
      <c r="J952" s="348"/>
      <c r="K952" s="348"/>
      <c r="L952" s="348"/>
      <c r="M952" s="348"/>
      <c r="N952" s="348"/>
      <c r="O952" s="348"/>
      <c r="P952" s="348"/>
      <c r="Q952" s="348"/>
      <c r="R952" s="348"/>
      <c r="S952" s="348"/>
      <c r="T952" s="348"/>
      <c r="U952" s="348"/>
      <c r="V952" s="348"/>
      <c r="W952" s="348"/>
      <c r="X952" s="348"/>
      <c r="Y952" s="348"/>
      <c r="Z952" s="348"/>
    </row>
    <row r="953">
      <c r="A953" s="348"/>
      <c r="B953" s="348"/>
      <c r="C953" s="348"/>
      <c r="D953" s="348"/>
      <c r="E953" s="348"/>
      <c r="F953" s="348"/>
      <c r="G953" s="348"/>
      <c r="H953" s="348"/>
      <c r="I953" s="348"/>
      <c r="J953" s="348"/>
      <c r="K953" s="348"/>
      <c r="L953" s="348"/>
      <c r="M953" s="348"/>
      <c r="N953" s="348"/>
      <c r="O953" s="348"/>
      <c r="P953" s="348"/>
      <c r="Q953" s="348"/>
      <c r="R953" s="348"/>
      <c r="S953" s="348"/>
      <c r="T953" s="348"/>
      <c r="U953" s="348"/>
      <c r="V953" s="348"/>
      <c r="W953" s="348"/>
      <c r="X953" s="348"/>
      <c r="Y953" s="348"/>
      <c r="Z953" s="348"/>
    </row>
    <row r="954">
      <c r="A954" s="348"/>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c r="Y954" s="348"/>
      <c r="Z954" s="348"/>
    </row>
    <row r="955">
      <c r="A955" s="348"/>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c r="Y955" s="348"/>
      <c r="Z955" s="348"/>
    </row>
    <row r="956">
      <c r="A956" s="348"/>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c r="Y956" s="348"/>
      <c r="Z956" s="348"/>
    </row>
    <row r="957">
      <c r="A957" s="348"/>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c r="Y957" s="348"/>
      <c r="Z957" s="348"/>
    </row>
    <row r="958">
      <c r="A958" s="348"/>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c r="Y958" s="348"/>
      <c r="Z958" s="348"/>
    </row>
    <row r="959">
      <c r="A959" s="348"/>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c r="Y959" s="348"/>
      <c r="Z959" s="348"/>
    </row>
    <row r="960">
      <c r="A960" s="348"/>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c r="Y960" s="348"/>
      <c r="Z960" s="348"/>
    </row>
    <row r="961">
      <c r="A961" s="348"/>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c r="Y961" s="348"/>
      <c r="Z961" s="348"/>
    </row>
    <row r="962">
      <c r="A962" s="348"/>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c r="Y962" s="348"/>
      <c r="Z962" s="348"/>
    </row>
    <row r="963">
      <c r="A963" s="348"/>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c r="Y963" s="348"/>
      <c r="Z963" s="348"/>
    </row>
    <row r="964">
      <c r="A964" s="348"/>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c r="Y964" s="348"/>
      <c r="Z964" s="348"/>
    </row>
    <row r="965">
      <c r="A965" s="348"/>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c r="Y965" s="348"/>
      <c r="Z965" s="348"/>
    </row>
    <row r="966">
      <c r="A966" s="348"/>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row>
    <row r="967">
      <c r="A967" s="348"/>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c r="Y967" s="348"/>
      <c r="Z967" s="348"/>
    </row>
    <row r="968">
      <c r="A968" s="348"/>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c r="Y968" s="348"/>
      <c r="Z968" s="348"/>
    </row>
    <row r="969">
      <c r="A969" s="348"/>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c r="Y969" s="348"/>
      <c r="Z969" s="348"/>
    </row>
    <row r="970">
      <c r="A970" s="348"/>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c r="Y970" s="348"/>
      <c r="Z970" s="348"/>
    </row>
    <row r="971">
      <c r="A971" s="348"/>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c r="Y971" s="348"/>
      <c r="Z971" s="348"/>
    </row>
    <row r="972">
      <c r="A972" s="348"/>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c r="Y972" s="348"/>
      <c r="Z972" s="348"/>
    </row>
    <row r="973">
      <c r="A973" s="348"/>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c r="Y973" s="348"/>
      <c r="Z973" s="348"/>
    </row>
    <row r="974">
      <c r="A974" s="348"/>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c r="Y974" s="348"/>
      <c r="Z974" s="348"/>
    </row>
    <row r="975">
      <c r="A975" s="348"/>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c r="Y975" s="348"/>
      <c r="Z975" s="348"/>
    </row>
    <row r="976">
      <c r="A976" s="348"/>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c r="Y976" s="348"/>
      <c r="Z976" s="348"/>
    </row>
    <row r="977">
      <c r="A977" s="348"/>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c r="Y977" s="348"/>
      <c r="Z977" s="348"/>
    </row>
    <row r="978">
      <c r="A978" s="348"/>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c r="Y978" s="348"/>
      <c r="Z978" s="348"/>
    </row>
    <row r="979">
      <c r="A979" s="348"/>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c r="Y979" s="348"/>
      <c r="Z979" s="348"/>
    </row>
    <row r="980">
      <c r="A980" s="348"/>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c r="Y980" s="348"/>
      <c r="Z980" s="348"/>
    </row>
    <row r="981">
      <c r="A981" s="348"/>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c r="Y981" s="348"/>
      <c r="Z981" s="348"/>
    </row>
    <row r="982">
      <c r="A982" s="348"/>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c r="Y982" s="348"/>
      <c r="Z982" s="348"/>
    </row>
    <row r="983">
      <c r="A983" s="348"/>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c r="Y983" s="348"/>
      <c r="Z983" s="348"/>
    </row>
    <row r="984">
      <c r="A984" s="348"/>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c r="Y984" s="348"/>
      <c r="Z984" s="348"/>
    </row>
    <row r="985">
      <c r="A985" s="348"/>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c r="Y985" s="348"/>
      <c r="Z985" s="348"/>
    </row>
    <row r="986">
      <c r="A986" s="348"/>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c r="Y986" s="348"/>
      <c r="Z986" s="348"/>
    </row>
    <row r="987">
      <c r="A987" s="348"/>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c r="Y987" s="348"/>
      <c r="Z987" s="348"/>
    </row>
    <row r="988">
      <c r="A988" s="348"/>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c r="Y988" s="348"/>
      <c r="Z988" s="348"/>
    </row>
    <row r="989">
      <c r="A989" s="348"/>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c r="Y989" s="348"/>
      <c r="Z989" s="348"/>
    </row>
    <row r="990">
      <c r="A990" s="348"/>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c r="Y990" s="348"/>
      <c r="Z990" s="348"/>
    </row>
    <row r="991">
      <c r="A991" s="348"/>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c r="Y991" s="348"/>
      <c r="Z991" s="348"/>
    </row>
    <row r="992">
      <c r="A992" s="348"/>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c r="Y992" s="348"/>
      <c r="Z992" s="348"/>
    </row>
    <row r="993">
      <c r="A993" s="348"/>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c r="Y993" s="348"/>
      <c r="Z993" s="348"/>
    </row>
    <row r="994">
      <c r="A994" s="348"/>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c r="Y994" s="348"/>
      <c r="Z994" s="348"/>
    </row>
    <row r="995">
      <c r="A995" s="348"/>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c r="Y995" s="348"/>
      <c r="Z995" s="348"/>
    </row>
    <row r="996">
      <c r="A996" s="348"/>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c r="Y996" s="348"/>
      <c r="Z996" s="348"/>
    </row>
    <row r="997">
      <c r="A997" s="348"/>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c r="Y997" s="348"/>
      <c r="Z997" s="348"/>
    </row>
    <row r="998">
      <c r="A998" s="348"/>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c r="Y998" s="348"/>
      <c r="Z998" s="348"/>
    </row>
    <row r="999">
      <c r="A999" s="348"/>
      <c r="B999" s="348"/>
      <c r="C999" s="348"/>
      <c r="D999" s="348"/>
      <c r="E999" s="348"/>
      <c r="F999" s="348"/>
      <c r="G999" s="348"/>
      <c r="H999" s="348"/>
      <c r="I999" s="348"/>
      <c r="J999" s="348"/>
      <c r="K999" s="348"/>
      <c r="L999" s="348"/>
      <c r="M999" s="348"/>
      <c r="N999" s="348"/>
      <c r="O999" s="348"/>
      <c r="P999" s="348"/>
      <c r="Q999" s="348"/>
      <c r="R999" s="348"/>
      <c r="S999" s="348"/>
      <c r="T999" s="348"/>
      <c r="U999" s="348"/>
      <c r="V999" s="348"/>
      <c r="W999" s="348"/>
      <c r="X999" s="348"/>
      <c r="Y999" s="348"/>
      <c r="Z999" s="348"/>
    </row>
    <row r="1000">
      <c r="A1000" s="348"/>
      <c r="B1000" s="348"/>
      <c r="C1000" s="348"/>
      <c r="D1000" s="348"/>
      <c r="E1000" s="348"/>
      <c r="F1000" s="348"/>
      <c r="G1000" s="348"/>
      <c r="H1000" s="348"/>
      <c r="I1000" s="348"/>
      <c r="J1000" s="348"/>
      <c r="K1000" s="348"/>
      <c r="L1000" s="348"/>
      <c r="M1000" s="348"/>
      <c r="N1000" s="348"/>
      <c r="O1000" s="348"/>
      <c r="P1000" s="348"/>
      <c r="Q1000" s="348"/>
      <c r="R1000" s="348"/>
      <c r="S1000" s="348"/>
      <c r="T1000" s="348"/>
      <c r="U1000" s="348"/>
      <c r="V1000" s="348"/>
      <c r="W1000" s="348"/>
      <c r="X1000" s="348"/>
      <c r="Y1000" s="348"/>
      <c r="Z1000" s="348"/>
    </row>
  </sheetData>
  <mergeCells count="1">
    <mergeCell ref="F32:H32"/>
  </mergeCells>
  <conditionalFormatting sqref="C5">
    <cfRule type="notContainsBlanks" dxfId="0" priority="1">
      <formula>LEN(TRIM(C5))&gt;0</formula>
    </cfRule>
  </conditionalFormatting>
  <hyperlinks>
    <hyperlink r:id="rId1" ref="G5"/>
    <hyperlink r:id="rId2" ref="G6"/>
    <hyperlink r:id="rId3" ref="G7"/>
    <hyperlink r:id="rId4" ref="G8"/>
    <hyperlink r:id="rId5" ref="G9"/>
    <hyperlink r:id="rId6" ref="G10"/>
    <hyperlink r:id="rId7" ref="G11"/>
    <hyperlink r:id="rId8" ref="G13"/>
    <hyperlink r:id="rId9" ref="G14"/>
    <hyperlink r:id="rId10" ref="G15"/>
    <hyperlink r:id="rId11" ref="G16"/>
    <hyperlink r:id="rId12" ref="G17"/>
    <hyperlink r:id="rId13" ref="G18"/>
    <hyperlink r:id="rId14" ref="G21"/>
    <hyperlink r:id="rId15" location="google_vignette" ref="G22"/>
    <hyperlink r:id="rId16" ref="B47"/>
    <hyperlink r:id="rId17" ref="B48"/>
    <hyperlink r:id="rId18" ref="B49"/>
  </hyperlinks>
  <drawing r:id="rId1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6" t="s">
        <v>354</v>
      </c>
      <c r="B1" s="407" t="s">
        <v>355</v>
      </c>
      <c r="C1" s="407" t="s">
        <v>356</v>
      </c>
      <c r="D1" s="407" t="s">
        <v>357</v>
      </c>
      <c r="E1" s="407" t="s">
        <v>355</v>
      </c>
      <c r="F1" s="408" t="s">
        <v>358</v>
      </c>
      <c r="G1" s="408" t="s">
        <v>359</v>
      </c>
      <c r="H1" s="409" t="s">
        <v>360</v>
      </c>
      <c r="I1" s="12"/>
      <c r="J1" s="410" t="s">
        <v>361</v>
      </c>
      <c r="K1" s="410" t="s">
        <v>362</v>
      </c>
      <c r="L1" s="411" t="s">
        <v>9</v>
      </c>
      <c r="M1" s="32"/>
      <c r="N1" s="32"/>
      <c r="O1" s="32"/>
      <c r="P1" s="32"/>
      <c r="Q1" s="32"/>
      <c r="R1" s="32"/>
      <c r="S1" s="32"/>
      <c r="T1" s="32"/>
      <c r="U1" s="32"/>
      <c r="V1" s="32"/>
      <c r="W1" s="32"/>
      <c r="X1" s="32"/>
    </row>
    <row r="2">
      <c r="A2" s="171"/>
      <c r="B2" s="171"/>
      <c r="C2" s="171"/>
      <c r="D2" s="412"/>
      <c r="E2" s="171"/>
      <c r="F2" s="171"/>
      <c r="G2" s="171"/>
      <c r="H2" s="413" t="s">
        <v>363</v>
      </c>
      <c r="I2" s="12"/>
      <c r="J2" s="410" t="s">
        <v>364</v>
      </c>
      <c r="K2" s="410" t="s">
        <v>364</v>
      </c>
      <c r="L2" s="412"/>
      <c r="M2" s="32"/>
      <c r="N2" s="32"/>
      <c r="O2" s="32"/>
      <c r="P2" s="32"/>
      <c r="Q2" s="32"/>
      <c r="R2" s="32"/>
      <c r="S2" s="32"/>
      <c r="T2" s="32"/>
      <c r="U2" s="32"/>
      <c r="V2" s="32"/>
      <c r="W2" s="32"/>
      <c r="X2" s="32"/>
    </row>
    <row r="3">
      <c r="A3" s="178"/>
      <c r="B3" s="414" t="s">
        <v>365</v>
      </c>
      <c r="C3" s="415" t="s">
        <v>366</v>
      </c>
      <c r="D3" s="171"/>
      <c r="E3" s="414" t="s">
        <v>365</v>
      </c>
      <c r="F3" s="414" t="s">
        <v>367</v>
      </c>
      <c r="G3" s="416" t="s">
        <v>368</v>
      </c>
      <c r="H3" s="417" t="s">
        <v>369</v>
      </c>
      <c r="I3" s="417" t="s">
        <v>370</v>
      </c>
      <c r="J3" s="414" t="s">
        <v>371</v>
      </c>
      <c r="K3" s="414" t="s">
        <v>372</v>
      </c>
      <c r="L3" s="171"/>
      <c r="M3" s="32"/>
      <c r="N3" s="32"/>
      <c r="O3" s="32"/>
      <c r="P3" s="32"/>
      <c r="Q3" s="32"/>
      <c r="R3" s="32"/>
      <c r="S3" s="32"/>
      <c r="T3" s="32"/>
      <c r="U3" s="32"/>
      <c r="V3" s="32"/>
      <c r="W3" s="32"/>
      <c r="X3" s="32"/>
    </row>
    <row r="4">
      <c r="A4" s="418" t="s">
        <v>373</v>
      </c>
      <c r="B4" s="419">
        <v>0.0</v>
      </c>
      <c r="C4" s="420">
        <v>0.0</v>
      </c>
      <c r="D4" s="421" t="str">
        <f t="shared" ref="D4:D18" si="1">IF(B4+C4=2, "YES" , "NO")</f>
        <v>NO</v>
      </c>
      <c r="E4" s="419"/>
      <c r="F4" s="419"/>
      <c r="G4" s="419"/>
      <c r="H4" s="422">
        <v>1.4</v>
      </c>
      <c r="I4" s="423">
        <f t="shared" ref="I4:I9" si="2">If(H4&gt;MEDIAN($H$11:$H$25),1,0)</f>
        <v>1</v>
      </c>
      <c r="J4" s="419"/>
      <c r="K4" s="419"/>
      <c r="L4" s="424">
        <f t="shared" ref="L4:L18" si="3">SUM(B4,C4,E4,F4,G4,I4,J4,K4)</f>
        <v>1</v>
      </c>
      <c r="M4" s="32"/>
      <c r="N4" s="425" t="s">
        <v>374</v>
      </c>
      <c r="O4" s="12"/>
      <c r="P4" s="32"/>
      <c r="Q4" s="32"/>
      <c r="R4" s="32"/>
      <c r="S4" s="32"/>
      <c r="T4" s="32"/>
      <c r="U4" s="32"/>
      <c r="V4" s="32"/>
      <c r="W4" s="32"/>
      <c r="X4" s="32"/>
    </row>
    <row r="5">
      <c r="A5" s="418" t="s">
        <v>375</v>
      </c>
      <c r="B5" s="419">
        <v>1.0</v>
      </c>
      <c r="C5" s="420">
        <v>1.0</v>
      </c>
      <c r="D5" s="426" t="str">
        <f t="shared" si="1"/>
        <v>YES</v>
      </c>
      <c r="E5" s="419">
        <v>1.0</v>
      </c>
      <c r="F5" s="419">
        <v>1.0</v>
      </c>
      <c r="G5" s="419">
        <v>1.0</v>
      </c>
      <c r="H5" s="422">
        <v>1.6</v>
      </c>
      <c r="I5" s="423">
        <f t="shared" si="2"/>
        <v>1</v>
      </c>
      <c r="J5" s="419">
        <v>0.0</v>
      </c>
      <c r="K5" s="419">
        <v>1.0</v>
      </c>
      <c r="L5" s="424">
        <f t="shared" si="3"/>
        <v>7</v>
      </c>
      <c r="M5" s="32"/>
      <c r="N5" s="32"/>
      <c r="O5" s="32"/>
      <c r="P5" s="32"/>
      <c r="Q5" s="32"/>
      <c r="R5" s="32"/>
      <c r="S5" s="32"/>
      <c r="T5" s="32"/>
      <c r="U5" s="32"/>
      <c r="V5" s="32"/>
      <c r="W5" s="32"/>
      <c r="X5" s="32"/>
    </row>
    <row r="6">
      <c r="A6" s="427" t="s">
        <v>376</v>
      </c>
      <c r="B6" s="419">
        <v>1.0</v>
      </c>
      <c r="C6" s="420">
        <v>1.0</v>
      </c>
      <c r="D6" s="421" t="str">
        <f t="shared" si="1"/>
        <v>YES</v>
      </c>
      <c r="E6" s="419">
        <v>1.0</v>
      </c>
      <c r="F6" s="419">
        <v>1.0</v>
      </c>
      <c r="G6" s="419">
        <v>1.0</v>
      </c>
      <c r="H6" s="422">
        <v>1.18</v>
      </c>
      <c r="I6" s="423">
        <f t="shared" si="2"/>
        <v>0</v>
      </c>
      <c r="J6" s="419">
        <v>1.0</v>
      </c>
      <c r="K6" s="419">
        <v>1.0</v>
      </c>
      <c r="L6" s="424">
        <f t="shared" si="3"/>
        <v>7</v>
      </c>
      <c r="M6" s="32"/>
      <c r="N6" s="198" t="str">
        <f>IFERROR(__xludf.DUMMYFUNCTION("FILTER(A4:A18, L4:L18 &gt; 7)"),"RAYDIUM")</f>
        <v>RAYDIUM</v>
      </c>
      <c r="O6" s="198" t="str">
        <f t="shared" ref="O6:O7" si="4">IF(ISBLANK(R12), "", 1 / COUNTA($O$6:$O$7))</f>
        <v/>
      </c>
      <c r="P6" s="32"/>
      <c r="Q6" s="32"/>
      <c r="R6" s="32"/>
      <c r="S6" s="32"/>
      <c r="T6" s="32"/>
      <c r="U6" s="32"/>
      <c r="V6" s="32"/>
      <c r="W6" s="32"/>
      <c r="X6" s="32"/>
    </row>
    <row r="7">
      <c r="A7" s="427" t="s">
        <v>377</v>
      </c>
      <c r="B7" s="419">
        <v>1.0</v>
      </c>
      <c r="C7" s="420">
        <v>1.0</v>
      </c>
      <c r="D7" s="421" t="str">
        <f t="shared" si="1"/>
        <v>YES</v>
      </c>
      <c r="E7" s="419">
        <v>1.0</v>
      </c>
      <c r="F7" s="419">
        <v>1.0</v>
      </c>
      <c r="G7" s="419">
        <v>1.0</v>
      </c>
      <c r="H7" s="422">
        <v>1.87</v>
      </c>
      <c r="I7" s="423">
        <f t="shared" si="2"/>
        <v>1</v>
      </c>
      <c r="J7" s="419">
        <v>0.0</v>
      </c>
      <c r="K7" s="419">
        <v>1.0</v>
      </c>
      <c r="L7" s="424">
        <f t="shared" si="3"/>
        <v>7</v>
      </c>
      <c r="M7" s="32"/>
      <c r="N7" s="198"/>
      <c r="O7" s="198" t="str">
        <f t="shared" si="4"/>
        <v/>
      </c>
      <c r="P7" s="32"/>
      <c r="Q7" s="32"/>
      <c r="R7" s="32"/>
      <c r="S7" s="32"/>
      <c r="T7" s="32"/>
      <c r="U7" s="32"/>
      <c r="V7" s="32"/>
      <c r="W7" s="32"/>
      <c r="X7" s="32"/>
    </row>
    <row r="8">
      <c r="A8" s="427" t="s">
        <v>378</v>
      </c>
      <c r="B8" s="419">
        <v>1.0</v>
      </c>
      <c r="C8" s="420">
        <v>1.0</v>
      </c>
      <c r="D8" s="421" t="str">
        <f t="shared" si="1"/>
        <v>YES</v>
      </c>
      <c r="E8" s="419">
        <v>1.0</v>
      </c>
      <c r="F8" s="428"/>
      <c r="G8" s="428"/>
      <c r="H8" s="422"/>
      <c r="I8" s="423">
        <f t="shared" si="2"/>
        <v>0</v>
      </c>
      <c r="J8" s="428"/>
      <c r="K8" s="428"/>
      <c r="L8" s="424">
        <f t="shared" si="3"/>
        <v>3</v>
      </c>
      <c r="M8" s="32"/>
      <c r="N8" s="198"/>
      <c r="O8" s="198"/>
      <c r="P8" s="32"/>
      <c r="Q8" s="32"/>
      <c r="R8" s="32"/>
      <c r="S8" s="32"/>
      <c r="T8" s="32"/>
      <c r="U8" s="32"/>
      <c r="V8" s="32"/>
      <c r="W8" s="32"/>
      <c r="X8" s="32"/>
    </row>
    <row r="9">
      <c r="A9" s="418" t="s">
        <v>379</v>
      </c>
      <c r="B9" s="428">
        <v>0.0</v>
      </c>
      <c r="C9" s="420">
        <v>1.0</v>
      </c>
      <c r="D9" s="421" t="str">
        <f t="shared" si="1"/>
        <v>NO</v>
      </c>
      <c r="E9" s="428"/>
      <c r="F9" s="428"/>
      <c r="G9" s="428"/>
      <c r="H9" s="422">
        <v>1.3</v>
      </c>
      <c r="I9" s="423">
        <f t="shared" si="2"/>
        <v>1</v>
      </c>
      <c r="J9" s="428"/>
      <c r="K9" s="428"/>
      <c r="L9" s="424">
        <f t="shared" si="3"/>
        <v>2</v>
      </c>
      <c r="M9" s="32"/>
      <c r="N9" s="32"/>
      <c r="O9" s="32"/>
      <c r="P9" s="32"/>
      <c r="Q9" s="32"/>
      <c r="R9" s="32"/>
      <c r="S9" s="32"/>
      <c r="T9" s="32"/>
      <c r="U9" s="32"/>
      <c r="V9" s="32"/>
      <c r="W9" s="32"/>
      <c r="X9" s="32"/>
    </row>
    <row r="10">
      <c r="A10" s="418" t="s">
        <v>380</v>
      </c>
      <c r="B10" s="419">
        <v>1.0</v>
      </c>
      <c r="C10" s="420">
        <v>1.0</v>
      </c>
      <c r="D10" s="421" t="str">
        <f t="shared" si="1"/>
        <v>YES</v>
      </c>
      <c r="E10" s="428"/>
      <c r="F10" s="428"/>
      <c r="G10" s="428"/>
      <c r="H10" s="422">
        <v>1.2</v>
      </c>
      <c r="I10" s="420">
        <v>0.0</v>
      </c>
      <c r="J10" s="428"/>
      <c r="K10" s="428"/>
      <c r="L10" s="424">
        <f t="shared" si="3"/>
        <v>2</v>
      </c>
      <c r="M10" s="32"/>
      <c r="N10" s="32"/>
      <c r="O10" s="32"/>
      <c r="P10" s="32"/>
      <c r="Q10" s="32"/>
      <c r="R10" s="32"/>
      <c r="S10" s="32"/>
      <c r="T10" s="32"/>
      <c r="U10" s="32"/>
      <c r="V10" s="32"/>
      <c r="W10" s="32"/>
      <c r="X10" s="32"/>
    </row>
    <row r="11">
      <c r="A11" s="427" t="s">
        <v>381</v>
      </c>
      <c r="B11" s="419">
        <v>1.0</v>
      </c>
      <c r="C11" s="423">
        <v>1.0</v>
      </c>
      <c r="D11" s="421" t="str">
        <f t="shared" si="1"/>
        <v>YES</v>
      </c>
      <c r="E11" s="428"/>
      <c r="F11" s="428"/>
      <c r="G11" s="428"/>
      <c r="H11" s="422"/>
      <c r="I11" s="423">
        <f t="shared" ref="I11:I16" si="5">If(H11&gt;MEDIAN($H$11:$H$25),1,0)</f>
        <v>0</v>
      </c>
      <c r="J11" s="428"/>
      <c r="K11" s="428"/>
      <c r="L11" s="424">
        <f t="shared" si="3"/>
        <v>2</v>
      </c>
      <c r="M11" s="32"/>
      <c r="N11" s="32"/>
      <c r="O11" s="32"/>
      <c r="P11" s="32"/>
      <c r="Q11" s="32"/>
      <c r="R11" s="32"/>
      <c r="S11" s="32"/>
      <c r="T11" s="32"/>
      <c r="U11" s="32"/>
      <c r="V11" s="32"/>
      <c r="W11" s="32"/>
      <c r="X11" s="32"/>
    </row>
    <row r="12">
      <c r="A12" s="427" t="s">
        <v>382</v>
      </c>
      <c r="B12" s="428">
        <v>1.0</v>
      </c>
      <c r="C12" s="423">
        <v>1.0</v>
      </c>
      <c r="D12" s="421" t="str">
        <f t="shared" si="1"/>
        <v>YES</v>
      </c>
      <c r="E12" s="419">
        <v>1.0</v>
      </c>
      <c r="F12" s="428">
        <v>1.0</v>
      </c>
      <c r="G12" s="419">
        <v>1.0</v>
      </c>
      <c r="H12" s="422">
        <v>1.45</v>
      </c>
      <c r="I12" s="423">
        <f t="shared" si="5"/>
        <v>1</v>
      </c>
      <c r="J12" s="419">
        <v>1.0</v>
      </c>
      <c r="K12" s="419">
        <v>1.0</v>
      </c>
      <c r="L12" s="424">
        <f t="shared" si="3"/>
        <v>8</v>
      </c>
      <c r="M12" s="32"/>
      <c r="N12" s="32"/>
      <c r="O12" s="32"/>
      <c r="P12" s="32"/>
      <c r="Q12" s="32"/>
      <c r="R12" s="32"/>
      <c r="S12" s="32"/>
      <c r="T12" s="32"/>
      <c r="U12" s="32"/>
      <c r="V12" s="32"/>
      <c r="W12" s="32"/>
      <c r="X12" s="32"/>
    </row>
    <row r="13">
      <c r="A13" s="418" t="s">
        <v>4</v>
      </c>
      <c r="B13" s="419">
        <v>1.0</v>
      </c>
      <c r="C13" s="423">
        <v>1.0</v>
      </c>
      <c r="D13" s="421" t="str">
        <f t="shared" si="1"/>
        <v>YES</v>
      </c>
      <c r="E13" s="428"/>
      <c r="F13" s="428"/>
      <c r="G13" s="419"/>
      <c r="H13" s="422">
        <v>1.2</v>
      </c>
      <c r="I13" s="423">
        <f t="shared" si="5"/>
        <v>0</v>
      </c>
      <c r="J13" s="419"/>
      <c r="K13" s="419"/>
      <c r="L13" s="424">
        <f t="shared" si="3"/>
        <v>2</v>
      </c>
      <c r="M13" s="32"/>
      <c r="N13" s="32"/>
      <c r="O13" s="32"/>
      <c r="P13" s="32"/>
      <c r="Q13" s="32"/>
      <c r="R13" s="32"/>
      <c r="S13" s="32"/>
      <c r="T13" s="32"/>
      <c r="U13" s="32"/>
      <c r="V13" s="32"/>
      <c r="W13" s="32"/>
      <c r="X13" s="32"/>
    </row>
    <row r="14">
      <c r="A14" s="418" t="s">
        <v>383</v>
      </c>
      <c r="B14" s="419">
        <v>1.0</v>
      </c>
      <c r="C14" s="420">
        <v>1.0</v>
      </c>
      <c r="D14" s="421" t="str">
        <f t="shared" si="1"/>
        <v>YES</v>
      </c>
      <c r="E14" s="428"/>
      <c r="F14" s="428"/>
      <c r="G14" s="428"/>
      <c r="H14" s="429">
        <v>1.3</v>
      </c>
      <c r="I14" s="423">
        <f t="shared" si="5"/>
        <v>1</v>
      </c>
      <c r="J14" s="419"/>
      <c r="K14" s="419"/>
      <c r="L14" s="424">
        <f t="shared" si="3"/>
        <v>3</v>
      </c>
      <c r="M14" s="32"/>
      <c r="N14" s="32"/>
      <c r="O14" s="32"/>
      <c r="P14" s="32"/>
      <c r="Q14" s="32"/>
      <c r="R14" s="32"/>
      <c r="S14" s="32"/>
      <c r="T14" s="32"/>
      <c r="U14" s="32"/>
      <c r="V14" s="32"/>
      <c r="W14" s="32"/>
      <c r="X14" s="32"/>
    </row>
    <row r="15">
      <c r="A15" s="427" t="s">
        <v>384</v>
      </c>
      <c r="B15" s="427">
        <v>1.0</v>
      </c>
      <c r="C15" s="420">
        <v>1.0</v>
      </c>
      <c r="D15" s="421" t="str">
        <f t="shared" si="1"/>
        <v>YES</v>
      </c>
      <c r="E15" s="427"/>
      <c r="F15" s="427"/>
      <c r="G15" s="427"/>
      <c r="H15" s="422"/>
      <c r="I15" s="423">
        <f t="shared" si="5"/>
        <v>0</v>
      </c>
      <c r="J15" s="427"/>
      <c r="K15" s="427"/>
      <c r="L15" s="424">
        <f t="shared" si="3"/>
        <v>2</v>
      </c>
      <c r="M15" s="32"/>
      <c r="N15" s="32"/>
      <c r="O15" s="32"/>
      <c r="P15" s="32"/>
      <c r="Q15" s="32"/>
      <c r="R15" s="32"/>
      <c r="S15" s="32"/>
      <c r="T15" s="32"/>
      <c r="U15" s="32"/>
      <c r="V15" s="32"/>
      <c r="W15" s="32"/>
      <c r="X15" s="32"/>
    </row>
    <row r="16">
      <c r="A16" s="427" t="s">
        <v>385</v>
      </c>
      <c r="B16" s="427">
        <v>1.0</v>
      </c>
      <c r="C16" s="420">
        <v>1.0</v>
      </c>
      <c r="D16" s="421" t="str">
        <f t="shared" si="1"/>
        <v>YES</v>
      </c>
      <c r="E16" s="418"/>
      <c r="F16" s="418"/>
      <c r="G16" s="418"/>
      <c r="H16" s="422"/>
      <c r="I16" s="423">
        <f t="shared" si="5"/>
        <v>0</v>
      </c>
      <c r="J16" s="418"/>
      <c r="K16" s="418"/>
      <c r="L16" s="424">
        <f t="shared" si="3"/>
        <v>2</v>
      </c>
      <c r="M16" s="32"/>
      <c r="N16" s="32"/>
      <c r="O16" s="32"/>
      <c r="P16" s="32"/>
      <c r="Q16" s="32"/>
      <c r="R16" s="32"/>
      <c r="S16" s="32"/>
      <c r="T16" s="32"/>
      <c r="U16" s="32"/>
      <c r="V16" s="32"/>
      <c r="W16" s="32"/>
      <c r="X16" s="32"/>
    </row>
    <row r="17">
      <c r="A17" s="418" t="s">
        <v>386</v>
      </c>
      <c r="B17" s="427">
        <v>1.0</v>
      </c>
      <c r="C17" s="423">
        <v>1.0</v>
      </c>
      <c r="D17" s="421" t="str">
        <f t="shared" si="1"/>
        <v>YES</v>
      </c>
      <c r="E17" s="418"/>
      <c r="F17" s="418"/>
      <c r="G17" s="418"/>
      <c r="H17" s="422">
        <v>1.1</v>
      </c>
      <c r="I17" s="420">
        <v>0.0</v>
      </c>
      <c r="J17" s="418"/>
      <c r="K17" s="418"/>
      <c r="L17" s="424">
        <f t="shared" si="3"/>
        <v>2</v>
      </c>
      <c r="M17" s="32"/>
      <c r="N17" s="32"/>
      <c r="O17" s="32"/>
      <c r="P17" s="32"/>
      <c r="Q17" s="32"/>
      <c r="R17" s="32"/>
      <c r="S17" s="32"/>
      <c r="T17" s="32"/>
      <c r="U17" s="32"/>
      <c r="V17" s="32"/>
      <c r="W17" s="32"/>
      <c r="X17" s="32"/>
    </row>
    <row r="18">
      <c r="A18" s="427" t="s">
        <v>387</v>
      </c>
      <c r="B18" s="427">
        <v>0.0</v>
      </c>
      <c r="C18" s="420">
        <v>1.0</v>
      </c>
      <c r="D18" s="421" t="str">
        <f t="shared" si="1"/>
        <v>NO</v>
      </c>
      <c r="E18" s="427"/>
      <c r="F18" s="427"/>
      <c r="G18" s="427"/>
      <c r="H18" s="422">
        <v>1.0</v>
      </c>
      <c r="I18" s="423">
        <f>If(H18&gt;MEDIAN($H$11:$H$25),1,0)</f>
        <v>0</v>
      </c>
      <c r="J18" s="427"/>
      <c r="K18" s="427"/>
      <c r="L18" s="424">
        <f t="shared" si="3"/>
        <v>1</v>
      </c>
      <c r="M18" s="32"/>
      <c r="N18" s="32"/>
      <c r="O18" s="32"/>
      <c r="P18" s="32"/>
      <c r="Q18" s="32"/>
      <c r="R18" s="32"/>
      <c r="S18" s="32"/>
      <c r="T18" s="32"/>
      <c r="U18" s="32"/>
      <c r="V18" s="32"/>
      <c r="W18" s="32"/>
      <c r="X18" s="32"/>
    </row>
    <row r="19">
      <c r="A19" s="15"/>
      <c r="B19" s="35"/>
      <c r="C19" s="35"/>
      <c r="D19" s="32"/>
      <c r="E19" s="32"/>
      <c r="F19" s="32"/>
      <c r="G19" s="32"/>
      <c r="H19" s="35"/>
      <c r="I19" s="32"/>
      <c r="J19" s="32"/>
      <c r="K19" s="32"/>
      <c r="L19" s="32"/>
      <c r="M19" s="32"/>
      <c r="N19" s="32"/>
      <c r="O19" s="32"/>
      <c r="P19" s="32"/>
      <c r="Q19" s="32"/>
      <c r="R19" s="32"/>
      <c r="S19" s="32"/>
      <c r="T19" s="32"/>
      <c r="U19" s="32"/>
      <c r="V19" s="32"/>
      <c r="W19" s="32"/>
      <c r="X19" s="32"/>
    </row>
    <row r="20">
      <c r="A20" s="35"/>
      <c r="B20" s="32"/>
      <c r="C20" s="32"/>
      <c r="D20" s="32"/>
      <c r="E20" s="32"/>
      <c r="F20" s="32"/>
      <c r="G20" s="32"/>
      <c r="H20" s="32"/>
      <c r="I20" s="32"/>
      <c r="J20" s="32"/>
      <c r="K20" s="32"/>
      <c r="L20" s="32"/>
      <c r="M20" s="32"/>
      <c r="N20" s="32"/>
      <c r="O20" s="32"/>
      <c r="P20" s="32"/>
      <c r="Q20" s="32"/>
      <c r="R20" s="32"/>
      <c r="S20" s="32"/>
      <c r="T20" s="32"/>
      <c r="U20" s="32"/>
      <c r="V20" s="32"/>
      <c r="W20" s="32"/>
      <c r="X20" s="32"/>
    </row>
    <row r="21">
      <c r="A21" s="35"/>
      <c r="B21" s="32"/>
      <c r="C21" s="32"/>
      <c r="D21" s="32"/>
      <c r="E21" s="32"/>
      <c r="F21" s="32"/>
      <c r="G21" s="32"/>
      <c r="H21" s="32"/>
      <c r="I21" s="32"/>
      <c r="J21" s="32"/>
      <c r="K21" s="32"/>
      <c r="L21" s="32"/>
      <c r="M21" s="32"/>
      <c r="N21" s="32"/>
      <c r="O21" s="32"/>
      <c r="P21" s="32"/>
      <c r="Q21" s="32"/>
      <c r="R21" s="32"/>
      <c r="S21" s="32"/>
      <c r="T21" s="32"/>
      <c r="U21" s="32"/>
      <c r="V21" s="32"/>
      <c r="W21" s="32"/>
      <c r="X21" s="32"/>
    </row>
    <row r="22">
      <c r="A22" s="35"/>
      <c r="B22" s="32"/>
      <c r="C22" s="32"/>
      <c r="D22" s="32"/>
      <c r="E22" s="32"/>
      <c r="F22" s="32"/>
      <c r="G22" s="32"/>
      <c r="H22" s="32"/>
      <c r="I22" s="32"/>
      <c r="J22" s="32"/>
      <c r="K22" s="32"/>
      <c r="L22" s="32"/>
      <c r="M22" s="32"/>
      <c r="N22" s="32"/>
      <c r="O22" s="32"/>
      <c r="P22" s="32"/>
      <c r="Q22" s="32"/>
      <c r="R22" s="32"/>
      <c r="S22" s="32"/>
      <c r="T22" s="32"/>
      <c r="U22" s="32"/>
      <c r="V22" s="32"/>
      <c r="W22" s="32"/>
      <c r="X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row>
  </sheetData>
  <mergeCells count="11">
    <mergeCell ref="H1:I1"/>
    <mergeCell ref="L1:L3"/>
    <mergeCell ref="H2:I2"/>
    <mergeCell ref="N4:O4"/>
    <mergeCell ref="A1:A2"/>
    <mergeCell ref="B1:B2"/>
    <mergeCell ref="C1:C2"/>
    <mergeCell ref="D1:D3"/>
    <mergeCell ref="E1:E2"/>
    <mergeCell ref="F1:F2"/>
    <mergeCell ref="G1:G2"/>
  </mergeCells>
  <conditionalFormatting sqref="A4:K19">
    <cfRule type="expression" dxfId="7" priority="1">
      <formula>$D:$D="NO"</formula>
    </cfRule>
  </conditionalFormatting>
  <conditionalFormatting sqref="A4:K19">
    <cfRule type="expression" dxfId="0" priority="2">
      <formula>$D:$D="YES"</formula>
    </cfRule>
  </conditionalFormatting>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s>
  <sheetData>
    <row r="1">
      <c r="A1" s="430"/>
      <c r="B1" s="431" t="s">
        <v>388</v>
      </c>
      <c r="C1" s="430"/>
      <c r="D1" s="431" t="s">
        <v>389</v>
      </c>
      <c r="G1" s="432"/>
      <c r="K1" s="431" t="s">
        <v>390</v>
      </c>
    </row>
    <row r="2">
      <c r="A2" s="430" t="str">
        <f>IFERROR(__xludf.DUMMYFUNCTION("GOOGLEFINANCE(""BTCUSD"", ""price"", ""2014-07-17"", TODAY(), ""DAILY"")"),"Date")</f>
        <v>Date</v>
      </c>
      <c r="B2" s="433" t="str">
        <f>IFERROR(__xludf.DUMMYFUNCTION("""COMPUTED_VALUE"""),"Close")</f>
        <v>Close</v>
      </c>
      <c r="C2" s="430" t="str">
        <f>IFERROR(__xludf.DUMMYFUNCTION("GOOGLEFINANCE(""ETHUSD"", ""price"", ""2015-07-30"", TODAY(), ""DAILY"")"),"Date")</f>
        <v>Date</v>
      </c>
      <c r="D2" s="433" t="str">
        <f>IFERROR(__xludf.DUMMYFUNCTION("""COMPUTED_VALUE"""),"Close")</f>
        <v>Close</v>
      </c>
      <c r="F2" s="433" t="str">
        <f>IFERROR(__xludf.DUMMYFUNCTION("GOOGLEFINANCE(""CURRENCY:BTCUSD"", ""price"", DATE(2023,1,1), TODAY(), ""DAILY"")"),"Date")</f>
        <v>Date</v>
      </c>
      <c r="G2" s="432" t="str">
        <f>IFERROR(__xludf.DUMMYFUNCTION("""COMPUTED_VALUE"""),"Close")</f>
        <v>Close</v>
      </c>
      <c r="H2" s="433" t="str">
        <f>IFERROR(__xludf.DUMMYFUNCTION("GOOGLEFINANCE(""CURRENCY:ETHUSD"", ""price"", DATE(2023,1,1), TODAY(), ""DAILY"")"),"Date")</f>
        <v>Date</v>
      </c>
      <c r="I2" s="433" t="str">
        <f>IFERROR(__xludf.DUMMYFUNCTION("""COMPUTED_VALUE"""),"Close")</f>
        <v>Close</v>
      </c>
      <c r="K2" s="431">
        <v>1000.0</v>
      </c>
    </row>
    <row r="3">
      <c r="A3" s="434">
        <f>IFERROR(__xludf.DUMMYFUNCTION("""COMPUTED_VALUE"""),42496.99861111111)</f>
        <v>42496.99861</v>
      </c>
      <c r="B3" s="433">
        <f>IFERROR(__xludf.DUMMYFUNCTION("""COMPUTED_VALUE"""),453.99)</f>
        <v>453.99</v>
      </c>
      <c r="C3" s="434">
        <f>IFERROR(__xludf.DUMMYFUNCTION("""COMPUTED_VALUE"""),42224.99861111111)</f>
        <v>42224.99861</v>
      </c>
      <c r="D3" s="433">
        <f>IFERROR(__xludf.DUMMYFUNCTION("""COMPUTED_VALUE"""),2.7938)</f>
        <v>2.7938</v>
      </c>
      <c r="F3" s="434">
        <f>IFERROR(__xludf.DUMMYFUNCTION("""COMPUTED_VALUE"""),44927.99861111111)</f>
        <v>44927.99861</v>
      </c>
      <c r="G3" s="432">
        <f>IFERROR(__xludf.DUMMYFUNCTION("""COMPUTED_VALUE"""),16613.4)</f>
        <v>16613.4</v>
      </c>
      <c r="H3" s="434">
        <f>IFERROR(__xludf.DUMMYFUNCTION("""COMPUTED_VALUE"""),44927.99861111111)</f>
        <v>44927.99861</v>
      </c>
      <c r="I3" s="433">
        <f>IFERROR(__xludf.DUMMYFUNCTION("""COMPUTED_VALUE"""),1196.7137)</f>
        <v>1196.7137</v>
      </c>
      <c r="K3" s="431">
        <v>1000.0</v>
      </c>
    </row>
    <row r="4">
      <c r="A4" s="434">
        <f>IFERROR(__xludf.DUMMYFUNCTION("""COMPUTED_VALUE"""),42499.99861111111)</f>
        <v>42499.99861</v>
      </c>
      <c r="B4" s="433">
        <f>IFERROR(__xludf.DUMMYFUNCTION("""COMPUTED_VALUE"""),462.78)</f>
        <v>462.78</v>
      </c>
      <c r="C4" s="434">
        <f>IFERROR(__xludf.DUMMYFUNCTION("""COMPUTED_VALUE"""),42225.99861111111)</f>
        <v>42225.99861</v>
      </c>
      <c r="D4" s="433">
        <f>IFERROR(__xludf.DUMMYFUNCTION("""COMPUTED_VALUE"""),0.7061)</f>
        <v>0.7061</v>
      </c>
      <c r="F4" s="434">
        <f>IFERROR(__xludf.DUMMYFUNCTION("""COMPUTED_VALUE"""),44928.99861111111)</f>
        <v>44928.99861</v>
      </c>
      <c r="G4" s="432">
        <f>IFERROR(__xludf.DUMMYFUNCTION("""COMPUTED_VALUE"""),16670.31)</f>
        <v>16670.31</v>
      </c>
      <c r="H4" s="434">
        <f>IFERROR(__xludf.DUMMYFUNCTION("""COMPUTED_VALUE"""),44928.99861111111)</f>
        <v>44928.99861</v>
      </c>
      <c r="I4" s="433">
        <f>IFERROR(__xludf.DUMMYFUNCTION("""COMPUTED_VALUE"""),1201.1033)</f>
        <v>1201.1033</v>
      </c>
    </row>
    <row r="5">
      <c r="A5" s="434">
        <f>IFERROR(__xludf.DUMMYFUNCTION("""COMPUTED_VALUE"""),42500.99861111111)</f>
        <v>42500.99861</v>
      </c>
      <c r="B5" s="433">
        <f>IFERROR(__xludf.DUMMYFUNCTION("""COMPUTED_VALUE"""),458.6)</f>
        <v>458.6</v>
      </c>
      <c r="C5" s="434">
        <f>IFERROR(__xludf.DUMMYFUNCTION("""COMPUTED_VALUE"""),42226.99861111111)</f>
        <v>42226.99861</v>
      </c>
      <c r="D5" s="433">
        <f>IFERROR(__xludf.DUMMYFUNCTION("""COMPUTED_VALUE"""),0.714)</f>
        <v>0.714</v>
      </c>
      <c r="F5" s="434">
        <f>IFERROR(__xludf.DUMMYFUNCTION("""COMPUTED_VALUE"""),44929.99861111111)</f>
        <v>44929.99861</v>
      </c>
      <c r="G5" s="432">
        <f>IFERROR(__xludf.DUMMYFUNCTION("""COMPUTED_VALUE"""),16670.35)</f>
        <v>16670.35</v>
      </c>
      <c r="H5" s="434">
        <f>IFERROR(__xludf.DUMMYFUNCTION("""COMPUTED_VALUE"""),44929.99861111111)</f>
        <v>44929.99861</v>
      </c>
      <c r="I5" s="433">
        <f>IFERROR(__xludf.DUMMYFUNCTION("""COMPUTED_VALUE"""),1214.744)</f>
        <v>1214.744</v>
      </c>
    </row>
    <row r="6">
      <c r="A6" s="434">
        <f>IFERROR(__xludf.DUMMYFUNCTION("""COMPUTED_VALUE"""),42501.99861111111)</f>
        <v>42501.99861</v>
      </c>
      <c r="B6" s="433">
        <f>IFERROR(__xludf.DUMMYFUNCTION("""COMPUTED_VALUE"""),455.55)</f>
        <v>455.55</v>
      </c>
      <c r="C6" s="434">
        <f>IFERROR(__xludf.DUMMYFUNCTION("""COMPUTED_VALUE"""),42227.99861111111)</f>
        <v>42227.99861</v>
      </c>
      <c r="D6" s="433">
        <f>IFERROR(__xludf.DUMMYFUNCTION("""COMPUTED_VALUE"""),0.7081)</f>
        <v>0.7081</v>
      </c>
      <c r="F6" s="434">
        <f>IFERROR(__xludf.DUMMYFUNCTION("""COMPUTED_VALUE"""),44930.99861111111)</f>
        <v>44930.99861</v>
      </c>
      <c r="G6" s="432">
        <f>IFERROR(__xludf.DUMMYFUNCTION("""COMPUTED_VALUE"""),16847.59)</f>
        <v>16847.59</v>
      </c>
      <c r="H6" s="434">
        <f>IFERROR(__xludf.DUMMYFUNCTION("""COMPUTED_VALUE"""),44930.99861111111)</f>
        <v>44930.99861</v>
      </c>
      <c r="I6" s="433">
        <f>IFERROR(__xludf.DUMMYFUNCTION("""COMPUTED_VALUE"""),1214.7186)</f>
        <v>1214.7186</v>
      </c>
    </row>
    <row r="7">
      <c r="A7" s="434">
        <f>IFERROR(__xludf.DUMMYFUNCTION("""COMPUTED_VALUE"""),42502.99861111111)</f>
        <v>42502.99861</v>
      </c>
      <c r="B7" s="433">
        <f>IFERROR(__xludf.DUMMYFUNCTION("""COMPUTED_VALUE"""),454.36)</f>
        <v>454.36</v>
      </c>
      <c r="C7" s="434">
        <f>IFERROR(__xludf.DUMMYFUNCTION("""COMPUTED_VALUE"""),42228.99861111111)</f>
        <v>42228.99861</v>
      </c>
      <c r="D7" s="433">
        <f>IFERROR(__xludf.DUMMYFUNCTION("""COMPUTED_VALUE"""),1.0587)</f>
        <v>1.0587</v>
      </c>
      <c r="F7" s="434">
        <f>IFERROR(__xludf.DUMMYFUNCTION("""COMPUTED_VALUE"""),44931.99861111111)</f>
        <v>44931.99861</v>
      </c>
      <c r="G7" s="432">
        <f>IFERROR(__xludf.DUMMYFUNCTION("""COMPUTED_VALUE"""),16825.97)</f>
        <v>16825.97</v>
      </c>
      <c r="H7" s="434">
        <f>IFERROR(__xludf.DUMMYFUNCTION("""COMPUTED_VALUE"""),44931.99861111111)</f>
        <v>44931.99861</v>
      </c>
      <c r="I7" s="433">
        <f>IFERROR(__xludf.DUMMYFUNCTION("""COMPUTED_VALUE"""),1256.4846)</f>
        <v>1256.4846</v>
      </c>
    </row>
    <row r="8">
      <c r="A8" s="434">
        <f>IFERROR(__xludf.DUMMYFUNCTION("""COMPUTED_VALUE"""),42503.99861111111)</f>
        <v>42503.99861</v>
      </c>
      <c r="B8" s="433">
        <f>IFERROR(__xludf.DUMMYFUNCTION("""COMPUTED_VALUE"""),457.63)</f>
        <v>457.63</v>
      </c>
      <c r="C8" s="434">
        <f>IFERROR(__xludf.DUMMYFUNCTION("""COMPUTED_VALUE"""),42229.99861111111)</f>
        <v>42229.99861</v>
      </c>
      <c r="D8" s="433">
        <f>IFERROR(__xludf.DUMMYFUNCTION("""COMPUTED_VALUE"""),1.2222)</f>
        <v>1.2222</v>
      </c>
      <c r="F8" s="434">
        <f>IFERROR(__xludf.DUMMYFUNCTION("""COMPUTED_VALUE"""),44932.99861111111)</f>
        <v>44932.99861</v>
      </c>
      <c r="G8" s="433">
        <f>IFERROR(__xludf.DUMMYFUNCTION("""COMPUTED_VALUE"""),16949.97)</f>
        <v>16949.97</v>
      </c>
      <c r="H8" s="434">
        <f>IFERROR(__xludf.DUMMYFUNCTION("""COMPUTED_VALUE"""),44932.99861111111)</f>
        <v>44932.99861</v>
      </c>
      <c r="I8" s="433">
        <f>IFERROR(__xludf.DUMMYFUNCTION("""COMPUTED_VALUE"""),1250.459)</f>
        <v>1250.459</v>
      </c>
    </row>
    <row r="9">
      <c r="A9" s="434">
        <f>IFERROR(__xludf.DUMMYFUNCTION("""COMPUTED_VALUE"""),42506.99861111111)</f>
        <v>42506.99861</v>
      </c>
      <c r="B9" s="433">
        <f>IFERROR(__xludf.DUMMYFUNCTION("""COMPUTED_VALUE"""),459.21)</f>
        <v>459.21</v>
      </c>
      <c r="C9" s="434">
        <f>IFERROR(__xludf.DUMMYFUNCTION("""COMPUTED_VALUE"""),42230.99861111111)</f>
        <v>42230.99861</v>
      </c>
      <c r="D9" s="433">
        <f>IFERROR(__xludf.DUMMYFUNCTION("""COMPUTED_VALUE"""),1.8109)</f>
        <v>1.8109</v>
      </c>
      <c r="F9" s="434">
        <f>IFERROR(__xludf.DUMMYFUNCTION("""COMPUTED_VALUE"""),44933.99861111111)</f>
        <v>44933.99861</v>
      </c>
      <c r="G9" s="433">
        <f>IFERROR(__xludf.DUMMYFUNCTION("""COMPUTED_VALUE"""),16942.31)</f>
        <v>16942.31</v>
      </c>
      <c r="H9" s="434">
        <f>IFERROR(__xludf.DUMMYFUNCTION("""COMPUTED_VALUE"""),44933.99861111111)</f>
        <v>44933.99861</v>
      </c>
      <c r="I9" s="433">
        <f>IFERROR(__xludf.DUMMYFUNCTION("""COMPUTED_VALUE"""),1269.4197)</f>
        <v>1269.4197</v>
      </c>
    </row>
    <row r="10">
      <c r="A10" s="434">
        <f>IFERROR(__xludf.DUMMYFUNCTION("""COMPUTED_VALUE"""),42507.99861111111)</f>
        <v>42507.99861</v>
      </c>
      <c r="B10" s="433">
        <f>IFERROR(__xludf.DUMMYFUNCTION("""COMPUTED_VALUE"""),457.51)</f>
        <v>457.51</v>
      </c>
      <c r="C10" s="434">
        <f>IFERROR(__xludf.DUMMYFUNCTION("""COMPUTED_VALUE"""),42231.99861111111)</f>
        <v>42231.99861</v>
      </c>
      <c r="D10" s="433">
        <f>IFERROR(__xludf.DUMMYFUNCTION("""COMPUTED_VALUE"""),1.8029)</f>
        <v>1.8029</v>
      </c>
      <c r="F10" s="434">
        <f>IFERROR(__xludf.DUMMYFUNCTION("""COMPUTED_VALUE"""),44934.99861111111)</f>
        <v>44934.99861</v>
      </c>
      <c r="G10" s="433">
        <f>IFERROR(__xludf.DUMMYFUNCTION("""COMPUTED_VALUE"""),17115.5)</f>
        <v>17115.5</v>
      </c>
      <c r="H10" s="434">
        <f>IFERROR(__xludf.DUMMYFUNCTION("""COMPUTED_VALUE"""),44934.99861111111)</f>
        <v>44934.99861</v>
      </c>
      <c r="I10" s="433">
        <f>IFERROR(__xludf.DUMMYFUNCTION("""COMPUTED_VALUE"""),1264.1819)</f>
        <v>1264.1819</v>
      </c>
    </row>
    <row r="11">
      <c r="A11" s="434">
        <f>IFERROR(__xludf.DUMMYFUNCTION("""COMPUTED_VALUE"""),42508.99861111111)</f>
        <v>42508.99861</v>
      </c>
      <c r="B11" s="433">
        <f>IFERROR(__xludf.DUMMYFUNCTION("""COMPUTED_VALUE"""),458.57)</f>
        <v>458.57</v>
      </c>
      <c r="C11" s="434">
        <f>IFERROR(__xludf.DUMMYFUNCTION("""COMPUTED_VALUE"""),42232.99861111111)</f>
        <v>42232.99861</v>
      </c>
      <c r="D11" s="433">
        <f>IFERROR(__xludf.DUMMYFUNCTION("""COMPUTED_VALUE"""),1.6844)</f>
        <v>1.6844</v>
      </c>
      <c r="F11" s="434">
        <f>IFERROR(__xludf.DUMMYFUNCTION("""COMPUTED_VALUE"""),44935.99861111111)</f>
        <v>44935.99861</v>
      </c>
      <c r="G11" s="433">
        <f>IFERROR(__xludf.DUMMYFUNCTION("""COMPUTED_VALUE"""),17184.72)</f>
        <v>17184.72</v>
      </c>
      <c r="H11" s="434">
        <f>IFERROR(__xludf.DUMMYFUNCTION("""COMPUTED_VALUE"""),44935.99861111111)</f>
        <v>44935.99861</v>
      </c>
      <c r="I11" s="433">
        <f>IFERROR(__xludf.DUMMYFUNCTION("""COMPUTED_VALUE"""),1287.4508)</f>
        <v>1287.4508</v>
      </c>
    </row>
    <row r="12">
      <c r="A12" s="434">
        <f>IFERROR(__xludf.DUMMYFUNCTION("""COMPUTED_VALUE"""),42509.99861111111)</f>
        <v>42509.99861</v>
      </c>
      <c r="B12" s="433">
        <f>IFERROR(__xludf.DUMMYFUNCTION("""COMPUTED_VALUE"""),453.71)</f>
        <v>453.71</v>
      </c>
      <c r="C12" s="434">
        <f>IFERROR(__xludf.DUMMYFUNCTION("""COMPUTED_VALUE"""),42233.99861111111)</f>
        <v>42233.99861</v>
      </c>
      <c r="D12" s="433">
        <f>IFERROR(__xludf.DUMMYFUNCTION("""COMPUTED_VALUE"""),1.5812)</f>
        <v>1.5812</v>
      </c>
      <c r="F12" s="434">
        <f>IFERROR(__xludf.DUMMYFUNCTION("""COMPUTED_VALUE"""),44936.99861111111)</f>
        <v>44936.99861</v>
      </c>
      <c r="G12" s="433">
        <f>IFERROR(__xludf.DUMMYFUNCTION("""COMPUTED_VALUE"""),17441.84)</f>
        <v>17441.84</v>
      </c>
      <c r="H12" s="434">
        <f>IFERROR(__xludf.DUMMYFUNCTION("""COMPUTED_VALUE"""),44936.99861111111)</f>
        <v>44936.99861</v>
      </c>
      <c r="I12" s="433">
        <f>IFERROR(__xludf.DUMMYFUNCTION("""COMPUTED_VALUE"""),1321.3955)</f>
        <v>1321.3955</v>
      </c>
    </row>
    <row r="13">
      <c r="A13" s="434">
        <f>IFERROR(__xludf.DUMMYFUNCTION("""COMPUTED_VALUE"""),42510.99861111111)</f>
        <v>42510.99861</v>
      </c>
      <c r="B13" s="433">
        <f>IFERROR(__xludf.DUMMYFUNCTION("""COMPUTED_VALUE"""),443.83)</f>
        <v>443.83</v>
      </c>
      <c r="C13" s="434">
        <f>IFERROR(__xludf.DUMMYFUNCTION("""COMPUTED_VALUE"""),42234.99861111111)</f>
        <v>42234.99861</v>
      </c>
      <c r="D13" s="433">
        <f>IFERROR(__xludf.DUMMYFUNCTION("""COMPUTED_VALUE"""),1.2153)</f>
        <v>1.2153</v>
      </c>
      <c r="F13" s="434">
        <f>IFERROR(__xludf.DUMMYFUNCTION("""COMPUTED_VALUE"""),44937.99861111111)</f>
        <v>44937.99861</v>
      </c>
      <c r="G13" s="433">
        <f>IFERROR(__xludf.DUMMYFUNCTION("""COMPUTED_VALUE"""),17933.75)</f>
        <v>17933.75</v>
      </c>
      <c r="H13" s="434">
        <f>IFERROR(__xludf.DUMMYFUNCTION("""COMPUTED_VALUE"""),44937.99861111111)</f>
        <v>44937.99861</v>
      </c>
      <c r="I13" s="433">
        <f>IFERROR(__xludf.DUMMYFUNCTION("""COMPUTED_VALUE"""),1336.4868)</f>
        <v>1336.4868</v>
      </c>
    </row>
    <row r="14">
      <c r="A14" s="434">
        <f>IFERROR(__xludf.DUMMYFUNCTION("""COMPUTED_VALUE"""),42513.99861111111)</f>
        <v>42513.99861</v>
      </c>
      <c r="B14" s="433">
        <f>IFERROR(__xludf.DUMMYFUNCTION("""COMPUTED_VALUE"""),443.77)</f>
        <v>443.77</v>
      </c>
      <c r="C14" s="434">
        <f>IFERROR(__xludf.DUMMYFUNCTION("""COMPUTED_VALUE"""),42235.99861111111)</f>
        <v>42235.99861</v>
      </c>
      <c r="D14" s="433">
        <f>IFERROR(__xludf.DUMMYFUNCTION("""COMPUTED_VALUE"""),1.1669)</f>
        <v>1.1669</v>
      </c>
      <c r="F14" s="434">
        <f>IFERROR(__xludf.DUMMYFUNCTION("""COMPUTED_VALUE"""),44938.99861111111)</f>
        <v>44938.99861</v>
      </c>
      <c r="G14" s="433">
        <f>IFERROR(__xludf.DUMMYFUNCTION("""COMPUTED_VALUE"""),18849.24)</f>
        <v>18849.24</v>
      </c>
      <c r="H14" s="434">
        <f>IFERROR(__xludf.DUMMYFUNCTION("""COMPUTED_VALUE"""),44938.99861111111)</f>
        <v>44938.99861</v>
      </c>
      <c r="I14" s="433">
        <f>IFERROR(__xludf.DUMMYFUNCTION("""COMPUTED_VALUE"""),1387.7529)</f>
        <v>1387.7529</v>
      </c>
    </row>
    <row r="15">
      <c r="A15" s="434">
        <f>IFERROR(__xludf.DUMMYFUNCTION("""COMPUTED_VALUE"""),42514.99861111111)</f>
        <v>42514.99861</v>
      </c>
      <c r="B15" s="433">
        <f>IFERROR(__xludf.DUMMYFUNCTION("""COMPUTED_VALUE"""),449.94)</f>
        <v>449.94</v>
      </c>
      <c r="C15" s="434">
        <f>IFERROR(__xludf.DUMMYFUNCTION("""COMPUTED_VALUE"""),42236.99861111111)</f>
        <v>42236.99861</v>
      </c>
      <c r="D15" s="433">
        <f>IFERROR(__xludf.DUMMYFUNCTION("""COMPUTED_VALUE"""),1.2512)</f>
        <v>1.2512</v>
      </c>
      <c r="F15" s="434">
        <f>IFERROR(__xludf.DUMMYFUNCTION("""COMPUTED_VALUE"""),44939.99861111111)</f>
        <v>44939.99861</v>
      </c>
      <c r="G15" s="433">
        <f>IFERROR(__xludf.DUMMYFUNCTION("""COMPUTED_VALUE"""),19932.03)</f>
        <v>19932.03</v>
      </c>
      <c r="H15" s="434">
        <f>IFERROR(__xludf.DUMMYFUNCTION("""COMPUTED_VALUE"""),44939.99861111111)</f>
        <v>44939.99861</v>
      </c>
      <c r="I15" s="433">
        <f>IFERROR(__xludf.DUMMYFUNCTION("""COMPUTED_VALUE"""),1417.9462)</f>
        <v>1417.9462</v>
      </c>
    </row>
    <row r="16">
      <c r="A16" s="434">
        <f>IFERROR(__xludf.DUMMYFUNCTION("""COMPUTED_VALUE"""),42515.99861111111)</f>
        <v>42515.99861</v>
      </c>
      <c r="B16" s="433">
        <f>IFERROR(__xludf.DUMMYFUNCTION("""COMPUTED_VALUE"""),451.98)</f>
        <v>451.98</v>
      </c>
      <c r="C16" s="434">
        <f>IFERROR(__xludf.DUMMYFUNCTION("""COMPUTED_VALUE"""),42237.99861111111)</f>
        <v>42237.99861</v>
      </c>
      <c r="D16" s="433">
        <f>IFERROR(__xludf.DUMMYFUNCTION("""COMPUTED_VALUE"""),1.4775)</f>
        <v>1.4775</v>
      </c>
      <c r="F16" s="434">
        <f>IFERROR(__xludf.DUMMYFUNCTION("""COMPUTED_VALUE"""),44940.99861111111)</f>
        <v>44940.99861</v>
      </c>
      <c r="G16" s="433">
        <f>IFERROR(__xludf.DUMMYFUNCTION("""COMPUTED_VALUE"""),20959.2)</f>
        <v>20959.2</v>
      </c>
      <c r="H16" s="434">
        <f>IFERROR(__xludf.DUMMYFUNCTION("""COMPUTED_VALUE"""),44940.99861111111)</f>
        <v>44940.99861</v>
      </c>
      <c r="I16" s="433">
        <f>IFERROR(__xludf.DUMMYFUNCTION("""COMPUTED_VALUE"""),1451.4285)</f>
        <v>1451.4285</v>
      </c>
    </row>
    <row r="17">
      <c r="A17" s="434">
        <f>IFERROR(__xludf.DUMMYFUNCTION("""COMPUTED_VALUE"""),42516.99861111111)</f>
        <v>42516.99861</v>
      </c>
      <c r="B17" s="433">
        <f>IFERROR(__xludf.DUMMYFUNCTION("""COMPUTED_VALUE"""),454.65)</f>
        <v>454.65</v>
      </c>
      <c r="C17" s="434">
        <f>IFERROR(__xludf.DUMMYFUNCTION("""COMPUTED_VALUE"""),42238.99861111111)</f>
        <v>42238.99861</v>
      </c>
      <c r="D17" s="433">
        <f>IFERROR(__xludf.DUMMYFUNCTION("""COMPUTED_VALUE"""),1.3963)</f>
        <v>1.3963</v>
      </c>
      <c r="F17" s="434">
        <f>IFERROR(__xludf.DUMMYFUNCTION("""COMPUTED_VALUE"""),44941.99861111111)</f>
        <v>44941.99861</v>
      </c>
      <c r="G17" s="433">
        <f>IFERROR(__xludf.DUMMYFUNCTION("""COMPUTED_VALUE"""),20874.57)</f>
        <v>20874.57</v>
      </c>
      <c r="H17" s="434">
        <f>IFERROR(__xludf.DUMMYFUNCTION("""COMPUTED_VALUE"""),44941.99861111111)</f>
        <v>44941.99861</v>
      </c>
      <c r="I17" s="433">
        <f>IFERROR(__xludf.DUMMYFUNCTION("""COMPUTED_VALUE"""),1550.7315)</f>
        <v>1550.7315</v>
      </c>
    </row>
    <row r="18">
      <c r="A18" s="434">
        <f>IFERROR(__xludf.DUMMYFUNCTION("""COMPUTED_VALUE"""),42517.99861111111)</f>
        <v>42517.99861</v>
      </c>
      <c r="B18" s="433">
        <f>IFERROR(__xludf.DUMMYFUNCTION("""COMPUTED_VALUE"""),473.31)</f>
        <v>473.31</v>
      </c>
      <c r="C18" s="434">
        <f>IFERROR(__xludf.DUMMYFUNCTION("""COMPUTED_VALUE"""),42239.99861111111)</f>
        <v>42239.99861</v>
      </c>
      <c r="D18" s="433">
        <f>IFERROR(__xludf.DUMMYFUNCTION("""COMPUTED_VALUE"""),1.375)</f>
        <v>1.375</v>
      </c>
      <c r="F18" s="434">
        <f>IFERROR(__xludf.DUMMYFUNCTION("""COMPUTED_VALUE"""),44942.99861111111)</f>
        <v>44942.99861</v>
      </c>
      <c r="G18" s="433">
        <f>IFERROR(__xludf.DUMMYFUNCTION("""COMPUTED_VALUE"""),21185.93)</f>
        <v>21185.93</v>
      </c>
      <c r="H18" s="434">
        <f>IFERROR(__xludf.DUMMYFUNCTION("""COMPUTED_VALUE"""),44942.99861111111)</f>
        <v>44942.99861</v>
      </c>
      <c r="I18" s="433">
        <f>IFERROR(__xludf.DUMMYFUNCTION("""COMPUTED_VALUE"""),1552.5193)</f>
        <v>1552.5193</v>
      </c>
    </row>
    <row r="19">
      <c r="A19" s="434">
        <f>IFERROR(__xludf.DUMMYFUNCTION("""COMPUTED_VALUE"""),42520.99861111111)</f>
        <v>42520.99861</v>
      </c>
      <c r="B19" s="433">
        <f>IFERROR(__xludf.DUMMYFUNCTION("""COMPUTED_VALUE"""),534.79)</f>
        <v>534.79</v>
      </c>
      <c r="C19" s="434">
        <f>IFERROR(__xludf.DUMMYFUNCTION("""COMPUTED_VALUE"""),42240.99861111111)</f>
        <v>42240.99861</v>
      </c>
      <c r="D19" s="433">
        <f>IFERROR(__xludf.DUMMYFUNCTION("""COMPUTED_VALUE"""),1.3456)</f>
        <v>1.3456</v>
      </c>
      <c r="F19" s="434">
        <f>IFERROR(__xludf.DUMMYFUNCTION("""COMPUTED_VALUE"""),44943.99861111111)</f>
        <v>44943.99861</v>
      </c>
      <c r="G19" s="433">
        <f>IFERROR(__xludf.DUMMYFUNCTION("""COMPUTED_VALUE"""),21131.81)</f>
        <v>21131.81</v>
      </c>
      <c r="H19" s="434">
        <f>IFERROR(__xludf.DUMMYFUNCTION("""COMPUTED_VALUE"""),44943.99861111111)</f>
        <v>44943.99861</v>
      </c>
      <c r="I19" s="433">
        <f>IFERROR(__xludf.DUMMYFUNCTION("""COMPUTED_VALUE"""),1577.1075)</f>
        <v>1577.1075</v>
      </c>
    </row>
    <row r="20">
      <c r="A20" s="434">
        <f>IFERROR(__xludf.DUMMYFUNCTION("""COMPUTED_VALUE"""),42521.99861111111)</f>
        <v>42521.99861</v>
      </c>
      <c r="B20" s="433">
        <f>IFERROR(__xludf.DUMMYFUNCTION("""COMPUTED_VALUE"""),536.65)</f>
        <v>536.65</v>
      </c>
      <c r="C20" s="434">
        <f>IFERROR(__xludf.DUMMYFUNCTION("""COMPUTED_VALUE"""),42241.99861111111)</f>
        <v>42241.99861</v>
      </c>
      <c r="D20" s="433">
        <f>IFERROR(__xludf.DUMMYFUNCTION("""COMPUTED_VALUE"""),1.2286)</f>
        <v>1.2286</v>
      </c>
      <c r="F20" s="434">
        <f>IFERROR(__xludf.DUMMYFUNCTION("""COMPUTED_VALUE"""),44944.99861111111)</f>
        <v>44944.99861</v>
      </c>
      <c r="G20" s="433">
        <f>IFERROR(__xludf.DUMMYFUNCTION("""COMPUTED_VALUE"""),20676.36)</f>
        <v>20676.36</v>
      </c>
      <c r="H20" s="434">
        <f>IFERROR(__xludf.DUMMYFUNCTION("""COMPUTED_VALUE"""),44944.99861111111)</f>
        <v>44944.99861</v>
      </c>
      <c r="I20" s="433">
        <f>IFERROR(__xludf.DUMMYFUNCTION("""COMPUTED_VALUE"""),1567.6989)</f>
        <v>1567.6989</v>
      </c>
    </row>
    <row r="21">
      <c r="A21" s="434">
        <f>IFERROR(__xludf.DUMMYFUNCTION("""COMPUTED_VALUE"""),42522.99861111111)</f>
        <v>42522.99861</v>
      </c>
      <c r="B21" s="433">
        <f>IFERROR(__xludf.DUMMYFUNCTION("""COMPUTED_VALUE"""),534.75)</f>
        <v>534.75</v>
      </c>
      <c r="C21" s="434">
        <f>IFERROR(__xludf.DUMMYFUNCTION("""COMPUTED_VALUE"""),42242.99861111111)</f>
        <v>42242.99861</v>
      </c>
      <c r="D21" s="433">
        <f>IFERROR(__xludf.DUMMYFUNCTION("""COMPUTED_VALUE"""),1.1328)</f>
        <v>1.1328</v>
      </c>
      <c r="F21" s="434">
        <f>IFERROR(__xludf.DUMMYFUNCTION("""COMPUTED_VALUE"""),44945.99861111111)</f>
        <v>44945.99861</v>
      </c>
      <c r="G21" s="433">
        <f>IFERROR(__xludf.DUMMYFUNCTION("""COMPUTED_VALUE"""),21082.08)</f>
        <v>21082.08</v>
      </c>
      <c r="H21" s="434">
        <f>IFERROR(__xludf.DUMMYFUNCTION("""COMPUTED_VALUE"""),44945.99861111111)</f>
        <v>44945.99861</v>
      </c>
      <c r="I21" s="433">
        <f>IFERROR(__xludf.DUMMYFUNCTION("""COMPUTED_VALUE"""),1515.2496)</f>
        <v>1515.2496</v>
      </c>
    </row>
    <row r="22">
      <c r="A22" s="434">
        <f>IFERROR(__xludf.DUMMYFUNCTION("""COMPUTED_VALUE"""),42523.99861111111)</f>
        <v>42523.99861</v>
      </c>
      <c r="B22" s="433">
        <f>IFERROR(__xludf.DUMMYFUNCTION("""COMPUTED_VALUE"""),538.55)</f>
        <v>538.55</v>
      </c>
      <c r="C22" s="434">
        <f>IFERROR(__xludf.DUMMYFUNCTION("""COMPUTED_VALUE"""),42243.99861111111)</f>
        <v>42243.99861</v>
      </c>
      <c r="D22" s="433">
        <f>IFERROR(__xludf.DUMMYFUNCTION("""COMPUTED_VALUE"""),1.1698)</f>
        <v>1.1698</v>
      </c>
      <c r="F22" s="434">
        <f>IFERROR(__xludf.DUMMYFUNCTION("""COMPUTED_VALUE"""),44946.99861111111)</f>
        <v>44946.99861</v>
      </c>
      <c r="G22" s="433">
        <f>IFERROR(__xludf.DUMMYFUNCTION("""COMPUTED_VALUE"""),22690.95)</f>
        <v>22690.95</v>
      </c>
      <c r="H22" s="434">
        <f>IFERROR(__xludf.DUMMYFUNCTION("""COMPUTED_VALUE"""),44946.99861111111)</f>
        <v>44946.99861</v>
      </c>
      <c r="I22" s="433">
        <f>IFERROR(__xludf.DUMMYFUNCTION("""COMPUTED_VALUE"""),1552.3737)</f>
        <v>1552.3737</v>
      </c>
    </row>
    <row r="23">
      <c r="A23" s="434">
        <f>IFERROR(__xludf.DUMMYFUNCTION("""COMPUTED_VALUE"""),42524.99861111111)</f>
        <v>42524.99861</v>
      </c>
      <c r="B23" s="433">
        <f>IFERROR(__xludf.DUMMYFUNCTION("""COMPUTED_VALUE"""),558.72)</f>
        <v>558.72</v>
      </c>
      <c r="C23" s="434">
        <f>IFERROR(__xludf.DUMMYFUNCTION("""COMPUTED_VALUE"""),42244.99861111111)</f>
        <v>42244.99861</v>
      </c>
      <c r="D23" s="433">
        <f>IFERROR(__xludf.DUMMYFUNCTION("""COMPUTED_VALUE"""),1.1477)</f>
        <v>1.1477</v>
      </c>
      <c r="F23" s="434">
        <f>IFERROR(__xludf.DUMMYFUNCTION("""COMPUTED_VALUE"""),44947.99861111111)</f>
        <v>44947.99861</v>
      </c>
      <c r="G23" s="433">
        <f>IFERROR(__xludf.DUMMYFUNCTION("""COMPUTED_VALUE"""),22776.37)</f>
        <v>22776.37</v>
      </c>
      <c r="H23" s="434">
        <f>IFERROR(__xludf.DUMMYFUNCTION("""COMPUTED_VALUE"""),44947.99861111111)</f>
        <v>44947.99861</v>
      </c>
      <c r="I23" s="433">
        <f>IFERROR(__xludf.DUMMYFUNCTION("""COMPUTED_VALUE"""),1659.7061)</f>
        <v>1659.7061</v>
      </c>
    </row>
    <row r="24">
      <c r="A24" s="434">
        <f>IFERROR(__xludf.DUMMYFUNCTION("""COMPUTED_VALUE"""),42527.99861111111)</f>
        <v>42527.99861</v>
      </c>
      <c r="B24" s="433">
        <f>IFERROR(__xludf.DUMMYFUNCTION("""COMPUTED_VALUE"""),582.99)</f>
        <v>582.99</v>
      </c>
      <c r="C24" s="434">
        <f>IFERROR(__xludf.DUMMYFUNCTION("""COMPUTED_VALUE"""),42245.99861111111)</f>
        <v>42245.99861</v>
      </c>
      <c r="D24" s="433">
        <f>IFERROR(__xludf.DUMMYFUNCTION("""COMPUTED_VALUE"""),1.1935)</f>
        <v>1.1935</v>
      </c>
      <c r="F24" s="434">
        <f>IFERROR(__xludf.DUMMYFUNCTION("""COMPUTED_VALUE"""),44948.99861111111)</f>
        <v>44948.99861</v>
      </c>
      <c r="G24" s="433">
        <f>IFERROR(__xludf.DUMMYFUNCTION("""COMPUTED_VALUE"""),22717.66)</f>
        <v>22717.66</v>
      </c>
      <c r="H24" s="434">
        <f>IFERROR(__xludf.DUMMYFUNCTION("""COMPUTED_VALUE"""),44948.99861111111)</f>
        <v>44948.99861</v>
      </c>
      <c r="I24" s="433">
        <f>IFERROR(__xludf.DUMMYFUNCTION("""COMPUTED_VALUE"""),1627.366)</f>
        <v>1627.366</v>
      </c>
    </row>
    <row r="25">
      <c r="A25" s="434">
        <f>IFERROR(__xludf.DUMMYFUNCTION("""COMPUTED_VALUE"""),42528.99861111111)</f>
        <v>42528.99861</v>
      </c>
      <c r="B25" s="433">
        <f>IFERROR(__xludf.DUMMYFUNCTION("""COMPUTED_VALUE"""),583.83)</f>
        <v>583.83</v>
      </c>
      <c r="C25" s="434">
        <f>IFERROR(__xludf.DUMMYFUNCTION("""COMPUTED_VALUE"""),42246.99861111111)</f>
        <v>42246.99861</v>
      </c>
      <c r="D25" s="433">
        <f>IFERROR(__xludf.DUMMYFUNCTION("""COMPUTED_VALUE"""),1.183)</f>
        <v>1.183</v>
      </c>
      <c r="F25" s="434">
        <f>IFERROR(__xludf.DUMMYFUNCTION("""COMPUTED_VALUE"""),44949.99861111111)</f>
        <v>44949.99861</v>
      </c>
      <c r="G25" s="433">
        <f>IFERROR(__xludf.DUMMYFUNCTION("""COMPUTED_VALUE"""),22915.43)</f>
        <v>22915.43</v>
      </c>
      <c r="H25" s="434">
        <f>IFERROR(__xludf.DUMMYFUNCTION("""COMPUTED_VALUE"""),44949.99861111111)</f>
        <v>44949.99861</v>
      </c>
      <c r="I25" s="433">
        <f>IFERROR(__xludf.DUMMYFUNCTION("""COMPUTED_VALUE"""),1628.5508)</f>
        <v>1628.5508</v>
      </c>
    </row>
    <row r="26">
      <c r="A26" s="434">
        <f>IFERROR(__xludf.DUMMYFUNCTION("""COMPUTED_VALUE"""),42529.99861111111)</f>
        <v>42529.99861</v>
      </c>
      <c r="B26" s="433">
        <f>IFERROR(__xludf.DUMMYFUNCTION("""COMPUTED_VALUE"""),578.97)</f>
        <v>578.97</v>
      </c>
      <c r="C26" s="434">
        <f>IFERROR(__xludf.DUMMYFUNCTION("""COMPUTED_VALUE"""),42247.99861111111)</f>
        <v>42247.99861</v>
      </c>
      <c r="D26" s="433">
        <f>IFERROR(__xludf.DUMMYFUNCTION("""COMPUTED_VALUE"""),1.3214)</f>
        <v>1.3214</v>
      </c>
      <c r="F26" s="434">
        <f>IFERROR(__xludf.DUMMYFUNCTION("""COMPUTED_VALUE"""),44950.99861111111)</f>
        <v>44950.99861</v>
      </c>
      <c r="G26" s="433">
        <f>IFERROR(__xludf.DUMMYFUNCTION("""COMPUTED_VALUE"""),22632.03)</f>
        <v>22632.03</v>
      </c>
      <c r="H26" s="434">
        <f>IFERROR(__xludf.DUMMYFUNCTION("""COMPUTED_VALUE"""),44950.99861111111)</f>
        <v>44950.99861</v>
      </c>
      <c r="I26" s="433">
        <f>IFERROR(__xludf.DUMMYFUNCTION("""COMPUTED_VALUE"""),1627.8483)</f>
        <v>1627.8483</v>
      </c>
    </row>
    <row r="27">
      <c r="A27" s="434">
        <f>IFERROR(__xludf.DUMMYFUNCTION("""COMPUTED_VALUE"""),42530.99861111111)</f>
        <v>42530.99861</v>
      </c>
      <c r="B27" s="433">
        <f>IFERROR(__xludf.DUMMYFUNCTION("""COMPUTED_VALUE"""),579.94)</f>
        <v>579.94</v>
      </c>
      <c r="C27" s="434">
        <f>IFERROR(__xludf.DUMMYFUNCTION("""COMPUTED_VALUE"""),42248.99861111111)</f>
        <v>42248.99861</v>
      </c>
      <c r="D27" s="433">
        <f>IFERROR(__xludf.DUMMYFUNCTION("""COMPUTED_VALUE"""),1.3535)</f>
        <v>1.3535</v>
      </c>
      <c r="F27" s="434">
        <f>IFERROR(__xludf.DUMMYFUNCTION("""COMPUTED_VALUE"""),44951.99861111111)</f>
        <v>44951.99861</v>
      </c>
      <c r="G27" s="433">
        <f>IFERROR(__xludf.DUMMYFUNCTION("""COMPUTED_VALUE"""),23042.07)</f>
        <v>23042.07</v>
      </c>
      <c r="H27" s="434">
        <f>IFERROR(__xludf.DUMMYFUNCTION("""COMPUTED_VALUE"""),44951.99861111111)</f>
        <v>44951.99861</v>
      </c>
      <c r="I27" s="433">
        <f>IFERROR(__xludf.DUMMYFUNCTION("""COMPUTED_VALUE"""),1556.8074)</f>
        <v>1556.8074</v>
      </c>
    </row>
    <row r="28">
      <c r="A28" s="434">
        <f>IFERROR(__xludf.DUMMYFUNCTION("""COMPUTED_VALUE"""),42531.99861111111)</f>
        <v>42531.99861</v>
      </c>
      <c r="B28" s="433">
        <f>IFERROR(__xludf.DUMMYFUNCTION("""COMPUTED_VALUE"""),579.29)</f>
        <v>579.29</v>
      </c>
      <c r="C28" s="434">
        <f>IFERROR(__xludf.DUMMYFUNCTION("""COMPUTED_VALUE"""),42249.99861111111)</f>
        <v>42249.99861</v>
      </c>
      <c r="D28" s="433">
        <f>IFERROR(__xludf.DUMMYFUNCTION("""COMPUTED_VALUE"""),1.3516)</f>
        <v>1.3516</v>
      </c>
      <c r="F28" s="434">
        <f>IFERROR(__xludf.DUMMYFUNCTION("""COMPUTED_VALUE"""),44952.99861111111)</f>
        <v>44952.99861</v>
      </c>
      <c r="G28" s="433">
        <f>IFERROR(__xludf.DUMMYFUNCTION("""COMPUTED_VALUE"""),23011.24)</f>
        <v>23011.24</v>
      </c>
      <c r="H28" s="434">
        <f>IFERROR(__xludf.DUMMYFUNCTION("""COMPUTED_VALUE"""),44952.99861111111)</f>
        <v>44952.99861</v>
      </c>
      <c r="I28" s="433">
        <f>IFERROR(__xludf.DUMMYFUNCTION("""COMPUTED_VALUE"""),1611.081)</f>
        <v>1611.081</v>
      </c>
    </row>
    <row r="29">
      <c r="A29" s="434">
        <f>IFERROR(__xludf.DUMMYFUNCTION("""COMPUTED_VALUE"""),42534.99861111111)</f>
        <v>42534.99861</v>
      </c>
      <c r="B29" s="433">
        <f>IFERROR(__xludf.DUMMYFUNCTION("""COMPUTED_VALUE"""),688.61)</f>
        <v>688.61</v>
      </c>
      <c r="C29" s="434">
        <f>IFERROR(__xludf.DUMMYFUNCTION("""COMPUTED_VALUE"""),42250.99861111111)</f>
        <v>42250.99861</v>
      </c>
      <c r="D29" s="433">
        <f>IFERROR(__xludf.DUMMYFUNCTION("""COMPUTED_VALUE"""),1.2952)</f>
        <v>1.2952</v>
      </c>
      <c r="F29" s="434">
        <f>IFERROR(__xludf.DUMMYFUNCTION("""COMPUTED_VALUE"""),44953.99861111111)</f>
        <v>44953.99861</v>
      </c>
      <c r="G29" s="433">
        <f>IFERROR(__xludf.DUMMYFUNCTION("""COMPUTED_VALUE"""),23076.87)</f>
        <v>23076.87</v>
      </c>
      <c r="H29" s="434">
        <f>IFERROR(__xludf.DUMMYFUNCTION("""COMPUTED_VALUE"""),44953.99861111111)</f>
        <v>44953.99861</v>
      </c>
      <c r="I29" s="433">
        <f>IFERROR(__xludf.DUMMYFUNCTION("""COMPUTED_VALUE"""),1603.0801)</f>
        <v>1603.0801</v>
      </c>
    </row>
    <row r="30">
      <c r="A30" s="434">
        <f>IFERROR(__xludf.DUMMYFUNCTION("""COMPUTED_VALUE"""),42535.99861111111)</f>
        <v>42535.99861</v>
      </c>
      <c r="B30" s="433">
        <f>IFERROR(__xludf.DUMMYFUNCTION("""COMPUTED_VALUE"""),687.81)</f>
        <v>687.81</v>
      </c>
      <c r="C30" s="434">
        <f>IFERROR(__xludf.DUMMYFUNCTION("""COMPUTED_VALUE"""),42251.99861111111)</f>
        <v>42251.99861</v>
      </c>
      <c r="D30" s="433">
        <f>IFERROR(__xludf.DUMMYFUNCTION("""COMPUTED_VALUE"""),1.2649)</f>
        <v>1.2649</v>
      </c>
      <c r="F30" s="434">
        <f>IFERROR(__xludf.DUMMYFUNCTION("""COMPUTED_VALUE"""),44954.99861111111)</f>
        <v>44954.99861</v>
      </c>
      <c r="G30" s="433">
        <f>IFERROR(__xludf.DUMMYFUNCTION("""COMPUTED_VALUE"""),23027.19)</f>
        <v>23027.19</v>
      </c>
      <c r="H30" s="434">
        <f>IFERROR(__xludf.DUMMYFUNCTION("""COMPUTED_VALUE"""),44954.99861111111)</f>
        <v>44954.99861</v>
      </c>
      <c r="I30" s="433">
        <f>IFERROR(__xludf.DUMMYFUNCTION("""COMPUTED_VALUE"""),1598.1254)</f>
        <v>1598.1254</v>
      </c>
    </row>
    <row r="31">
      <c r="A31" s="434">
        <f>IFERROR(__xludf.DUMMYFUNCTION("""COMPUTED_VALUE"""),42536.99861111111)</f>
        <v>42536.99861</v>
      </c>
      <c r="B31" s="433">
        <f>IFERROR(__xludf.DUMMYFUNCTION("""COMPUTED_VALUE"""),685.42)</f>
        <v>685.42</v>
      </c>
      <c r="C31" s="434">
        <f>IFERROR(__xludf.DUMMYFUNCTION("""COMPUTED_VALUE"""),42252.99861111111)</f>
        <v>42252.99861</v>
      </c>
      <c r="D31" s="433">
        <f>IFERROR(__xludf.DUMMYFUNCTION("""COMPUTED_VALUE"""),1.2806)</f>
        <v>1.2806</v>
      </c>
      <c r="F31" s="434">
        <f>IFERROR(__xludf.DUMMYFUNCTION("""COMPUTED_VALUE"""),44955.99861111111)</f>
        <v>44955.99861</v>
      </c>
      <c r="G31" s="433">
        <f>IFERROR(__xludf.DUMMYFUNCTION("""COMPUTED_VALUE"""),23746.97)</f>
        <v>23746.97</v>
      </c>
      <c r="H31" s="434">
        <f>IFERROR(__xludf.DUMMYFUNCTION("""COMPUTED_VALUE"""),44955.99861111111)</f>
        <v>44955.99861</v>
      </c>
      <c r="I31" s="433">
        <f>IFERROR(__xludf.DUMMYFUNCTION("""COMPUTED_VALUE"""),1572.6295)</f>
        <v>1572.6295</v>
      </c>
    </row>
    <row r="32">
      <c r="A32" s="434">
        <f>IFERROR(__xludf.DUMMYFUNCTION("""COMPUTED_VALUE"""),42537.99861111111)</f>
        <v>42537.99861</v>
      </c>
      <c r="B32" s="433">
        <f>IFERROR(__xludf.DUMMYFUNCTION("""COMPUTED_VALUE"""),740.35)</f>
        <v>740.35</v>
      </c>
      <c r="C32" s="434">
        <f>IFERROR(__xludf.DUMMYFUNCTION("""COMPUTED_VALUE"""),42253.99861111111)</f>
        <v>42253.99861</v>
      </c>
      <c r="D32" s="433">
        <f>IFERROR(__xludf.DUMMYFUNCTION("""COMPUTED_VALUE"""),1.338)</f>
        <v>1.338</v>
      </c>
      <c r="F32" s="434">
        <f>IFERROR(__xludf.DUMMYFUNCTION("""COMPUTED_VALUE"""),44956.99861111111)</f>
        <v>44956.99861</v>
      </c>
      <c r="G32" s="433">
        <f>IFERROR(__xludf.DUMMYFUNCTION("""COMPUTED_VALUE"""),22832.76)</f>
        <v>22832.76</v>
      </c>
      <c r="H32" s="434">
        <f>IFERROR(__xludf.DUMMYFUNCTION("""COMPUTED_VALUE"""),44956.99861111111)</f>
        <v>44956.99861</v>
      </c>
      <c r="I32" s="433">
        <f>IFERROR(__xludf.DUMMYFUNCTION("""COMPUTED_VALUE"""),1646.1476)</f>
        <v>1646.1476</v>
      </c>
    </row>
    <row r="33">
      <c r="A33" s="434">
        <f>IFERROR(__xludf.DUMMYFUNCTION("""COMPUTED_VALUE"""),42538.99861111111)</f>
        <v>42538.99861</v>
      </c>
      <c r="B33" s="433">
        <f>IFERROR(__xludf.DUMMYFUNCTION("""COMPUTED_VALUE"""),748.94)</f>
        <v>748.94</v>
      </c>
      <c r="C33" s="434">
        <f>IFERROR(__xludf.DUMMYFUNCTION("""COMPUTED_VALUE"""),42254.99861111111)</f>
        <v>42254.99861</v>
      </c>
      <c r="D33" s="433">
        <f>IFERROR(__xludf.DUMMYFUNCTION("""COMPUTED_VALUE"""),1.2959)</f>
        <v>1.2959</v>
      </c>
      <c r="F33" s="434">
        <f>IFERROR(__xludf.DUMMYFUNCTION("""COMPUTED_VALUE"""),44957.99861111111)</f>
        <v>44957.99861</v>
      </c>
      <c r="G33" s="433">
        <f>IFERROR(__xludf.DUMMYFUNCTION("""COMPUTED_VALUE"""),23129.07)</f>
        <v>23129.07</v>
      </c>
      <c r="H33" s="434">
        <f>IFERROR(__xludf.DUMMYFUNCTION("""COMPUTED_VALUE"""),44957.99861111111)</f>
        <v>44957.99861</v>
      </c>
      <c r="I33" s="433">
        <f>IFERROR(__xludf.DUMMYFUNCTION("""COMPUTED_VALUE"""),1567.4199)</f>
        <v>1567.4199</v>
      </c>
    </row>
    <row r="34">
      <c r="A34" s="434">
        <f>IFERROR(__xludf.DUMMYFUNCTION("""COMPUTED_VALUE"""),42541.99861111111)</f>
        <v>42541.99861</v>
      </c>
      <c r="B34" s="433">
        <f>IFERROR(__xludf.DUMMYFUNCTION("""COMPUTED_VALUE"""),749.97)</f>
        <v>749.97</v>
      </c>
      <c r="C34" s="434">
        <f>IFERROR(__xludf.DUMMYFUNCTION("""COMPUTED_VALUE"""),42255.99861111111)</f>
        <v>42255.99861</v>
      </c>
      <c r="D34" s="433">
        <f>IFERROR(__xludf.DUMMYFUNCTION("""COMPUTED_VALUE"""),1.2466)</f>
        <v>1.2466</v>
      </c>
      <c r="F34" s="434">
        <f>IFERROR(__xludf.DUMMYFUNCTION("""COMPUTED_VALUE"""),44958.99861111111)</f>
        <v>44958.99861</v>
      </c>
      <c r="G34" s="433">
        <f>IFERROR(__xludf.DUMMYFUNCTION("""COMPUTED_VALUE"""),23726.49)</f>
        <v>23726.49</v>
      </c>
      <c r="H34" s="434">
        <f>IFERROR(__xludf.DUMMYFUNCTION("""COMPUTED_VALUE"""),44958.99861111111)</f>
        <v>44958.99861</v>
      </c>
      <c r="I34" s="433">
        <f>IFERROR(__xludf.DUMMYFUNCTION("""COMPUTED_VALUE"""),1586.4881)</f>
        <v>1586.4881</v>
      </c>
    </row>
    <row r="35">
      <c r="A35" s="434">
        <f>IFERROR(__xludf.DUMMYFUNCTION("""COMPUTED_VALUE"""),42542.99861111111)</f>
        <v>42542.99861</v>
      </c>
      <c r="B35" s="433">
        <f>IFERROR(__xludf.DUMMYFUNCTION("""COMPUTED_VALUE"""),683.11)</f>
        <v>683.11</v>
      </c>
      <c r="C35" s="434">
        <f>IFERROR(__xludf.DUMMYFUNCTION("""COMPUTED_VALUE"""),42256.99861111111)</f>
        <v>42256.99861</v>
      </c>
      <c r="D35" s="433">
        <f>IFERROR(__xludf.DUMMYFUNCTION("""COMPUTED_VALUE"""),1.2394)</f>
        <v>1.2394</v>
      </c>
      <c r="F35" s="434">
        <f>IFERROR(__xludf.DUMMYFUNCTION("""COMPUTED_VALUE"""),44959.99861111111)</f>
        <v>44959.99861</v>
      </c>
      <c r="G35" s="433">
        <f>IFERROR(__xludf.DUMMYFUNCTION("""COMPUTED_VALUE"""),23466.61)</f>
        <v>23466.61</v>
      </c>
      <c r="H35" s="434">
        <f>IFERROR(__xludf.DUMMYFUNCTION("""COMPUTED_VALUE"""),44959.99861111111)</f>
        <v>44959.99861</v>
      </c>
      <c r="I35" s="433">
        <f>IFERROR(__xludf.DUMMYFUNCTION("""COMPUTED_VALUE"""),1641.366)</f>
        <v>1641.366</v>
      </c>
    </row>
    <row r="36">
      <c r="A36" s="434">
        <f>IFERROR(__xludf.DUMMYFUNCTION("""COMPUTED_VALUE"""),42543.99861111111)</f>
        <v>42543.99861</v>
      </c>
      <c r="B36" s="433">
        <f>IFERROR(__xludf.DUMMYFUNCTION("""COMPUTED_VALUE"""),652.82)</f>
        <v>652.82</v>
      </c>
      <c r="C36" s="434">
        <f>IFERROR(__xludf.DUMMYFUNCTION("""COMPUTED_VALUE"""),42257.99861111111)</f>
        <v>42257.99861</v>
      </c>
      <c r="D36" s="433">
        <f>IFERROR(__xludf.DUMMYFUNCTION("""COMPUTED_VALUE"""),1.2076)</f>
        <v>1.2076</v>
      </c>
      <c r="F36" s="434">
        <f>IFERROR(__xludf.DUMMYFUNCTION("""COMPUTED_VALUE"""),44960.99861111111)</f>
        <v>44960.99861</v>
      </c>
      <c r="G36" s="433">
        <f>IFERROR(__xludf.DUMMYFUNCTION("""COMPUTED_VALUE"""),23433.82)</f>
        <v>23433.82</v>
      </c>
      <c r="H36" s="434">
        <f>IFERROR(__xludf.DUMMYFUNCTION("""COMPUTED_VALUE"""),44960.99861111111)</f>
        <v>44960.99861</v>
      </c>
      <c r="I36" s="433">
        <f>IFERROR(__xludf.DUMMYFUNCTION("""COMPUTED_VALUE"""),1642.9047)</f>
        <v>1642.9047</v>
      </c>
    </row>
    <row r="37">
      <c r="A37" s="434">
        <f>IFERROR(__xludf.DUMMYFUNCTION("""COMPUTED_VALUE"""),42544.99861111111)</f>
        <v>42544.99861</v>
      </c>
      <c r="B37" s="433">
        <f>IFERROR(__xludf.DUMMYFUNCTION("""COMPUTED_VALUE"""),592.86)</f>
        <v>592.86</v>
      </c>
      <c r="C37" s="434">
        <f>IFERROR(__xludf.DUMMYFUNCTION("""COMPUTED_VALUE"""),42258.99861111111)</f>
        <v>42258.99861</v>
      </c>
      <c r="D37" s="433">
        <f>IFERROR(__xludf.DUMMYFUNCTION("""COMPUTED_VALUE"""),1.165)</f>
        <v>1.165</v>
      </c>
      <c r="F37" s="434">
        <f>IFERROR(__xludf.DUMMYFUNCTION("""COMPUTED_VALUE"""),44961.99861111111)</f>
        <v>44961.99861</v>
      </c>
      <c r="G37" s="433">
        <f>IFERROR(__xludf.DUMMYFUNCTION("""COMPUTED_VALUE"""),23326.39)</f>
        <v>23326.39</v>
      </c>
      <c r="H37" s="434">
        <f>IFERROR(__xludf.DUMMYFUNCTION("""COMPUTED_VALUE"""),44961.99861111111)</f>
        <v>44961.99861</v>
      </c>
      <c r="I37" s="433">
        <f>IFERROR(__xludf.DUMMYFUNCTION("""COMPUTED_VALUE"""),1664.4723)</f>
        <v>1664.4723</v>
      </c>
    </row>
    <row r="38">
      <c r="A38" s="434">
        <f>IFERROR(__xludf.DUMMYFUNCTION("""COMPUTED_VALUE"""),42545.99861111111)</f>
        <v>42545.99861</v>
      </c>
      <c r="B38" s="433">
        <f>IFERROR(__xludf.DUMMYFUNCTION("""COMPUTED_VALUE"""),655.22)</f>
        <v>655.22</v>
      </c>
      <c r="C38" s="434">
        <f>IFERROR(__xludf.DUMMYFUNCTION("""COMPUTED_VALUE"""),42259.99861111111)</f>
        <v>42259.99861</v>
      </c>
      <c r="D38" s="433">
        <f>IFERROR(__xludf.DUMMYFUNCTION("""COMPUTED_VALUE"""),0.9872)</f>
        <v>0.9872</v>
      </c>
      <c r="F38" s="434">
        <f>IFERROR(__xludf.DUMMYFUNCTION("""COMPUTED_VALUE"""),44962.99861111111)</f>
        <v>44962.99861</v>
      </c>
      <c r="G38" s="433">
        <f>IFERROR(__xludf.DUMMYFUNCTION("""COMPUTED_VALUE"""),22935.36)</f>
        <v>22935.36</v>
      </c>
      <c r="H38" s="434">
        <f>IFERROR(__xludf.DUMMYFUNCTION("""COMPUTED_VALUE"""),44962.99861111111)</f>
        <v>44962.99861</v>
      </c>
      <c r="I38" s="433">
        <f>IFERROR(__xludf.DUMMYFUNCTION("""COMPUTED_VALUE"""),1667.1665)</f>
        <v>1667.1665</v>
      </c>
    </row>
    <row r="39">
      <c r="A39" s="434">
        <f>IFERROR(__xludf.DUMMYFUNCTION("""COMPUTED_VALUE"""),42548.99861111111)</f>
        <v>42548.99861</v>
      </c>
      <c r="B39" s="433">
        <f>IFERROR(__xludf.DUMMYFUNCTION("""COMPUTED_VALUE"""),640.08)</f>
        <v>640.08</v>
      </c>
      <c r="C39" s="434">
        <f>IFERROR(__xludf.DUMMYFUNCTION("""COMPUTED_VALUE"""),42260.99861111111)</f>
        <v>42260.99861</v>
      </c>
      <c r="D39" s="433">
        <f>IFERROR(__xludf.DUMMYFUNCTION("""COMPUTED_VALUE"""),1.0418)</f>
        <v>1.0418</v>
      </c>
      <c r="F39" s="434">
        <f>IFERROR(__xludf.DUMMYFUNCTION("""COMPUTED_VALUE"""),44963.99861111111)</f>
        <v>44963.99861</v>
      </c>
      <c r="G39" s="433">
        <f>IFERROR(__xludf.DUMMYFUNCTION("""COMPUTED_VALUE"""),22759.66)</f>
        <v>22759.66</v>
      </c>
      <c r="H39" s="434">
        <f>IFERROR(__xludf.DUMMYFUNCTION("""COMPUTED_VALUE"""),44963.99861111111)</f>
        <v>44963.99861</v>
      </c>
      <c r="I39" s="433">
        <f>IFERROR(__xludf.DUMMYFUNCTION("""COMPUTED_VALUE"""),1631.6453)</f>
        <v>1631.6453</v>
      </c>
    </row>
    <row r="40">
      <c r="A40" s="434">
        <f>IFERROR(__xludf.DUMMYFUNCTION("""COMPUTED_VALUE"""),42549.99861111111)</f>
        <v>42549.99861</v>
      </c>
      <c r="B40" s="433">
        <f>IFERROR(__xludf.DUMMYFUNCTION("""COMPUTED_VALUE"""),649.98)</f>
        <v>649.98</v>
      </c>
      <c r="C40" s="434">
        <f>IFERROR(__xludf.DUMMYFUNCTION("""COMPUTED_VALUE"""),42261.99861111111)</f>
        <v>42261.99861</v>
      </c>
      <c r="D40" s="433">
        <f>IFERROR(__xludf.DUMMYFUNCTION("""COMPUTED_VALUE"""),0.9406)</f>
        <v>0.9406</v>
      </c>
      <c r="F40" s="434">
        <f>IFERROR(__xludf.DUMMYFUNCTION("""COMPUTED_VALUE"""),44964.99861111111)</f>
        <v>44964.99861</v>
      </c>
      <c r="G40" s="433">
        <f>IFERROR(__xludf.DUMMYFUNCTION("""COMPUTED_VALUE"""),23249.69)</f>
        <v>23249.69</v>
      </c>
      <c r="H40" s="434">
        <f>IFERROR(__xludf.DUMMYFUNCTION("""COMPUTED_VALUE"""),44964.99861111111)</f>
        <v>44964.99861</v>
      </c>
      <c r="I40" s="433">
        <f>IFERROR(__xludf.DUMMYFUNCTION("""COMPUTED_VALUE"""),1616.0096)</f>
        <v>1616.0096</v>
      </c>
    </row>
    <row r="41">
      <c r="A41" s="434">
        <f>IFERROR(__xludf.DUMMYFUNCTION("""COMPUTED_VALUE"""),42550.99861111111)</f>
        <v>42550.99861</v>
      </c>
      <c r="B41" s="433">
        <f>IFERROR(__xludf.DUMMYFUNCTION("""COMPUTED_VALUE"""),636.6)</f>
        <v>636.6</v>
      </c>
      <c r="C41" s="434">
        <f>IFERROR(__xludf.DUMMYFUNCTION("""COMPUTED_VALUE"""),42262.99861111111)</f>
        <v>42262.99861</v>
      </c>
      <c r="D41" s="433">
        <f>IFERROR(__xludf.DUMMYFUNCTION("""COMPUTED_VALUE"""),0.8752)</f>
        <v>0.8752</v>
      </c>
      <c r="F41" s="434">
        <f>IFERROR(__xludf.DUMMYFUNCTION("""COMPUTED_VALUE"""),44965.99861111111)</f>
        <v>44965.99861</v>
      </c>
      <c r="G41" s="433">
        <f>IFERROR(__xludf.DUMMYFUNCTION("""COMPUTED_VALUE"""),22962.82)</f>
        <v>22962.82</v>
      </c>
      <c r="H41" s="434">
        <f>IFERROR(__xludf.DUMMYFUNCTION("""COMPUTED_VALUE"""),44965.99861111111)</f>
        <v>44965.99861</v>
      </c>
      <c r="I41" s="433">
        <f>IFERROR(__xludf.DUMMYFUNCTION("""COMPUTED_VALUE"""),1671.9052)</f>
        <v>1671.9052</v>
      </c>
    </row>
    <row r="42">
      <c r="A42" s="434">
        <f>IFERROR(__xludf.DUMMYFUNCTION("""COMPUTED_VALUE"""),42551.99861111111)</f>
        <v>42551.99861</v>
      </c>
      <c r="B42" s="433">
        <f>IFERROR(__xludf.DUMMYFUNCTION("""COMPUTED_VALUE"""),660.54)</f>
        <v>660.54</v>
      </c>
      <c r="C42" s="434">
        <f>IFERROR(__xludf.DUMMYFUNCTION("""COMPUTED_VALUE"""),42263.99861111111)</f>
        <v>42263.99861</v>
      </c>
      <c r="D42" s="433">
        <f>IFERROR(__xludf.DUMMYFUNCTION("""COMPUTED_VALUE"""),0.942)</f>
        <v>0.942</v>
      </c>
      <c r="F42" s="434">
        <f>IFERROR(__xludf.DUMMYFUNCTION("""COMPUTED_VALUE"""),44966.99861111111)</f>
        <v>44966.99861</v>
      </c>
      <c r="G42" s="433">
        <f>IFERROR(__xludf.DUMMYFUNCTION("""COMPUTED_VALUE"""),21796.41)</f>
        <v>21796.41</v>
      </c>
      <c r="H42" s="434">
        <f>IFERROR(__xludf.DUMMYFUNCTION("""COMPUTED_VALUE"""),44966.99861111111)</f>
        <v>44966.99861</v>
      </c>
      <c r="I42" s="433">
        <f>IFERROR(__xludf.DUMMYFUNCTION("""COMPUTED_VALUE"""),1651.0822)</f>
        <v>1651.0822</v>
      </c>
    </row>
    <row r="43">
      <c r="A43" s="434">
        <f>IFERROR(__xludf.DUMMYFUNCTION("""COMPUTED_VALUE"""),42552.99861111111)</f>
        <v>42552.99861</v>
      </c>
      <c r="B43" s="433">
        <f>IFERROR(__xludf.DUMMYFUNCTION("""COMPUTED_VALUE"""),677.35)</f>
        <v>677.35</v>
      </c>
      <c r="C43" s="434">
        <f>IFERROR(__xludf.DUMMYFUNCTION("""COMPUTED_VALUE"""),42264.99861111111)</f>
        <v>42264.99861</v>
      </c>
      <c r="D43" s="433">
        <f>IFERROR(__xludf.DUMMYFUNCTION("""COMPUTED_VALUE"""),0.9069)</f>
        <v>0.9069</v>
      </c>
      <c r="F43" s="434">
        <f>IFERROR(__xludf.DUMMYFUNCTION("""COMPUTED_VALUE"""),44967.99861111111)</f>
        <v>44967.99861</v>
      </c>
      <c r="G43" s="433">
        <f>IFERROR(__xludf.DUMMYFUNCTION("""COMPUTED_VALUE"""),21633.82)</f>
        <v>21633.82</v>
      </c>
      <c r="H43" s="434">
        <f>IFERROR(__xludf.DUMMYFUNCTION("""COMPUTED_VALUE"""),44967.99861111111)</f>
        <v>44967.99861</v>
      </c>
      <c r="I43" s="433">
        <f>IFERROR(__xludf.DUMMYFUNCTION("""COMPUTED_VALUE"""),1546.5965)</f>
        <v>1546.5965</v>
      </c>
    </row>
    <row r="44">
      <c r="A44" s="434">
        <f>IFERROR(__xludf.DUMMYFUNCTION("""COMPUTED_VALUE"""),42555.99861111111)</f>
        <v>42555.99861</v>
      </c>
      <c r="B44" s="433">
        <f>IFERROR(__xludf.DUMMYFUNCTION("""COMPUTED_VALUE"""),670.68)</f>
        <v>670.68</v>
      </c>
      <c r="C44" s="434">
        <f>IFERROR(__xludf.DUMMYFUNCTION("""COMPUTED_VALUE"""),42265.99861111111)</f>
        <v>42265.99861</v>
      </c>
      <c r="D44" s="433">
        <f>IFERROR(__xludf.DUMMYFUNCTION("""COMPUTED_VALUE"""),0.8746)</f>
        <v>0.8746</v>
      </c>
      <c r="F44" s="434">
        <f>IFERROR(__xludf.DUMMYFUNCTION("""COMPUTED_VALUE"""),44968.99861111111)</f>
        <v>44968.99861</v>
      </c>
      <c r="G44" s="433">
        <f>IFERROR(__xludf.DUMMYFUNCTION("""COMPUTED_VALUE"""),21862.51)</f>
        <v>21862.51</v>
      </c>
      <c r="H44" s="434">
        <f>IFERROR(__xludf.DUMMYFUNCTION("""COMPUTED_VALUE"""),44968.99861111111)</f>
        <v>44968.99861</v>
      </c>
      <c r="I44" s="433">
        <f>IFERROR(__xludf.DUMMYFUNCTION("""COMPUTED_VALUE"""),1514.9419)</f>
        <v>1514.9419</v>
      </c>
    </row>
    <row r="45">
      <c r="A45" s="434">
        <f>IFERROR(__xludf.DUMMYFUNCTION("""COMPUTED_VALUE"""),42556.99861111111)</f>
        <v>42556.99861</v>
      </c>
      <c r="B45" s="433">
        <f>IFERROR(__xludf.DUMMYFUNCTION("""COMPUTED_VALUE"""),673.01)</f>
        <v>673.01</v>
      </c>
      <c r="C45" s="434">
        <f>IFERROR(__xludf.DUMMYFUNCTION("""COMPUTED_VALUE"""),42266.99861111111)</f>
        <v>42266.99861</v>
      </c>
      <c r="D45" s="433">
        <f>IFERROR(__xludf.DUMMYFUNCTION("""COMPUTED_VALUE"""),0.8496)</f>
        <v>0.8496</v>
      </c>
      <c r="F45" s="434">
        <f>IFERROR(__xludf.DUMMYFUNCTION("""COMPUTED_VALUE"""),44969.99861111111)</f>
        <v>44969.99861</v>
      </c>
      <c r="G45" s="433">
        <f>IFERROR(__xludf.DUMMYFUNCTION("""COMPUTED_VALUE"""),21789.02)</f>
        <v>21789.02</v>
      </c>
      <c r="H45" s="434">
        <f>IFERROR(__xludf.DUMMYFUNCTION("""COMPUTED_VALUE"""),44969.99861111111)</f>
        <v>44969.99861</v>
      </c>
      <c r="I45" s="433">
        <f>IFERROR(__xludf.DUMMYFUNCTION("""COMPUTED_VALUE"""),1539.776)</f>
        <v>1539.776</v>
      </c>
    </row>
    <row r="46">
      <c r="A46" s="434">
        <f>IFERROR(__xludf.DUMMYFUNCTION("""COMPUTED_VALUE"""),42557.99861111111)</f>
        <v>42557.99861</v>
      </c>
      <c r="B46" s="433">
        <f>IFERROR(__xludf.DUMMYFUNCTION("""COMPUTED_VALUE"""),675.41)</f>
        <v>675.41</v>
      </c>
      <c r="C46" s="434">
        <f>IFERROR(__xludf.DUMMYFUNCTION("""COMPUTED_VALUE"""),42267.99861111111)</f>
        <v>42267.99861</v>
      </c>
      <c r="D46" s="433">
        <f>IFERROR(__xludf.DUMMYFUNCTION("""COMPUTED_VALUE"""),0.8812)</f>
        <v>0.8812</v>
      </c>
      <c r="F46" s="434">
        <f>IFERROR(__xludf.DUMMYFUNCTION("""COMPUTED_VALUE"""),44970.99861111111)</f>
        <v>44970.99861</v>
      </c>
      <c r="G46" s="433">
        <f>IFERROR(__xludf.DUMMYFUNCTION("""COMPUTED_VALUE"""),21786.16)</f>
        <v>21786.16</v>
      </c>
      <c r="H46" s="434">
        <f>IFERROR(__xludf.DUMMYFUNCTION("""COMPUTED_VALUE"""),44970.99861111111)</f>
        <v>44970.99861</v>
      </c>
      <c r="I46" s="433">
        <f>IFERROR(__xludf.DUMMYFUNCTION("""COMPUTED_VALUE"""),1514.9171)</f>
        <v>1514.9171</v>
      </c>
    </row>
    <row r="47">
      <c r="A47" s="434">
        <f>IFERROR(__xludf.DUMMYFUNCTION("""COMPUTED_VALUE"""),42558.99861111111)</f>
        <v>42558.99861</v>
      </c>
      <c r="B47" s="433">
        <f>IFERROR(__xludf.DUMMYFUNCTION("""COMPUTED_VALUE"""),644.24)</f>
        <v>644.24</v>
      </c>
      <c r="C47" s="434">
        <f>IFERROR(__xludf.DUMMYFUNCTION("""COMPUTED_VALUE"""),42268.99861111111)</f>
        <v>42268.99861</v>
      </c>
      <c r="D47" s="433">
        <f>IFERROR(__xludf.DUMMYFUNCTION("""COMPUTED_VALUE"""),0.9415)</f>
        <v>0.9415</v>
      </c>
      <c r="F47" s="434">
        <f>IFERROR(__xludf.DUMMYFUNCTION("""COMPUTED_VALUE"""),44971.99861111111)</f>
        <v>44971.99861</v>
      </c>
      <c r="G47" s="433">
        <f>IFERROR(__xludf.DUMMYFUNCTION("""COMPUTED_VALUE"""),22206.75)</f>
        <v>22206.75</v>
      </c>
      <c r="H47" s="434">
        <f>IFERROR(__xludf.DUMMYFUNCTION("""COMPUTED_VALUE"""),44971.99861111111)</f>
        <v>44971.99861</v>
      </c>
      <c r="I47" s="433">
        <f>IFERROR(__xludf.DUMMYFUNCTION("""COMPUTED_VALUE"""),1506.9921)</f>
        <v>1506.9921</v>
      </c>
    </row>
    <row r="48">
      <c r="A48" s="434">
        <f>IFERROR(__xludf.DUMMYFUNCTION("""COMPUTED_VALUE"""),42559.99861111111)</f>
        <v>42559.99861</v>
      </c>
      <c r="B48" s="433">
        <f>IFERROR(__xludf.DUMMYFUNCTION("""COMPUTED_VALUE"""),647.62)</f>
        <v>647.62</v>
      </c>
      <c r="C48" s="434">
        <f>IFERROR(__xludf.DUMMYFUNCTION("""COMPUTED_VALUE"""),42269.99861111111)</f>
        <v>42269.99861</v>
      </c>
      <c r="D48" s="433">
        <f>IFERROR(__xludf.DUMMYFUNCTION("""COMPUTED_VALUE"""),0.9193)</f>
        <v>0.9193</v>
      </c>
      <c r="F48" s="434">
        <f>IFERROR(__xludf.DUMMYFUNCTION("""COMPUTED_VALUE"""),44972.99861111111)</f>
        <v>44972.99861</v>
      </c>
      <c r="G48" s="433">
        <f>IFERROR(__xludf.DUMMYFUNCTION("""COMPUTED_VALUE"""),24331.48)</f>
        <v>24331.48</v>
      </c>
      <c r="H48" s="434">
        <f>IFERROR(__xludf.DUMMYFUNCTION("""COMPUTED_VALUE"""),44972.99861111111)</f>
        <v>44972.99861</v>
      </c>
      <c r="I48" s="433">
        <f>IFERROR(__xludf.DUMMYFUNCTION("""COMPUTED_VALUE"""),1556.7651)</f>
        <v>1556.7651</v>
      </c>
    </row>
    <row r="49">
      <c r="A49" s="434">
        <f>IFERROR(__xludf.DUMMYFUNCTION("""COMPUTED_VALUE"""),42562.99861111111)</f>
        <v>42562.99861</v>
      </c>
      <c r="B49" s="433">
        <f>IFERROR(__xludf.DUMMYFUNCTION("""COMPUTED_VALUE"""),651.39)</f>
        <v>651.39</v>
      </c>
      <c r="C49" s="434">
        <f>IFERROR(__xludf.DUMMYFUNCTION("""COMPUTED_VALUE"""),42270.99861111111)</f>
        <v>42270.99861</v>
      </c>
      <c r="D49" s="433">
        <f>IFERROR(__xludf.DUMMYFUNCTION("""COMPUTED_VALUE"""),0.9036)</f>
        <v>0.9036</v>
      </c>
      <c r="F49" s="434">
        <f>IFERROR(__xludf.DUMMYFUNCTION("""COMPUTED_VALUE"""),44973.99861111111)</f>
        <v>44973.99861</v>
      </c>
      <c r="G49" s="433">
        <f>IFERROR(__xludf.DUMMYFUNCTION("""COMPUTED_VALUE"""),23553.45)</f>
        <v>23553.45</v>
      </c>
      <c r="H49" s="434">
        <f>IFERROR(__xludf.DUMMYFUNCTION("""COMPUTED_VALUE"""),44973.99861111111)</f>
        <v>44973.99861</v>
      </c>
      <c r="I49" s="433">
        <f>IFERROR(__xludf.DUMMYFUNCTION("""COMPUTED_VALUE"""),1673.8675)</f>
        <v>1673.8675</v>
      </c>
    </row>
    <row r="50">
      <c r="A50" s="434">
        <f>IFERROR(__xludf.DUMMYFUNCTION("""COMPUTED_VALUE"""),42563.99861111111)</f>
        <v>42563.99861</v>
      </c>
      <c r="B50" s="433">
        <f>IFERROR(__xludf.DUMMYFUNCTION("""COMPUTED_VALUE"""),660.29)</f>
        <v>660.29</v>
      </c>
      <c r="C50" s="434">
        <f>IFERROR(__xludf.DUMMYFUNCTION("""COMPUTED_VALUE"""),42271.99861111111)</f>
        <v>42271.99861</v>
      </c>
      <c r="D50" s="433">
        <f>IFERROR(__xludf.DUMMYFUNCTION("""COMPUTED_VALUE"""),0.8968)</f>
        <v>0.8968</v>
      </c>
      <c r="F50" s="434">
        <f>IFERROR(__xludf.DUMMYFUNCTION("""COMPUTED_VALUE"""),44974.99861111111)</f>
        <v>44974.99861</v>
      </c>
      <c r="G50" s="433">
        <f>IFERROR(__xludf.DUMMYFUNCTION("""COMPUTED_VALUE"""),24574.44)</f>
        <v>24574.44</v>
      </c>
      <c r="H50" s="434">
        <f>IFERROR(__xludf.DUMMYFUNCTION("""COMPUTED_VALUE"""),44974.99861111111)</f>
        <v>44974.99861</v>
      </c>
      <c r="I50" s="433">
        <f>IFERROR(__xludf.DUMMYFUNCTION("""COMPUTED_VALUE"""),1640.2801)</f>
        <v>1640.2801</v>
      </c>
    </row>
    <row r="51">
      <c r="A51" s="434">
        <f>IFERROR(__xludf.DUMMYFUNCTION("""COMPUTED_VALUE"""),42564.99861111111)</f>
        <v>42564.99861</v>
      </c>
      <c r="B51" s="433">
        <f>IFERROR(__xludf.DUMMYFUNCTION("""COMPUTED_VALUE"""),664.46)</f>
        <v>664.46</v>
      </c>
      <c r="C51" s="434">
        <f>IFERROR(__xludf.DUMMYFUNCTION("""COMPUTED_VALUE"""),42272.99861111111)</f>
        <v>42272.99861</v>
      </c>
      <c r="D51" s="433">
        <f>IFERROR(__xludf.DUMMYFUNCTION("""COMPUTED_VALUE"""),0.82)</f>
        <v>0.82</v>
      </c>
      <c r="F51" s="434">
        <f>IFERROR(__xludf.DUMMYFUNCTION("""COMPUTED_VALUE"""),44975.99861111111)</f>
        <v>44975.99861</v>
      </c>
      <c r="G51" s="433">
        <f>IFERROR(__xludf.DUMMYFUNCTION("""COMPUTED_VALUE"""),24634.69)</f>
        <v>24634.69</v>
      </c>
      <c r="H51" s="434">
        <f>IFERROR(__xludf.DUMMYFUNCTION("""COMPUTED_VALUE"""),44975.99861111111)</f>
        <v>44975.99861</v>
      </c>
      <c r="I51" s="433">
        <f>IFERROR(__xludf.DUMMYFUNCTION("""COMPUTED_VALUE"""),1694.7418)</f>
        <v>1694.7418</v>
      </c>
    </row>
    <row r="52">
      <c r="A52" s="434">
        <f>IFERROR(__xludf.DUMMYFUNCTION("""COMPUTED_VALUE"""),42565.99861111111)</f>
        <v>42565.99861</v>
      </c>
      <c r="B52" s="433">
        <f>IFERROR(__xludf.DUMMYFUNCTION("""COMPUTED_VALUE"""),659.88)</f>
        <v>659.88</v>
      </c>
      <c r="C52" s="434">
        <f>IFERROR(__xludf.DUMMYFUNCTION("""COMPUTED_VALUE"""),42273.99861111111)</f>
        <v>42273.99861</v>
      </c>
      <c r="D52" s="433">
        <f>IFERROR(__xludf.DUMMYFUNCTION("""COMPUTED_VALUE"""),0.7376)</f>
        <v>0.7376</v>
      </c>
      <c r="F52" s="434">
        <f>IFERROR(__xludf.DUMMYFUNCTION("""COMPUTED_VALUE"""),44976.99861111111)</f>
        <v>44976.99861</v>
      </c>
      <c r="G52" s="433">
        <f>IFERROR(__xludf.DUMMYFUNCTION("""COMPUTED_VALUE"""),24290.05)</f>
        <v>24290.05</v>
      </c>
      <c r="H52" s="434">
        <f>IFERROR(__xludf.DUMMYFUNCTION("""COMPUTED_VALUE"""),44976.99861111111)</f>
        <v>44976.99861</v>
      </c>
      <c r="I52" s="433">
        <f>IFERROR(__xludf.DUMMYFUNCTION("""COMPUTED_VALUE"""),1691.6802)</f>
        <v>1691.6802</v>
      </c>
    </row>
    <row r="53">
      <c r="A53" s="434">
        <f>IFERROR(__xludf.DUMMYFUNCTION("""COMPUTED_VALUE"""),42566.99861111111)</f>
        <v>42566.99861</v>
      </c>
      <c r="B53" s="433">
        <f>IFERROR(__xludf.DUMMYFUNCTION("""COMPUTED_VALUE"""),666.24)</f>
        <v>666.24</v>
      </c>
      <c r="C53" s="434">
        <f>IFERROR(__xludf.DUMMYFUNCTION("""COMPUTED_VALUE"""),42274.99861111111)</f>
        <v>42274.99861</v>
      </c>
      <c r="D53" s="433">
        <f>IFERROR(__xludf.DUMMYFUNCTION("""COMPUTED_VALUE"""),0.7913)</f>
        <v>0.7913</v>
      </c>
      <c r="F53" s="434">
        <f>IFERROR(__xludf.DUMMYFUNCTION("""COMPUTED_VALUE"""),44977.99861111111)</f>
        <v>44977.99861</v>
      </c>
      <c r="G53" s="433">
        <f>IFERROR(__xludf.DUMMYFUNCTION("""COMPUTED_VALUE"""),24841.51)</f>
        <v>24841.51</v>
      </c>
      <c r="H53" s="434">
        <f>IFERROR(__xludf.DUMMYFUNCTION("""COMPUTED_VALUE"""),44977.99861111111)</f>
        <v>44977.99861</v>
      </c>
      <c r="I53" s="433">
        <f>IFERROR(__xludf.DUMMYFUNCTION("""COMPUTED_VALUE"""),1682.337)</f>
        <v>1682.337</v>
      </c>
    </row>
    <row r="54">
      <c r="A54" s="434">
        <f>IFERROR(__xludf.DUMMYFUNCTION("""COMPUTED_VALUE"""),42569.99861111111)</f>
        <v>42569.99861</v>
      </c>
      <c r="B54" s="433">
        <f>IFERROR(__xludf.DUMMYFUNCTION("""COMPUTED_VALUE"""),678.23)</f>
        <v>678.23</v>
      </c>
      <c r="C54" s="434">
        <f>IFERROR(__xludf.DUMMYFUNCTION("""COMPUTED_VALUE"""),42275.99861111111)</f>
        <v>42275.99861</v>
      </c>
      <c r="D54" s="433">
        <f>IFERROR(__xludf.DUMMYFUNCTION("""COMPUTED_VALUE"""),0.7237)</f>
        <v>0.7237</v>
      </c>
      <c r="F54" s="434">
        <f>IFERROR(__xludf.DUMMYFUNCTION("""COMPUTED_VALUE"""),44978.99861111111)</f>
        <v>44978.99861</v>
      </c>
      <c r="G54" s="433">
        <f>IFERROR(__xludf.DUMMYFUNCTION("""COMPUTED_VALUE"""),24447.45)</f>
        <v>24447.45</v>
      </c>
      <c r="H54" s="434">
        <f>IFERROR(__xludf.DUMMYFUNCTION("""COMPUTED_VALUE"""),44978.99861111111)</f>
        <v>44978.99861</v>
      </c>
      <c r="I54" s="433">
        <f>IFERROR(__xludf.DUMMYFUNCTION("""COMPUTED_VALUE"""),1702.7978)</f>
        <v>1702.7978</v>
      </c>
    </row>
    <row r="55">
      <c r="A55" s="434">
        <f>IFERROR(__xludf.DUMMYFUNCTION("""COMPUTED_VALUE"""),42570.99861111111)</f>
        <v>42570.99861</v>
      </c>
      <c r="B55" s="433">
        <f>IFERROR(__xludf.DUMMYFUNCTION("""COMPUTED_VALUE"""),672.05)</f>
        <v>672.05</v>
      </c>
      <c r="C55" s="434">
        <f>IFERROR(__xludf.DUMMYFUNCTION("""COMPUTED_VALUE"""),42276.99861111111)</f>
        <v>42276.99861</v>
      </c>
      <c r="D55" s="433">
        <f>IFERROR(__xludf.DUMMYFUNCTION("""COMPUTED_VALUE"""),0.5794)</f>
        <v>0.5794</v>
      </c>
      <c r="F55" s="434">
        <f>IFERROR(__xludf.DUMMYFUNCTION("""COMPUTED_VALUE"""),44979.99861111111)</f>
        <v>44979.99861</v>
      </c>
      <c r="G55" s="433">
        <f>IFERROR(__xludf.DUMMYFUNCTION("""COMPUTED_VALUE"""),24184.45)</f>
        <v>24184.45</v>
      </c>
      <c r="H55" s="434">
        <f>IFERROR(__xludf.DUMMYFUNCTION("""COMPUTED_VALUE"""),44979.99861111111)</f>
        <v>44979.99861</v>
      </c>
      <c r="I55" s="433">
        <f>IFERROR(__xludf.DUMMYFUNCTION("""COMPUTED_VALUE"""),1658.141)</f>
        <v>1658.141</v>
      </c>
    </row>
    <row r="56">
      <c r="A56" s="434">
        <f>IFERROR(__xludf.DUMMYFUNCTION("""COMPUTED_VALUE"""),42571.99861111111)</f>
        <v>42571.99861</v>
      </c>
      <c r="B56" s="433">
        <f>IFERROR(__xludf.DUMMYFUNCTION("""COMPUTED_VALUE"""),669.22)</f>
        <v>669.22</v>
      </c>
      <c r="C56" s="434">
        <f>IFERROR(__xludf.DUMMYFUNCTION("""COMPUTED_VALUE"""),42277.99861111111)</f>
        <v>42277.99861</v>
      </c>
      <c r="D56" s="433">
        <f>IFERROR(__xludf.DUMMYFUNCTION("""COMPUTED_VALUE"""),0.6612)</f>
        <v>0.6612</v>
      </c>
      <c r="F56" s="434">
        <f>IFERROR(__xludf.DUMMYFUNCTION("""COMPUTED_VALUE"""),44980.99861111111)</f>
        <v>44980.99861</v>
      </c>
      <c r="G56" s="433">
        <f>IFERROR(__xludf.DUMMYFUNCTION("""COMPUTED_VALUE"""),23937.51)</f>
        <v>23937.51</v>
      </c>
      <c r="H56" s="434">
        <f>IFERROR(__xludf.DUMMYFUNCTION("""COMPUTED_VALUE"""),44980.99861111111)</f>
        <v>44980.99861</v>
      </c>
      <c r="I56" s="433">
        <f>IFERROR(__xludf.DUMMYFUNCTION("""COMPUTED_VALUE"""),1643.2986)</f>
        <v>1643.2986</v>
      </c>
    </row>
    <row r="57">
      <c r="A57" s="434">
        <f>IFERROR(__xludf.DUMMYFUNCTION("""COMPUTED_VALUE"""),42572.99861111111)</f>
        <v>42572.99861</v>
      </c>
      <c r="B57" s="433">
        <f>IFERROR(__xludf.DUMMYFUNCTION("""COMPUTED_VALUE"""),663.66)</f>
        <v>663.66</v>
      </c>
      <c r="C57" s="434">
        <f>IFERROR(__xludf.DUMMYFUNCTION("""COMPUTED_VALUE"""),42278.99861111111)</f>
        <v>42278.99861</v>
      </c>
      <c r="D57" s="433">
        <f>IFERROR(__xludf.DUMMYFUNCTION("""COMPUTED_VALUE"""),0.7343)</f>
        <v>0.7343</v>
      </c>
      <c r="F57" s="434">
        <f>IFERROR(__xludf.DUMMYFUNCTION("""COMPUTED_VALUE"""),44981.99861111111)</f>
        <v>44981.99861</v>
      </c>
      <c r="G57" s="433">
        <f>IFERROR(__xludf.DUMMYFUNCTION("""COMPUTED_VALUE"""),23192.77)</f>
        <v>23192.77</v>
      </c>
      <c r="H57" s="434">
        <f>IFERROR(__xludf.DUMMYFUNCTION("""COMPUTED_VALUE"""),44981.99861111111)</f>
        <v>44981.99861</v>
      </c>
      <c r="I57" s="433">
        <f>IFERROR(__xludf.DUMMYFUNCTION("""COMPUTED_VALUE"""),1650.8951)</f>
        <v>1650.8951</v>
      </c>
    </row>
    <row r="58">
      <c r="A58" s="434">
        <f>IFERROR(__xludf.DUMMYFUNCTION("""COMPUTED_VALUE"""),42573.99861111111)</f>
        <v>42573.99861</v>
      </c>
      <c r="B58" s="433">
        <f>IFERROR(__xludf.DUMMYFUNCTION("""COMPUTED_VALUE"""),659.77)</f>
        <v>659.77</v>
      </c>
      <c r="C58" s="434">
        <f>IFERROR(__xludf.DUMMYFUNCTION("""COMPUTED_VALUE"""),42279.99861111111)</f>
        <v>42279.99861</v>
      </c>
      <c r="D58" s="433">
        <f>IFERROR(__xludf.DUMMYFUNCTION("""COMPUTED_VALUE"""),0.6837)</f>
        <v>0.6837</v>
      </c>
      <c r="F58" s="434">
        <f>IFERROR(__xludf.DUMMYFUNCTION("""COMPUTED_VALUE"""),44982.99861111111)</f>
        <v>44982.99861</v>
      </c>
      <c r="G58" s="433">
        <f>IFERROR(__xludf.DUMMYFUNCTION("""COMPUTED_VALUE"""),23164.06)</f>
        <v>23164.06</v>
      </c>
      <c r="H58" s="434">
        <f>IFERROR(__xludf.DUMMYFUNCTION("""COMPUTED_VALUE"""),44982.99861111111)</f>
        <v>44982.99861</v>
      </c>
      <c r="I58" s="433">
        <f>IFERROR(__xludf.DUMMYFUNCTION("""COMPUTED_VALUE"""),1608.6584)</f>
        <v>1608.6584</v>
      </c>
    </row>
    <row r="59">
      <c r="A59" s="434">
        <f>IFERROR(__xludf.DUMMYFUNCTION("""COMPUTED_VALUE"""),42576.99861111111)</f>
        <v>42576.99861</v>
      </c>
      <c r="B59" s="433">
        <f>IFERROR(__xludf.DUMMYFUNCTION("""COMPUTED_VALUE"""),656.38)</f>
        <v>656.38</v>
      </c>
      <c r="C59" s="434">
        <f>IFERROR(__xludf.DUMMYFUNCTION("""COMPUTED_VALUE"""),42280.99861111111)</f>
        <v>42280.99861</v>
      </c>
      <c r="D59" s="433">
        <f>IFERROR(__xludf.DUMMYFUNCTION("""COMPUTED_VALUE"""),0.6788)</f>
        <v>0.6788</v>
      </c>
      <c r="F59" s="434">
        <f>IFERROR(__xludf.DUMMYFUNCTION("""COMPUTED_VALUE"""),44983.99861111111)</f>
        <v>44983.99861</v>
      </c>
      <c r="G59" s="433">
        <f>IFERROR(__xludf.DUMMYFUNCTION("""COMPUTED_VALUE"""),23558.26)</f>
        <v>23558.26</v>
      </c>
      <c r="H59" s="434">
        <f>IFERROR(__xludf.DUMMYFUNCTION("""COMPUTED_VALUE"""),44983.99861111111)</f>
        <v>44983.99861</v>
      </c>
      <c r="I59" s="433">
        <f>IFERROR(__xludf.DUMMYFUNCTION("""COMPUTED_VALUE"""),1594.7611)</f>
        <v>1594.7611</v>
      </c>
    </row>
    <row r="60">
      <c r="A60" s="434">
        <f>IFERROR(__xludf.DUMMYFUNCTION("""COMPUTED_VALUE"""),42577.99861111111)</f>
        <v>42577.99861</v>
      </c>
      <c r="B60" s="433">
        <f>IFERROR(__xludf.DUMMYFUNCTION("""COMPUTED_VALUE"""),652.1)</f>
        <v>652.1</v>
      </c>
      <c r="C60" s="434">
        <f>IFERROR(__xludf.DUMMYFUNCTION("""COMPUTED_VALUE"""),42281.99861111111)</f>
        <v>42281.99861</v>
      </c>
      <c r="D60" s="433">
        <f>IFERROR(__xludf.DUMMYFUNCTION("""COMPUTED_VALUE"""),0.6863)</f>
        <v>0.6863</v>
      </c>
      <c r="F60" s="434">
        <f>IFERROR(__xludf.DUMMYFUNCTION("""COMPUTED_VALUE"""),44984.99861111111)</f>
        <v>44984.99861</v>
      </c>
      <c r="G60" s="433">
        <f>IFERROR(__xludf.DUMMYFUNCTION("""COMPUTED_VALUE"""),23491.26)</f>
        <v>23491.26</v>
      </c>
      <c r="H60" s="434">
        <f>IFERROR(__xludf.DUMMYFUNCTION("""COMPUTED_VALUE"""),44984.99861111111)</f>
        <v>44984.99861</v>
      </c>
      <c r="I60" s="433">
        <f>IFERROR(__xludf.DUMMYFUNCTION("""COMPUTED_VALUE"""),1640.7637)</f>
        <v>1640.7637</v>
      </c>
    </row>
    <row r="61">
      <c r="A61" s="434">
        <f>IFERROR(__xludf.DUMMYFUNCTION("""COMPUTED_VALUE"""),42578.99861111111)</f>
        <v>42578.99861</v>
      </c>
      <c r="B61" s="433">
        <f>IFERROR(__xludf.DUMMYFUNCTION("""COMPUTED_VALUE"""),652.78)</f>
        <v>652.78</v>
      </c>
      <c r="C61" s="434">
        <f>IFERROR(__xludf.DUMMYFUNCTION("""COMPUTED_VALUE"""),42282.99861111111)</f>
        <v>42282.99861</v>
      </c>
      <c r="D61" s="433">
        <f>IFERROR(__xludf.DUMMYFUNCTION("""COMPUTED_VALUE"""),0.6668)</f>
        <v>0.6668</v>
      </c>
      <c r="F61" s="434">
        <f>IFERROR(__xludf.DUMMYFUNCTION("""COMPUTED_VALUE"""),44985.99861111111)</f>
        <v>44985.99861</v>
      </c>
      <c r="G61" s="433">
        <f>IFERROR(__xludf.DUMMYFUNCTION("""COMPUTED_VALUE"""),23131.85)</f>
        <v>23131.85</v>
      </c>
      <c r="H61" s="434">
        <f>IFERROR(__xludf.DUMMYFUNCTION("""COMPUTED_VALUE"""),44985.99861111111)</f>
        <v>44985.99861</v>
      </c>
      <c r="I61" s="433">
        <f>IFERROR(__xludf.DUMMYFUNCTION("""COMPUTED_VALUE"""),1634.5024)</f>
        <v>1634.5024</v>
      </c>
    </row>
    <row r="62">
      <c r="A62" s="434">
        <f>IFERROR(__xludf.DUMMYFUNCTION("""COMPUTED_VALUE"""),42579.99861111111)</f>
        <v>42579.99861</v>
      </c>
      <c r="B62" s="433">
        <f>IFERROR(__xludf.DUMMYFUNCTION("""COMPUTED_VALUE"""),655.96)</f>
        <v>655.96</v>
      </c>
      <c r="C62" s="434">
        <f>IFERROR(__xludf.DUMMYFUNCTION("""COMPUTED_VALUE"""),42283.99861111111)</f>
        <v>42283.99861</v>
      </c>
      <c r="D62" s="433">
        <f>IFERROR(__xludf.DUMMYFUNCTION("""COMPUTED_VALUE"""),0.6222)</f>
        <v>0.6222</v>
      </c>
      <c r="F62" s="434">
        <f>IFERROR(__xludf.DUMMYFUNCTION("""COMPUTED_VALUE"""),44986.99861111111)</f>
        <v>44986.99861</v>
      </c>
      <c r="G62" s="433">
        <f>IFERROR(__xludf.DUMMYFUNCTION("""COMPUTED_VALUE"""),23636.86)</f>
        <v>23636.86</v>
      </c>
      <c r="H62" s="434">
        <f>IFERROR(__xludf.DUMMYFUNCTION("""COMPUTED_VALUE"""),44986.99861111111)</f>
        <v>44986.99861</v>
      </c>
      <c r="I62" s="433">
        <f>IFERROR(__xludf.DUMMYFUNCTION("""COMPUTED_VALUE"""),1606.0404)</f>
        <v>1606.0404</v>
      </c>
    </row>
    <row r="63">
      <c r="A63" s="434">
        <f>IFERROR(__xludf.DUMMYFUNCTION("""COMPUTED_VALUE"""),42580.99861111111)</f>
        <v>42580.99861</v>
      </c>
      <c r="B63" s="433">
        <f>IFERROR(__xludf.DUMMYFUNCTION("""COMPUTED_VALUE"""),655.85)</f>
        <v>655.85</v>
      </c>
      <c r="C63" s="434">
        <f>IFERROR(__xludf.DUMMYFUNCTION("""COMPUTED_VALUE"""),42284.99861111111)</f>
        <v>42284.99861</v>
      </c>
      <c r="D63" s="433">
        <f>IFERROR(__xludf.DUMMYFUNCTION("""COMPUTED_VALUE"""),0.6505)</f>
        <v>0.6505</v>
      </c>
      <c r="F63" s="434">
        <f>IFERROR(__xludf.DUMMYFUNCTION("""COMPUTED_VALUE"""),44987.99861111111)</f>
        <v>44987.99861</v>
      </c>
      <c r="G63" s="433">
        <f>IFERROR(__xludf.DUMMYFUNCTION("""COMPUTED_VALUE"""),23464.47)</f>
        <v>23464.47</v>
      </c>
      <c r="H63" s="434">
        <f>IFERROR(__xludf.DUMMYFUNCTION("""COMPUTED_VALUE"""),44987.99861111111)</f>
        <v>44987.99861</v>
      </c>
      <c r="I63" s="433">
        <f>IFERROR(__xludf.DUMMYFUNCTION("""COMPUTED_VALUE"""),1663.5491)</f>
        <v>1663.5491</v>
      </c>
    </row>
    <row r="64">
      <c r="A64" s="434">
        <f>IFERROR(__xludf.DUMMYFUNCTION("""COMPUTED_VALUE"""),42583.99861111111)</f>
        <v>42583.99861</v>
      </c>
      <c r="B64" s="433">
        <f>IFERROR(__xludf.DUMMYFUNCTION("""COMPUTED_VALUE"""),620.98)</f>
        <v>620.98</v>
      </c>
      <c r="C64" s="434">
        <f>IFERROR(__xludf.DUMMYFUNCTION("""COMPUTED_VALUE"""),42285.99861111111)</f>
        <v>42285.99861</v>
      </c>
      <c r="D64" s="433">
        <f>IFERROR(__xludf.DUMMYFUNCTION("""COMPUTED_VALUE"""),0.6095)</f>
        <v>0.6095</v>
      </c>
      <c r="F64" s="434">
        <f>IFERROR(__xludf.DUMMYFUNCTION("""COMPUTED_VALUE"""),44988.99861111111)</f>
        <v>44988.99861</v>
      </c>
      <c r="G64" s="433">
        <f>IFERROR(__xludf.DUMMYFUNCTION("""COMPUTED_VALUE"""),22351.32)</f>
        <v>22351.32</v>
      </c>
      <c r="H64" s="434">
        <f>IFERROR(__xludf.DUMMYFUNCTION("""COMPUTED_VALUE"""),44988.99861111111)</f>
        <v>44988.99861</v>
      </c>
      <c r="I64" s="433">
        <f>IFERROR(__xludf.DUMMYFUNCTION("""COMPUTED_VALUE"""),1647.5578)</f>
        <v>1647.5578</v>
      </c>
    </row>
    <row r="65">
      <c r="A65" s="434">
        <f>IFERROR(__xludf.DUMMYFUNCTION("""COMPUTED_VALUE"""),42584.99861111111)</f>
        <v>42584.99861</v>
      </c>
      <c r="B65" s="433">
        <f>IFERROR(__xludf.DUMMYFUNCTION("""COMPUTED_VALUE"""),593.22)</f>
        <v>593.22</v>
      </c>
      <c r="C65" s="434">
        <f>IFERROR(__xludf.DUMMYFUNCTION("""COMPUTED_VALUE"""),42286.99861111111)</f>
        <v>42286.99861</v>
      </c>
      <c r="D65" s="433">
        <f>IFERROR(__xludf.DUMMYFUNCTION("""COMPUTED_VALUE"""),0.6551)</f>
        <v>0.6551</v>
      </c>
      <c r="F65" s="434">
        <f>IFERROR(__xludf.DUMMYFUNCTION("""COMPUTED_VALUE"""),44989.99861111111)</f>
        <v>44989.99861</v>
      </c>
      <c r="G65" s="433">
        <f>IFERROR(__xludf.DUMMYFUNCTION("""COMPUTED_VALUE"""),22348.56)</f>
        <v>22348.56</v>
      </c>
      <c r="H65" s="434">
        <f>IFERROR(__xludf.DUMMYFUNCTION("""COMPUTED_VALUE"""),44989.99861111111)</f>
        <v>44989.99861</v>
      </c>
      <c r="I65" s="433">
        <f>IFERROR(__xludf.DUMMYFUNCTION("""COMPUTED_VALUE"""),1569.2781)</f>
        <v>1569.2781</v>
      </c>
    </row>
    <row r="66">
      <c r="A66" s="434">
        <f>IFERROR(__xludf.DUMMYFUNCTION("""COMPUTED_VALUE"""),42585.99861111111)</f>
        <v>42585.99861</v>
      </c>
      <c r="B66" s="433">
        <f>IFERROR(__xludf.DUMMYFUNCTION("""COMPUTED_VALUE"""),550.06)</f>
        <v>550.06</v>
      </c>
      <c r="C66" s="434">
        <f>IFERROR(__xludf.DUMMYFUNCTION("""COMPUTED_VALUE"""),42287.99861111111)</f>
        <v>42287.99861</v>
      </c>
      <c r="D66" s="433">
        <f>IFERROR(__xludf.DUMMYFUNCTION("""COMPUTED_VALUE"""),0.6412)</f>
        <v>0.6412</v>
      </c>
      <c r="F66" s="434">
        <f>IFERROR(__xludf.DUMMYFUNCTION("""COMPUTED_VALUE"""),44990.99861111111)</f>
        <v>44990.99861</v>
      </c>
      <c r="G66" s="433">
        <f>IFERROR(__xludf.DUMMYFUNCTION("""COMPUTED_VALUE"""),22430.08)</f>
        <v>22430.08</v>
      </c>
      <c r="H66" s="434">
        <f>IFERROR(__xludf.DUMMYFUNCTION("""COMPUTED_VALUE"""),44990.99861111111)</f>
        <v>44990.99861</v>
      </c>
      <c r="I66" s="433">
        <f>IFERROR(__xludf.DUMMYFUNCTION("""COMPUTED_VALUE"""),1567.1793)</f>
        <v>1567.1793</v>
      </c>
    </row>
    <row r="67">
      <c r="A67" s="434">
        <f>IFERROR(__xludf.DUMMYFUNCTION("""COMPUTED_VALUE"""),42586.99861111111)</f>
        <v>42586.99861</v>
      </c>
      <c r="B67" s="433">
        <f>IFERROR(__xludf.DUMMYFUNCTION("""COMPUTED_VALUE"""),573.64)</f>
        <v>573.64</v>
      </c>
      <c r="C67" s="434">
        <f>IFERROR(__xludf.DUMMYFUNCTION("""COMPUTED_VALUE"""),42288.99861111111)</f>
        <v>42288.99861</v>
      </c>
      <c r="D67" s="433">
        <f>IFERROR(__xludf.DUMMYFUNCTION("""COMPUTED_VALUE"""),0.6275)</f>
        <v>0.6275</v>
      </c>
      <c r="F67" s="434">
        <f>IFERROR(__xludf.DUMMYFUNCTION("""COMPUTED_VALUE"""),44991.99861111111)</f>
        <v>44991.99861</v>
      </c>
      <c r="G67" s="433">
        <f>IFERROR(__xludf.DUMMYFUNCTION("""COMPUTED_VALUE"""),22409.14)</f>
        <v>22409.14</v>
      </c>
      <c r="H67" s="434">
        <f>IFERROR(__xludf.DUMMYFUNCTION("""COMPUTED_VALUE"""),44991.99861111111)</f>
        <v>44991.99861</v>
      </c>
      <c r="I67" s="433">
        <f>IFERROR(__xludf.DUMMYFUNCTION("""COMPUTED_VALUE"""),1564.3831)</f>
        <v>1564.3831</v>
      </c>
    </row>
    <row r="68">
      <c r="A68" s="434">
        <f>IFERROR(__xludf.DUMMYFUNCTION("""COMPUTED_VALUE"""),42587.99861111111)</f>
        <v>42587.99861</v>
      </c>
      <c r="B68" s="433">
        <f>IFERROR(__xludf.DUMMYFUNCTION("""COMPUTED_VALUE"""),573.55)</f>
        <v>573.55</v>
      </c>
      <c r="C68" s="434">
        <f>IFERROR(__xludf.DUMMYFUNCTION("""COMPUTED_VALUE"""),42289.99861111111)</f>
        <v>42289.99861</v>
      </c>
      <c r="D68" s="433">
        <f>IFERROR(__xludf.DUMMYFUNCTION("""COMPUTED_VALUE"""),0.6345)</f>
        <v>0.6345</v>
      </c>
      <c r="F68" s="434">
        <f>IFERROR(__xludf.DUMMYFUNCTION("""COMPUTED_VALUE"""),44992.99861111111)</f>
        <v>44992.99861</v>
      </c>
      <c r="G68" s="433">
        <f>IFERROR(__xludf.DUMMYFUNCTION("""COMPUTED_VALUE"""),22199.27)</f>
        <v>22199.27</v>
      </c>
      <c r="H68" s="434">
        <f>IFERROR(__xludf.DUMMYFUNCTION("""COMPUTED_VALUE"""),44992.99861111111)</f>
        <v>44992.99861</v>
      </c>
      <c r="I68" s="433">
        <f>IFERROR(__xludf.DUMMYFUNCTION("""COMPUTED_VALUE"""),1567.4246)</f>
        <v>1567.4246</v>
      </c>
    </row>
    <row r="69">
      <c r="A69" s="434">
        <f>IFERROR(__xludf.DUMMYFUNCTION("""COMPUTED_VALUE"""),42590.99861111111)</f>
        <v>42590.99861</v>
      </c>
      <c r="B69" s="433">
        <f>IFERROR(__xludf.DUMMYFUNCTION("""COMPUTED_VALUE"""),590.27)</f>
        <v>590.27</v>
      </c>
      <c r="C69" s="434">
        <f>IFERROR(__xludf.DUMMYFUNCTION("""COMPUTED_VALUE"""),42290.99861111111)</f>
        <v>42290.99861</v>
      </c>
      <c r="D69" s="433">
        <f>IFERROR(__xludf.DUMMYFUNCTION("""COMPUTED_VALUE"""),0.6279)</f>
        <v>0.6279</v>
      </c>
      <c r="F69" s="434">
        <f>IFERROR(__xludf.DUMMYFUNCTION("""COMPUTED_VALUE"""),44993.99861111111)</f>
        <v>44993.99861</v>
      </c>
      <c r="G69" s="433">
        <f>IFERROR(__xludf.DUMMYFUNCTION("""COMPUTED_VALUE"""),21702.5)</f>
        <v>21702.5</v>
      </c>
      <c r="H69" s="434">
        <f>IFERROR(__xludf.DUMMYFUNCTION("""COMPUTED_VALUE"""),44993.99861111111)</f>
        <v>44993.99861</v>
      </c>
      <c r="I69" s="433">
        <f>IFERROR(__xludf.DUMMYFUNCTION("""COMPUTED_VALUE"""),1561.9779)</f>
        <v>1561.9779</v>
      </c>
    </row>
    <row r="70">
      <c r="A70" s="434">
        <f>IFERROR(__xludf.DUMMYFUNCTION("""COMPUTED_VALUE"""),42591.99861111111)</f>
        <v>42591.99861</v>
      </c>
      <c r="B70" s="433">
        <f>IFERROR(__xludf.DUMMYFUNCTION("""COMPUTED_VALUE"""),587.4)</f>
        <v>587.4</v>
      </c>
      <c r="C70" s="434">
        <f>IFERROR(__xludf.DUMMYFUNCTION("""COMPUTED_VALUE"""),42291.99861111111)</f>
        <v>42291.99861</v>
      </c>
      <c r="D70" s="433">
        <f>IFERROR(__xludf.DUMMYFUNCTION("""COMPUTED_VALUE"""),0.6122)</f>
        <v>0.6122</v>
      </c>
      <c r="F70" s="434">
        <f>IFERROR(__xludf.DUMMYFUNCTION("""COMPUTED_VALUE"""),44994.99861111111)</f>
        <v>44994.99861</v>
      </c>
      <c r="G70" s="433">
        <f>IFERROR(__xludf.DUMMYFUNCTION("""COMPUTED_VALUE"""),20364.74)</f>
        <v>20364.74</v>
      </c>
      <c r="H70" s="434">
        <f>IFERROR(__xludf.DUMMYFUNCTION("""COMPUTED_VALUE"""),44994.99861111111)</f>
        <v>44994.99861</v>
      </c>
      <c r="I70" s="433">
        <f>IFERROR(__xludf.DUMMYFUNCTION("""COMPUTED_VALUE"""),1534.0317)</f>
        <v>1534.0317</v>
      </c>
    </row>
    <row r="71">
      <c r="A71" s="434">
        <f>IFERROR(__xludf.DUMMYFUNCTION("""COMPUTED_VALUE"""),42592.99861111111)</f>
        <v>42592.99861</v>
      </c>
      <c r="B71" s="433">
        <f>IFERROR(__xludf.DUMMYFUNCTION("""COMPUTED_VALUE"""),591.05)</f>
        <v>591.05</v>
      </c>
      <c r="C71" s="434">
        <f>IFERROR(__xludf.DUMMYFUNCTION("""COMPUTED_VALUE"""),42292.99861111111)</f>
        <v>42292.99861</v>
      </c>
      <c r="D71" s="433">
        <f>IFERROR(__xludf.DUMMYFUNCTION("""COMPUTED_VALUE"""),0.5233)</f>
        <v>0.5233</v>
      </c>
      <c r="F71" s="434">
        <f>IFERROR(__xludf.DUMMYFUNCTION("""COMPUTED_VALUE"""),44995.99861111111)</f>
        <v>44995.99861</v>
      </c>
      <c r="G71" s="433">
        <f>IFERROR(__xludf.DUMMYFUNCTION("""COMPUTED_VALUE"""),20208.31)</f>
        <v>20208.31</v>
      </c>
      <c r="H71" s="434">
        <f>IFERROR(__xludf.DUMMYFUNCTION("""COMPUTED_VALUE"""),44995.99861111111)</f>
        <v>44995.99861</v>
      </c>
      <c r="I71" s="433">
        <f>IFERROR(__xludf.DUMMYFUNCTION("""COMPUTED_VALUE"""),1438.7602)</f>
        <v>1438.7602</v>
      </c>
    </row>
    <row r="72">
      <c r="A72" s="434">
        <f>IFERROR(__xludf.DUMMYFUNCTION("""COMPUTED_VALUE"""),42593.99861111111)</f>
        <v>42593.99861</v>
      </c>
      <c r="B72" s="433">
        <f>IFERROR(__xludf.DUMMYFUNCTION("""COMPUTED_VALUE"""),593.13)</f>
        <v>593.13</v>
      </c>
      <c r="C72" s="434">
        <f>IFERROR(__xludf.DUMMYFUNCTION("""COMPUTED_VALUE"""),42293.99861111111)</f>
        <v>42293.99861</v>
      </c>
      <c r="D72" s="433">
        <f>IFERROR(__xludf.DUMMYFUNCTION("""COMPUTED_VALUE"""),0.5626)</f>
        <v>0.5626</v>
      </c>
      <c r="F72" s="434">
        <f>IFERROR(__xludf.DUMMYFUNCTION("""COMPUTED_VALUE"""),44996.99861111111)</f>
        <v>44996.99861</v>
      </c>
      <c r="G72" s="433">
        <f>IFERROR(__xludf.DUMMYFUNCTION("""COMPUTED_VALUE"""),20575.93)</f>
        <v>20575.93</v>
      </c>
      <c r="H72" s="434">
        <f>IFERROR(__xludf.DUMMYFUNCTION("""COMPUTED_VALUE"""),44996.99861111111)</f>
        <v>44996.99861</v>
      </c>
      <c r="I72" s="433">
        <f>IFERROR(__xludf.DUMMYFUNCTION("""COMPUTED_VALUE"""),1429.1008)</f>
        <v>1429.1008</v>
      </c>
    </row>
    <row r="73">
      <c r="A73" s="434">
        <f>IFERROR(__xludf.DUMMYFUNCTION("""COMPUTED_VALUE"""),42594.99861111111)</f>
        <v>42594.99861</v>
      </c>
      <c r="B73" s="433">
        <f>IFERROR(__xludf.DUMMYFUNCTION("""COMPUTED_VALUE"""),587.5)</f>
        <v>587.5</v>
      </c>
      <c r="C73" s="434">
        <f>IFERROR(__xludf.DUMMYFUNCTION("""COMPUTED_VALUE"""),42294.99861111111)</f>
        <v>42294.99861</v>
      </c>
      <c r="D73" s="433">
        <f>IFERROR(__xludf.DUMMYFUNCTION("""COMPUTED_VALUE"""),0.5341)</f>
        <v>0.5341</v>
      </c>
      <c r="F73" s="434">
        <f>IFERROR(__xludf.DUMMYFUNCTION("""COMPUTED_VALUE"""),44997.99861111111)</f>
        <v>44997.99861</v>
      </c>
      <c r="G73" s="433">
        <f>IFERROR(__xludf.DUMMYFUNCTION("""COMPUTED_VALUE"""),22113.55)</f>
        <v>22113.55</v>
      </c>
      <c r="H73" s="434">
        <f>IFERROR(__xludf.DUMMYFUNCTION("""COMPUTED_VALUE"""),44997.99861111111)</f>
        <v>44997.99861</v>
      </c>
      <c r="I73" s="433">
        <f>IFERROR(__xludf.DUMMYFUNCTION("""COMPUTED_VALUE"""),1482.4319)</f>
        <v>1482.4319</v>
      </c>
    </row>
    <row r="74">
      <c r="A74" s="434">
        <f>IFERROR(__xludf.DUMMYFUNCTION("""COMPUTED_VALUE"""),42597.99861111111)</f>
        <v>42597.99861</v>
      </c>
      <c r="B74" s="433">
        <f>IFERROR(__xludf.DUMMYFUNCTION("""COMPUTED_VALUE"""),569.29)</f>
        <v>569.29</v>
      </c>
      <c r="C74" s="434">
        <f>IFERROR(__xludf.DUMMYFUNCTION("""COMPUTED_VALUE"""),42295.99861111111)</f>
        <v>42295.99861</v>
      </c>
      <c r="D74" s="433">
        <f>IFERROR(__xludf.DUMMYFUNCTION("""COMPUTED_VALUE"""),0.5479)</f>
        <v>0.5479</v>
      </c>
      <c r="F74" s="434">
        <f>IFERROR(__xludf.DUMMYFUNCTION("""COMPUTED_VALUE"""),44998.99861111111)</f>
        <v>44998.99861</v>
      </c>
      <c r="G74" s="433">
        <f>IFERROR(__xludf.DUMMYFUNCTION("""COMPUTED_VALUE"""),24194.49)</f>
        <v>24194.49</v>
      </c>
      <c r="H74" s="434">
        <f>IFERROR(__xludf.DUMMYFUNCTION("""COMPUTED_VALUE"""),44998.99861111111)</f>
        <v>44998.99861</v>
      </c>
      <c r="I74" s="433">
        <f>IFERROR(__xludf.DUMMYFUNCTION("""COMPUTED_VALUE"""),1590.8312)</f>
        <v>1590.8312</v>
      </c>
    </row>
    <row r="75">
      <c r="A75" s="434">
        <f>IFERROR(__xludf.DUMMYFUNCTION("""COMPUTED_VALUE"""),42598.99861111111)</f>
        <v>42598.99861</v>
      </c>
      <c r="B75" s="433">
        <f>IFERROR(__xludf.DUMMYFUNCTION("""COMPUTED_VALUE"""),571.58)</f>
        <v>571.58</v>
      </c>
      <c r="C75" s="434">
        <f>IFERROR(__xludf.DUMMYFUNCTION("""COMPUTED_VALUE"""),42296.99861111111)</f>
        <v>42296.99861</v>
      </c>
      <c r="D75" s="433">
        <f>IFERROR(__xludf.DUMMYFUNCTION("""COMPUTED_VALUE"""),0.5176)</f>
        <v>0.5176</v>
      </c>
      <c r="F75" s="434">
        <f>IFERROR(__xludf.DUMMYFUNCTION("""COMPUTED_VALUE"""),44999.99861111111)</f>
        <v>44999.99861</v>
      </c>
      <c r="G75" s="433">
        <f>IFERROR(__xludf.DUMMYFUNCTION("""COMPUTED_VALUE"""),24760.07)</f>
        <v>24760.07</v>
      </c>
      <c r="H75" s="434">
        <f>IFERROR(__xludf.DUMMYFUNCTION("""COMPUTED_VALUE"""),44999.99861111111)</f>
        <v>44999.99861</v>
      </c>
      <c r="I75" s="433">
        <f>IFERROR(__xludf.DUMMYFUNCTION("""COMPUTED_VALUE"""),1680.2953)</f>
        <v>1680.2953</v>
      </c>
    </row>
    <row r="76">
      <c r="A76" s="434">
        <f>IFERROR(__xludf.DUMMYFUNCTION("""COMPUTED_VALUE"""),42599.99861111111)</f>
        <v>42599.99861</v>
      </c>
      <c r="B76" s="433">
        <f>IFERROR(__xludf.DUMMYFUNCTION("""COMPUTED_VALUE"""),574.78)</f>
        <v>574.78</v>
      </c>
      <c r="C76" s="434">
        <f>IFERROR(__xludf.DUMMYFUNCTION("""COMPUTED_VALUE"""),42297.99861111111)</f>
        <v>42297.99861</v>
      </c>
      <c r="D76" s="433">
        <f>IFERROR(__xludf.DUMMYFUNCTION("""COMPUTED_VALUE"""),0.4896)</f>
        <v>0.4896</v>
      </c>
      <c r="F76" s="434">
        <f>IFERROR(__xludf.DUMMYFUNCTION("""COMPUTED_VALUE"""),45000.99861111111)</f>
        <v>45000.99861</v>
      </c>
      <c r="G76" s="433">
        <f>IFERROR(__xludf.DUMMYFUNCTION("""COMPUTED_VALUE"""),24353.13)</f>
        <v>24353.13</v>
      </c>
      <c r="H76" s="434">
        <f>IFERROR(__xludf.DUMMYFUNCTION("""COMPUTED_VALUE"""),45000.99861111111)</f>
        <v>45000.99861</v>
      </c>
      <c r="I76" s="433">
        <f>IFERROR(__xludf.DUMMYFUNCTION("""COMPUTED_VALUE"""),1705.19)</f>
        <v>1705.19</v>
      </c>
    </row>
    <row r="77">
      <c r="A77" s="434">
        <f>IFERROR(__xludf.DUMMYFUNCTION("""COMPUTED_VALUE"""),42600.99861111111)</f>
        <v>42600.99861</v>
      </c>
      <c r="B77" s="433">
        <f>IFERROR(__xludf.DUMMYFUNCTION("""COMPUTED_VALUE"""),573.88)</f>
        <v>573.88</v>
      </c>
      <c r="C77" s="434">
        <f>IFERROR(__xludf.DUMMYFUNCTION("""COMPUTED_VALUE"""),42298.99861111111)</f>
        <v>42298.99861</v>
      </c>
      <c r="D77" s="433">
        <f>IFERROR(__xludf.DUMMYFUNCTION("""COMPUTED_VALUE"""),0.4316)</f>
        <v>0.4316</v>
      </c>
      <c r="F77" s="434">
        <f>IFERROR(__xludf.DUMMYFUNCTION("""COMPUTED_VALUE"""),45001.99861111111)</f>
        <v>45001.99861</v>
      </c>
      <c r="G77" s="433">
        <f>IFERROR(__xludf.DUMMYFUNCTION("""COMPUTED_VALUE"""),25048.39)</f>
        <v>25048.39</v>
      </c>
      <c r="H77" s="434">
        <f>IFERROR(__xludf.DUMMYFUNCTION("""COMPUTED_VALUE"""),45001.99861111111)</f>
        <v>45001.99861</v>
      </c>
      <c r="I77" s="433">
        <f>IFERROR(__xludf.DUMMYFUNCTION("""COMPUTED_VALUE"""),1656.332)</f>
        <v>1656.332</v>
      </c>
    </row>
    <row r="78">
      <c r="A78" s="434">
        <f>IFERROR(__xludf.DUMMYFUNCTION("""COMPUTED_VALUE"""),42601.99861111111)</f>
        <v>42601.99861</v>
      </c>
      <c r="B78" s="433">
        <f>IFERROR(__xludf.DUMMYFUNCTION("""COMPUTED_VALUE"""),573.83)</f>
        <v>573.83</v>
      </c>
      <c r="C78" s="434">
        <f>IFERROR(__xludf.DUMMYFUNCTION("""COMPUTED_VALUE"""),42299.99861111111)</f>
        <v>42299.99861</v>
      </c>
      <c r="D78" s="433">
        <f>IFERROR(__xludf.DUMMYFUNCTION("""COMPUTED_VALUE"""),0.445)</f>
        <v>0.445</v>
      </c>
      <c r="F78" s="434">
        <f>IFERROR(__xludf.DUMMYFUNCTION("""COMPUTED_VALUE"""),45002.99861111111)</f>
        <v>45002.99861</v>
      </c>
      <c r="G78" s="433">
        <f>IFERROR(__xludf.DUMMYFUNCTION("""COMPUTED_VALUE"""),27410.82)</f>
        <v>27410.82</v>
      </c>
      <c r="H78" s="434">
        <f>IFERROR(__xludf.DUMMYFUNCTION("""COMPUTED_VALUE"""),45002.99861111111)</f>
        <v>45002.99861</v>
      </c>
      <c r="I78" s="433">
        <f>IFERROR(__xludf.DUMMYFUNCTION("""COMPUTED_VALUE"""),1677.2967)</f>
        <v>1677.2967</v>
      </c>
    </row>
    <row r="79">
      <c r="A79" s="434">
        <f>IFERROR(__xludf.DUMMYFUNCTION("""COMPUTED_VALUE"""),42604.99861111111)</f>
        <v>42604.99861</v>
      </c>
      <c r="B79" s="433">
        <f>IFERROR(__xludf.DUMMYFUNCTION("""COMPUTED_VALUE"""),582.64)</f>
        <v>582.64</v>
      </c>
      <c r="C79" s="434">
        <f>IFERROR(__xludf.DUMMYFUNCTION("""COMPUTED_VALUE"""),42300.99861111111)</f>
        <v>42300.99861</v>
      </c>
      <c r="D79" s="433">
        <f>IFERROR(__xludf.DUMMYFUNCTION("""COMPUTED_VALUE"""),0.5664)</f>
        <v>0.5664</v>
      </c>
      <c r="F79" s="434">
        <f>IFERROR(__xludf.DUMMYFUNCTION("""COMPUTED_VALUE"""),45003.99861111111)</f>
        <v>45003.99861</v>
      </c>
      <c r="G79" s="433">
        <f>IFERROR(__xludf.DUMMYFUNCTION("""COMPUTED_VALUE"""),26965.2)</f>
        <v>26965.2</v>
      </c>
      <c r="H79" s="434">
        <f>IFERROR(__xludf.DUMMYFUNCTION("""COMPUTED_VALUE"""),45003.99861111111)</f>
        <v>45003.99861</v>
      </c>
      <c r="I79" s="433">
        <f>IFERROR(__xludf.DUMMYFUNCTION("""COMPUTED_VALUE"""),1793.5924)</f>
        <v>1793.5924</v>
      </c>
    </row>
    <row r="80">
      <c r="A80" s="434">
        <f>IFERROR(__xludf.DUMMYFUNCTION("""COMPUTED_VALUE"""),42605.99861111111)</f>
        <v>42605.99861</v>
      </c>
      <c r="B80" s="433">
        <f>IFERROR(__xludf.DUMMYFUNCTION("""COMPUTED_VALUE"""),583.85)</f>
        <v>583.85</v>
      </c>
      <c r="C80" s="434">
        <f>IFERROR(__xludf.DUMMYFUNCTION("""COMPUTED_VALUE"""),42301.99861111111)</f>
        <v>42301.99861</v>
      </c>
      <c r="D80" s="433">
        <f>IFERROR(__xludf.DUMMYFUNCTION("""COMPUTED_VALUE"""),0.5397)</f>
        <v>0.5397</v>
      </c>
      <c r="F80" s="434">
        <f>IFERROR(__xludf.DUMMYFUNCTION("""COMPUTED_VALUE"""),45004.99861111111)</f>
        <v>45004.99861</v>
      </c>
      <c r="G80" s="433">
        <f>IFERROR(__xludf.DUMMYFUNCTION("""COMPUTED_VALUE"""),28028.15)</f>
        <v>28028.15</v>
      </c>
      <c r="H80" s="434">
        <f>IFERROR(__xludf.DUMMYFUNCTION("""COMPUTED_VALUE"""),45004.99861111111)</f>
        <v>45004.99861</v>
      </c>
      <c r="I80" s="433">
        <f>IFERROR(__xludf.DUMMYFUNCTION("""COMPUTED_VALUE"""),1762.9632)</f>
        <v>1762.9632</v>
      </c>
    </row>
    <row r="81">
      <c r="A81" s="434">
        <f>IFERROR(__xludf.DUMMYFUNCTION("""COMPUTED_VALUE"""),42606.99861111111)</f>
        <v>42606.99861</v>
      </c>
      <c r="B81" s="433">
        <f>IFERROR(__xludf.DUMMYFUNCTION("""COMPUTED_VALUE"""),580.31)</f>
        <v>580.31</v>
      </c>
      <c r="C81" s="434">
        <f>IFERROR(__xludf.DUMMYFUNCTION("""COMPUTED_VALUE"""),42302.99861111111)</f>
        <v>42302.99861</v>
      </c>
      <c r="D81" s="433">
        <f>IFERROR(__xludf.DUMMYFUNCTION("""COMPUTED_VALUE"""),0.5632)</f>
        <v>0.5632</v>
      </c>
      <c r="F81" s="434">
        <f>IFERROR(__xludf.DUMMYFUNCTION("""COMPUTED_VALUE"""),45005.99861111111)</f>
        <v>45005.99861</v>
      </c>
      <c r="G81" s="433">
        <f>IFERROR(__xludf.DUMMYFUNCTION("""COMPUTED_VALUE"""),27787.94)</f>
        <v>27787.94</v>
      </c>
      <c r="H81" s="434">
        <f>IFERROR(__xludf.DUMMYFUNCTION("""COMPUTED_VALUE"""),45005.99861111111)</f>
        <v>45005.99861</v>
      </c>
      <c r="I81" s="433">
        <f>IFERROR(__xludf.DUMMYFUNCTION("""COMPUTED_VALUE"""),1785.4163)</f>
        <v>1785.4163</v>
      </c>
    </row>
    <row r="82">
      <c r="A82" s="434">
        <f>IFERROR(__xludf.DUMMYFUNCTION("""COMPUTED_VALUE"""),42607.99861111111)</f>
        <v>42607.99861</v>
      </c>
      <c r="B82" s="433">
        <f>IFERROR(__xludf.DUMMYFUNCTION("""COMPUTED_VALUE"""),575.55)</f>
        <v>575.55</v>
      </c>
      <c r="C82" s="434">
        <f>IFERROR(__xludf.DUMMYFUNCTION("""COMPUTED_VALUE"""),42303.99861111111)</f>
        <v>42303.99861</v>
      </c>
      <c r="D82" s="433">
        <f>IFERROR(__xludf.DUMMYFUNCTION("""COMPUTED_VALUE"""),0.6197)</f>
        <v>0.6197</v>
      </c>
      <c r="F82" s="434">
        <f>IFERROR(__xludf.DUMMYFUNCTION("""COMPUTED_VALUE"""),45006.99861111111)</f>
        <v>45006.99861</v>
      </c>
      <c r="G82" s="433">
        <f>IFERROR(__xludf.DUMMYFUNCTION("""COMPUTED_VALUE"""),28181.73)</f>
        <v>28181.73</v>
      </c>
      <c r="H82" s="434">
        <f>IFERROR(__xludf.DUMMYFUNCTION("""COMPUTED_VALUE"""),45006.99861111111)</f>
        <v>45006.99861</v>
      </c>
      <c r="I82" s="433">
        <f>IFERROR(__xludf.DUMMYFUNCTION("""COMPUTED_VALUE"""),1735.618)</f>
        <v>1735.618</v>
      </c>
    </row>
    <row r="83">
      <c r="A83" s="434">
        <f>IFERROR(__xludf.DUMMYFUNCTION("""COMPUTED_VALUE"""),42608.99861111111)</f>
        <v>42608.99861</v>
      </c>
      <c r="B83" s="433">
        <f>IFERROR(__xludf.DUMMYFUNCTION("""COMPUTED_VALUE"""),577.17)</f>
        <v>577.17</v>
      </c>
      <c r="C83" s="434">
        <f>IFERROR(__xludf.DUMMYFUNCTION("""COMPUTED_VALUE"""),42304.99861111111)</f>
        <v>42304.99861</v>
      </c>
      <c r="D83" s="433">
        <f>IFERROR(__xludf.DUMMYFUNCTION("""COMPUTED_VALUE"""),0.7089)</f>
        <v>0.7089</v>
      </c>
      <c r="F83" s="434">
        <f>IFERROR(__xludf.DUMMYFUNCTION("""COMPUTED_VALUE"""),45007.99861111111)</f>
        <v>45007.99861</v>
      </c>
      <c r="G83" s="433">
        <f>IFERROR(__xludf.DUMMYFUNCTION("""COMPUTED_VALUE"""),27311.64)</f>
        <v>27311.64</v>
      </c>
      <c r="H83" s="434">
        <f>IFERROR(__xludf.DUMMYFUNCTION("""COMPUTED_VALUE"""),45007.99861111111)</f>
        <v>45007.99861</v>
      </c>
      <c r="I83" s="433">
        <f>IFERROR(__xludf.DUMMYFUNCTION("""COMPUTED_VALUE"""),1804.957)</f>
        <v>1804.957</v>
      </c>
    </row>
    <row r="84">
      <c r="A84" s="434">
        <f>IFERROR(__xludf.DUMMYFUNCTION("""COMPUTED_VALUE"""),42611.99861111111)</f>
        <v>42611.99861</v>
      </c>
      <c r="B84" s="433">
        <f>IFERROR(__xludf.DUMMYFUNCTION("""COMPUTED_VALUE"""),574.7)</f>
        <v>574.7</v>
      </c>
      <c r="C84" s="434">
        <f>IFERROR(__xludf.DUMMYFUNCTION("""COMPUTED_VALUE"""),42305.99861111111)</f>
        <v>42305.99861</v>
      </c>
      <c r="D84" s="433">
        <f>IFERROR(__xludf.DUMMYFUNCTION("""COMPUTED_VALUE"""),0.8709)</f>
        <v>0.8709</v>
      </c>
      <c r="F84" s="434">
        <f>IFERROR(__xludf.DUMMYFUNCTION("""COMPUTED_VALUE"""),45008.99861111111)</f>
        <v>45008.99861</v>
      </c>
      <c r="G84" s="433">
        <f>IFERROR(__xludf.DUMMYFUNCTION("""COMPUTED_VALUE"""),28333.66)</f>
        <v>28333.66</v>
      </c>
      <c r="H84" s="434">
        <f>IFERROR(__xludf.DUMMYFUNCTION("""COMPUTED_VALUE"""),45008.99861111111)</f>
        <v>45008.99861</v>
      </c>
      <c r="I84" s="433">
        <f>IFERROR(__xludf.DUMMYFUNCTION("""COMPUTED_VALUE"""),1737.1409)</f>
        <v>1737.1409</v>
      </c>
    </row>
    <row r="85">
      <c r="A85" s="434">
        <f>IFERROR(__xludf.DUMMYFUNCTION("""COMPUTED_VALUE"""),42612.99861111111)</f>
        <v>42612.99861</v>
      </c>
      <c r="B85" s="433">
        <f>IFERROR(__xludf.DUMMYFUNCTION("""COMPUTED_VALUE"""),576.7)</f>
        <v>576.7</v>
      </c>
      <c r="C85" s="434">
        <f>IFERROR(__xludf.DUMMYFUNCTION("""COMPUTED_VALUE"""),42306.99861111111)</f>
        <v>42306.99861</v>
      </c>
      <c r="D85" s="433">
        <f>IFERROR(__xludf.DUMMYFUNCTION("""COMPUTED_VALUE"""),1.0053)</f>
        <v>1.0053</v>
      </c>
      <c r="F85" s="434">
        <f>IFERROR(__xludf.DUMMYFUNCTION("""COMPUTED_VALUE"""),45009.99861111111)</f>
        <v>45009.99861</v>
      </c>
      <c r="G85" s="433">
        <f>IFERROR(__xludf.DUMMYFUNCTION("""COMPUTED_VALUE"""),27477.05)</f>
        <v>27477.05</v>
      </c>
      <c r="H85" s="434">
        <f>IFERROR(__xludf.DUMMYFUNCTION("""COMPUTED_VALUE"""),45009.99861111111)</f>
        <v>45009.99861</v>
      </c>
      <c r="I85" s="433">
        <f>IFERROR(__xludf.DUMMYFUNCTION("""COMPUTED_VALUE"""),1815.8198)</f>
        <v>1815.8198</v>
      </c>
    </row>
    <row r="86">
      <c r="A86" s="434">
        <f>IFERROR(__xludf.DUMMYFUNCTION("""COMPUTED_VALUE"""),42613.99861111111)</f>
        <v>42613.99861</v>
      </c>
      <c r="B86" s="433">
        <f>IFERROR(__xludf.DUMMYFUNCTION("""COMPUTED_VALUE"""),574.64)</f>
        <v>574.64</v>
      </c>
      <c r="C86" s="434">
        <f>IFERROR(__xludf.DUMMYFUNCTION("""COMPUTED_VALUE"""),42307.99861111111)</f>
        <v>42307.99861</v>
      </c>
      <c r="D86" s="433">
        <f>IFERROR(__xludf.DUMMYFUNCTION("""COMPUTED_VALUE"""),1.2092)</f>
        <v>1.2092</v>
      </c>
      <c r="F86" s="434">
        <f>IFERROR(__xludf.DUMMYFUNCTION("""COMPUTED_VALUE"""),45010.99861111111)</f>
        <v>45010.99861</v>
      </c>
      <c r="G86" s="433">
        <f>IFERROR(__xludf.DUMMYFUNCTION("""COMPUTED_VALUE"""),27487.04)</f>
        <v>27487.04</v>
      </c>
      <c r="H86" s="434">
        <f>IFERROR(__xludf.DUMMYFUNCTION("""COMPUTED_VALUE"""),45010.99861111111)</f>
        <v>45010.99861</v>
      </c>
      <c r="I86" s="433">
        <f>IFERROR(__xludf.DUMMYFUNCTION("""COMPUTED_VALUE"""),1751.4695)</f>
        <v>1751.4695</v>
      </c>
    </row>
    <row r="87">
      <c r="A87" s="434">
        <f>IFERROR(__xludf.DUMMYFUNCTION("""COMPUTED_VALUE"""),42614.99861111111)</f>
        <v>42614.99861</v>
      </c>
      <c r="B87" s="433">
        <f>IFERROR(__xludf.DUMMYFUNCTION("""COMPUTED_VALUE"""),573.07)</f>
        <v>573.07</v>
      </c>
      <c r="C87" s="434">
        <f>IFERROR(__xludf.DUMMYFUNCTION("""COMPUTED_VALUE"""),42308.99861111111)</f>
        <v>42308.99861</v>
      </c>
      <c r="D87" s="433">
        <f>IFERROR(__xludf.DUMMYFUNCTION("""COMPUTED_VALUE"""),1.0466)</f>
        <v>1.0466</v>
      </c>
      <c r="F87" s="434">
        <f>IFERROR(__xludf.DUMMYFUNCTION("""COMPUTED_VALUE"""),45011.99861111111)</f>
        <v>45011.99861</v>
      </c>
      <c r="G87" s="433">
        <f>IFERROR(__xludf.DUMMYFUNCTION("""COMPUTED_VALUE"""),27993.43)</f>
        <v>27993.43</v>
      </c>
      <c r="H87" s="434">
        <f>IFERROR(__xludf.DUMMYFUNCTION("""COMPUTED_VALUE"""),45011.99861111111)</f>
        <v>45011.99861</v>
      </c>
      <c r="I87" s="433">
        <f>IFERROR(__xludf.DUMMYFUNCTION("""COMPUTED_VALUE"""),1743.8421)</f>
        <v>1743.8421</v>
      </c>
    </row>
    <row r="88">
      <c r="A88" s="434">
        <f>IFERROR(__xludf.DUMMYFUNCTION("""COMPUTED_VALUE"""),42615.99861111111)</f>
        <v>42615.99861</v>
      </c>
      <c r="B88" s="433">
        <f>IFERROR(__xludf.DUMMYFUNCTION("""COMPUTED_VALUE"""),573.31)</f>
        <v>573.31</v>
      </c>
      <c r="C88" s="434">
        <f>IFERROR(__xludf.DUMMYFUNCTION("""COMPUTED_VALUE"""),42309.99861111111)</f>
        <v>42309.99861</v>
      </c>
      <c r="D88" s="433">
        <f>IFERROR(__xludf.DUMMYFUNCTION("""COMPUTED_VALUE"""),0.9208)</f>
        <v>0.9208</v>
      </c>
      <c r="F88" s="434">
        <f>IFERROR(__xludf.DUMMYFUNCTION("""COMPUTED_VALUE"""),45012.99861111111)</f>
        <v>45012.99861</v>
      </c>
      <c r="G88" s="433">
        <f>IFERROR(__xludf.DUMMYFUNCTION("""COMPUTED_VALUE"""),27135.23)</f>
        <v>27135.23</v>
      </c>
      <c r="H88" s="434">
        <f>IFERROR(__xludf.DUMMYFUNCTION("""COMPUTED_VALUE"""),45012.99861111111)</f>
        <v>45012.99861</v>
      </c>
      <c r="I88" s="433">
        <f>IFERROR(__xludf.DUMMYFUNCTION("""COMPUTED_VALUE"""),1775.4813)</f>
        <v>1775.4813</v>
      </c>
    </row>
    <row r="89">
      <c r="A89" s="434">
        <f>IFERROR(__xludf.DUMMYFUNCTION("""COMPUTED_VALUE"""),42618.99861111111)</f>
        <v>42618.99861</v>
      </c>
      <c r="B89" s="433">
        <f>IFERROR(__xludf.DUMMYFUNCTION("""COMPUTED_VALUE"""),606.29)</f>
        <v>606.29</v>
      </c>
      <c r="C89" s="434">
        <f>IFERROR(__xludf.DUMMYFUNCTION("""COMPUTED_VALUE"""),42310.99861111111)</f>
        <v>42310.99861</v>
      </c>
      <c r="D89" s="433">
        <f>IFERROR(__xludf.DUMMYFUNCTION("""COMPUTED_VALUE"""),1.058)</f>
        <v>1.058</v>
      </c>
      <c r="F89" s="434">
        <f>IFERROR(__xludf.DUMMYFUNCTION("""COMPUTED_VALUE"""),45013.99861111111)</f>
        <v>45013.99861</v>
      </c>
      <c r="G89" s="433">
        <f>IFERROR(__xludf.DUMMYFUNCTION("""COMPUTED_VALUE"""),27270.56)</f>
        <v>27270.56</v>
      </c>
      <c r="H89" s="434">
        <f>IFERROR(__xludf.DUMMYFUNCTION("""COMPUTED_VALUE"""),45013.99861111111)</f>
        <v>45013.99861</v>
      </c>
      <c r="I89" s="433">
        <f>IFERROR(__xludf.DUMMYFUNCTION("""COMPUTED_VALUE"""),1715.3274)</f>
        <v>1715.3274</v>
      </c>
    </row>
    <row r="90">
      <c r="A90" s="434">
        <f>IFERROR(__xludf.DUMMYFUNCTION("""COMPUTED_VALUE"""),42619.99861111111)</f>
        <v>42619.99861</v>
      </c>
      <c r="B90" s="433">
        <f>IFERROR(__xludf.DUMMYFUNCTION("""COMPUTED_VALUE"""),608.3)</f>
        <v>608.3</v>
      </c>
      <c r="C90" s="434">
        <f>IFERROR(__xludf.DUMMYFUNCTION("""COMPUTED_VALUE"""),42311.99861111111)</f>
        <v>42311.99861</v>
      </c>
      <c r="D90" s="433">
        <f>IFERROR(__xludf.DUMMYFUNCTION("""COMPUTED_VALUE"""),0.9946)</f>
        <v>0.9946</v>
      </c>
      <c r="F90" s="434">
        <f>IFERROR(__xludf.DUMMYFUNCTION("""COMPUTED_VALUE"""),45014.99861111111)</f>
        <v>45014.99861</v>
      </c>
      <c r="G90" s="433">
        <f>IFERROR(__xludf.DUMMYFUNCTION("""COMPUTED_VALUE"""),28352.95)</f>
        <v>28352.95</v>
      </c>
      <c r="H90" s="434">
        <f>IFERROR(__xludf.DUMMYFUNCTION("""COMPUTED_VALUE"""),45014.99861111111)</f>
        <v>45014.99861</v>
      </c>
      <c r="I90" s="433">
        <f>IFERROR(__xludf.DUMMYFUNCTION("""COMPUTED_VALUE"""),1772.9)</f>
        <v>1772.9</v>
      </c>
    </row>
    <row r="91">
      <c r="A91" s="434">
        <f>IFERROR(__xludf.DUMMYFUNCTION("""COMPUTED_VALUE"""),42620.99861111111)</f>
        <v>42620.99861</v>
      </c>
      <c r="B91" s="433">
        <f>IFERROR(__xludf.DUMMYFUNCTION("""COMPUTED_VALUE"""),611.99)</f>
        <v>611.99</v>
      </c>
      <c r="C91" s="434">
        <f>IFERROR(__xludf.DUMMYFUNCTION("""COMPUTED_VALUE"""),42312.99861111111)</f>
        <v>42312.99861</v>
      </c>
      <c r="D91" s="433">
        <f>IFERROR(__xludf.DUMMYFUNCTION("""COMPUTED_VALUE"""),1.0106)</f>
        <v>1.0106</v>
      </c>
      <c r="F91" s="434">
        <f>IFERROR(__xludf.DUMMYFUNCTION("""COMPUTED_VALUE"""),45015.99861111111)</f>
        <v>45015.99861</v>
      </c>
      <c r="G91" s="433">
        <f>IFERROR(__xludf.DUMMYFUNCTION("""COMPUTED_VALUE"""),28036.68)</f>
        <v>28036.68</v>
      </c>
      <c r="H91" s="434">
        <f>IFERROR(__xludf.DUMMYFUNCTION("""COMPUTED_VALUE"""),45015.99861111111)</f>
        <v>45015.99861</v>
      </c>
      <c r="I91" s="433">
        <f>IFERROR(__xludf.DUMMYFUNCTION("""COMPUTED_VALUE"""),1793.3459)</f>
        <v>1793.3459</v>
      </c>
    </row>
    <row r="92">
      <c r="A92" s="434">
        <f>IFERROR(__xludf.DUMMYFUNCTION("""COMPUTED_VALUE"""),42621.99861111111)</f>
        <v>42621.99861</v>
      </c>
      <c r="B92" s="433">
        <f>IFERROR(__xludf.DUMMYFUNCTION("""COMPUTED_VALUE"""),622.63)</f>
        <v>622.63</v>
      </c>
      <c r="C92" s="434">
        <f>IFERROR(__xludf.DUMMYFUNCTION("""COMPUTED_VALUE"""),42313.99861111111)</f>
        <v>42313.99861</v>
      </c>
      <c r="D92" s="433">
        <f>IFERROR(__xludf.DUMMYFUNCTION("""COMPUTED_VALUE"""),0.9007)</f>
        <v>0.9007</v>
      </c>
      <c r="F92" s="434">
        <f>IFERROR(__xludf.DUMMYFUNCTION("""COMPUTED_VALUE"""),45016.99861111111)</f>
        <v>45016.99861</v>
      </c>
      <c r="G92" s="433">
        <f>IFERROR(__xludf.DUMMYFUNCTION("""COMPUTED_VALUE"""),28474.26)</f>
        <v>28474.26</v>
      </c>
      <c r="H92" s="434">
        <f>IFERROR(__xludf.DUMMYFUNCTION("""COMPUTED_VALUE"""),45016.99861111111)</f>
        <v>45016.99861</v>
      </c>
      <c r="I92" s="433">
        <f>IFERROR(__xludf.DUMMYFUNCTION("""COMPUTED_VALUE"""),1793.6201)</f>
        <v>1793.6201</v>
      </c>
    </row>
    <row r="93">
      <c r="A93" s="434">
        <f>IFERROR(__xludf.DUMMYFUNCTION("""COMPUTED_VALUE"""),42622.99861111111)</f>
        <v>42622.99861</v>
      </c>
      <c r="B93" s="433">
        <f>IFERROR(__xludf.DUMMYFUNCTION("""COMPUTED_VALUE"""),623.47)</f>
        <v>623.47</v>
      </c>
      <c r="C93" s="434">
        <f>IFERROR(__xludf.DUMMYFUNCTION("""COMPUTED_VALUE"""),42314.99861111111)</f>
        <v>42314.99861</v>
      </c>
      <c r="D93" s="433">
        <f>IFERROR(__xludf.DUMMYFUNCTION("""COMPUTED_VALUE"""),0.9048)</f>
        <v>0.9048</v>
      </c>
      <c r="F93" s="434">
        <f>IFERROR(__xludf.DUMMYFUNCTION("""COMPUTED_VALUE"""),45017.99861111111)</f>
        <v>45017.99861</v>
      </c>
      <c r="G93" s="433">
        <f>IFERROR(__xludf.DUMMYFUNCTION("""COMPUTED_VALUE"""),28463.44)</f>
        <v>28463.44</v>
      </c>
      <c r="H93" s="434">
        <f>IFERROR(__xludf.DUMMYFUNCTION("""COMPUTED_VALUE"""),45017.99861111111)</f>
        <v>45017.99861</v>
      </c>
      <c r="I93" s="433">
        <f>IFERROR(__xludf.DUMMYFUNCTION("""COMPUTED_VALUE"""),1821.7044)</f>
        <v>1821.7044</v>
      </c>
    </row>
    <row r="94">
      <c r="A94" s="434">
        <f>IFERROR(__xludf.DUMMYFUNCTION("""COMPUTED_VALUE"""),42625.99861111111)</f>
        <v>42625.99861</v>
      </c>
      <c r="B94" s="433">
        <f>IFERROR(__xludf.DUMMYFUNCTION("""COMPUTED_VALUE"""),607.51)</f>
        <v>607.51</v>
      </c>
      <c r="C94" s="434">
        <f>IFERROR(__xludf.DUMMYFUNCTION("""COMPUTED_VALUE"""),42315.99861111111)</f>
        <v>42315.99861</v>
      </c>
      <c r="D94" s="433">
        <f>IFERROR(__xludf.DUMMYFUNCTION("""COMPUTED_VALUE"""),0.9237)</f>
        <v>0.9237</v>
      </c>
      <c r="F94" s="434">
        <f>IFERROR(__xludf.DUMMYFUNCTION("""COMPUTED_VALUE"""),45018.99861111111)</f>
        <v>45018.99861</v>
      </c>
      <c r="G94" s="433">
        <f>IFERROR(__xludf.DUMMYFUNCTION("""COMPUTED_VALUE"""),28188.3)</f>
        <v>28188.3</v>
      </c>
      <c r="H94" s="434">
        <f>IFERROR(__xludf.DUMMYFUNCTION("""COMPUTED_VALUE"""),45018.99861111111)</f>
        <v>45018.99861</v>
      </c>
      <c r="I94" s="433">
        <f>IFERROR(__xludf.DUMMYFUNCTION("""COMPUTED_VALUE"""),1821.1921)</f>
        <v>1821.1921</v>
      </c>
    </row>
    <row r="95">
      <c r="A95" s="434">
        <f>IFERROR(__xludf.DUMMYFUNCTION("""COMPUTED_VALUE"""),42626.99861111111)</f>
        <v>42626.99861</v>
      </c>
      <c r="B95" s="433">
        <f>IFERROR(__xludf.DUMMYFUNCTION("""COMPUTED_VALUE"""),609.22)</f>
        <v>609.22</v>
      </c>
      <c r="C95" s="434">
        <f>IFERROR(__xludf.DUMMYFUNCTION("""COMPUTED_VALUE"""),42316.99861111111)</f>
        <v>42316.99861</v>
      </c>
      <c r="D95" s="433">
        <f>IFERROR(__xludf.DUMMYFUNCTION("""COMPUTED_VALUE"""),0.9157)</f>
        <v>0.9157</v>
      </c>
      <c r="F95" s="434">
        <f>IFERROR(__xludf.DUMMYFUNCTION("""COMPUTED_VALUE"""),45019.99861111111)</f>
        <v>45019.99861</v>
      </c>
      <c r="G95" s="433">
        <f>IFERROR(__xludf.DUMMYFUNCTION("""COMPUTED_VALUE"""),27805.71)</f>
        <v>27805.71</v>
      </c>
      <c r="H95" s="434">
        <f>IFERROR(__xludf.DUMMYFUNCTION("""COMPUTED_VALUE"""),45019.99861111111)</f>
        <v>45019.99861</v>
      </c>
      <c r="I95" s="433">
        <f>IFERROR(__xludf.DUMMYFUNCTION("""COMPUTED_VALUE"""),1794.9224)</f>
        <v>1794.9224</v>
      </c>
    </row>
    <row r="96">
      <c r="A96" s="434">
        <f>IFERROR(__xludf.DUMMYFUNCTION("""COMPUTED_VALUE"""),42627.99861111111)</f>
        <v>42627.99861</v>
      </c>
      <c r="B96" s="433">
        <f>IFERROR(__xludf.DUMMYFUNCTION("""COMPUTED_VALUE"""),610.89)</f>
        <v>610.89</v>
      </c>
      <c r="C96" s="434">
        <f>IFERROR(__xludf.DUMMYFUNCTION("""COMPUTED_VALUE"""),42317.99861111111)</f>
        <v>42317.99861</v>
      </c>
      <c r="D96" s="433">
        <f>IFERROR(__xludf.DUMMYFUNCTION("""COMPUTED_VALUE"""),1.0325)</f>
        <v>1.0325</v>
      </c>
      <c r="F96" s="434">
        <f>IFERROR(__xludf.DUMMYFUNCTION("""COMPUTED_VALUE"""),45020.99861111111)</f>
        <v>45020.99861</v>
      </c>
      <c r="G96" s="433">
        <f>IFERROR(__xludf.DUMMYFUNCTION("""COMPUTED_VALUE"""),28169.03)</f>
        <v>28169.03</v>
      </c>
      <c r="H96" s="434">
        <f>IFERROR(__xludf.DUMMYFUNCTION("""COMPUTED_VALUE"""),45020.99861111111)</f>
        <v>45020.99861</v>
      </c>
      <c r="I96" s="433">
        <f>IFERROR(__xludf.DUMMYFUNCTION("""COMPUTED_VALUE"""),1810.1421)</f>
        <v>1810.1421</v>
      </c>
    </row>
    <row r="97">
      <c r="A97" s="434">
        <f>IFERROR(__xludf.DUMMYFUNCTION("""COMPUTED_VALUE"""),42628.99861111111)</f>
        <v>42628.99861</v>
      </c>
      <c r="B97" s="433">
        <f>IFERROR(__xludf.DUMMYFUNCTION("""COMPUTED_VALUE"""),610.37)</f>
        <v>610.37</v>
      </c>
      <c r="C97" s="434">
        <f>IFERROR(__xludf.DUMMYFUNCTION("""COMPUTED_VALUE"""),42318.99861111111)</f>
        <v>42318.99861</v>
      </c>
      <c r="D97" s="433">
        <f>IFERROR(__xludf.DUMMYFUNCTION("""COMPUTED_VALUE"""),1.0013)</f>
        <v>1.0013</v>
      </c>
      <c r="F97" s="434">
        <f>IFERROR(__xludf.DUMMYFUNCTION("""COMPUTED_VALUE"""),45021.99861111111)</f>
        <v>45021.99861</v>
      </c>
      <c r="G97" s="433">
        <f>IFERROR(__xludf.DUMMYFUNCTION("""COMPUTED_VALUE"""),28176.88)</f>
        <v>28176.88</v>
      </c>
      <c r="H97" s="434">
        <f>IFERROR(__xludf.DUMMYFUNCTION("""COMPUTED_VALUE"""),45021.99861111111)</f>
        <v>45021.99861</v>
      </c>
      <c r="I97" s="433">
        <f>IFERROR(__xludf.DUMMYFUNCTION("""COMPUTED_VALUE"""),1870.9651)</f>
        <v>1870.9651</v>
      </c>
    </row>
    <row r="98">
      <c r="A98" s="434">
        <f>IFERROR(__xludf.DUMMYFUNCTION("""COMPUTED_VALUE"""),42629.99861111111)</f>
        <v>42629.99861</v>
      </c>
      <c r="B98" s="433">
        <f>IFERROR(__xludf.DUMMYFUNCTION("""COMPUTED_VALUE"""),609.07)</f>
        <v>609.07</v>
      </c>
      <c r="C98" s="434">
        <f>IFERROR(__xludf.DUMMYFUNCTION("""COMPUTED_VALUE"""),42319.99861111111)</f>
        <v>42319.99861</v>
      </c>
      <c r="D98" s="433">
        <f>IFERROR(__xludf.DUMMYFUNCTION("""COMPUTED_VALUE"""),0.9413)</f>
        <v>0.9413</v>
      </c>
      <c r="F98" s="434">
        <f>IFERROR(__xludf.DUMMYFUNCTION("""COMPUTED_VALUE"""),45022.99861111111)</f>
        <v>45022.99861</v>
      </c>
      <c r="G98" s="433">
        <f>IFERROR(__xludf.DUMMYFUNCTION("""COMPUTED_VALUE"""),28044.15)</f>
        <v>28044.15</v>
      </c>
      <c r="H98" s="434">
        <f>IFERROR(__xludf.DUMMYFUNCTION("""COMPUTED_VALUE"""),45022.99861111111)</f>
        <v>45022.99861</v>
      </c>
      <c r="I98" s="433">
        <f>IFERROR(__xludf.DUMMYFUNCTION("""COMPUTED_VALUE"""),1909.1435)</f>
        <v>1909.1435</v>
      </c>
    </row>
    <row r="99">
      <c r="A99" s="434">
        <f>IFERROR(__xludf.DUMMYFUNCTION("""COMPUTED_VALUE"""),42632.99861111111)</f>
        <v>42632.99861</v>
      </c>
      <c r="B99" s="433">
        <f>IFERROR(__xludf.DUMMYFUNCTION("""COMPUTED_VALUE"""),610.38)</f>
        <v>610.38</v>
      </c>
      <c r="C99" s="434">
        <f>IFERROR(__xludf.DUMMYFUNCTION("""COMPUTED_VALUE"""),42320.99861111111)</f>
        <v>42320.99861</v>
      </c>
      <c r="D99" s="433">
        <f>IFERROR(__xludf.DUMMYFUNCTION("""COMPUTED_VALUE"""),0.7965)</f>
        <v>0.7965</v>
      </c>
      <c r="F99" s="434">
        <f>IFERROR(__xludf.DUMMYFUNCTION("""COMPUTED_VALUE"""),45023.99861111111)</f>
        <v>45023.99861</v>
      </c>
      <c r="G99" s="433">
        <f>IFERROR(__xludf.DUMMYFUNCTION("""COMPUTED_VALUE"""),27920.95)</f>
        <v>27920.95</v>
      </c>
      <c r="H99" s="434">
        <f>IFERROR(__xludf.DUMMYFUNCTION("""COMPUTED_VALUE"""),45023.99861111111)</f>
        <v>45023.99861</v>
      </c>
      <c r="I99" s="433">
        <f>IFERROR(__xludf.DUMMYFUNCTION("""COMPUTED_VALUE"""),1872.7341)</f>
        <v>1872.7341</v>
      </c>
    </row>
    <row r="100">
      <c r="A100" s="434">
        <f>IFERROR(__xludf.DUMMYFUNCTION("""COMPUTED_VALUE"""),42633.99861111111)</f>
        <v>42633.99861</v>
      </c>
      <c r="B100" s="433">
        <f>IFERROR(__xludf.DUMMYFUNCTION("""COMPUTED_VALUE"""),609.13)</f>
        <v>609.13</v>
      </c>
      <c r="C100" s="434">
        <f>IFERROR(__xludf.DUMMYFUNCTION("""COMPUTED_VALUE"""),42321.99861111111)</f>
        <v>42321.99861</v>
      </c>
      <c r="D100" s="433">
        <f>IFERROR(__xludf.DUMMYFUNCTION("""COMPUTED_VALUE"""),0.9077)</f>
        <v>0.9077</v>
      </c>
      <c r="F100" s="434">
        <f>IFERROR(__xludf.DUMMYFUNCTION("""COMPUTED_VALUE"""),45024.99861111111)</f>
        <v>45024.99861</v>
      </c>
      <c r="G100" s="433">
        <f>IFERROR(__xludf.DUMMYFUNCTION("""COMPUTED_VALUE"""),27952.19)</f>
        <v>27952.19</v>
      </c>
      <c r="H100" s="434">
        <f>IFERROR(__xludf.DUMMYFUNCTION("""COMPUTED_VALUE"""),45024.99861111111)</f>
        <v>45024.99861</v>
      </c>
      <c r="I100" s="433">
        <f>IFERROR(__xludf.DUMMYFUNCTION("""COMPUTED_VALUE"""),1864.6791)</f>
        <v>1864.6791</v>
      </c>
    </row>
    <row r="101">
      <c r="A101" s="434">
        <f>IFERROR(__xludf.DUMMYFUNCTION("""COMPUTED_VALUE"""),42634.99861111111)</f>
        <v>42634.99861</v>
      </c>
      <c r="B101" s="433">
        <f>IFERROR(__xludf.DUMMYFUNCTION("""COMPUTED_VALUE"""),597.56)</f>
        <v>597.56</v>
      </c>
      <c r="C101" s="434">
        <f>IFERROR(__xludf.DUMMYFUNCTION("""COMPUTED_VALUE"""),42322.99861111111)</f>
        <v>42322.99861</v>
      </c>
      <c r="D101" s="433">
        <f>IFERROR(__xludf.DUMMYFUNCTION("""COMPUTED_VALUE"""),0.9055)</f>
        <v>0.9055</v>
      </c>
      <c r="F101" s="434">
        <f>IFERROR(__xludf.DUMMYFUNCTION("""COMPUTED_VALUE"""),45025.99861111111)</f>
        <v>45025.99861</v>
      </c>
      <c r="G101" s="433">
        <f>IFERROR(__xludf.DUMMYFUNCTION("""COMPUTED_VALUE"""),28335.4)</f>
        <v>28335.4</v>
      </c>
      <c r="H101" s="434">
        <f>IFERROR(__xludf.DUMMYFUNCTION("""COMPUTED_VALUE"""),45025.99861111111)</f>
        <v>45025.99861</v>
      </c>
      <c r="I101" s="433">
        <f>IFERROR(__xludf.DUMMYFUNCTION("""COMPUTED_VALUE"""),1849.6723)</f>
        <v>1849.6723</v>
      </c>
    </row>
    <row r="102">
      <c r="A102" s="434">
        <f>IFERROR(__xludf.DUMMYFUNCTION("""COMPUTED_VALUE"""),42635.99861111111)</f>
        <v>42635.99861</v>
      </c>
      <c r="B102" s="433">
        <f>IFERROR(__xludf.DUMMYFUNCTION("""COMPUTED_VALUE"""),596.93)</f>
        <v>596.93</v>
      </c>
      <c r="C102" s="434">
        <f>IFERROR(__xludf.DUMMYFUNCTION("""COMPUTED_VALUE"""),42323.99861111111)</f>
        <v>42323.99861</v>
      </c>
      <c r="D102" s="433">
        <f>IFERROR(__xludf.DUMMYFUNCTION("""COMPUTED_VALUE"""),0.8912)</f>
        <v>0.8912</v>
      </c>
      <c r="F102" s="434">
        <f>IFERROR(__xludf.DUMMYFUNCTION("""COMPUTED_VALUE"""),45026.99861111111)</f>
        <v>45026.99861</v>
      </c>
      <c r="G102" s="433">
        <f>IFERROR(__xludf.DUMMYFUNCTION("""COMPUTED_VALUE"""),29651.67)</f>
        <v>29651.67</v>
      </c>
      <c r="H102" s="434">
        <f>IFERROR(__xludf.DUMMYFUNCTION("""COMPUTED_VALUE"""),45026.99861111111)</f>
        <v>45026.99861</v>
      </c>
      <c r="I102" s="433">
        <f>IFERROR(__xludf.DUMMYFUNCTION("""COMPUTED_VALUE"""),1859.7412)</f>
        <v>1859.7412</v>
      </c>
    </row>
    <row r="103">
      <c r="A103" s="434">
        <f>IFERROR(__xludf.DUMMYFUNCTION("""COMPUTED_VALUE"""),42636.99861111111)</f>
        <v>42636.99861</v>
      </c>
      <c r="B103" s="433">
        <f>IFERROR(__xludf.DUMMYFUNCTION("""COMPUTED_VALUE"""),599.36)</f>
        <v>599.36</v>
      </c>
      <c r="C103" s="434">
        <f>IFERROR(__xludf.DUMMYFUNCTION("""COMPUTED_VALUE"""),42324.99861111111)</f>
        <v>42324.99861</v>
      </c>
      <c r="D103" s="433">
        <f>IFERROR(__xludf.DUMMYFUNCTION("""COMPUTED_VALUE"""),0.9062)</f>
        <v>0.9062</v>
      </c>
      <c r="F103" s="434">
        <f>IFERROR(__xludf.DUMMYFUNCTION("""COMPUTED_VALUE"""),45027.99861111111)</f>
        <v>45027.99861</v>
      </c>
      <c r="G103" s="433">
        <f>IFERROR(__xludf.DUMMYFUNCTION("""COMPUTED_VALUE"""),30222.64)</f>
        <v>30222.64</v>
      </c>
      <c r="H103" s="434">
        <f>IFERROR(__xludf.DUMMYFUNCTION("""COMPUTED_VALUE"""),45027.99861111111)</f>
        <v>45027.99861</v>
      </c>
      <c r="I103" s="433">
        <f>IFERROR(__xludf.DUMMYFUNCTION("""COMPUTED_VALUE"""),1911.3758)</f>
        <v>1911.3758</v>
      </c>
    </row>
    <row r="104">
      <c r="A104" s="434">
        <f>IFERROR(__xludf.DUMMYFUNCTION("""COMPUTED_VALUE"""),42639.99861111111)</f>
        <v>42639.99861</v>
      </c>
      <c r="B104" s="433">
        <f>IFERROR(__xludf.DUMMYFUNCTION("""COMPUTED_VALUE"""),604.7)</f>
        <v>604.7</v>
      </c>
      <c r="C104" s="434">
        <f>IFERROR(__xludf.DUMMYFUNCTION("""COMPUTED_VALUE"""),42325.99861111111)</f>
        <v>42325.99861</v>
      </c>
      <c r="D104" s="433">
        <f>IFERROR(__xludf.DUMMYFUNCTION("""COMPUTED_VALUE"""),0.9249)</f>
        <v>0.9249</v>
      </c>
      <c r="F104" s="434">
        <f>IFERROR(__xludf.DUMMYFUNCTION("""COMPUTED_VALUE"""),45028.99861111111)</f>
        <v>45028.99861</v>
      </c>
      <c r="G104" s="433">
        <f>IFERROR(__xludf.DUMMYFUNCTION("""COMPUTED_VALUE"""),29896.73)</f>
        <v>29896.73</v>
      </c>
      <c r="H104" s="434">
        <f>IFERROR(__xludf.DUMMYFUNCTION("""COMPUTED_VALUE"""),45028.99861111111)</f>
        <v>45028.99861</v>
      </c>
      <c r="I104" s="433">
        <f>IFERROR(__xludf.DUMMYFUNCTION("""COMPUTED_VALUE"""),1891.9498)</f>
        <v>1891.9498</v>
      </c>
    </row>
    <row r="105">
      <c r="A105" s="434">
        <f>IFERROR(__xludf.DUMMYFUNCTION("""COMPUTED_VALUE"""),42640.99861111111)</f>
        <v>42640.99861</v>
      </c>
      <c r="B105" s="433">
        <f>IFERROR(__xludf.DUMMYFUNCTION("""COMPUTED_VALUE"""),606.25)</f>
        <v>606.25</v>
      </c>
      <c r="C105" s="434">
        <f>IFERROR(__xludf.DUMMYFUNCTION("""COMPUTED_VALUE"""),42326.99861111111)</f>
        <v>42326.99861</v>
      </c>
      <c r="D105" s="433">
        <f>IFERROR(__xludf.DUMMYFUNCTION("""COMPUTED_VALUE"""),1.0033)</f>
        <v>1.0033</v>
      </c>
      <c r="F105" s="434">
        <f>IFERROR(__xludf.DUMMYFUNCTION("""COMPUTED_VALUE"""),45029.99861111111)</f>
        <v>45029.99861</v>
      </c>
      <c r="G105" s="433">
        <f>IFERROR(__xludf.DUMMYFUNCTION("""COMPUTED_VALUE"""),30394.77)</f>
        <v>30394.77</v>
      </c>
      <c r="H105" s="434">
        <f>IFERROR(__xludf.DUMMYFUNCTION("""COMPUTED_VALUE"""),45029.99861111111)</f>
        <v>45029.99861</v>
      </c>
      <c r="I105" s="433">
        <f>IFERROR(__xludf.DUMMYFUNCTION("""COMPUTED_VALUE"""),1917.6983)</f>
        <v>1917.6983</v>
      </c>
    </row>
    <row r="106">
      <c r="A106" s="434">
        <f>IFERROR(__xludf.DUMMYFUNCTION("""COMPUTED_VALUE"""),42641.99861111111)</f>
        <v>42641.99861</v>
      </c>
      <c r="B106" s="433">
        <f>IFERROR(__xludf.DUMMYFUNCTION("""COMPUTED_VALUE"""),605.2)</f>
        <v>605.2</v>
      </c>
      <c r="C106" s="434">
        <f>IFERROR(__xludf.DUMMYFUNCTION("""COMPUTED_VALUE"""),42327.99861111111)</f>
        <v>42327.99861</v>
      </c>
      <c r="D106" s="433">
        <f>IFERROR(__xludf.DUMMYFUNCTION("""COMPUTED_VALUE"""),0.9887)</f>
        <v>0.9887</v>
      </c>
      <c r="F106" s="434">
        <f>IFERROR(__xludf.DUMMYFUNCTION("""COMPUTED_VALUE"""),45030.99861111111)</f>
        <v>45030.99861</v>
      </c>
      <c r="G106" s="433">
        <f>IFERROR(__xludf.DUMMYFUNCTION("""COMPUTED_VALUE"""),30479.65)</f>
        <v>30479.65</v>
      </c>
      <c r="H106" s="434">
        <f>IFERROR(__xludf.DUMMYFUNCTION("""COMPUTED_VALUE"""),45030.99861111111)</f>
        <v>45030.99861</v>
      </c>
      <c r="I106" s="433">
        <f>IFERROR(__xludf.DUMMYFUNCTION("""COMPUTED_VALUE"""),2013.9306)</f>
        <v>2013.9306</v>
      </c>
    </row>
    <row r="107">
      <c r="A107" s="434">
        <f>IFERROR(__xludf.DUMMYFUNCTION("""COMPUTED_VALUE"""),42642.99861111111)</f>
        <v>42642.99861</v>
      </c>
      <c r="B107" s="433">
        <f>IFERROR(__xludf.DUMMYFUNCTION("""COMPUTED_VALUE"""),605.27)</f>
        <v>605.27</v>
      </c>
      <c r="C107" s="434">
        <f>IFERROR(__xludf.DUMMYFUNCTION("""COMPUTED_VALUE"""),42328.99861111111)</f>
        <v>42328.99861</v>
      </c>
      <c r="D107" s="433">
        <f>IFERROR(__xludf.DUMMYFUNCTION("""COMPUTED_VALUE"""),0.9557)</f>
        <v>0.9557</v>
      </c>
      <c r="F107" s="434">
        <f>IFERROR(__xludf.DUMMYFUNCTION("""COMPUTED_VALUE"""),45031.99861111111)</f>
        <v>45031.99861</v>
      </c>
      <c r="G107" s="433">
        <f>IFERROR(__xludf.DUMMYFUNCTION("""COMPUTED_VALUE"""),30312.92)</f>
        <v>30312.92</v>
      </c>
      <c r="H107" s="434">
        <f>IFERROR(__xludf.DUMMYFUNCTION("""COMPUTED_VALUE"""),45031.99861111111)</f>
        <v>45031.99861</v>
      </c>
      <c r="I107" s="433">
        <f>IFERROR(__xludf.DUMMYFUNCTION("""COMPUTED_VALUE"""),2101.6164)</f>
        <v>2101.6164</v>
      </c>
    </row>
    <row r="108">
      <c r="A108" s="434">
        <f>IFERROR(__xludf.DUMMYFUNCTION("""COMPUTED_VALUE"""),42643.99861111111)</f>
        <v>42643.99861</v>
      </c>
      <c r="B108" s="433">
        <f>IFERROR(__xludf.DUMMYFUNCTION("""COMPUTED_VALUE"""),605.09)</f>
        <v>605.09</v>
      </c>
      <c r="C108" s="434">
        <f>IFERROR(__xludf.DUMMYFUNCTION("""COMPUTED_VALUE"""),42329.99861111111)</f>
        <v>42329.99861</v>
      </c>
      <c r="D108" s="433">
        <f>IFERROR(__xludf.DUMMYFUNCTION("""COMPUTED_VALUE"""),0.9288)</f>
        <v>0.9288</v>
      </c>
      <c r="F108" s="434">
        <f>IFERROR(__xludf.DUMMYFUNCTION("""COMPUTED_VALUE"""),45032.99861111111)</f>
        <v>45032.99861</v>
      </c>
      <c r="G108" s="433">
        <f>IFERROR(__xludf.DUMMYFUNCTION("""COMPUTED_VALUE"""),30313.36)</f>
        <v>30313.36</v>
      </c>
      <c r="H108" s="434">
        <f>IFERROR(__xludf.DUMMYFUNCTION("""COMPUTED_VALUE"""),45032.99861111111)</f>
        <v>45032.99861</v>
      </c>
      <c r="I108" s="433">
        <f>IFERROR(__xludf.DUMMYFUNCTION("""COMPUTED_VALUE"""),2092.2809)</f>
        <v>2092.2809</v>
      </c>
    </row>
    <row r="109">
      <c r="A109" s="434">
        <f>IFERROR(__xludf.DUMMYFUNCTION("""COMPUTED_VALUE"""),42646.99861111111)</f>
        <v>42646.99861</v>
      </c>
      <c r="B109" s="433">
        <f>IFERROR(__xludf.DUMMYFUNCTION("""COMPUTED_VALUE"""),611.23)</f>
        <v>611.23</v>
      </c>
      <c r="C109" s="434">
        <f>IFERROR(__xludf.DUMMYFUNCTION("""COMPUTED_VALUE"""),42330.99861111111)</f>
        <v>42330.99861</v>
      </c>
      <c r="D109" s="433">
        <f>IFERROR(__xludf.DUMMYFUNCTION("""COMPUTED_VALUE"""),0.9798)</f>
        <v>0.9798</v>
      </c>
      <c r="F109" s="434">
        <f>IFERROR(__xludf.DUMMYFUNCTION("""COMPUTED_VALUE"""),45033.99861111111)</f>
        <v>45033.99861</v>
      </c>
      <c r="G109" s="433">
        <f>IFERROR(__xludf.DUMMYFUNCTION("""COMPUTED_VALUE"""),29443.38)</f>
        <v>29443.38</v>
      </c>
      <c r="H109" s="434">
        <f>IFERROR(__xludf.DUMMYFUNCTION("""COMPUTED_VALUE"""),45033.99861111111)</f>
        <v>45033.99861</v>
      </c>
      <c r="I109" s="433">
        <f>IFERROR(__xludf.DUMMYFUNCTION("""COMPUTED_VALUE"""),2120.0012)</f>
        <v>2120.0012</v>
      </c>
    </row>
    <row r="110">
      <c r="A110" s="434">
        <f>IFERROR(__xludf.DUMMYFUNCTION("""COMPUTED_VALUE"""),42647.99861111111)</f>
        <v>42647.99861</v>
      </c>
      <c r="B110" s="433">
        <f>IFERROR(__xludf.DUMMYFUNCTION("""COMPUTED_VALUE"""),609.94)</f>
        <v>609.94</v>
      </c>
      <c r="C110" s="434">
        <f>IFERROR(__xludf.DUMMYFUNCTION("""COMPUTED_VALUE"""),42331.99861111111)</f>
        <v>42331.99861</v>
      </c>
      <c r="D110" s="433">
        <f>IFERROR(__xludf.DUMMYFUNCTION("""COMPUTED_VALUE"""),0.9675)</f>
        <v>0.9675</v>
      </c>
      <c r="F110" s="434">
        <f>IFERROR(__xludf.DUMMYFUNCTION("""COMPUTED_VALUE"""),45034.99861111111)</f>
        <v>45034.99861</v>
      </c>
      <c r="G110" s="433">
        <f>IFERROR(__xludf.DUMMYFUNCTION("""COMPUTED_VALUE"""),30389.2)</f>
        <v>30389.2</v>
      </c>
      <c r="H110" s="434">
        <f>IFERROR(__xludf.DUMMYFUNCTION("""COMPUTED_VALUE"""),45034.99861111111)</f>
        <v>45034.99861</v>
      </c>
      <c r="I110" s="433">
        <f>IFERROR(__xludf.DUMMYFUNCTION("""COMPUTED_VALUE"""),2075.8553)</f>
        <v>2075.8553</v>
      </c>
    </row>
    <row r="111">
      <c r="A111" s="434">
        <f>IFERROR(__xludf.DUMMYFUNCTION("""COMPUTED_VALUE"""),42648.99861111111)</f>
        <v>42648.99861</v>
      </c>
      <c r="B111" s="433">
        <f>IFERROR(__xludf.DUMMYFUNCTION("""COMPUTED_VALUE"""),610.93)</f>
        <v>610.93</v>
      </c>
      <c r="C111" s="434">
        <f>IFERROR(__xludf.DUMMYFUNCTION("""COMPUTED_VALUE"""),42332.99861111111)</f>
        <v>42332.99861</v>
      </c>
      <c r="D111" s="433">
        <f>IFERROR(__xludf.DUMMYFUNCTION("""COMPUTED_VALUE"""),0.9464)</f>
        <v>0.9464</v>
      </c>
      <c r="F111" s="434">
        <f>IFERROR(__xludf.DUMMYFUNCTION("""COMPUTED_VALUE"""),45035.99861111111)</f>
        <v>45035.99861</v>
      </c>
      <c r="G111" s="433">
        <f>IFERROR(__xludf.DUMMYFUNCTION("""COMPUTED_VALUE"""),28816.74)</f>
        <v>28816.74</v>
      </c>
      <c r="H111" s="434">
        <f>IFERROR(__xludf.DUMMYFUNCTION("""COMPUTED_VALUE"""),45035.99861111111)</f>
        <v>45035.99861</v>
      </c>
      <c r="I111" s="433">
        <f>IFERROR(__xludf.DUMMYFUNCTION("""COMPUTED_VALUE"""),2103.9464)</f>
        <v>2103.9464</v>
      </c>
    </row>
    <row r="112">
      <c r="A112" s="434">
        <f>IFERROR(__xludf.DUMMYFUNCTION("""COMPUTED_VALUE"""),42649.99861111111)</f>
        <v>42649.99861</v>
      </c>
      <c r="B112" s="433">
        <f>IFERROR(__xludf.DUMMYFUNCTION("""COMPUTED_VALUE"""),611.74)</f>
        <v>611.74</v>
      </c>
      <c r="C112" s="434">
        <f>IFERROR(__xludf.DUMMYFUNCTION("""COMPUTED_VALUE"""),42333.99861111111)</f>
        <v>42333.99861</v>
      </c>
      <c r="D112" s="433">
        <f>IFERROR(__xludf.DUMMYFUNCTION("""COMPUTED_VALUE"""),0.8938)</f>
        <v>0.8938</v>
      </c>
      <c r="F112" s="434">
        <f>IFERROR(__xludf.DUMMYFUNCTION("""COMPUTED_VALUE"""),45036.99861111111)</f>
        <v>45036.99861</v>
      </c>
      <c r="G112" s="433">
        <f>IFERROR(__xludf.DUMMYFUNCTION("""COMPUTED_VALUE"""),28238.7)</f>
        <v>28238.7</v>
      </c>
      <c r="H112" s="434">
        <f>IFERROR(__xludf.DUMMYFUNCTION("""COMPUTED_VALUE"""),45036.99861111111)</f>
        <v>45036.99861</v>
      </c>
      <c r="I112" s="433">
        <f>IFERROR(__xludf.DUMMYFUNCTION("""COMPUTED_VALUE"""),1936.4179)</f>
        <v>1936.4179</v>
      </c>
    </row>
    <row r="113">
      <c r="A113" s="434">
        <f>IFERROR(__xludf.DUMMYFUNCTION("""COMPUTED_VALUE"""),42650.99861111111)</f>
        <v>42650.99861</v>
      </c>
      <c r="B113" s="433">
        <f>IFERROR(__xludf.DUMMYFUNCTION("""COMPUTED_VALUE"""),614.73)</f>
        <v>614.73</v>
      </c>
      <c r="C113" s="434">
        <f>IFERROR(__xludf.DUMMYFUNCTION("""COMPUTED_VALUE"""),42334.99861111111)</f>
        <v>42334.99861</v>
      </c>
      <c r="D113" s="433">
        <f>IFERROR(__xludf.DUMMYFUNCTION("""COMPUTED_VALUE"""),0.8633)</f>
        <v>0.8633</v>
      </c>
      <c r="F113" s="434">
        <f>IFERROR(__xludf.DUMMYFUNCTION("""COMPUTED_VALUE"""),45037.99861111111)</f>
        <v>45037.99861</v>
      </c>
      <c r="G113" s="433">
        <f>IFERROR(__xludf.DUMMYFUNCTION("""COMPUTED_VALUE"""),27260.15)</f>
        <v>27260.15</v>
      </c>
      <c r="H113" s="434">
        <f>IFERROR(__xludf.DUMMYFUNCTION("""COMPUTED_VALUE"""),45037.99861111111)</f>
        <v>45037.99861</v>
      </c>
      <c r="I113" s="433">
        <f>IFERROR(__xludf.DUMMYFUNCTION("""COMPUTED_VALUE"""),1943.4099)</f>
        <v>1943.4099</v>
      </c>
    </row>
    <row r="114">
      <c r="A114" s="434">
        <f>IFERROR(__xludf.DUMMYFUNCTION("""COMPUTED_VALUE"""),42653.99861111111)</f>
        <v>42653.99861</v>
      </c>
      <c r="B114" s="433">
        <f>IFERROR(__xludf.DUMMYFUNCTION("""COMPUTED_VALUE"""),616.71)</f>
        <v>616.71</v>
      </c>
      <c r="C114" s="434">
        <f>IFERROR(__xludf.DUMMYFUNCTION("""COMPUTED_VALUE"""),42335.99861111111)</f>
        <v>42335.99861</v>
      </c>
      <c r="D114" s="433">
        <f>IFERROR(__xludf.DUMMYFUNCTION("""COMPUTED_VALUE"""),0.8821)</f>
        <v>0.8821</v>
      </c>
      <c r="F114" s="434">
        <f>IFERROR(__xludf.DUMMYFUNCTION("""COMPUTED_VALUE"""),45038.99861111111)</f>
        <v>45038.99861</v>
      </c>
      <c r="G114" s="433">
        <f>IFERROR(__xludf.DUMMYFUNCTION("""COMPUTED_VALUE"""),27816.5)</f>
        <v>27816.5</v>
      </c>
      <c r="H114" s="434">
        <f>IFERROR(__xludf.DUMMYFUNCTION("""COMPUTED_VALUE"""),45038.99861111111)</f>
        <v>45038.99861</v>
      </c>
      <c r="I114" s="433">
        <f>IFERROR(__xludf.DUMMYFUNCTION("""COMPUTED_VALUE"""),1849.2865)</f>
        <v>1849.2865</v>
      </c>
    </row>
    <row r="115">
      <c r="A115" s="434">
        <f>IFERROR(__xludf.DUMMYFUNCTION("""COMPUTED_VALUE"""),42654.99861111111)</f>
        <v>42654.99861</v>
      </c>
      <c r="B115" s="433">
        <f>IFERROR(__xludf.DUMMYFUNCTION("""COMPUTED_VALUE"""),632.01)</f>
        <v>632.01</v>
      </c>
      <c r="C115" s="434">
        <f>IFERROR(__xludf.DUMMYFUNCTION("""COMPUTED_VALUE"""),42336.99861111111)</f>
        <v>42336.99861</v>
      </c>
      <c r="D115" s="433">
        <f>IFERROR(__xludf.DUMMYFUNCTION("""COMPUTED_VALUE"""),0.8681)</f>
        <v>0.8681</v>
      </c>
      <c r="F115" s="434">
        <f>IFERROR(__xludf.DUMMYFUNCTION("""COMPUTED_VALUE"""),45039.99861111111)</f>
        <v>45039.99861</v>
      </c>
      <c r="G115" s="433">
        <f>IFERROR(__xludf.DUMMYFUNCTION("""COMPUTED_VALUE"""),27591.99)</f>
        <v>27591.99</v>
      </c>
      <c r="H115" s="434">
        <f>IFERROR(__xludf.DUMMYFUNCTION("""COMPUTED_VALUE"""),45039.99861111111)</f>
        <v>45039.99861</v>
      </c>
      <c r="I115" s="433">
        <f>IFERROR(__xludf.DUMMYFUNCTION("""COMPUTED_VALUE"""),1874.1715)</f>
        <v>1874.1715</v>
      </c>
    </row>
    <row r="116">
      <c r="A116" s="434">
        <f>IFERROR(__xludf.DUMMYFUNCTION("""COMPUTED_VALUE"""),42655.99861111111)</f>
        <v>42655.99861</v>
      </c>
      <c r="B116" s="433">
        <f>IFERROR(__xludf.DUMMYFUNCTION("""COMPUTED_VALUE"""),637.97)</f>
        <v>637.97</v>
      </c>
      <c r="C116" s="434">
        <f>IFERROR(__xludf.DUMMYFUNCTION("""COMPUTED_VALUE"""),42337.99861111111)</f>
        <v>42337.99861</v>
      </c>
      <c r="D116" s="433">
        <f>IFERROR(__xludf.DUMMYFUNCTION("""COMPUTED_VALUE"""),0.9141)</f>
        <v>0.9141</v>
      </c>
      <c r="F116" s="434">
        <f>IFERROR(__xludf.DUMMYFUNCTION("""COMPUTED_VALUE"""),45040.99861111111)</f>
        <v>45040.99861</v>
      </c>
      <c r="G116" s="433">
        <f>IFERROR(__xludf.DUMMYFUNCTION("""COMPUTED_VALUE"""),27514.24)</f>
        <v>27514.24</v>
      </c>
      <c r="H116" s="434">
        <f>IFERROR(__xludf.DUMMYFUNCTION("""COMPUTED_VALUE"""),45040.99861111111)</f>
        <v>45040.99861</v>
      </c>
      <c r="I116" s="433">
        <f>IFERROR(__xludf.DUMMYFUNCTION("""COMPUTED_VALUE"""),1862.0853)</f>
        <v>1862.0853</v>
      </c>
    </row>
    <row r="117">
      <c r="A117" s="434">
        <f>IFERROR(__xludf.DUMMYFUNCTION("""COMPUTED_VALUE"""),42656.99861111111)</f>
        <v>42656.99861</v>
      </c>
      <c r="B117" s="433">
        <f>IFERROR(__xludf.DUMMYFUNCTION("""COMPUTED_VALUE"""),636.8)</f>
        <v>636.8</v>
      </c>
      <c r="C117" s="434">
        <f>IFERROR(__xludf.DUMMYFUNCTION("""COMPUTED_VALUE"""),42338.99861111111)</f>
        <v>42338.99861</v>
      </c>
      <c r="D117" s="433">
        <f>IFERROR(__xludf.DUMMYFUNCTION("""COMPUTED_VALUE"""),0.88)</f>
        <v>0.88</v>
      </c>
      <c r="F117" s="434">
        <f>IFERROR(__xludf.DUMMYFUNCTION("""COMPUTED_VALUE"""),45041.99861111111)</f>
        <v>45041.99861</v>
      </c>
      <c r="G117" s="433">
        <f>IFERROR(__xludf.DUMMYFUNCTION("""COMPUTED_VALUE"""),28300.83)</f>
        <v>28300.83</v>
      </c>
      <c r="H117" s="434">
        <f>IFERROR(__xludf.DUMMYFUNCTION("""COMPUTED_VALUE"""),45041.99861111111)</f>
        <v>45041.99861</v>
      </c>
      <c r="I117" s="433">
        <f>IFERROR(__xludf.DUMMYFUNCTION("""COMPUTED_VALUE"""),1842.2044)</f>
        <v>1842.2044</v>
      </c>
    </row>
    <row r="118">
      <c r="A118" s="434">
        <f>IFERROR(__xludf.DUMMYFUNCTION("""COMPUTED_VALUE"""),42657.99861111111)</f>
        <v>42657.99861</v>
      </c>
      <c r="B118" s="433">
        <f>IFERROR(__xludf.DUMMYFUNCTION("""COMPUTED_VALUE"""),637.97)</f>
        <v>637.97</v>
      </c>
      <c r="C118" s="434">
        <f>IFERROR(__xludf.DUMMYFUNCTION("""COMPUTED_VALUE"""),42339.99861111111)</f>
        <v>42339.99861</v>
      </c>
      <c r="D118" s="433">
        <f>IFERROR(__xludf.DUMMYFUNCTION("""COMPUTED_VALUE"""),0.8783)</f>
        <v>0.8783</v>
      </c>
      <c r="F118" s="434">
        <f>IFERROR(__xludf.DUMMYFUNCTION("""COMPUTED_VALUE"""),45042.99861111111)</f>
        <v>45042.99861</v>
      </c>
      <c r="G118" s="433">
        <f>IFERROR(__xludf.DUMMYFUNCTION("""COMPUTED_VALUE"""),28423.93)</f>
        <v>28423.93</v>
      </c>
      <c r="H118" s="434">
        <f>IFERROR(__xludf.DUMMYFUNCTION("""COMPUTED_VALUE"""),45042.99861111111)</f>
        <v>45042.99861</v>
      </c>
      <c r="I118" s="433">
        <f>IFERROR(__xludf.DUMMYFUNCTION("""COMPUTED_VALUE"""),1866.1489)</f>
        <v>1866.1489</v>
      </c>
    </row>
    <row r="119">
      <c r="A119" s="434">
        <f>IFERROR(__xludf.DUMMYFUNCTION("""COMPUTED_VALUE"""),42660.99861111111)</f>
        <v>42660.99861</v>
      </c>
      <c r="B119" s="433">
        <f>IFERROR(__xludf.DUMMYFUNCTION("""COMPUTED_VALUE"""),638.93)</f>
        <v>638.93</v>
      </c>
      <c r="C119" s="434">
        <f>IFERROR(__xludf.DUMMYFUNCTION("""COMPUTED_VALUE"""),42340.99861111111)</f>
        <v>42340.99861</v>
      </c>
      <c r="D119" s="433">
        <f>IFERROR(__xludf.DUMMYFUNCTION("""COMPUTED_VALUE"""),0.8732)</f>
        <v>0.8732</v>
      </c>
      <c r="F119" s="434">
        <f>IFERROR(__xludf.DUMMYFUNCTION("""COMPUTED_VALUE"""),45043.99861111111)</f>
        <v>45043.99861</v>
      </c>
      <c r="G119" s="433">
        <f>IFERROR(__xludf.DUMMYFUNCTION("""COMPUTED_VALUE"""),29476.64)</f>
        <v>29476.64</v>
      </c>
      <c r="H119" s="434">
        <f>IFERROR(__xludf.DUMMYFUNCTION("""COMPUTED_VALUE"""),45043.99861111111)</f>
        <v>45043.99861</v>
      </c>
      <c r="I119" s="433">
        <f>IFERROR(__xludf.DUMMYFUNCTION("""COMPUTED_VALUE"""),1866.6933)</f>
        <v>1866.6933</v>
      </c>
    </row>
    <row r="120">
      <c r="A120" s="434">
        <f>IFERROR(__xludf.DUMMYFUNCTION("""COMPUTED_VALUE"""),42661.99861111111)</f>
        <v>42661.99861</v>
      </c>
      <c r="B120" s="433">
        <f>IFERROR(__xludf.DUMMYFUNCTION("""COMPUTED_VALUE"""),637.23)</f>
        <v>637.23</v>
      </c>
      <c r="C120" s="434">
        <f>IFERROR(__xludf.DUMMYFUNCTION("""COMPUTED_VALUE"""),42341.99861111111)</f>
        <v>42341.99861</v>
      </c>
      <c r="D120" s="433">
        <f>IFERROR(__xludf.DUMMYFUNCTION("""COMPUTED_VALUE"""),0.8185)</f>
        <v>0.8185</v>
      </c>
      <c r="F120" s="434">
        <f>IFERROR(__xludf.DUMMYFUNCTION("""COMPUTED_VALUE"""),45044.99861111111)</f>
        <v>45044.99861</v>
      </c>
      <c r="G120" s="433">
        <f>IFERROR(__xludf.DUMMYFUNCTION("""COMPUTED_VALUE"""),29328.54)</f>
        <v>29328.54</v>
      </c>
      <c r="H120" s="434">
        <f>IFERROR(__xludf.DUMMYFUNCTION("""COMPUTED_VALUE"""),45044.99861111111)</f>
        <v>45044.99861</v>
      </c>
      <c r="I120" s="433">
        <f>IFERROR(__xludf.DUMMYFUNCTION("""COMPUTED_VALUE"""),1909.2731)</f>
        <v>1909.2731</v>
      </c>
    </row>
    <row r="121">
      <c r="A121" s="434">
        <f>IFERROR(__xludf.DUMMYFUNCTION("""COMPUTED_VALUE"""),42662.99861111111)</f>
        <v>42662.99861</v>
      </c>
      <c r="B121" s="433">
        <f>IFERROR(__xludf.DUMMYFUNCTION("""COMPUTED_VALUE"""),633.18)</f>
        <v>633.18</v>
      </c>
      <c r="C121" s="434">
        <f>IFERROR(__xludf.DUMMYFUNCTION("""COMPUTED_VALUE"""),42342.99861111111)</f>
        <v>42342.99861</v>
      </c>
      <c r="D121" s="433">
        <f>IFERROR(__xludf.DUMMYFUNCTION("""COMPUTED_VALUE"""),0.8121)</f>
        <v>0.8121</v>
      </c>
      <c r="F121" s="434">
        <f>IFERROR(__xludf.DUMMYFUNCTION("""COMPUTED_VALUE"""),45045.99861111111)</f>
        <v>45045.99861</v>
      </c>
      <c r="G121" s="433">
        <f>IFERROR(__xludf.DUMMYFUNCTION("""COMPUTED_VALUE"""),29239.68)</f>
        <v>29239.68</v>
      </c>
      <c r="H121" s="434">
        <f>IFERROR(__xludf.DUMMYFUNCTION("""COMPUTED_VALUE"""),45045.99861111111)</f>
        <v>45045.99861</v>
      </c>
      <c r="I121" s="433">
        <f>IFERROR(__xludf.DUMMYFUNCTION("""COMPUTED_VALUE"""),1892.565)</f>
        <v>1892.565</v>
      </c>
    </row>
    <row r="122">
      <c r="A122" s="434">
        <f>IFERROR(__xludf.DUMMYFUNCTION("""COMPUTED_VALUE"""),42663.99861111111)</f>
        <v>42663.99861</v>
      </c>
      <c r="B122" s="433">
        <f>IFERROR(__xludf.DUMMYFUNCTION("""COMPUTED_VALUE"""),629.52)</f>
        <v>629.52</v>
      </c>
      <c r="C122" s="434">
        <f>IFERROR(__xludf.DUMMYFUNCTION("""COMPUTED_VALUE"""),42343.99861111111)</f>
        <v>42343.99861</v>
      </c>
      <c r="D122" s="433">
        <f>IFERROR(__xludf.DUMMYFUNCTION("""COMPUTED_VALUE"""),0.8412)</f>
        <v>0.8412</v>
      </c>
      <c r="F122" s="434">
        <f>IFERROR(__xludf.DUMMYFUNCTION("""COMPUTED_VALUE"""),45046.99861111111)</f>
        <v>45046.99861</v>
      </c>
      <c r="G122" s="433">
        <f>IFERROR(__xludf.DUMMYFUNCTION("""COMPUTED_VALUE"""),29253.14)</f>
        <v>29253.14</v>
      </c>
      <c r="H122" s="434">
        <f>IFERROR(__xludf.DUMMYFUNCTION("""COMPUTED_VALUE"""),45046.99861111111)</f>
        <v>45046.99861</v>
      </c>
      <c r="I122" s="433">
        <f>IFERROR(__xludf.DUMMYFUNCTION("""COMPUTED_VALUE"""),1908.7413)</f>
        <v>1908.7413</v>
      </c>
    </row>
    <row r="123">
      <c r="A123" s="434">
        <f>IFERROR(__xludf.DUMMYFUNCTION("""COMPUTED_VALUE"""),42664.99861111111)</f>
        <v>42664.99861</v>
      </c>
      <c r="B123" s="433">
        <f>IFERROR(__xludf.DUMMYFUNCTION("""COMPUTED_VALUE"""),631.82)</f>
        <v>631.82</v>
      </c>
      <c r="C123" s="434">
        <f>IFERROR(__xludf.DUMMYFUNCTION("""COMPUTED_VALUE"""),42344.99861111111)</f>
        <v>42344.99861</v>
      </c>
      <c r="D123" s="433">
        <f>IFERROR(__xludf.DUMMYFUNCTION("""COMPUTED_VALUE"""),0.8664)</f>
        <v>0.8664</v>
      </c>
      <c r="F123" s="434">
        <f>IFERROR(__xludf.DUMMYFUNCTION("""COMPUTED_VALUE"""),45047.99861111111)</f>
        <v>45047.99861</v>
      </c>
      <c r="G123" s="433">
        <f>IFERROR(__xludf.DUMMYFUNCTION("""COMPUTED_VALUE"""),28082.84)</f>
        <v>28082.84</v>
      </c>
      <c r="H123" s="434">
        <f>IFERROR(__xludf.DUMMYFUNCTION("""COMPUTED_VALUE"""),45047.99861111111)</f>
        <v>45047.99861</v>
      </c>
      <c r="I123" s="433">
        <f>IFERROR(__xludf.DUMMYFUNCTION("""COMPUTED_VALUE"""),1868.8911)</f>
        <v>1868.8911</v>
      </c>
    </row>
    <row r="124">
      <c r="A124" s="434">
        <f>IFERROR(__xludf.DUMMYFUNCTION("""COMPUTED_VALUE"""),42667.99861111111)</f>
        <v>42667.99861</v>
      </c>
      <c r="B124" s="433">
        <f>IFERROR(__xludf.DUMMYFUNCTION("""COMPUTED_VALUE"""),652.29)</f>
        <v>652.29</v>
      </c>
      <c r="C124" s="434">
        <f>IFERROR(__xludf.DUMMYFUNCTION("""COMPUTED_VALUE"""),42345.99861111111)</f>
        <v>42345.99861</v>
      </c>
      <c r="D124" s="433">
        <f>IFERROR(__xludf.DUMMYFUNCTION("""COMPUTED_VALUE"""),0.8363)</f>
        <v>0.8363</v>
      </c>
      <c r="F124" s="434">
        <f>IFERROR(__xludf.DUMMYFUNCTION("""COMPUTED_VALUE"""),45048.99861111111)</f>
        <v>45048.99861</v>
      </c>
      <c r="G124" s="433">
        <f>IFERROR(__xludf.DUMMYFUNCTION("""COMPUTED_VALUE"""),28675.0)</f>
        <v>28675</v>
      </c>
      <c r="H124" s="434">
        <f>IFERROR(__xludf.DUMMYFUNCTION("""COMPUTED_VALUE"""),45048.99861111111)</f>
        <v>45048.99861</v>
      </c>
      <c r="I124" s="433">
        <f>IFERROR(__xludf.DUMMYFUNCTION("""COMPUTED_VALUE"""),1831.7265)</f>
        <v>1831.7265</v>
      </c>
    </row>
    <row r="125">
      <c r="A125" s="434">
        <f>IFERROR(__xludf.DUMMYFUNCTION("""COMPUTED_VALUE"""),42668.99861111111)</f>
        <v>42668.99861</v>
      </c>
      <c r="B125" s="433">
        <f>IFERROR(__xludf.DUMMYFUNCTION("""COMPUTED_VALUE"""),655.51)</f>
        <v>655.51</v>
      </c>
      <c r="C125" s="434">
        <f>IFERROR(__xludf.DUMMYFUNCTION("""COMPUTED_VALUE"""),42346.99861111111)</f>
        <v>42346.99861</v>
      </c>
      <c r="D125" s="433">
        <f>IFERROR(__xludf.DUMMYFUNCTION("""COMPUTED_VALUE"""),0.806)</f>
        <v>0.806</v>
      </c>
      <c r="F125" s="434">
        <f>IFERROR(__xludf.DUMMYFUNCTION("""COMPUTED_VALUE"""),45049.99861111111)</f>
        <v>45049.99861</v>
      </c>
      <c r="G125" s="433">
        <f>IFERROR(__xludf.DUMMYFUNCTION("""COMPUTED_VALUE"""),29031.25)</f>
        <v>29031.25</v>
      </c>
      <c r="H125" s="434">
        <f>IFERROR(__xludf.DUMMYFUNCTION("""COMPUTED_VALUE"""),45049.99861111111)</f>
        <v>45049.99861</v>
      </c>
      <c r="I125" s="433">
        <f>IFERROR(__xludf.DUMMYFUNCTION("""COMPUTED_VALUE"""),1870.6871)</f>
        <v>1870.6871</v>
      </c>
    </row>
    <row r="126">
      <c r="A126" s="434">
        <f>IFERROR(__xludf.DUMMYFUNCTION("""COMPUTED_VALUE"""),42669.99861111111)</f>
        <v>42669.99861</v>
      </c>
      <c r="B126" s="433">
        <f>IFERROR(__xludf.DUMMYFUNCTION("""COMPUTED_VALUE"""),665.41)</f>
        <v>665.41</v>
      </c>
      <c r="C126" s="434">
        <f>IFERROR(__xludf.DUMMYFUNCTION("""COMPUTED_VALUE"""),42347.99861111111)</f>
        <v>42347.99861</v>
      </c>
      <c r="D126" s="433">
        <f>IFERROR(__xludf.DUMMYFUNCTION("""COMPUTED_VALUE"""),0.8245)</f>
        <v>0.8245</v>
      </c>
      <c r="F126" s="434">
        <f>IFERROR(__xludf.DUMMYFUNCTION("""COMPUTED_VALUE"""),45050.99861111111)</f>
        <v>45050.99861</v>
      </c>
      <c r="G126" s="433">
        <f>IFERROR(__xludf.DUMMYFUNCTION("""COMPUTED_VALUE"""),28848.39)</f>
        <v>28848.39</v>
      </c>
      <c r="H126" s="434">
        <f>IFERROR(__xludf.DUMMYFUNCTION("""COMPUTED_VALUE"""),45050.99861111111)</f>
        <v>45050.99861</v>
      </c>
      <c r="I126" s="433">
        <f>IFERROR(__xludf.DUMMYFUNCTION("""COMPUTED_VALUE"""),1905.169)</f>
        <v>1905.169</v>
      </c>
    </row>
    <row r="127">
      <c r="A127" s="434">
        <f>IFERROR(__xludf.DUMMYFUNCTION("""COMPUTED_VALUE"""),42670.99861111111)</f>
        <v>42670.99861</v>
      </c>
      <c r="B127" s="433">
        <f>IFERROR(__xludf.DUMMYFUNCTION("""COMPUTED_VALUE"""),682.22)</f>
        <v>682.22</v>
      </c>
      <c r="C127" s="434">
        <f>IFERROR(__xludf.DUMMYFUNCTION("""COMPUTED_VALUE"""),42348.99861111111)</f>
        <v>42348.99861</v>
      </c>
      <c r="D127" s="433">
        <f>IFERROR(__xludf.DUMMYFUNCTION("""COMPUTED_VALUE"""),0.7956)</f>
        <v>0.7956</v>
      </c>
      <c r="F127" s="434">
        <f>IFERROR(__xludf.DUMMYFUNCTION("""COMPUTED_VALUE"""),45051.99861111111)</f>
        <v>45051.99861</v>
      </c>
      <c r="G127" s="433">
        <f>IFERROR(__xludf.DUMMYFUNCTION("""COMPUTED_VALUE"""),29530.53)</f>
        <v>29530.53</v>
      </c>
      <c r="H127" s="434">
        <f>IFERROR(__xludf.DUMMYFUNCTION("""COMPUTED_VALUE"""),45051.99861111111)</f>
        <v>45051.99861</v>
      </c>
      <c r="I127" s="433">
        <f>IFERROR(__xludf.DUMMYFUNCTION("""COMPUTED_VALUE"""),1877.8332)</f>
        <v>1877.8332</v>
      </c>
    </row>
    <row r="128">
      <c r="A128" s="434">
        <f>IFERROR(__xludf.DUMMYFUNCTION("""COMPUTED_VALUE"""),42671.99861111111)</f>
        <v>42671.99861</v>
      </c>
      <c r="B128" s="433">
        <f>IFERROR(__xludf.DUMMYFUNCTION("""COMPUTED_VALUE"""),686.47)</f>
        <v>686.47</v>
      </c>
      <c r="C128" s="434">
        <f>IFERROR(__xludf.DUMMYFUNCTION("""COMPUTED_VALUE"""),42349.99861111111)</f>
        <v>42349.99861</v>
      </c>
      <c r="D128" s="433">
        <f>IFERROR(__xludf.DUMMYFUNCTION("""COMPUTED_VALUE"""),0.84)</f>
        <v>0.84</v>
      </c>
      <c r="F128" s="434">
        <f>IFERROR(__xludf.DUMMYFUNCTION("""COMPUTED_VALUE"""),45052.99861111111)</f>
        <v>45052.99861</v>
      </c>
      <c r="G128" s="433">
        <f>IFERROR(__xludf.DUMMYFUNCTION("""COMPUTED_VALUE"""),28902.17)</f>
        <v>28902.17</v>
      </c>
      <c r="H128" s="434">
        <f>IFERROR(__xludf.DUMMYFUNCTION("""COMPUTED_VALUE"""),45052.99861111111)</f>
        <v>45052.99861</v>
      </c>
      <c r="I128" s="433">
        <f>IFERROR(__xludf.DUMMYFUNCTION("""COMPUTED_VALUE"""),1995.4792)</f>
        <v>1995.4792</v>
      </c>
    </row>
    <row r="129">
      <c r="A129" s="434">
        <f>IFERROR(__xludf.DUMMYFUNCTION("""COMPUTED_VALUE"""),42674.99861111111)</f>
        <v>42674.99861</v>
      </c>
      <c r="B129" s="433">
        <f>IFERROR(__xludf.DUMMYFUNCTION("""COMPUTED_VALUE"""),700.89)</f>
        <v>700.89</v>
      </c>
      <c r="C129" s="434">
        <f>IFERROR(__xludf.DUMMYFUNCTION("""COMPUTED_VALUE"""),42350.99861111111)</f>
        <v>42350.99861</v>
      </c>
      <c r="D129" s="433">
        <f>IFERROR(__xludf.DUMMYFUNCTION("""COMPUTED_VALUE"""),0.9312)</f>
        <v>0.9312</v>
      </c>
      <c r="F129" s="434">
        <f>IFERROR(__xludf.DUMMYFUNCTION("""COMPUTED_VALUE"""),45053.99861111111)</f>
        <v>45053.99861</v>
      </c>
      <c r="G129" s="433">
        <f>IFERROR(__xludf.DUMMYFUNCTION("""COMPUTED_VALUE"""),28450.92)</f>
        <v>28450.92</v>
      </c>
      <c r="H129" s="434">
        <f>IFERROR(__xludf.DUMMYFUNCTION("""COMPUTED_VALUE"""),45053.99861111111)</f>
        <v>45053.99861</v>
      </c>
      <c r="I129" s="433">
        <f>IFERROR(__xludf.DUMMYFUNCTION("""COMPUTED_VALUE"""),1899.9176)</f>
        <v>1899.9176</v>
      </c>
    </row>
    <row r="130">
      <c r="A130" s="434">
        <f>IFERROR(__xludf.DUMMYFUNCTION("""COMPUTED_VALUE"""),42675.99861111111)</f>
        <v>42675.99861</v>
      </c>
      <c r="B130" s="433">
        <f>IFERROR(__xludf.DUMMYFUNCTION("""COMPUTED_VALUE"""),722.68)</f>
        <v>722.68</v>
      </c>
      <c r="C130" s="434">
        <f>IFERROR(__xludf.DUMMYFUNCTION("""COMPUTED_VALUE"""),42351.99861111111)</f>
        <v>42351.99861</v>
      </c>
      <c r="D130" s="433">
        <f>IFERROR(__xludf.DUMMYFUNCTION("""COMPUTED_VALUE"""),0.9715)</f>
        <v>0.9715</v>
      </c>
      <c r="F130" s="434">
        <f>IFERROR(__xludf.DUMMYFUNCTION("""COMPUTED_VALUE"""),45054.99861111111)</f>
        <v>45054.99861</v>
      </c>
      <c r="G130" s="433">
        <f>IFERROR(__xludf.DUMMYFUNCTION("""COMPUTED_VALUE"""),27685.34)</f>
        <v>27685.34</v>
      </c>
      <c r="H130" s="434">
        <f>IFERROR(__xludf.DUMMYFUNCTION("""COMPUTED_VALUE"""),45054.99861111111)</f>
        <v>45054.99861</v>
      </c>
      <c r="I130" s="433">
        <f>IFERROR(__xludf.DUMMYFUNCTION("""COMPUTED_VALUE"""),1872.4751)</f>
        <v>1872.4751</v>
      </c>
    </row>
    <row r="131">
      <c r="A131" s="434">
        <f>IFERROR(__xludf.DUMMYFUNCTION("""COMPUTED_VALUE"""),42676.99861111111)</f>
        <v>42676.99861</v>
      </c>
      <c r="B131" s="433">
        <f>IFERROR(__xludf.DUMMYFUNCTION("""COMPUTED_VALUE"""),727.2)</f>
        <v>727.2</v>
      </c>
      <c r="C131" s="434">
        <f>IFERROR(__xludf.DUMMYFUNCTION("""COMPUTED_VALUE"""),42352.99861111111)</f>
        <v>42352.99861</v>
      </c>
      <c r="D131" s="433">
        <f>IFERROR(__xludf.DUMMYFUNCTION("""COMPUTED_VALUE"""),0.9566)</f>
        <v>0.9566</v>
      </c>
      <c r="F131" s="434">
        <f>IFERROR(__xludf.DUMMYFUNCTION("""COMPUTED_VALUE"""),45055.99861111111)</f>
        <v>45055.99861</v>
      </c>
      <c r="G131" s="433">
        <f>IFERROR(__xludf.DUMMYFUNCTION("""COMPUTED_VALUE"""),27640.28)</f>
        <v>27640.28</v>
      </c>
      <c r="H131" s="434">
        <f>IFERROR(__xludf.DUMMYFUNCTION("""COMPUTED_VALUE"""),45055.99861111111)</f>
        <v>45055.99861</v>
      </c>
      <c r="I131" s="433">
        <f>IFERROR(__xludf.DUMMYFUNCTION("""COMPUTED_VALUE"""),1849.061)</f>
        <v>1849.061</v>
      </c>
    </row>
    <row r="132">
      <c r="A132" s="434">
        <f>IFERROR(__xludf.DUMMYFUNCTION("""COMPUTED_VALUE"""),42677.99861111111)</f>
        <v>42677.99861</v>
      </c>
      <c r="B132" s="433">
        <f>IFERROR(__xludf.DUMMYFUNCTION("""COMPUTED_VALUE"""),725.45)</f>
        <v>725.45</v>
      </c>
      <c r="C132" s="434">
        <f>IFERROR(__xludf.DUMMYFUNCTION("""COMPUTED_VALUE"""),42353.99861111111)</f>
        <v>42353.99861</v>
      </c>
      <c r="D132" s="433">
        <f>IFERROR(__xludf.DUMMYFUNCTION("""COMPUTED_VALUE"""),0.9906)</f>
        <v>0.9906</v>
      </c>
      <c r="F132" s="434">
        <f>IFERROR(__xludf.DUMMYFUNCTION("""COMPUTED_VALUE"""),45056.99861111111)</f>
        <v>45056.99861</v>
      </c>
      <c r="G132" s="433">
        <f>IFERROR(__xludf.DUMMYFUNCTION("""COMPUTED_VALUE"""),27618.24)</f>
        <v>27618.24</v>
      </c>
      <c r="H132" s="434">
        <f>IFERROR(__xludf.DUMMYFUNCTION("""COMPUTED_VALUE"""),45056.99861111111)</f>
        <v>45056.99861</v>
      </c>
      <c r="I132" s="433">
        <f>IFERROR(__xludf.DUMMYFUNCTION("""COMPUTED_VALUE"""),1848.2135)</f>
        <v>1848.2135</v>
      </c>
    </row>
    <row r="133">
      <c r="A133" s="434">
        <f>IFERROR(__xludf.DUMMYFUNCTION("""COMPUTED_VALUE"""),42678.99861111111)</f>
        <v>42678.99861</v>
      </c>
      <c r="B133" s="433">
        <f>IFERROR(__xludf.DUMMYFUNCTION("""COMPUTED_VALUE"""),700.4)</f>
        <v>700.4</v>
      </c>
      <c r="C133" s="434">
        <f>IFERROR(__xludf.DUMMYFUNCTION("""COMPUTED_VALUE"""),42354.99861111111)</f>
        <v>42354.99861</v>
      </c>
      <c r="D133" s="433">
        <f>IFERROR(__xludf.DUMMYFUNCTION("""COMPUTED_VALUE"""),1.0171)</f>
        <v>1.0171</v>
      </c>
      <c r="F133" s="434">
        <f>IFERROR(__xludf.DUMMYFUNCTION("""COMPUTED_VALUE"""),45057.99861111111)</f>
        <v>45057.99861</v>
      </c>
      <c r="G133" s="433">
        <f>IFERROR(__xludf.DUMMYFUNCTION("""COMPUTED_VALUE"""),26986.38)</f>
        <v>26986.38</v>
      </c>
      <c r="H133" s="434">
        <f>IFERROR(__xludf.DUMMYFUNCTION("""COMPUTED_VALUE"""),45057.99861111111)</f>
        <v>45057.99861</v>
      </c>
      <c r="I133" s="433">
        <f>IFERROR(__xludf.DUMMYFUNCTION("""COMPUTED_VALUE"""),1842.4921)</f>
        <v>1842.4921</v>
      </c>
    </row>
    <row r="134">
      <c r="A134" s="434">
        <f>IFERROR(__xludf.DUMMYFUNCTION("""COMPUTED_VALUE"""),42681.99861111111)</f>
        <v>42681.99861</v>
      </c>
      <c r="B134" s="433">
        <f>IFERROR(__xludf.DUMMYFUNCTION("""COMPUTED_VALUE"""),706.36)</f>
        <v>706.36</v>
      </c>
      <c r="C134" s="434">
        <f>IFERROR(__xludf.DUMMYFUNCTION("""COMPUTED_VALUE"""),42355.99861111111)</f>
        <v>42355.99861</v>
      </c>
      <c r="D134" s="433">
        <f>IFERROR(__xludf.DUMMYFUNCTION("""COMPUTED_VALUE"""),0.993)</f>
        <v>0.993</v>
      </c>
      <c r="F134" s="434">
        <f>IFERROR(__xludf.DUMMYFUNCTION("""COMPUTED_VALUE"""),45058.99861111111)</f>
        <v>45058.99861</v>
      </c>
      <c r="G134" s="433">
        <f>IFERROR(__xludf.DUMMYFUNCTION("""COMPUTED_VALUE"""),26800.62)</f>
        <v>26800.62</v>
      </c>
      <c r="H134" s="434">
        <f>IFERROR(__xludf.DUMMYFUNCTION("""COMPUTED_VALUE"""),45058.99861111111)</f>
        <v>45058.99861</v>
      </c>
      <c r="I134" s="433">
        <f>IFERROR(__xludf.DUMMYFUNCTION("""COMPUTED_VALUE"""),1795.1766)</f>
        <v>1795.1766</v>
      </c>
    </row>
    <row r="135">
      <c r="A135" s="434">
        <f>IFERROR(__xludf.DUMMYFUNCTION("""COMPUTED_VALUE"""),42682.99861111111)</f>
        <v>42682.99861</v>
      </c>
      <c r="B135" s="433">
        <f>IFERROR(__xludf.DUMMYFUNCTION("""COMPUTED_VALUE"""),707.75)</f>
        <v>707.75</v>
      </c>
      <c r="C135" s="434">
        <f>IFERROR(__xludf.DUMMYFUNCTION("""COMPUTED_VALUE"""),42356.99861111111)</f>
        <v>42356.99861</v>
      </c>
      <c r="D135" s="433">
        <f>IFERROR(__xludf.DUMMYFUNCTION("""COMPUTED_VALUE"""),0.9383)</f>
        <v>0.9383</v>
      </c>
      <c r="F135" s="434">
        <f>IFERROR(__xludf.DUMMYFUNCTION("""COMPUTED_VALUE"""),45059.99861111111)</f>
        <v>45059.99861</v>
      </c>
      <c r="G135" s="433">
        <f>IFERROR(__xludf.DUMMYFUNCTION("""COMPUTED_VALUE"""),26780.87)</f>
        <v>26780.87</v>
      </c>
      <c r="H135" s="434">
        <f>IFERROR(__xludf.DUMMYFUNCTION("""COMPUTED_VALUE"""),45059.99861111111)</f>
        <v>45059.99861</v>
      </c>
      <c r="I135" s="433">
        <f>IFERROR(__xludf.DUMMYFUNCTION("""COMPUTED_VALUE"""),1808.375)</f>
        <v>1808.375</v>
      </c>
    </row>
    <row r="136">
      <c r="A136" s="434">
        <f>IFERROR(__xludf.DUMMYFUNCTION("""COMPUTED_VALUE"""),42683.99861111111)</f>
        <v>42683.99861</v>
      </c>
      <c r="B136" s="433">
        <f>IFERROR(__xludf.DUMMYFUNCTION("""COMPUTED_VALUE"""),726.36)</f>
        <v>726.36</v>
      </c>
      <c r="C136" s="434">
        <f>IFERROR(__xludf.DUMMYFUNCTION("""COMPUTED_VALUE"""),42357.99861111111)</f>
        <v>42357.99861</v>
      </c>
      <c r="D136" s="433">
        <f>IFERROR(__xludf.DUMMYFUNCTION("""COMPUTED_VALUE"""),0.9215)</f>
        <v>0.9215</v>
      </c>
      <c r="F136" s="434">
        <f>IFERROR(__xludf.DUMMYFUNCTION("""COMPUTED_VALUE"""),45060.99861111111)</f>
        <v>45060.99861</v>
      </c>
      <c r="G136" s="433">
        <f>IFERROR(__xludf.DUMMYFUNCTION("""COMPUTED_VALUE"""),26922.28)</f>
        <v>26922.28</v>
      </c>
      <c r="H136" s="434">
        <f>IFERROR(__xludf.DUMMYFUNCTION("""COMPUTED_VALUE"""),45060.99861111111)</f>
        <v>45060.99861</v>
      </c>
      <c r="I136" s="433">
        <f>IFERROR(__xludf.DUMMYFUNCTION("""COMPUTED_VALUE"""),1796.108)</f>
        <v>1796.108</v>
      </c>
    </row>
    <row r="137">
      <c r="A137" s="434">
        <f>IFERROR(__xludf.DUMMYFUNCTION("""COMPUTED_VALUE"""),42684.99861111111)</f>
        <v>42684.99861</v>
      </c>
      <c r="B137" s="433">
        <f>IFERROR(__xludf.DUMMYFUNCTION("""COMPUTED_VALUE"""),716.04)</f>
        <v>716.04</v>
      </c>
      <c r="C137" s="434">
        <f>IFERROR(__xludf.DUMMYFUNCTION("""COMPUTED_VALUE"""),42358.99861111111)</f>
        <v>42358.99861</v>
      </c>
      <c r="D137" s="433">
        <f>IFERROR(__xludf.DUMMYFUNCTION("""COMPUTED_VALUE"""),0.9082)</f>
        <v>0.9082</v>
      </c>
      <c r="F137" s="434">
        <f>IFERROR(__xludf.DUMMYFUNCTION("""COMPUTED_VALUE"""),45061.99861111111)</f>
        <v>45061.99861</v>
      </c>
      <c r="G137" s="433">
        <f>IFERROR(__xludf.DUMMYFUNCTION("""COMPUTED_VALUE"""),27176.95)</f>
        <v>27176.95</v>
      </c>
      <c r="H137" s="434">
        <f>IFERROR(__xludf.DUMMYFUNCTION("""COMPUTED_VALUE"""),45061.99861111111)</f>
        <v>45061.99861</v>
      </c>
      <c r="I137" s="433">
        <f>IFERROR(__xludf.DUMMYFUNCTION("""COMPUTED_VALUE"""),1800.3712)</f>
        <v>1800.3712</v>
      </c>
    </row>
    <row r="138">
      <c r="A138" s="434">
        <f>IFERROR(__xludf.DUMMYFUNCTION("""COMPUTED_VALUE"""),42685.99861111111)</f>
        <v>42685.99861</v>
      </c>
      <c r="B138" s="433">
        <f>IFERROR(__xludf.DUMMYFUNCTION("""COMPUTED_VALUE"""),715.56)</f>
        <v>715.56</v>
      </c>
      <c r="C138" s="434">
        <f>IFERROR(__xludf.DUMMYFUNCTION("""COMPUTED_VALUE"""),42359.99861111111)</f>
        <v>42359.99861</v>
      </c>
      <c r="D138" s="433">
        <f>IFERROR(__xludf.DUMMYFUNCTION("""COMPUTED_VALUE"""),0.9061)</f>
        <v>0.9061</v>
      </c>
      <c r="F138" s="434">
        <f>IFERROR(__xludf.DUMMYFUNCTION("""COMPUTED_VALUE"""),45062.99861111111)</f>
        <v>45062.99861</v>
      </c>
      <c r="G138" s="433">
        <f>IFERROR(__xludf.DUMMYFUNCTION("""COMPUTED_VALUE"""),27035.87)</f>
        <v>27035.87</v>
      </c>
      <c r="H138" s="434">
        <f>IFERROR(__xludf.DUMMYFUNCTION("""COMPUTED_VALUE"""),45062.99861111111)</f>
        <v>45062.99861</v>
      </c>
      <c r="I138" s="433">
        <f>IFERROR(__xludf.DUMMYFUNCTION("""COMPUTED_VALUE"""),1816.8243)</f>
        <v>1816.8243</v>
      </c>
    </row>
    <row r="139">
      <c r="A139" s="434">
        <f>IFERROR(__xludf.DUMMYFUNCTION("""COMPUTED_VALUE"""),42688.99861111111)</f>
        <v>42688.99861</v>
      </c>
      <c r="B139" s="433">
        <f>IFERROR(__xludf.DUMMYFUNCTION("""COMPUTED_VALUE"""),703.24)</f>
        <v>703.24</v>
      </c>
      <c r="C139" s="434">
        <f>IFERROR(__xludf.DUMMYFUNCTION("""COMPUTED_VALUE"""),42360.99861111111)</f>
        <v>42360.99861</v>
      </c>
      <c r="D139" s="433">
        <f>IFERROR(__xludf.DUMMYFUNCTION("""COMPUTED_VALUE"""),0.895)</f>
        <v>0.895</v>
      </c>
      <c r="F139" s="434">
        <f>IFERROR(__xludf.DUMMYFUNCTION("""COMPUTED_VALUE"""),45063.99861111111)</f>
        <v>45063.99861</v>
      </c>
      <c r="G139" s="433">
        <f>IFERROR(__xludf.DUMMYFUNCTION("""COMPUTED_VALUE"""),27401.65)</f>
        <v>27401.65</v>
      </c>
      <c r="H139" s="434">
        <f>IFERROR(__xludf.DUMMYFUNCTION("""COMPUTED_VALUE"""),45063.99861111111)</f>
        <v>45063.99861</v>
      </c>
      <c r="I139" s="433">
        <f>IFERROR(__xludf.DUMMYFUNCTION("""COMPUTED_VALUE"""),1824.0684)</f>
        <v>1824.0684</v>
      </c>
    </row>
    <row r="140">
      <c r="A140" s="434">
        <f>IFERROR(__xludf.DUMMYFUNCTION("""COMPUTED_VALUE"""),42689.99861111111)</f>
        <v>42689.99861</v>
      </c>
      <c r="B140" s="433">
        <f>IFERROR(__xludf.DUMMYFUNCTION("""COMPUTED_VALUE"""),712.67)</f>
        <v>712.67</v>
      </c>
      <c r="C140" s="434">
        <f>IFERROR(__xludf.DUMMYFUNCTION("""COMPUTED_VALUE"""),42361.99861111111)</f>
        <v>42361.99861</v>
      </c>
      <c r="D140" s="433">
        <f>IFERROR(__xludf.DUMMYFUNCTION("""COMPUTED_VALUE"""),0.8618)</f>
        <v>0.8618</v>
      </c>
      <c r="F140" s="434">
        <f>IFERROR(__xludf.DUMMYFUNCTION("""COMPUTED_VALUE"""),45064.99861111111)</f>
        <v>45064.99861</v>
      </c>
      <c r="G140" s="433">
        <f>IFERROR(__xludf.DUMMYFUNCTION("""COMPUTED_VALUE"""),26828.17)</f>
        <v>26828.17</v>
      </c>
      <c r="H140" s="434">
        <f>IFERROR(__xludf.DUMMYFUNCTION("""COMPUTED_VALUE"""),45064.99861111111)</f>
        <v>45064.99861</v>
      </c>
      <c r="I140" s="433">
        <f>IFERROR(__xludf.DUMMYFUNCTION("""COMPUTED_VALUE"""),1822.0682)</f>
        <v>1822.0682</v>
      </c>
    </row>
    <row r="141">
      <c r="A141" s="434">
        <f>IFERROR(__xludf.DUMMYFUNCTION("""COMPUTED_VALUE"""),42690.99861111111)</f>
        <v>42690.99861</v>
      </c>
      <c r="B141" s="433">
        <f>IFERROR(__xludf.DUMMYFUNCTION("""COMPUTED_VALUE"""),727.09)</f>
        <v>727.09</v>
      </c>
      <c r="C141" s="434">
        <f>IFERROR(__xludf.DUMMYFUNCTION("""COMPUTED_VALUE"""),42362.99861111111)</f>
        <v>42362.99861</v>
      </c>
      <c r="D141" s="433">
        <f>IFERROR(__xludf.DUMMYFUNCTION("""COMPUTED_VALUE"""),0.8594)</f>
        <v>0.8594</v>
      </c>
      <c r="F141" s="434">
        <f>IFERROR(__xludf.DUMMYFUNCTION("""COMPUTED_VALUE"""),45065.99861111111)</f>
        <v>45065.99861</v>
      </c>
      <c r="G141" s="433">
        <f>IFERROR(__xludf.DUMMYFUNCTION("""COMPUTED_VALUE"""),26887.22)</f>
        <v>26887.22</v>
      </c>
      <c r="H141" s="434">
        <f>IFERROR(__xludf.DUMMYFUNCTION("""COMPUTED_VALUE"""),45065.99861111111)</f>
        <v>45065.99861</v>
      </c>
      <c r="I141" s="433">
        <f>IFERROR(__xludf.DUMMYFUNCTION("""COMPUTED_VALUE"""),1800.9944)</f>
        <v>1800.9944</v>
      </c>
    </row>
    <row r="142">
      <c r="A142" s="434">
        <f>IFERROR(__xludf.DUMMYFUNCTION("""COMPUTED_VALUE"""),42691.99861111111)</f>
        <v>42691.99861</v>
      </c>
      <c r="B142" s="433">
        <f>IFERROR(__xludf.DUMMYFUNCTION("""COMPUTED_VALUE"""),744.86)</f>
        <v>744.86</v>
      </c>
      <c r="C142" s="434">
        <f>IFERROR(__xludf.DUMMYFUNCTION("""COMPUTED_VALUE"""),42363.99861111111)</f>
        <v>42363.99861</v>
      </c>
      <c r="D142" s="433">
        <f>IFERROR(__xludf.DUMMYFUNCTION("""COMPUTED_VALUE"""),0.862)</f>
        <v>0.862</v>
      </c>
      <c r="F142" s="434">
        <f>IFERROR(__xludf.DUMMYFUNCTION("""COMPUTED_VALUE"""),45066.99861111111)</f>
        <v>45066.99861</v>
      </c>
      <c r="G142" s="433">
        <f>IFERROR(__xludf.DUMMYFUNCTION("""COMPUTED_VALUE"""),27118.38)</f>
        <v>27118.38</v>
      </c>
      <c r="H142" s="434">
        <f>IFERROR(__xludf.DUMMYFUNCTION("""COMPUTED_VALUE"""),45066.99861111111)</f>
        <v>45066.99861</v>
      </c>
      <c r="I142" s="433">
        <f>IFERROR(__xludf.DUMMYFUNCTION("""COMPUTED_VALUE"""),1812.7661)</f>
        <v>1812.7661</v>
      </c>
    </row>
    <row r="143">
      <c r="A143" s="434">
        <f>IFERROR(__xludf.DUMMYFUNCTION("""COMPUTED_VALUE"""),42692.99861111111)</f>
        <v>42692.99861</v>
      </c>
      <c r="B143" s="433">
        <f>IFERROR(__xludf.DUMMYFUNCTION("""COMPUTED_VALUE"""),743.64)</f>
        <v>743.64</v>
      </c>
      <c r="C143" s="434">
        <f>IFERROR(__xludf.DUMMYFUNCTION("""COMPUTED_VALUE"""),42364.99861111111)</f>
        <v>42364.99861</v>
      </c>
      <c r="D143" s="433">
        <f>IFERROR(__xludf.DUMMYFUNCTION("""COMPUTED_VALUE"""),0.8708)</f>
        <v>0.8708</v>
      </c>
      <c r="F143" s="434">
        <f>IFERROR(__xludf.DUMMYFUNCTION("""COMPUTED_VALUE"""),45067.99861111111)</f>
        <v>45067.99861</v>
      </c>
      <c r="G143" s="433">
        <f>IFERROR(__xludf.DUMMYFUNCTION("""COMPUTED_VALUE"""),26750.97)</f>
        <v>26750.97</v>
      </c>
      <c r="H143" s="434">
        <f>IFERROR(__xludf.DUMMYFUNCTION("""COMPUTED_VALUE"""),45067.99861111111)</f>
        <v>45067.99861</v>
      </c>
      <c r="I143" s="433">
        <f>IFERROR(__xludf.DUMMYFUNCTION("""COMPUTED_VALUE"""),1820.1381)</f>
        <v>1820.1381</v>
      </c>
    </row>
    <row r="144">
      <c r="A144" s="434">
        <f>IFERROR(__xludf.DUMMYFUNCTION("""COMPUTED_VALUE"""),42695.99861111111)</f>
        <v>42695.99861</v>
      </c>
      <c r="B144" s="433">
        <f>IFERROR(__xludf.DUMMYFUNCTION("""COMPUTED_VALUE"""),735.54)</f>
        <v>735.54</v>
      </c>
      <c r="C144" s="434">
        <f>IFERROR(__xludf.DUMMYFUNCTION("""COMPUTED_VALUE"""),42365.99861111111)</f>
        <v>42365.99861</v>
      </c>
      <c r="D144" s="433">
        <f>IFERROR(__xludf.DUMMYFUNCTION("""COMPUTED_VALUE"""),0.8532)</f>
        <v>0.8532</v>
      </c>
      <c r="F144" s="434">
        <f>IFERROR(__xludf.DUMMYFUNCTION("""COMPUTED_VALUE"""),45068.99861111111)</f>
        <v>45068.99861</v>
      </c>
      <c r="G144" s="433">
        <f>IFERROR(__xludf.DUMMYFUNCTION("""COMPUTED_VALUE"""),26852.15)</f>
        <v>26852.15</v>
      </c>
      <c r="H144" s="434">
        <f>IFERROR(__xludf.DUMMYFUNCTION("""COMPUTED_VALUE"""),45068.99861111111)</f>
        <v>45068.99861</v>
      </c>
      <c r="I144" s="433">
        <f>IFERROR(__xludf.DUMMYFUNCTION("""COMPUTED_VALUE"""),1804.8419)</f>
        <v>1804.8419</v>
      </c>
    </row>
    <row r="145">
      <c r="A145" s="434">
        <f>IFERROR(__xludf.DUMMYFUNCTION("""COMPUTED_VALUE"""),42696.99861111111)</f>
        <v>42696.99861</v>
      </c>
      <c r="B145" s="433">
        <f>IFERROR(__xludf.DUMMYFUNCTION("""COMPUTED_VALUE"""),742.1)</f>
        <v>742.1</v>
      </c>
      <c r="C145" s="434">
        <f>IFERROR(__xludf.DUMMYFUNCTION("""COMPUTED_VALUE"""),42366.99861111111)</f>
        <v>42366.99861</v>
      </c>
      <c r="D145" s="433">
        <f>IFERROR(__xludf.DUMMYFUNCTION("""COMPUTED_VALUE"""),0.8564)</f>
        <v>0.8564</v>
      </c>
      <c r="F145" s="434">
        <f>IFERROR(__xludf.DUMMYFUNCTION("""COMPUTED_VALUE"""),45069.99861111111)</f>
        <v>45069.99861</v>
      </c>
      <c r="G145" s="433">
        <f>IFERROR(__xludf.DUMMYFUNCTION("""COMPUTED_VALUE"""),27220.68)</f>
        <v>27220.68</v>
      </c>
      <c r="H145" s="434">
        <f>IFERROR(__xludf.DUMMYFUNCTION("""COMPUTED_VALUE"""),45069.99861111111)</f>
        <v>45069.99861</v>
      </c>
      <c r="I145" s="433">
        <f>IFERROR(__xludf.DUMMYFUNCTION("""COMPUTED_VALUE"""),1817.7812)</f>
        <v>1817.7812</v>
      </c>
    </row>
    <row r="146">
      <c r="A146" s="434">
        <f>IFERROR(__xludf.DUMMYFUNCTION("""COMPUTED_VALUE"""),42697.99861111111)</f>
        <v>42697.99861</v>
      </c>
      <c r="B146" s="433">
        <f>IFERROR(__xludf.DUMMYFUNCTION("""COMPUTED_VALUE"""),742.37)</f>
        <v>742.37</v>
      </c>
      <c r="C146" s="434">
        <f>IFERROR(__xludf.DUMMYFUNCTION("""COMPUTED_VALUE"""),42367.99861111111)</f>
        <v>42367.99861</v>
      </c>
      <c r="D146" s="433">
        <f>IFERROR(__xludf.DUMMYFUNCTION("""COMPUTED_VALUE"""),0.8438)</f>
        <v>0.8438</v>
      </c>
      <c r="F146" s="434">
        <f>IFERROR(__xludf.DUMMYFUNCTION("""COMPUTED_VALUE"""),45070.99861111111)</f>
        <v>45070.99861</v>
      </c>
      <c r="G146" s="433">
        <f>IFERROR(__xludf.DUMMYFUNCTION("""COMPUTED_VALUE"""),26325.69)</f>
        <v>26325.69</v>
      </c>
      <c r="H146" s="434">
        <f>IFERROR(__xludf.DUMMYFUNCTION("""COMPUTED_VALUE"""),45070.99861111111)</f>
        <v>45070.99861</v>
      </c>
      <c r="I146" s="433">
        <f>IFERROR(__xludf.DUMMYFUNCTION("""COMPUTED_VALUE"""),1854.2997)</f>
        <v>1854.2997</v>
      </c>
    </row>
    <row r="147">
      <c r="A147" s="434">
        <f>IFERROR(__xludf.DUMMYFUNCTION("""COMPUTED_VALUE"""),42698.99861111111)</f>
        <v>42698.99861</v>
      </c>
      <c r="B147" s="433">
        <f>IFERROR(__xludf.DUMMYFUNCTION("""COMPUTED_VALUE"""),738.37)</f>
        <v>738.37</v>
      </c>
      <c r="C147" s="434">
        <f>IFERROR(__xludf.DUMMYFUNCTION("""COMPUTED_VALUE"""),42368.99861111111)</f>
        <v>42368.99861</v>
      </c>
      <c r="D147" s="433">
        <f>IFERROR(__xludf.DUMMYFUNCTION("""COMPUTED_VALUE"""),0.8743)</f>
        <v>0.8743</v>
      </c>
      <c r="F147" s="434">
        <f>IFERROR(__xludf.DUMMYFUNCTION("""COMPUTED_VALUE"""),45071.99861111111)</f>
        <v>45071.99861</v>
      </c>
      <c r="G147" s="433">
        <f>IFERROR(__xludf.DUMMYFUNCTION("""COMPUTED_VALUE"""),26477.4)</f>
        <v>26477.4</v>
      </c>
      <c r="H147" s="434">
        <f>IFERROR(__xludf.DUMMYFUNCTION("""COMPUTED_VALUE"""),45071.99861111111)</f>
        <v>45071.99861</v>
      </c>
      <c r="I147" s="433">
        <f>IFERROR(__xludf.DUMMYFUNCTION("""COMPUTED_VALUE"""),1799.8452)</f>
        <v>1799.8452</v>
      </c>
    </row>
    <row r="148">
      <c r="A148" s="434">
        <f>IFERROR(__xludf.DUMMYFUNCTION("""COMPUTED_VALUE"""),42699.99861111111)</f>
        <v>42699.99861</v>
      </c>
      <c r="B148" s="433">
        <f>IFERROR(__xludf.DUMMYFUNCTION("""COMPUTED_VALUE"""),735.01)</f>
        <v>735.01</v>
      </c>
      <c r="C148" s="434">
        <f>IFERROR(__xludf.DUMMYFUNCTION("""COMPUTED_VALUE"""),42369.99861111111)</f>
        <v>42369.99861</v>
      </c>
      <c r="D148" s="433">
        <f>IFERROR(__xludf.DUMMYFUNCTION("""COMPUTED_VALUE"""),0.9121)</f>
        <v>0.9121</v>
      </c>
      <c r="F148" s="434">
        <f>IFERROR(__xludf.DUMMYFUNCTION("""COMPUTED_VALUE"""),45072.99861111111)</f>
        <v>45072.99861</v>
      </c>
      <c r="G148" s="433">
        <f>IFERROR(__xludf.DUMMYFUNCTION("""COMPUTED_VALUE"""),26713.51)</f>
        <v>26713.51</v>
      </c>
      <c r="H148" s="434">
        <f>IFERROR(__xludf.DUMMYFUNCTION("""COMPUTED_VALUE"""),45072.99861111111)</f>
        <v>45072.99861</v>
      </c>
      <c r="I148" s="433">
        <f>IFERROR(__xludf.DUMMYFUNCTION("""COMPUTED_VALUE"""),1805.7254)</f>
        <v>1805.7254</v>
      </c>
    </row>
    <row r="149">
      <c r="A149" s="434">
        <f>IFERROR(__xludf.DUMMYFUNCTION("""COMPUTED_VALUE"""),42702.99861111111)</f>
        <v>42702.99861</v>
      </c>
      <c r="B149" s="433">
        <f>IFERROR(__xludf.DUMMYFUNCTION("""COMPUTED_VALUE"""),731.64)</f>
        <v>731.64</v>
      </c>
      <c r="C149" s="434">
        <f>IFERROR(__xludf.DUMMYFUNCTION("""COMPUTED_VALUE"""),42370.99861111111)</f>
        <v>42370.99861</v>
      </c>
      <c r="D149" s="433">
        <f>IFERROR(__xludf.DUMMYFUNCTION("""COMPUTED_VALUE"""),0.9337)</f>
        <v>0.9337</v>
      </c>
      <c r="F149" s="434">
        <f>IFERROR(__xludf.DUMMYFUNCTION("""COMPUTED_VALUE"""),45073.99861111111)</f>
        <v>45073.99861</v>
      </c>
      <c r="G149" s="433">
        <f>IFERROR(__xludf.DUMMYFUNCTION("""COMPUTED_VALUE"""),26865.48)</f>
        <v>26865.48</v>
      </c>
      <c r="H149" s="434">
        <f>IFERROR(__xludf.DUMMYFUNCTION("""COMPUTED_VALUE"""),45073.99861111111)</f>
        <v>45073.99861</v>
      </c>
      <c r="I149" s="433">
        <f>IFERROR(__xludf.DUMMYFUNCTION("""COMPUTED_VALUE"""),1828.5757)</f>
        <v>1828.5757</v>
      </c>
    </row>
    <row r="150">
      <c r="A150" s="434">
        <f>IFERROR(__xludf.DUMMYFUNCTION("""COMPUTED_VALUE"""),42703.99861111111)</f>
        <v>42703.99861</v>
      </c>
      <c r="B150" s="433">
        <f>IFERROR(__xludf.DUMMYFUNCTION("""COMPUTED_VALUE"""),732.26)</f>
        <v>732.26</v>
      </c>
      <c r="C150" s="434">
        <f>IFERROR(__xludf.DUMMYFUNCTION("""COMPUTED_VALUE"""),42371.99861111111)</f>
        <v>42371.99861</v>
      </c>
      <c r="D150" s="433">
        <f>IFERROR(__xludf.DUMMYFUNCTION("""COMPUTED_VALUE"""),0.9474)</f>
        <v>0.9474</v>
      </c>
      <c r="F150" s="434">
        <f>IFERROR(__xludf.DUMMYFUNCTION("""COMPUTED_VALUE"""),45074.99861111111)</f>
        <v>45074.99861</v>
      </c>
      <c r="G150" s="433">
        <f>IFERROR(__xludf.DUMMYFUNCTION("""COMPUTED_VALUE"""),28079.08)</f>
        <v>28079.08</v>
      </c>
      <c r="H150" s="434">
        <f>IFERROR(__xludf.DUMMYFUNCTION("""COMPUTED_VALUE"""),45074.99861111111)</f>
        <v>45074.99861</v>
      </c>
      <c r="I150" s="433">
        <f>IFERROR(__xludf.DUMMYFUNCTION("""COMPUTED_VALUE"""),1831.0987)</f>
        <v>1831.0987</v>
      </c>
    </row>
    <row r="151">
      <c r="A151" s="434">
        <f>IFERROR(__xludf.DUMMYFUNCTION("""COMPUTED_VALUE"""),42704.99861111111)</f>
        <v>42704.99861</v>
      </c>
      <c r="B151" s="433">
        <f>IFERROR(__xludf.DUMMYFUNCTION("""COMPUTED_VALUE"""),737.8)</f>
        <v>737.8</v>
      </c>
      <c r="C151" s="434">
        <f>IFERROR(__xludf.DUMMYFUNCTION("""COMPUTED_VALUE"""),42372.99861111111)</f>
        <v>42372.99861</v>
      </c>
      <c r="D151" s="433">
        <f>IFERROR(__xludf.DUMMYFUNCTION("""COMPUTED_VALUE"""),0.9384)</f>
        <v>0.9384</v>
      </c>
      <c r="F151" s="434">
        <f>IFERROR(__xludf.DUMMYFUNCTION("""COMPUTED_VALUE"""),45075.99861111111)</f>
        <v>45075.99861</v>
      </c>
      <c r="G151" s="433">
        <f>IFERROR(__xludf.DUMMYFUNCTION("""COMPUTED_VALUE"""),27743.0)</f>
        <v>27743</v>
      </c>
      <c r="H151" s="434">
        <f>IFERROR(__xludf.DUMMYFUNCTION("""COMPUTED_VALUE"""),45075.99861111111)</f>
        <v>45075.99861</v>
      </c>
      <c r="I151" s="433">
        <f>IFERROR(__xludf.DUMMYFUNCTION("""COMPUTED_VALUE"""),1909.2975)</f>
        <v>1909.2975</v>
      </c>
    </row>
    <row r="152">
      <c r="A152" s="434">
        <f>IFERROR(__xludf.DUMMYFUNCTION("""COMPUTED_VALUE"""),42705.99861111111)</f>
        <v>42705.99861</v>
      </c>
      <c r="B152" s="433">
        <f>IFERROR(__xludf.DUMMYFUNCTION("""COMPUTED_VALUE"""),748.29)</f>
        <v>748.29</v>
      </c>
      <c r="C152" s="434">
        <f>IFERROR(__xludf.DUMMYFUNCTION("""COMPUTED_VALUE"""),42373.99861111111)</f>
        <v>42373.99861</v>
      </c>
      <c r="D152" s="433">
        <f>IFERROR(__xludf.DUMMYFUNCTION("""COMPUTED_VALUE"""),0.972)</f>
        <v>0.972</v>
      </c>
      <c r="F152" s="434">
        <f>IFERROR(__xludf.DUMMYFUNCTION("""COMPUTED_VALUE"""),45076.99861111111)</f>
        <v>45076.99861</v>
      </c>
      <c r="G152" s="433">
        <f>IFERROR(__xludf.DUMMYFUNCTION("""COMPUTED_VALUE"""),27698.92)</f>
        <v>27698.92</v>
      </c>
      <c r="H152" s="434">
        <f>IFERROR(__xludf.DUMMYFUNCTION("""COMPUTED_VALUE"""),45076.99861111111)</f>
        <v>45076.99861</v>
      </c>
      <c r="I152" s="433">
        <f>IFERROR(__xludf.DUMMYFUNCTION("""COMPUTED_VALUE"""),1893.0932)</f>
        <v>1893.0932</v>
      </c>
    </row>
    <row r="153">
      <c r="A153" s="434">
        <f>IFERROR(__xludf.DUMMYFUNCTION("""COMPUTED_VALUE"""),42706.99861111111)</f>
        <v>42706.99861</v>
      </c>
      <c r="B153" s="433">
        <f>IFERROR(__xludf.DUMMYFUNCTION("""COMPUTED_VALUE"""),768.36)</f>
        <v>768.36</v>
      </c>
      <c r="C153" s="434">
        <f>IFERROR(__xludf.DUMMYFUNCTION("""COMPUTED_VALUE"""),42374.99861111111)</f>
        <v>42374.99861</v>
      </c>
      <c r="D153" s="433">
        <f>IFERROR(__xludf.DUMMYFUNCTION("""COMPUTED_VALUE"""),0.9531)</f>
        <v>0.9531</v>
      </c>
      <c r="F153" s="434">
        <f>IFERROR(__xludf.DUMMYFUNCTION("""COMPUTED_VALUE"""),45077.99861111111)</f>
        <v>45077.99861</v>
      </c>
      <c r="G153" s="433">
        <f>IFERROR(__xludf.DUMMYFUNCTION("""COMPUTED_VALUE"""),27218.21)</f>
        <v>27218.21</v>
      </c>
      <c r="H153" s="434">
        <f>IFERROR(__xludf.DUMMYFUNCTION("""COMPUTED_VALUE"""),45077.99861111111)</f>
        <v>45077.99861</v>
      </c>
      <c r="I153" s="433">
        <f>IFERROR(__xludf.DUMMYFUNCTION("""COMPUTED_VALUE"""),1901.0983)</f>
        <v>1901.0983</v>
      </c>
    </row>
    <row r="154">
      <c r="A154" s="434">
        <f>IFERROR(__xludf.DUMMYFUNCTION("""COMPUTED_VALUE"""),42709.99861111111)</f>
        <v>42709.99861</v>
      </c>
      <c r="B154" s="433">
        <f>IFERROR(__xludf.DUMMYFUNCTION("""COMPUTED_VALUE"""),754.78)</f>
        <v>754.78</v>
      </c>
      <c r="C154" s="434">
        <f>IFERROR(__xludf.DUMMYFUNCTION("""COMPUTED_VALUE"""),42375.99861111111)</f>
        <v>42375.99861</v>
      </c>
      <c r="D154" s="433">
        <f>IFERROR(__xludf.DUMMYFUNCTION("""COMPUTED_VALUE"""),0.95)</f>
        <v>0.95</v>
      </c>
      <c r="F154" s="434">
        <f>IFERROR(__xludf.DUMMYFUNCTION("""COMPUTED_VALUE"""),45078.99861111111)</f>
        <v>45078.99861</v>
      </c>
      <c r="G154" s="433">
        <f>IFERROR(__xludf.DUMMYFUNCTION("""COMPUTED_VALUE"""),26819.79)</f>
        <v>26819.79</v>
      </c>
      <c r="H154" s="434">
        <f>IFERROR(__xludf.DUMMYFUNCTION("""COMPUTED_VALUE"""),45078.99861111111)</f>
        <v>45078.99861</v>
      </c>
      <c r="I154" s="433">
        <f>IFERROR(__xludf.DUMMYFUNCTION("""COMPUTED_VALUE"""),1873.9147)</f>
        <v>1873.9147</v>
      </c>
    </row>
    <row r="155">
      <c r="A155" s="434">
        <f>IFERROR(__xludf.DUMMYFUNCTION("""COMPUTED_VALUE"""),42710.99861111111)</f>
        <v>42710.99861</v>
      </c>
      <c r="B155" s="433">
        <f>IFERROR(__xludf.DUMMYFUNCTION("""COMPUTED_VALUE"""),756.1)</f>
        <v>756.1</v>
      </c>
      <c r="C155" s="434">
        <f>IFERROR(__xludf.DUMMYFUNCTION("""COMPUTED_VALUE"""),42376.99861111111)</f>
        <v>42376.99861</v>
      </c>
      <c r="D155" s="433">
        <f>IFERROR(__xludf.DUMMYFUNCTION("""COMPUTED_VALUE"""),0.9558)</f>
        <v>0.9558</v>
      </c>
      <c r="F155" s="434">
        <f>IFERROR(__xludf.DUMMYFUNCTION("""COMPUTED_VALUE"""),45079.99861111111)</f>
        <v>45079.99861</v>
      </c>
      <c r="G155" s="433">
        <f>IFERROR(__xludf.DUMMYFUNCTION("""COMPUTED_VALUE"""),27249.86)</f>
        <v>27249.86</v>
      </c>
      <c r="H155" s="434">
        <f>IFERROR(__xludf.DUMMYFUNCTION("""COMPUTED_VALUE"""),45079.99861111111)</f>
        <v>45079.99861</v>
      </c>
      <c r="I155" s="433">
        <f>IFERROR(__xludf.DUMMYFUNCTION("""COMPUTED_VALUE"""),1862.4238)</f>
        <v>1862.4238</v>
      </c>
    </row>
    <row r="156">
      <c r="A156" s="434">
        <f>IFERROR(__xludf.DUMMYFUNCTION("""COMPUTED_VALUE"""),42711.99861111111)</f>
        <v>42711.99861</v>
      </c>
      <c r="B156" s="433">
        <f>IFERROR(__xludf.DUMMYFUNCTION("""COMPUTED_VALUE"""),761.17)</f>
        <v>761.17</v>
      </c>
      <c r="C156" s="434">
        <f>IFERROR(__xludf.DUMMYFUNCTION("""COMPUTED_VALUE"""),42377.99861111111)</f>
        <v>42377.99861</v>
      </c>
      <c r="D156" s="433">
        <f>IFERROR(__xludf.DUMMYFUNCTION("""COMPUTED_VALUE"""),0.9428)</f>
        <v>0.9428</v>
      </c>
      <c r="F156" s="434">
        <f>IFERROR(__xludf.DUMMYFUNCTION("""COMPUTED_VALUE"""),45080.99861111111)</f>
        <v>45080.99861</v>
      </c>
      <c r="G156" s="433">
        <f>IFERROR(__xludf.DUMMYFUNCTION("""COMPUTED_VALUE"""),27072.09)</f>
        <v>27072.09</v>
      </c>
      <c r="H156" s="434">
        <f>IFERROR(__xludf.DUMMYFUNCTION("""COMPUTED_VALUE"""),45080.99861111111)</f>
        <v>45080.99861</v>
      </c>
      <c r="I156" s="433">
        <f>IFERROR(__xludf.DUMMYFUNCTION("""COMPUTED_VALUE"""),1907.4208)</f>
        <v>1907.4208</v>
      </c>
    </row>
    <row r="157">
      <c r="A157" s="434">
        <f>IFERROR(__xludf.DUMMYFUNCTION("""COMPUTED_VALUE"""),42712.99861111111)</f>
        <v>42712.99861</v>
      </c>
      <c r="B157" s="433">
        <f>IFERROR(__xludf.DUMMYFUNCTION("""COMPUTED_VALUE"""),767.03)</f>
        <v>767.03</v>
      </c>
      <c r="C157" s="434">
        <f>IFERROR(__xludf.DUMMYFUNCTION("""COMPUTED_VALUE"""),42378.99861111111)</f>
        <v>42378.99861</v>
      </c>
      <c r="D157" s="433">
        <f>IFERROR(__xludf.DUMMYFUNCTION("""COMPUTED_VALUE"""),0.9855)</f>
        <v>0.9855</v>
      </c>
      <c r="F157" s="434">
        <f>IFERROR(__xludf.DUMMYFUNCTION("""COMPUTED_VALUE"""),45081.99861111111)</f>
        <v>45081.99861</v>
      </c>
      <c r="G157" s="433">
        <f>IFERROR(__xludf.DUMMYFUNCTION("""COMPUTED_VALUE"""),27126.87)</f>
        <v>27126.87</v>
      </c>
      <c r="H157" s="434">
        <f>IFERROR(__xludf.DUMMYFUNCTION("""COMPUTED_VALUE"""),45081.99861111111)</f>
        <v>45081.99861</v>
      </c>
      <c r="I157" s="433">
        <f>IFERROR(__xludf.DUMMYFUNCTION("""COMPUTED_VALUE"""),1892.3982)</f>
        <v>1892.3982</v>
      </c>
    </row>
    <row r="158">
      <c r="A158" s="434">
        <f>IFERROR(__xludf.DUMMYFUNCTION("""COMPUTED_VALUE"""),42713.99861111111)</f>
        <v>42713.99861</v>
      </c>
      <c r="B158" s="433">
        <f>IFERROR(__xludf.DUMMYFUNCTION("""COMPUTED_VALUE"""),769.14)</f>
        <v>769.14</v>
      </c>
      <c r="C158" s="434">
        <f>IFERROR(__xludf.DUMMYFUNCTION("""COMPUTED_VALUE"""),42379.99861111111)</f>
        <v>42379.99861</v>
      </c>
      <c r="D158" s="433">
        <f>IFERROR(__xludf.DUMMYFUNCTION("""COMPUTED_VALUE"""),0.9856)</f>
        <v>0.9856</v>
      </c>
      <c r="F158" s="434">
        <f>IFERROR(__xludf.DUMMYFUNCTION("""COMPUTED_VALUE"""),45082.99861111111)</f>
        <v>45082.99861</v>
      </c>
      <c r="G158" s="433">
        <f>IFERROR(__xludf.DUMMYFUNCTION("""COMPUTED_VALUE"""),25736.08)</f>
        <v>25736.08</v>
      </c>
      <c r="H158" s="434">
        <f>IFERROR(__xludf.DUMMYFUNCTION("""COMPUTED_VALUE"""),45082.99861111111)</f>
        <v>45082.99861</v>
      </c>
      <c r="I158" s="433">
        <f>IFERROR(__xludf.DUMMYFUNCTION("""COMPUTED_VALUE"""),1890.4177)</f>
        <v>1890.4177</v>
      </c>
    </row>
    <row r="159">
      <c r="A159" s="434">
        <f>IFERROR(__xludf.DUMMYFUNCTION("""COMPUTED_VALUE"""),42716.99861111111)</f>
        <v>42716.99861</v>
      </c>
      <c r="B159" s="433">
        <f>IFERROR(__xludf.DUMMYFUNCTION("""COMPUTED_VALUE"""),774.73)</f>
        <v>774.73</v>
      </c>
      <c r="C159" s="434">
        <f>IFERROR(__xludf.DUMMYFUNCTION("""COMPUTED_VALUE"""),42380.99861111111)</f>
        <v>42380.99861</v>
      </c>
      <c r="D159" s="433">
        <f>IFERROR(__xludf.DUMMYFUNCTION("""COMPUTED_VALUE"""),0.9992)</f>
        <v>0.9992</v>
      </c>
      <c r="F159" s="434">
        <f>IFERROR(__xludf.DUMMYFUNCTION("""COMPUTED_VALUE"""),45083.99861111111)</f>
        <v>45083.99861</v>
      </c>
      <c r="G159" s="433">
        <f>IFERROR(__xludf.DUMMYFUNCTION("""COMPUTED_VALUE"""),27232.56)</f>
        <v>27232.56</v>
      </c>
      <c r="H159" s="434">
        <f>IFERROR(__xludf.DUMMYFUNCTION("""COMPUTED_VALUE"""),45083.99861111111)</f>
        <v>45083.99861</v>
      </c>
      <c r="I159" s="433">
        <f>IFERROR(__xludf.DUMMYFUNCTION("""COMPUTED_VALUE"""),1810.5815)</f>
        <v>1810.5815</v>
      </c>
    </row>
    <row r="160">
      <c r="A160" s="434">
        <f>IFERROR(__xludf.DUMMYFUNCTION("""COMPUTED_VALUE"""),42717.99861111111)</f>
        <v>42717.99861</v>
      </c>
      <c r="B160" s="433">
        <f>IFERROR(__xludf.DUMMYFUNCTION("""COMPUTED_VALUE"""),777.98)</f>
        <v>777.98</v>
      </c>
      <c r="C160" s="434">
        <f>IFERROR(__xludf.DUMMYFUNCTION("""COMPUTED_VALUE"""),42381.99861111111)</f>
        <v>42381.99861</v>
      </c>
      <c r="D160" s="433">
        <f>IFERROR(__xludf.DUMMYFUNCTION("""COMPUTED_VALUE"""),1.0661)</f>
        <v>1.0661</v>
      </c>
      <c r="F160" s="434">
        <f>IFERROR(__xludf.DUMMYFUNCTION("""COMPUTED_VALUE"""),45084.99861111111)</f>
        <v>45084.99861</v>
      </c>
      <c r="G160" s="433">
        <f>IFERROR(__xludf.DUMMYFUNCTION("""COMPUTED_VALUE"""),26349.59)</f>
        <v>26349.59</v>
      </c>
      <c r="H160" s="434">
        <f>IFERROR(__xludf.DUMMYFUNCTION("""COMPUTED_VALUE"""),45084.99861111111)</f>
        <v>45084.99861</v>
      </c>
      <c r="I160" s="433">
        <f>IFERROR(__xludf.DUMMYFUNCTION("""COMPUTED_VALUE"""),1884.3729)</f>
        <v>1884.3729</v>
      </c>
    </row>
    <row r="161">
      <c r="A161" s="434">
        <f>IFERROR(__xludf.DUMMYFUNCTION("""COMPUTED_VALUE"""),42718.99861111111)</f>
        <v>42718.99861</v>
      </c>
      <c r="B161" s="433">
        <f>IFERROR(__xludf.DUMMYFUNCTION("""COMPUTED_VALUE"""),776.81)</f>
        <v>776.81</v>
      </c>
      <c r="C161" s="434">
        <f>IFERROR(__xludf.DUMMYFUNCTION("""COMPUTED_VALUE"""),42382.99861111111)</f>
        <v>42382.99861</v>
      </c>
      <c r="D161" s="433">
        <f>IFERROR(__xludf.DUMMYFUNCTION("""COMPUTED_VALUE"""),1.1355)</f>
        <v>1.1355</v>
      </c>
      <c r="F161" s="434">
        <f>IFERROR(__xludf.DUMMYFUNCTION("""COMPUTED_VALUE"""),45085.99861111111)</f>
        <v>45085.99861</v>
      </c>
      <c r="G161" s="433">
        <f>IFERROR(__xludf.DUMMYFUNCTION("""COMPUTED_VALUE"""),26506.83)</f>
        <v>26506.83</v>
      </c>
      <c r="H161" s="434">
        <f>IFERROR(__xludf.DUMMYFUNCTION("""COMPUTED_VALUE"""),45085.99861111111)</f>
        <v>45085.99861</v>
      </c>
      <c r="I161" s="433">
        <f>IFERROR(__xludf.DUMMYFUNCTION("""COMPUTED_VALUE"""),1832.5135)</f>
        <v>1832.5135</v>
      </c>
    </row>
    <row r="162">
      <c r="A162" s="434">
        <f>IFERROR(__xludf.DUMMYFUNCTION("""COMPUTED_VALUE"""),42719.99861111111)</f>
        <v>42719.99861</v>
      </c>
      <c r="B162" s="433">
        <f>IFERROR(__xludf.DUMMYFUNCTION("""COMPUTED_VALUE"""),776.86)</f>
        <v>776.86</v>
      </c>
      <c r="C162" s="434">
        <f>IFERROR(__xludf.DUMMYFUNCTION("""COMPUTED_VALUE"""),42383.99861111111)</f>
        <v>42383.99861</v>
      </c>
      <c r="D162" s="433">
        <f>IFERROR(__xludf.DUMMYFUNCTION("""COMPUTED_VALUE"""),1.1221)</f>
        <v>1.1221</v>
      </c>
      <c r="F162" s="434">
        <f>IFERROR(__xludf.DUMMYFUNCTION("""COMPUTED_VALUE"""),45086.99861111111)</f>
        <v>45086.99861</v>
      </c>
      <c r="G162" s="433">
        <f>IFERROR(__xludf.DUMMYFUNCTION("""COMPUTED_VALUE"""),26483.8)</f>
        <v>26483.8</v>
      </c>
      <c r="H162" s="434">
        <f>IFERROR(__xludf.DUMMYFUNCTION("""COMPUTED_VALUE"""),45086.99861111111)</f>
        <v>45086.99861</v>
      </c>
      <c r="I162" s="433">
        <f>IFERROR(__xludf.DUMMYFUNCTION("""COMPUTED_VALUE"""),1846.0779)</f>
        <v>1846.0779</v>
      </c>
    </row>
    <row r="163">
      <c r="A163" s="434">
        <f>IFERROR(__xludf.DUMMYFUNCTION("""COMPUTED_VALUE"""),42720.99861111111)</f>
        <v>42720.99861</v>
      </c>
      <c r="B163" s="433">
        <f>IFERROR(__xludf.DUMMYFUNCTION("""COMPUTED_VALUE"""),778.93)</f>
        <v>778.93</v>
      </c>
      <c r="C163" s="434">
        <f>IFERROR(__xludf.DUMMYFUNCTION("""COMPUTED_VALUE"""),42384.99861111111)</f>
        <v>42384.99861</v>
      </c>
      <c r="D163" s="433">
        <f>IFERROR(__xludf.DUMMYFUNCTION("""COMPUTED_VALUE"""),1.1844)</f>
        <v>1.1844</v>
      </c>
      <c r="F163" s="434">
        <f>IFERROR(__xludf.DUMMYFUNCTION("""COMPUTED_VALUE"""),45087.99861111111)</f>
        <v>45087.99861</v>
      </c>
      <c r="G163" s="433">
        <f>IFERROR(__xludf.DUMMYFUNCTION("""COMPUTED_VALUE"""),25853.87)</f>
        <v>25853.87</v>
      </c>
      <c r="H163" s="434">
        <f>IFERROR(__xludf.DUMMYFUNCTION("""COMPUTED_VALUE"""),45087.99861111111)</f>
        <v>45087.99861</v>
      </c>
      <c r="I163" s="433">
        <f>IFERROR(__xludf.DUMMYFUNCTION("""COMPUTED_VALUE"""),1840.392)</f>
        <v>1840.392</v>
      </c>
    </row>
    <row r="164">
      <c r="A164" s="434">
        <f>IFERROR(__xludf.DUMMYFUNCTION("""COMPUTED_VALUE"""),42723.99861111111)</f>
        <v>42723.99861</v>
      </c>
      <c r="B164" s="433">
        <f>IFERROR(__xludf.DUMMYFUNCTION("""COMPUTED_VALUE"""),789.31)</f>
        <v>789.31</v>
      </c>
      <c r="C164" s="434">
        <f>IFERROR(__xludf.DUMMYFUNCTION("""COMPUTED_VALUE"""),42385.99861111111)</f>
        <v>42385.99861</v>
      </c>
      <c r="D164" s="433">
        <f>IFERROR(__xludf.DUMMYFUNCTION("""COMPUTED_VALUE"""),1.2205)</f>
        <v>1.2205</v>
      </c>
      <c r="F164" s="434">
        <f>IFERROR(__xludf.DUMMYFUNCTION("""COMPUTED_VALUE"""),45088.99861111111)</f>
        <v>45088.99861</v>
      </c>
      <c r="G164" s="433">
        <f>IFERROR(__xludf.DUMMYFUNCTION("""COMPUTED_VALUE"""),25933.86)</f>
        <v>25933.86</v>
      </c>
      <c r="H164" s="434">
        <f>IFERROR(__xludf.DUMMYFUNCTION("""COMPUTED_VALUE"""),45088.99861111111)</f>
        <v>45088.99861</v>
      </c>
      <c r="I164" s="433">
        <f>IFERROR(__xludf.DUMMYFUNCTION("""COMPUTED_VALUE"""),1752.5276)</f>
        <v>1752.5276</v>
      </c>
    </row>
    <row r="165">
      <c r="A165" s="434">
        <f>IFERROR(__xludf.DUMMYFUNCTION("""COMPUTED_VALUE"""),42724.99861111111)</f>
        <v>42724.99861</v>
      </c>
      <c r="B165" s="433">
        <f>IFERROR(__xludf.DUMMYFUNCTION("""COMPUTED_VALUE"""),790.24)</f>
        <v>790.24</v>
      </c>
      <c r="C165" s="434">
        <f>IFERROR(__xludf.DUMMYFUNCTION("""COMPUTED_VALUE"""),42386.99861111111)</f>
        <v>42386.99861</v>
      </c>
      <c r="D165" s="433">
        <f>IFERROR(__xludf.DUMMYFUNCTION("""COMPUTED_VALUE"""),1.2215)</f>
        <v>1.2215</v>
      </c>
      <c r="F165" s="434">
        <f>IFERROR(__xludf.DUMMYFUNCTION("""COMPUTED_VALUE"""),45089.99861111111)</f>
        <v>45089.99861</v>
      </c>
      <c r="G165" s="433">
        <f>IFERROR(__xludf.DUMMYFUNCTION("""COMPUTED_VALUE"""),25905.95)</f>
        <v>25905.95</v>
      </c>
      <c r="H165" s="434">
        <f>IFERROR(__xludf.DUMMYFUNCTION("""COMPUTED_VALUE"""),45089.99861111111)</f>
        <v>45089.99861</v>
      </c>
      <c r="I165" s="433">
        <f>IFERROR(__xludf.DUMMYFUNCTION("""COMPUTED_VALUE"""),1753.0754)</f>
        <v>1753.0754</v>
      </c>
    </row>
    <row r="166">
      <c r="A166" s="434">
        <f>IFERROR(__xludf.DUMMYFUNCTION("""COMPUTED_VALUE"""),42725.99861111111)</f>
        <v>42725.99861</v>
      </c>
      <c r="B166" s="433">
        <f>IFERROR(__xludf.DUMMYFUNCTION("""COMPUTED_VALUE"""),816.27)</f>
        <v>816.27</v>
      </c>
      <c r="C166" s="434">
        <f>IFERROR(__xludf.DUMMYFUNCTION("""COMPUTED_VALUE"""),42387.99861111111)</f>
        <v>42387.99861</v>
      </c>
      <c r="D166" s="433">
        <f>IFERROR(__xludf.DUMMYFUNCTION("""COMPUTED_VALUE"""),1.3323)</f>
        <v>1.3323</v>
      </c>
      <c r="F166" s="434">
        <f>IFERROR(__xludf.DUMMYFUNCTION("""COMPUTED_VALUE"""),45090.99861111111)</f>
        <v>45090.99861</v>
      </c>
      <c r="G166" s="433">
        <f>IFERROR(__xludf.DUMMYFUNCTION("""COMPUTED_VALUE"""),25925.74)</f>
        <v>25925.74</v>
      </c>
      <c r="H166" s="434">
        <f>IFERROR(__xludf.DUMMYFUNCTION("""COMPUTED_VALUE"""),45090.99861111111)</f>
        <v>45090.99861</v>
      </c>
      <c r="I166" s="433">
        <f>IFERROR(__xludf.DUMMYFUNCTION("""COMPUTED_VALUE"""),1742.3901)</f>
        <v>1742.3901</v>
      </c>
    </row>
    <row r="167">
      <c r="A167" s="434">
        <f>IFERROR(__xludf.DUMMYFUNCTION("""COMPUTED_VALUE"""),42726.99861111111)</f>
        <v>42726.99861</v>
      </c>
      <c r="B167" s="433">
        <f>IFERROR(__xludf.DUMMYFUNCTION("""COMPUTED_VALUE"""),854.61)</f>
        <v>854.61</v>
      </c>
      <c r="C167" s="434">
        <f>IFERROR(__xludf.DUMMYFUNCTION("""COMPUTED_VALUE"""),42388.99861111111)</f>
        <v>42388.99861</v>
      </c>
      <c r="D167" s="433">
        <f>IFERROR(__xludf.DUMMYFUNCTION("""COMPUTED_VALUE"""),1.4226)</f>
        <v>1.4226</v>
      </c>
      <c r="F167" s="434">
        <f>IFERROR(__xludf.DUMMYFUNCTION("""COMPUTED_VALUE"""),45091.99861111111)</f>
        <v>45091.99861</v>
      </c>
      <c r="G167" s="433">
        <f>IFERROR(__xludf.DUMMYFUNCTION("""COMPUTED_VALUE"""),25126.3)</f>
        <v>25126.3</v>
      </c>
      <c r="H167" s="434">
        <f>IFERROR(__xludf.DUMMYFUNCTION("""COMPUTED_VALUE"""),45091.99861111111)</f>
        <v>45091.99861</v>
      </c>
      <c r="I167" s="433">
        <f>IFERROR(__xludf.DUMMYFUNCTION("""COMPUTED_VALUE"""),1739.2501)</f>
        <v>1739.2501</v>
      </c>
    </row>
    <row r="168">
      <c r="A168" s="434">
        <f>IFERROR(__xludf.DUMMYFUNCTION("""COMPUTED_VALUE"""),42727.99861111111)</f>
        <v>42727.99861</v>
      </c>
      <c r="B168" s="433">
        <f>IFERROR(__xludf.DUMMYFUNCTION("""COMPUTED_VALUE"""),897.66)</f>
        <v>897.66</v>
      </c>
      <c r="C168" s="434">
        <f>IFERROR(__xludf.DUMMYFUNCTION("""COMPUTED_VALUE"""),42389.99861111111)</f>
        <v>42389.99861</v>
      </c>
      <c r="D168" s="433">
        <f>IFERROR(__xludf.DUMMYFUNCTION("""COMPUTED_VALUE"""),1.3632)</f>
        <v>1.3632</v>
      </c>
      <c r="F168" s="434">
        <f>IFERROR(__xludf.DUMMYFUNCTION("""COMPUTED_VALUE"""),45092.99861111111)</f>
        <v>45092.99861</v>
      </c>
      <c r="G168" s="433">
        <f>IFERROR(__xludf.DUMMYFUNCTION("""COMPUTED_VALUE"""),25579.45)</f>
        <v>25579.45</v>
      </c>
      <c r="H168" s="434">
        <f>IFERROR(__xludf.DUMMYFUNCTION("""COMPUTED_VALUE"""),45092.99861111111)</f>
        <v>45092.99861</v>
      </c>
      <c r="I168" s="433">
        <f>IFERROR(__xludf.DUMMYFUNCTION("""COMPUTED_VALUE"""),1650.4982)</f>
        <v>1650.4982</v>
      </c>
    </row>
    <row r="169">
      <c r="A169" s="434">
        <f>IFERROR(__xludf.DUMMYFUNCTION("""COMPUTED_VALUE"""),42730.99861111111)</f>
        <v>42730.99861</v>
      </c>
      <c r="B169" s="433">
        <f>IFERROR(__xludf.DUMMYFUNCTION("""COMPUTED_VALUE"""),900.94)</f>
        <v>900.94</v>
      </c>
      <c r="C169" s="434">
        <f>IFERROR(__xludf.DUMMYFUNCTION("""COMPUTED_VALUE"""),42390.99861111111)</f>
        <v>42390.99861</v>
      </c>
      <c r="D169" s="433">
        <f>IFERROR(__xludf.DUMMYFUNCTION("""COMPUTED_VALUE"""),1.5327)</f>
        <v>1.5327</v>
      </c>
      <c r="F169" s="434">
        <f>IFERROR(__xludf.DUMMYFUNCTION("""COMPUTED_VALUE"""),45093.99861111111)</f>
        <v>45093.99861</v>
      </c>
      <c r="G169" s="433">
        <f>IFERROR(__xludf.DUMMYFUNCTION("""COMPUTED_VALUE"""),26338.52)</f>
        <v>26338.52</v>
      </c>
      <c r="H169" s="434">
        <f>IFERROR(__xludf.DUMMYFUNCTION("""COMPUTED_VALUE"""),45093.99861111111)</f>
        <v>45093.99861</v>
      </c>
      <c r="I169" s="433">
        <f>IFERROR(__xludf.DUMMYFUNCTION("""COMPUTED_VALUE"""),1665.4107)</f>
        <v>1665.4107</v>
      </c>
    </row>
    <row r="170">
      <c r="A170" s="434">
        <f>IFERROR(__xludf.DUMMYFUNCTION("""COMPUTED_VALUE"""),42731.99861111111)</f>
        <v>42731.99861</v>
      </c>
      <c r="B170" s="433">
        <f>IFERROR(__xludf.DUMMYFUNCTION("""COMPUTED_VALUE"""),917.1)</f>
        <v>917.1</v>
      </c>
      <c r="C170" s="434">
        <f>IFERROR(__xludf.DUMMYFUNCTION("""COMPUTED_VALUE"""),42391.99861111111)</f>
        <v>42391.99861</v>
      </c>
      <c r="D170" s="433">
        <f>IFERROR(__xludf.DUMMYFUNCTION("""COMPUTED_VALUE"""),1.547)</f>
        <v>1.547</v>
      </c>
      <c r="F170" s="434">
        <f>IFERROR(__xludf.DUMMYFUNCTION("""COMPUTED_VALUE"""),45094.99861111111)</f>
        <v>45094.99861</v>
      </c>
      <c r="G170" s="433">
        <f>IFERROR(__xludf.DUMMYFUNCTION("""COMPUTED_VALUE"""),26520.6)</f>
        <v>26520.6</v>
      </c>
      <c r="H170" s="434">
        <f>IFERROR(__xludf.DUMMYFUNCTION("""COMPUTED_VALUE"""),45094.99861111111)</f>
        <v>45094.99861</v>
      </c>
      <c r="I170" s="433">
        <f>IFERROR(__xludf.DUMMYFUNCTION("""COMPUTED_VALUE"""),1716.6717)</f>
        <v>1716.6717</v>
      </c>
    </row>
    <row r="171">
      <c r="A171" s="434">
        <f>IFERROR(__xludf.DUMMYFUNCTION("""COMPUTED_VALUE"""),42732.99861111111)</f>
        <v>42732.99861</v>
      </c>
      <c r="B171" s="433">
        <f>IFERROR(__xludf.DUMMYFUNCTION("""COMPUTED_VALUE"""),954.71)</f>
        <v>954.71</v>
      </c>
      <c r="C171" s="434">
        <f>IFERROR(__xludf.DUMMYFUNCTION("""COMPUTED_VALUE"""),42392.99861111111)</f>
        <v>42392.99861</v>
      </c>
      <c r="D171" s="433">
        <f>IFERROR(__xludf.DUMMYFUNCTION("""COMPUTED_VALUE"""),1.5041)</f>
        <v>1.5041</v>
      </c>
      <c r="F171" s="434">
        <f>IFERROR(__xludf.DUMMYFUNCTION("""COMPUTED_VALUE"""),45095.99861111111)</f>
        <v>45095.99861</v>
      </c>
      <c r="G171" s="433">
        <f>IFERROR(__xludf.DUMMYFUNCTION("""COMPUTED_VALUE"""),26344.33)</f>
        <v>26344.33</v>
      </c>
      <c r="H171" s="434">
        <f>IFERROR(__xludf.DUMMYFUNCTION("""COMPUTED_VALUE"""),45095.99861111111)</f>
        <v>45095.99861</v>
      </c>
      <c r="I171" s="433">
        <f>IFERROR(__xludf.DUMMYFUNCTION("""COMPUTED_VALUE"""),1727.1937)</f>
        <v>1727.1937</v>
      </c>
    </row>
    <row r="172">
      <c r="A172" s="434">
        <f>IFERROR(__xludf.DUMMYFUNCTION("""COMPUTED_VALUE"""),42733.99861111111)</f>
        <v>42733.99861</v>
      </c>
      <c r="B172" s="433">
        <f>IFERROR(__xludf.DUMMYFUNCTION("""COMPUTED_VALUE"""),969.3)</f>
        <v>969.3</v>
      </c>
      <c r="C172" s="434">
        <f>IFERROR(__xludf.DUMMYFUNCTION("""COMPUTED_VALUE"""),42393.99861111111)</f>
        <v>42393.99861</v>
      </c>
      <c r="D172" s="433">
        <f>IFERROR(__xludf.DUMMYFUNCTION("""COMPUTED_VALUE"""),1.9005)</f>
        <v>1.9005</v>
      </c>
      <c r="F172" s="434">
        <f>IFERROR(__xludf.DUMMYFUNCTION("""COMPUTED_VALUE"""),45096.99861111111)</f>
        <v>45096.99861</v>
      </c>
      <c r="G172" s="433">
        <f>IFERROR(__xludf.DUMMYFUNCTION("""COMPUTED_VALUE"""),26838.21)</f>
        <v>26838.21</v>
      </c>
      <c r="H172" s="434">
        <f>IFERROR(__xludf.DUMMYFUNCTION("""COMPUTED_VALUE"""),45096.99861111111)</f>
        <v>45096.99861</v>
      </c>
      <c r="I172" s="433">
        <f>IFERROR(__xludf.DUMMYFUNCTION("""COMPUTED_VALUE"""),1720.5053)</f>
        <v>1720.5053</v>
      </c>
    </row>
    <row r="173">
      <c r="A173" s="434">
        <f>IFERROR(__xludf.DUMMYFUNCTION("""COMPUTED_VALUE"""),42734.99861111111)</f>
        <v>42734.99861</v>
      </c>
      <c r="B173" s="433">
        <f>IFERROR(__xludf.DUMMYFUNCTION("""COMPUTED_VALUE"""),952.96)</f>
        <v>952.96</v>
      </c>
      <c r="C173" s="434">
        <f>IFERROR(__xludf.DUMMYFUNCTION("""COMPUTED_VALUE"""),42394.99861111111)</f>
        <v>42394.99861</v>
      </c>
      <c r="D173" s="433">
        <f>IFERROR(__xludf.DUMMYFUNCTION("""COMPUTED_VALUE"""),2.1476)</f>
        <v>2.1476</v>
      </c>
      <c r="F173" s="434">
        <f>IFERROR(__xludf.DUMMYFUNCTION("""COMPUTED_VALUE"""),45097.99861111111)</f>
        <v>45097.99861</v>
      </c>
      <c r="G173" s="433">
        <f>IFERROR(__xludf.DUMMYFUNCTION("""COMPUTED_VALUE"""),28311.79)</f>
        <v>28311.79</v>
      </c>
      <c r="H173" s="434">
        <f>IFERROR(__xludf.DUMMYFUNCTION("""COMPUTED_VALUE"""),45097.99861111111)</f>
        <v>45097.99861</v>
      </c>
      <c r="I173" s="433">
        <f>IFERROR(__xludf.DUMMYFUNCTION("""COMPUTED_VALUE"""),1736.8798)</f>
        <v>1736.8798</v>
      </c>
    </row>
    <row r="174">
      <c r="A174" s="434">
        <f>IFERROR(__xludf.DUMMYFUNCTION("""COMPUTED_VALUE"""),42737.99861111111)</f>
        <v>42737.99861</v>
      </c>
      <c r="B174" s="433">
        <f>IFERROR(__xludf.DUMMYFUNCTION("""COMPUTED_VALUE"""),1012.97)</f>
        <v>1012.97</v>
      </c>
      <c r="C174" s="434">
        <f>IFERROR(__xludf.DUMMYFUNCTION("""COMPUTED_VALUE"""),42395.99861111111)</f>
        <v>42395.99861</v>
      </c>
      <c r="D174" s="433">
        <f>IFERROR(__xludf.DUMMYFUNCTION("""COMPUTED_VALUE"""),2.5327)</f>
        <v>2.5327</v>
      </c>
      <c r="F174" s="434">
        <f>IFERROR(__xludf.DUMMYFUNCTION("""COMPUTED_VALUE"""),45098.99861111111)</f>
        <v>45098.99861</v>
      </c>
      <c r="G174" s="433">
        <f>IFERROR(__xludf.DUMMYFUNCTION("""COMPUTED_VALUE"""),30001.54)</f>
        <v>30001.54</v>
      </c>
      <c r="H174" s="434">
        <f>IFERROR(__xludf.DUMMYFUNCTION("""COMPUTED_VALUE"""),45098.99861111111)</f>
        <v>45098.99861</v>
      </c>
      <c r="I174" s="433">
        <f>IFERROR(__xludf.DUMMYFUNCTION("""COMPUTED_VALUE"""),1791.995)</f>
        <v>1791.995</v>
      </c>
    </row>
    <row r="175">
      <c r="A175" s="434">
        <f>IFERROR(__xludf.DUMMYFUNCTION("""COMPUTED_VALUE"""),42738.99861111111)</f>
        <v>42738.99861</v>
      </c>
      <c r="B175" s="433">
        <f>IFERROR(__xludf.DUMMYFUNCTION("""COMPUTED_VALUE"""),1020.47)</f>
        <v>1020.47</v>
      </c>
      <c r="C175" s="434">
        <f>IFERROR(__xludf.DUMMYFUNCTION("""COMPUTED_VALUE"""),42396.99861111111)</f>
        <v>42396.99861</v>
      </c>
      <c r="D175" s="433">
        <f>IFERROR(__xludf.DUMMYFUNCTION("""COMPUTED_VALUE"""),2.2474)</f>
        <v>2.2474</v>
      </c>
      <c r="F175" s="434">
        <f>IFERROR(__xludf.DUMMYFUNCTION("""COMPUTED_VALUE"""),45099.99861111111)</f>
        <v>45099.99861</v>
      </c>
      <c r="G175" s="433">
        <f>IFERROR(__xludf.DUMMYFUNCTION("""COMPUTED_VALUE"""),29900.9)</f>
        <v>29900.9</v>
      </c>
      <c r="H175" s="434">
        <f>IFERROR(__xludf.DUMMYFUNCTION("""COMPUTED_VALUE"""),45099.99861111111)</f>
        <v>45099.99861</v>
      </c>
      <c r="I175" s="433">
        <f>IFERROR(__xludf.DUMMYFUNCTION("""COMPUTED_VALUE"""),1889.7944)</f>
        <v>1889.7944</v>
      </c>
    </row>
    <row r="176">
      <c r="A176" s="434">
        <f>IFERROR(__xludf.DUMMYFUNCTION("""COMPUTED_VALUE"""),42739.99861111111)</f>
        <v>42739.99861</v>
      </c>
      <c r="B176" s="433">
        <f>IFERROR(__xludf.DUMMYFUNCTION("""COMPUTED_VALUE"""),1077.94)</f>
        <v>1077.94</v>
      </c>
      <c r="C176" s="434">
        <f>IFERROR(__xludf.DUMMYFUNCTION("""COMPUTED_VALUE"""),42397.99861111111)</f>
        <v>42397.99861</v>
      </c>
      <c r="D176" s="433">
        <f>IFERROR(__xludf.DUMMYFUNCTION("""COMPUTED_VALUE"""),2.4065)</f>
        <v>2.4065</v>
      </c>
      <c r="F176" s="434">
        <f>IFERROR(__xludf.DUMMYFUNCTION("""COMPUTED_VALUE"""),45100.99861111111)</f>
        <v>45100.99861</v>
      </c>
      <c r="G176" s="433">
        <f>IFERROR(__xludf.DUMMYFUNCTION("""COMPUTED_VALUE"""),30702.18)</f>
        <v>30702.18</v>
      </c>
      <c r="H176" s="434">
        <f>IFERROR(__xludf.DUMMYFUNCTION("""COMPUTED_VALUE"""),45100.99861111111)</f>
        <v>45100.99861</v>
      </c>
      <c r="I176" s="433">
        <f>IFERROR(__xludf.DUMMYFUNCTION("""COMPUTED_VALUE"""),1872.5408)</f>
        <v>1872.5408</v>
      </c>
    </row>
    <row r="177">
      <c r="A177" s="434">
        <f>IFERROR(__xludf.DUMMYFUNCTION("""COMPUTED_VALUE"""),42740.99861111111)</f>
        <v>42740.99861</v>
      </c>
      <c r="B177" s="433">
        <f>IFERROR(__xludf.DUMMYFUNCTION("""COMPUTED_VALUE"""),1047.81)</f>
        <v>1047.81</v>
      </c>
      <c r="C177" s="434">
        <f>IFERROR(__xludf.DUMMYFUNCTION("""COMPUTED_VALUE"""),42398.99861111111)</f>
        <v>42398.99861</v>
      </c>
      <c r="D177" s="433">
        <f>IFERROR(__xludf.DUMMYFUNCTION("""COMPUTED_VALUE"""),2.543)</f>
        <v>2.543</v>
      </c>
      <c r="F177" s="434">
        <f>IFERROR(__xludf.DUMMYFUNCTION("""COMPUTED_VALUE"""),45101.99861111111)</f>
        <v>45101.99861</v>
      </c>
      <c r="G177" s="433">
        <f>IFERROR(__xludf.DUMMYFUNCTION("""COMPUTED_VALUE"""),30550.17)</f>
        <v>30550.17</v>
      </c>
      <c r="H177" s="434">
        <f>IFERROR(__xludf.DUMMYFUNCTION("""COMPUTED_VALUE"""),45101.99861111111)</f>
        <v>45101.99861</v>
      </c>
      <c r="I177" s="433">
        <f>IFERROR(__xludf.DUMMYFUNCTION("""COMPUTED_VALUE"""),1893.772)</f>
        <v>1893.772</v>
      </c>
    </row>
    <row r="178">
      <c r="A178" s="434">
        <f>IFERROR(__xludf.DUMMYFUNCTION("""COMPUTED_VALUE"""),42741.99861111111)</f>
        <v>42741.99861</v>
      </c>
      <c r="B178" s="433">
        <f>IFERROR(__xludf.DUMMYFUNCTION("""COMPUTED_VALUE"""),931.62)</f>
        <v>931.62</v>
      </c>
      <c r="C178" s="434">
        <f>IFERROR(__xludf.DUMMYFUNCTION("""COMPUTED_VALUE"""),42399.99861111111)</f>
        <v>42399.99861</v>
      </c>
      <c r="D178" s="433">
        <f>IFERROR(__xludf.DUMMYFUNCTION("""COMPUTED_VALUE"""),2.5077)</f>
        <v>2.5077</v>
      </c>
      <c r="F178" s="434">
        <f>IFERROR(__xludf.DUMMYFUNCTION("""COMPUTED_VALUE"""),45102.99861111111)</f>
        <v>45102.99861</v>
      </c>
      <c r="G178" s="433">
        <f>IFERROR(__xludf.DUMMYFUNCTION("""COMPUTED_VALUE"""),30478.53)</f>
        <v>30478.53</v>
      </c>
      <c r="H178" s="434">
        <f>IFERROR(__xludf.DUMMYFUNCTION("""COMPUTED_VALUE"""),45102.99861111111)</f>
        <v>45102.99861</v>
      </c>
      <c r="I178" s="433">
        <f>IFERROR(__xludf.DUMMYFUNCTION("""COMPUTED_VALUE"""),1875.8491)</f>
        <v>1875.8491</v>
      </c>
    </row>
    <row r="179">
      <c r="A179" s="434">
        <f>IFERROR(__xludf.DUMMYFUNCTION("""COMPUTED_VALUE"""),42744.99861111111)</f>
        <v>42744.99861</v>
      </c>
      <c r="B179" s="433">
        <f>IFERROR(__xludf.DUMMYFUNCTION("""COMPUTED_VALUE"""),894.25)</f>
        <v>894.25</v>
      </c>
      <c r="C179" s="434">
        <f>IFERROR(__xludf.DUMMYFUNCTION("""COMPUTED_VALUE"""),42400.99861111111)</f>
        <v>42400.99861</v>
      </c>
      <c r="D179" s="433">
        <f>IFERROR(__xludf.DUMMYFUNCTION("""COMPUTED_VALUE"""),2.4431)</f>
        <v>2.4431</v>
      </c>
      <c r="F179" s="434">
        <f>IFERROR(__xludf.DUMMYFUNCTION("""COMPUTED_VALUE"""),45103.99861111111)</f>
        <v>45103.99861</v>
      </c>
      <c r="G179" s="433">
        <f>IFERROR(__xludf.DUMMYFUNCTION("""COMPUTED_VALUE"""),30274.02)</f>
        <v>30274.02</v>
      </c>
      <c r="H179" s="434">
        <f>IFERROR(__xludf.DUMMYFUNCTION("""COMPUTED_VALUE"""),45103.99861111111)</f>
        <v>45103.99861</v>
      </c>
      <c r="I179" s="433">
        <f>IFERROR(__xludf.DUMMYFUNCTION("""COMPUTED_VALUE"""),1900.0503)</f>
        <v>1900.0503</v>
      </c>
    </row>
    <row r="180">
      <c r="A180" s="434">
        <f>IFERROR(__xludf.DUMMYFUNCTION("""COMPUTED_VALUE"""),42745.99861111111)</f>
        <v>42745.99861</v>
      </c>
      <c r="B180" s="433">
        <f>IFERROR(__xludf.DUMMYFUNCTION("""COMPUTED_VALUE"""),902.01)</f>
        <v>902.01</v>
      </c>
      <c r="C180" s="434">
        <f>IFERROR(__xludf.DUMMYFUNCTION("""COMPUTED_VALUE"""),42401.99861111111)</f>
        <v>42401.99861</v>
      </c>
      <c r="D180" s="433">
        <f>IFERROR(__xludf.DUMMYFUNCTION("""COMPUTED_VALUE"""),2.3197)</f>
        <v>2.3197</v>
      </c>
      <c r="F180" s="434">
        <f>IFERROR(__xludf.DUMMYFUNCTION("""COMPUTED_VALUE"""),45104.99861111111)</f>
        <v>45104.99861</v>
      </c>
      <c r="G180" s="433">
        <f>IFERROR(__xludf.DUMMYFUNCTION("""COMPUTED_VALUE"""),30701.64)</f>
        <v>30701.64</v>
      </c>
      <c r="H180" s="434">
        <f>IFERROR(__xludf.DUMMYFUNCTION("""COMPUTED_VALUE"""),45104.99861111111)</f>
        <v>45104.99861</v>
      </c>
      <c r="I180" s="433">
        <f>IFERROR(__xludf.DUMMYFUNCTION("""COMPUTED_VALUE"""),1859.3462)</f>
        <v>1859.3462</v>
      </c>
    </row>
    <row r="181">
      <c r="A181" s="434">
        <f>IFERROR(__xludf.DUMMYFUNCTION("""COMPUTED_VALUE"""),42746.99861111111)</f>
        <v>42746.99861</v>
      </c>
      <c r="B181" s="433">
        <f>IFERROR(__xludf.DUMMYFUNCTION("""COMPUTED_VALUE"""),846.44)</f>
        <v>846.44</v>
      </c>
      <c r="C181" s="434">
        <f>IFERROR(__xludf.DUMMYFUNCTION("""COMPUTED_VALUE"""),42402.99861111111)</f>
        <v>42402.99861</v>
      </c>
      <c r="D181" s="433">
        <f>IFERROR(__xludf.DUMMYFUNCTION("""COMPUTED_VALUE"""),2.2152)</f>
        <v>2.2152</v>
      </c>
      <c r="F181" s="434">
        <f>IFERROR(__xludf.DUMMYFUNCTION("""COMPUTED_VALUE"""),45105.99861111111)</f>
        <v>45105.99861</v>
      </c>
      <c r="G181" s="433">
        <f>IFERROR(__xludf.DUMMYFUNCTION("""COMPUTED_VALUE"""),30080.25)</f>
        <v>30080.25</v>
      </c>
      <c r="H181" s="434">
        <f>IFERROR(__xludf.DUMMYFUNCTION("""COMPUTED_VALUE"""),45105.99861111111)</f>
        <v>45105.99861</v>
      </c>
      <c r="I181" s="433">
        <f>IFERROR(__xludf.DUMMYFUNCTION("""COMPUTED_VALUE"""),1889.9065)</f>
        <v>1889.9065</v>
      </c>
    </row>
    <row r="182">
      <c r="A182" s="434">
        <f>IFERROR(__xludf.DUMMYFUNCTION("""COMPUTED_VALUE"""),42747.99861111111)</f>
        <v>42747.99861</v>
      </c>
      <c r="B182" s="433">
        <f>IFERROR(__xludf.DUMMYFUNCTION("""COMPUTED_VALUE"""),784.75)</f>
        <v>784.75</v>
      </c>
      <c r="C182" s="434">
        <f>IFERROR(__xludf.DUMMYFUNCTION("""COMPUTED_VALUE"""),42403.99861111111)</f>
        <v>42403.99861</v>
      </c>
      <c r="D182" s="433">
        <f>IFERROR(__xludf.DUMMYFUNCTION("""COMPUTED_VALUE"""),2.4319)</f>
        <v>2.4319</v>
      </c>
      <c r="F182" s="434">
        <f>IFERROR(__xludf.DUMMYFUNCTION("""COMPUTED_VALUE"""),45106.99861111111)</f>
        <v>45106.99861</v>
      </c>
      <c r="G182" s="433">
        <f>IFERROR(__xludf.DUMMYFUNCTION("""COMPUTED_VALUE"""),30450.42)</f>
        <v>30450.42</v>
      </c>
      <c r="H182" s="434">
        <f>IFERROR(__xludf.DUMMYFUNCTION("""COMPUTED_VALUE"""),45106.99861111111)</f>
        <v>45106.99861</v>
      </c>
      <c r="I182" s="433">
        <f>IFERROR(__xludf.DUMMYFUNCTION("""COMPUTED_VALUE"""),1828.0594)</f>
        <v>1828.0594</v>
      </c>
    </row>
    <row r="183">
      <c r="A183" s="434">
        <f>IFERROR(__xludf.DUMMYFUNCTION("""COMPUTED_VALUE"""),42748.99861111111)</f>
        <v>42748.99861</v>
      </c>
      <c r="B183" s="433">
        <f>IFERROR(__xludf.DUMMYFUNCTION("""COMPUTED_VALUE"""),806.94)</f>
        <v>806.94</v>
      </c>
      <c r="C183" s="434">
        <f>IFERROR(__xludf.DUMMYFUNCTION("""COMPUTED_VALUE"""),42404.99861111111)</f>
        <v>42404.99861</v>
      </c>
      <c r="D183" s="433">
        <f>IFERROR(__xludf.DUMMYFUNCTION("""COMPUTED_VALUE"""),2.529)</f>
        <v>2.529</v>
      </c>
      <c r="F183" s="434">
        <f>IFERROR(__xludf.DUMMYFUNCTION("""COMPUTED_VALUE"""),45107.99861111111)</f>
        <v>45107.99861</v>
      </c>
      <c r="G183" s="433">
        <f>IFERROR(__xludf.DUMMYFUNCTION("""COMPUTED_VALUE"""),30472.82)</f>
        <v>30472.82</v>
      </c>
      <c r="H183" s="434">
        <f>IFERROR(__xludf.DUMMYFUNCTION("""COMPUTED_VALUE"""),45107.99861111111)</f>
        <v>45107.99861</v>
      </c>
      <c r="I183" s="433">
        <f>IFERROR(__xludf.DUMMYFUNCTION("""COMPUTED_VALUE"""),1852.0085)</f>
        <v>1852.0085</v>
      </c>
    </row>
    <row r="184">
      <c r="A184" s="434">
        <f>IFERROR(__xludf.DUMMYFUNCTION("""COMPUTED_VALUE"""),42751.99861111111)</f>
        <v>42751.99861</v>
      </c>
      <c r="B184" s="433">
        <f>IFERROR(__xludf.DUMMYFUNCTION("""COMPUTED_VALUE"""),827.44)</f>
        <v>827.44</v>
      </c>
      <c r="C184" s="434">
        <f>IFERROR(__xludf.DUMMYFUNCTION("""COMPUTED_VALUE"""),42405.99861111111)</f>
        <v>42405.99861</v>
      </c>
      <c r="D184" s="433">
        <f>IFERROR(__xludf.DUMMYFUNCTION("""COMPUTED_VALUE"""),2.5703)</f>
        <v>2.5703</v>
      </c>
      <c r="F184" s="434">
        <f>IFERROR(__xludf.DUMMYFUNCTION("""COMPUTED_VALUE"""),45108.99861111111)</f>
        <v>45108.99861</v>
      </c>
      <c r="G184" s="433">
        <f>IFERROR(__xludf.DUMMYFUNCTION("""COMPUTED_VALUE"""),30600.18)</f>
        <v>30600.18</v>
      </c>
      <c r="H184" s="434">
        <f>IFERROR(__xludf.DUMMYFUNCTION("""COMPUTED_VALUE"""),45108.99861111111)</f>
        <v>45108.99861</v>
      </c>
      <c r="I184" s="433">
        <f>IFERROR(__xludf.DUMMYFUNCTION("""COMPUTED_VALUE"""),1933.3239)</f>
        <v>1933.3239</v>
      </c>
    </row>
    <row r="185">
      <c r="A185" s="434">
        <f>IFERROR(__xludf.DUMMYFUNCTION("""COMPUTED_VALUE"""),42752.99861111111)</f>
        <v>42752.99861</v>
      </c>
      <c r="B185" s="433">
        <f>IFERROR(__xludf.DUMMYFUNCTION("""COMPUTED_VALUE"""),874.91)</f>
        <v>874.91</v>
      </c>
      <c r="C185" s="434">
        <f>IFERROR(__xludf.DUMMYFUNCTION("""COMPUTED_VALUE"""),42406.99861111111)</f>
        <v>42406.99861</v>
      </c>
      <c r="D185" s="433">
        <f>IFERROR(__xludf.DUMMYFUNCTION("""COMPUTED_VALUE"""),2.5338)</f>
        <v>2.5338</v>
      </c>
      <c r="F185" s="434">
        <f>IFERROR(__xludf.DUMMYFUNCTION("""COMPUTED_VALUE"""),45109.99861111111)</f>
        <v>45109.99861</v>
      </c>
      <c r="G185" s="433">
        <f>IFERROR(__xludf.DUMMYFUNCTION("""COMPUTED_VALUE"""),30619.66)</f>
        <v>30619.66</v>
      </c>
      <c r="H185" s="434">
        <f>IFERROR(__xludf.DUMMYFUNCTION("""COMPUTED_VALUE"""),45109.99861111111)</f>
        <v>45109.99861</v>
      </c>
      <c r="I185" s="433">
        <f>IFERROR(__xludf.DUMMYFUNCTION("""COMPUTED_VALUE"""),1924.4482)</f>
        <v>1924.4482</v>
      </c>
    </row>
    <row r="186">
      <c r="A186" s="434">
        <f>IFERROR(__xludf.DUMMYFUNCTION("""COMPUTED_VALUE"""),42753.99861111111)</f>
        <v>42753.99861</v>
      </c>
      <c r="B186" s="433">
        <f>IFERROR(__xludf.DUMMYFUNCTION("""COMPUTED_VALUE"""),884.54)</f>
        <v>884.54</v>
      </c>
      <c r="C186" s="434">
        <f>IFERROR(__xludf.DUMMYFUNCTION("""COMPUTED_VALUE"""),42407.99861111111)</f>
        <v>42407.99861</v>
      </c>
      <c r="D186" s="433">
        <f>IFERROR(__xludf.DUMMYFUNCTION("""COMPUTED_VALUE"""),2.5364)</f>
        <v>2.5364</v>
      </c>
      <c r="F186" s="434">
        <f>IFERROR(__xludf.DUMMYFUNCTION("""COMPUTED_VALUE"""),45110.99861111111)</f>
        <v>45110.99861</v>
      </c>
      <c r="G186" s="433">
        <f>IFERROR(__xludf.DUMMYFUNCTION("""COMPUTED_VALUE"""),31155.26)</f>
        <v>31155.26</v>
      </c>
      <c r="H186" s="434">
        <f>IFERROR(__xludf.DUMMYFUNCTION("""COMPUTED_VALUE"""),45110.99861111111)</f>
        <v>45110.99861</v>
      </c>
      <c r="I186" s="433">
        <f>IFERROR(__xludf.DUMMYFUNCTION("""COMPUTED_VALUE"""),1937.8838)</f>
        <v>1937.8838</v>
      </c>
    </row>
    <row r="187">
      <c r="A187" s="434">
        <f>IFERROR(__xludf.DUMMYFUNCTION("""COMPUTED_VALUE"""),42754.99861111111)</f>
        <v>42754.99861</v>
      </c>
      <c r="B187" s="433">
        <f>IFERROR(__xludf.DUMMYFUNCTION("""COMPUTED_VALUE"""),893.23)</f>
        <v>893.23</v>
      </c>
      <c r="C187" s="434">
        <f>IFERROR(__xludf.DUMMYFUNCTION("""COMPUTED_VALUE"""),42408.99861111111)</f>
        <v>42408.99861</v>
      </c>
      <c r="D187" s="433">
        <f>IFERROR(__xludf.DUMMYFUNCTION("""COMPUTED_VALUE"""),2.973)</f>
        <v>2.973</v>
      </c>
      <c r="F187" s="434">
        <f>IFERROR(__xludf.DUMMYFUNCTION("""COMPUTED_VALUE"""),45111.99861111111)</f>
        <v>45111.99861</v>
      </c>
      <c r="G187" s="433">
        <f>IFERROR(__xludf.DUMMYFUNCTION("""COMPUTED_VALUE"""),30783.76)</f>
        <v>30783.76</v>
      </c>
      <c r="H187" s="434">
        <f>IFERROR(__xludf.DUMMYFUNCTION("""COMPUTED_VALUE"""),45111.99861111111)</f>
        <v>45111.99861</v>
      </c>
      <c r="I187" s="433">
        <f>IFERROR(__xludf.DUMMYFUNCTION("""COMPUTED_VALUE"""),1955.5241)</f>
        <v>1955.5241</v>
      </c>
    </row>
    <row r="188">
      <c r="A188" s="434">
        <f>IFERROR(__xludf.DUMMYFUNCTION("""COMPUTED_VALUE"""),42755.99861111111)</f>
        <v>42755.99861</v>
      </c>
      <c r="B188" s="433">
        <f>IFERROR(__xludf.DUMMYFUNCTION("""COMPUTED_VALUE"""),895.25)</f>
        <v>895.25</v>
      </c>
      <c r="C188" s="434">
        <f>IFERROR(__xludf.DUMMYFUNCTION("""COMPUTED_VALUE"""),42409.99861111111)</f>
        <v>42409.99861</v>
      </c>
      <c r="D188" s="433">
        <f>IFERROR(__xludf.DUMMYFUNCTION("""COMPUTED_VALUE"""),3.175)</f>
        <v>3.175</v>
      </c>
      <c r="F188" s="434">
        <f>IFERROR(__xludf.DUMMYFUNCTION("""COMPUTED_VALUE"""),45112.99861111111)</f>
        <v>45112.99861</v>
      </c>
      <c r="G188" s="433">
        <f>IFERROR(__xludf.DUMMYFUNCTION("""COMPUTED_VALUE"""),30512.26)</f>
        <v>30512.26</v>
      </c>
      <c r="H188" s="434">
        <f>IFERROR(__xludf.DUMMYFUNCTION("""COMPUTED_VALUE"""),45112.99861111111)</f>
        <v>45112.99861</v>
      </c>
      <c r="I188" s="433">
        <f>IFERROR(__xludf.DUMMYFUNCTION("""COMPUTED_VALUE"""),1936.7968)</f>
        <v>1936.7968</v>
      </c>
    </row>
    <row r="189">
      <c r="A189" s="434">
        <f>IFERROR(__xludf.DUMMYFUNCTION("""COMPUTED_VALUE"""),42758.99861111111)</f>
        <v>42758.99861</v>
      </c>
      <c r="B189" s="433">
        <f>IFERROR(__xludf.DUMMYFUNCTION("""COMPUTED_VALUE"""),919.61)</f>
        <v>919.61</v>
      </c>
      <c r="C189" s="434">
        <f>IFERROR(__xludf.DUMMYFUNCTION("""COMPUTED_VALUE"""),42410.99861111111)</f>
        <v>42410.99861</v>
      </c>
      <c r="D189" s="433">
        <f>IFERROR(__xludf.DUMMYFUNCTION("""COMPUTED_VALUE"""),4.0005)</f>
        <v>4.0005</v>
      </c>
      <c r="F189" s="434">
        <f>IFERROR(__xludf.DUMMYFUNCTION("""COMPUTED_VALUE"""),45113.99861111111)</f>
        <v>45113.99861</v>
      </c>
      <c r="G189" s="433">
        <f>IFERROR(__xludf.DUMMYFUNCTION("""COMPUTED_VALUE"""),29917.44)</f>
        <v>29917.44</v>
      </c>
      <c r="H189" s="434">
        <f>IFERROR(__xludf.DUMMYFUNCTION("""COMPUTED_VALUE"""),45113.99861111111)</f>
        <v>45113.99861</v>
      </c>
      <c r="I189" s="433">
        <f>IFERROR(__xludf.DUMMYFUNCTION("""COMPUTED_VALUE"""),1910.4171)</f>
        <v>1910.4171</v>
      </c>
    </row>
    <row r="190">
      <c r="A190" s="434">
        <f>IFERROR(__xludf.DUMMYFUNCTION("""COMPUTED_VALUE"""),42759.99861111111)</f>
        <v>42759.99861</v>
      </c>
      <c r="B190" s="433">
        <f>IFERROR(__xludf.DUMMYFUNCTION("""COMPUTED_VALUE"""),907.25)</f>
        <v>907.25</v>
      </c>
      <c r="C190" s="434">
        <f>IFERROR(__xludf.DUMMYFUNCTION("""COMPUTED_VALUE"""),42411.99861111111)</f>
        <v>42411.99861</v>
      </c>
      <c r="D190" s="433">
        <f>IFERROR(__xludf.DUMMYFUNCTION("""COMPUTED_VALUE"""),4.4968)</f>
        <v>4.4968</v>
      </c>
      <c r="F190" s="434">
        <f>IFERROR(__xludf.DUMMYFUNCTION("""COMPUTED_VALUE"""),45114.99861111111)</f>
        <v>45114.99861</v>
      </c>
      <c r="G190" s="433">
        <f>IFERROR(__xludf.DUMMYFUNCTION("""COMPUTED_VALUE"""),30360.05)</f>
        <v>30360.05</v>
      </c>
      <c r="H190" s="434">
        <f>IFERROR(__xludf.DUMMYFUNCTION("""COMPUTED_VALUE"""),45114.99861111111)</f>
        <v>45114.99861</v>
      </c>
      <c r="I190" s="433">
        <f>IFERROR(__xludf.DUMMYFUNCTION("""COMPUTED_VALUE"""),1847.5125)</f>
        <v>1847.5125</v>
      </c>
    </row>
    <row r="191">
      <c r="A191" s="434">
        <f>IFERROR(__xludf.DUMMYFUNCTION("""COMPUTED_VALUE"""),42760.99861111111)</f>
        <v>42760.99861</v>
      </c>
      <c r="B191" s="433">
        <f>IFERROR(__xludf.DUMMYFUNCTION("""COMPUTED_VALUE"""),894.98)</f>
        <v>894.98</v>
      </c>
      <c r="C191" s="434">
        <f>IFERROR(__xludf.DUMMYFUNCTION("""COMPUTED_VALUE"""),42412.99861111111)</f>
        <v>42412.99861</v>
      </c>
      <c r="D191" s="433">
        <f>IFERROR(__xludf.DUMMYFUNCTION("""COMPUTED_VALUE"""),5.9462)</f>
        <v>5.9462</v>
      </c>
      <c r="F191" s="434">
        <f>IFERROR(__xludf.DUMMYFUNCTION("""COMPUTED_VALUE"""),45115.99861111111)</f>
        <v>45115.99861</v>
      </c>
      <c r="G191" s="433">
        <f>IFERROR(__xludf.DUMMYFUNCTION("""COMPUTED_VALUE"""),30307.61)</f>
        <v>30307.61</v>
      </c>
      <c r="H191" s="434">
        <f>IFERROR(__xludf.DUMMYFUNCTION("""COMPUTED_VALUE"""),45115.99861111111)</f>
        <v>45115.99861</v>
      </c>
      <c r="I191" s="433">
        <f>IFERROR(__xludf.DUMMYFUNCTION("""COMPUTED_VALUE"""),1871.0021)</f>
        <v>1871.0021</v>
      </c>
    </row>
    <row r="192">
      <c r="A192" s="434">
        <f>IFERROR(__xludf.DUMMYFUNCTION("""COMPUTED_VALUE"""),42761.99861111111)</f>
        <v>42761.99861</v>
      </c>
      <c r="B192" s="433">
        <f>IFERROR(__xludf.DUMMYFUNCTION("""COMPUTED_VALUE"""),906.14)</f>
        <v>906.14</v>
      </c>
      <c r="C192" s="434">
        <f>IFERROR(__xludf.DUMMYFUNCTION("""COMPUTED_VALUE"""),42413.99861111111)</f>
        <v>42413.99861</v>
      </c>
      <c r="D192" s="433">
        <f>IFERROR(__xludf.DUMMYFUNCTION("""COMPUTED_VALUE"""),5.6851)</f>
        <v>5.6851</v>
      </c>
      <c r="F192" s="434">
        <f>IFERROR(__xludf.DUMMYFUNCTION("""COMPUTED_VALUE"""),45116.99861111111)</f>
        <v>45116.99861</v>
      </c>
      <c r="G192" s="433">
        <f>IFERROR(__xludf.DUMMYFUNCTION("""COMPUTED_VALUE"""),30182.26)</f>
        <v>30182.26</v>
      </c>
      <c r="H192" s="434">
        <f>IFERROR(__xludf.DUMMYFUNCTION("""COMPUTED_VALUE"""),45116.99861111111)</f>
        <v>45116.99861</v>
      </c>
      <c r="I192" s="433">
        <f>IFERROR(__xludf.DUMMYFUNCTION("""COMPUTED_VALUE"""),1865.595)</f>
        <v>1865.595</v>
      </c>
    </row>
    <row r="193">
      <c r="A193" s="434">
        <f>IFERROR(__xludf.DUMMYFUNCTION("""COMPUTED_VALUE"""),42762.99861111111)</f>
        <v>42762.99861</v>
      </c>
      <c r="B193" s="433">
        <f>IFERROR(__xludf.DUMMYFUNCTION("""COMPUTED_VALUE"""),916.64)</f>
        <v>916.64</v>
      </c>
      <c r="C193" s="434">
        <f>IFERROR(__xludf.DUMMYFUNCTION("""COMPUTED_VALUE"""),42414.99861111111)</f>
        <v>42414.99861</v>
      </c>
      <c r="D193" s="433">
        <f>IFERROR(__xludf.DUMMYFUNCTION("""COMPUTED_VALUE"""),5.4043)</f>
        <v>5.4043</v>
      </c>
      <c r="F193" s="434">
        <f>IFERROR(__xludf.DUMMYFUNCTION("""COMPUTED_VALUE"""),45117.99861111111)</f>
        <v>45117.99861</v>
      </c>
      <c r="G193" s="433">
        <f>IFERROR(__xludf.DUMMYFUNCTION("""COMPUTED_VALUE"""),30422.21)</f>
        <v>30422.21</v>
      </c>
      <c r="H193" s="434">
        <f>IFERROR(__xludf.DUMMYFUNCTION("""COMPUTED_VALUE"""),45117.99861111111)</f>
        <v>45117.99861</v>
      </c>
      <c r="I193" s="433">
        <f>IFERROR(__xludf.DUMMYFUNCTION("""COMPUTED_VALUE"""),1863.2402)</f>
        <v>1863.2402</v>
      </c>
    </row>
    <row r="194">
      <c r="A194" s="434">
        <f>IFERROR(__xludf.DUMMYFUNCTION("""COMPUTED_VALUE"""),42765.99861111111)</f>
        <v>42765.99861</v>
      </c>
      <c r="B194" s="433">
        <f>IFERROR(__xludf.DUMMYFUNCTION("""COMPUTED_VALUE"""),917.99)</f>
        <v>917.99</v>
      </c>
      <c r="C194" s="434">
        <f>IFERROR(__xludf.DUMMYFUNCTION("""COMPUTED_VALUE"""),42415.99861111111)</f>
        <v>42415.99861</v>
      </c>
      <c r="D194" s="433">
        <f>IFERROR(__xludf.DUMMYFUNCTION("""COMPUTED_VALUE"""),5.3305)</f>
        <v>5.3305</v>
      </c>
      <c r="F194" s="434">
        <f>IFERROR(__xludf.DUMMYFUNCTION("""COMPUTED_VALUE"""),45118.99861111111)</f>
        <v>45118.99861</v>
      </c>
      <c r="G194" s="433">
        <f>IFERROR(__xludf.DUMMYFUNCTION("""COMPUTED_VALUE"""),30636.85)</f>
        <v>30636.85</v>
      </c>
      <c r="H194" s="434">
        <f>IFERROR(__xludf.DUMMYFUNCTION("""COMPUTED_VALUE"""),45118.99861111111)</f>
        <v>45118.99861</v>
      </c>
      <c r="I194" s="433">
        <f>IFERROR(__xludf.DUMMYFUNCTION("""COMPUTED_VALUE"""),1880.6549)</f>
        <v>1880.6549</v>
      </c>
    </row>
    <row r="195">
      <c r="A195" s="434">
        <f>IFERROR(__xludf.DUMMYFUNCTION("""COMPUTED_VALUE"""),42766.99861111111)</f>
        <v>42766.99861</v>
      </c>
      <c r="B195" s="433">
        <f>IFERROR(__xludf.DUMMYFUNCTION("""COMPUTED_VALUE"""),940.44)</f>
        <v>940.44</v>
      </c>
      <c r="C195" s="434">
        <f>IFERROR(__xludf.DUMMYFUNCTION("""COMPUTED_VALUE"""),42416.99861111111)</f>
        <v>42416.99861</v>
      </c>
      <c r="D195" s="433">
        <f>IFERROR(__xludf.DUMMYFUNCTION("""COMPUTED_VALUE"""),5.3283)</f>
        <v>5.3283</v>
      </c>
      <c r="F195" s="434">
        <f>IFERROR(__xludf.DUMMYFUNCTION("""COMPUTED_VALUE"""),45119.99861111111)</f>
        <v>45119.99861</v>
      </c>
      <c r="G195" s="433">
        <f>IFERROR(__xludf.DUMMYFUNCTION("""COMPUTED_VALUE"""),30397.57)</f>
        <v>30397.57</v>
      </c>
      <c r="H195" s="434">
        <f>IFERROR(__xludf.DUMMYFUNCTION("""COMPUTED_VALUE"""),45119.99861111111)</f>
        <v>45119.99861</v>
      </c>
      <c r="I195" s="433">
        <f>IFERROR(__xludf.DUMMYFUNCTION("""COMPUTED_VALUE"""),1878.3221)</f>
        <v>1878.3221</v>
      </c>
    </row>
    <row r="196">
      <c r="A196" s="434">
        <f>IFERROR(__xludf.DUMMYFUNCTION("""COMPUTED_VALUE"""),42767.99861111111)</f>
        <v>42767.99861</v>
      </c>
      <c r="B196" s="433">
        <f>IFERROR(__xludf.DUMMYFUNCTION("""COMPUTED_VALUE"""),970.03)</f>
        <v>970.03</v>
      </c>
      <c r="C196" s="434">
        <f>IFERROR(__xludf.DUMMYFUNCTION("""COMPUTED_VALUE"""),42417.99861111111)</f>
        <v>42417.99861</v>
      </c>
      <c r="D196" s="433">
        <f>IFERROR(__xludf.DUMMYFUNCTION("""COMPUTED_VALUE"""),4.2892)</f>
        <v>4.2892</v>
      </c>
      <c r="F196" s="434">
        <f>IFERROR(__xludf.DUMMYFUNCTION("""COMPUTED_VALUE"""),45120.99861111111)</f>
        <v>45120.99861</v>
      </c>
      <c r="G196" s="433">
        <f>IFERROR(__xludf.DUMMYFUNCTION("""COMPUTED_VALUE"""),31470.53)</f>
        <v>31470.53</v>
      </c>
      <c r="H196" s="434">
        <f>IFERROR(__xludf.DUMMYFUNCTION("""COMPUTED_VALUE"""),45120.99861111111)</f>
        <v>45120.99861</v>
      </c>
      <c r="I196" s="433">
        <f>IFERROR(__xludf.DUMMYFUNCTION("""COMPUTED_VALUE"""),1872.0402)</f>
        <v>1872.0402</v>
      </c>
    </row>
    <row r="197">
      <c r="A197" s="434">
        <f>IFERROR(__xludf.DUMMYFUNCTION("""COMPUTED_VALUE"""),42768.99861111111)</f>
        <v>42768.99861</v>
      </c>
      <c r="B197" s="433">
        <f>IFERROR(__xludf.DUMMYFUNCTION("""COMPUTED_VALUE"""),990.65)</f>
        <v>990.65</v>
      </c>
      <c r="C197" s="434">
        <f>IFERROR(__xludf.DUMMYFUNCTION("""COMPUTED_VALUE"""),42418.99861111111)</f>
        <v>42418.99861</v>
      </c>
      <c r="D197" s="433">
        <f>IFERROR(__xludf.DUMMYFUNCTION("""COMPUTED_VALUE"""),3.7747)</f>
        <v>3.7747</v>
      </c>
      <c r="F197" s="434">
        <f>IFERROR(__xludf.DUMMYFUNCTION("""COMPUTED_VALUE"""),45121.99861111111)</f>
        <v>45121.99861</v>
      </c>
      <c r="G197" s="433">
        <f>IFERROR(__xludf.DUMMYFUNCTION("""COMPUTED_VALUE"""),30345.3)</f>
        <v>30345.3</v>
      </c>
      <c r="H197" s="434">
        <f>IFERROR(__xludf.DUMMYFUNCTION("""COMPUTED_VALUE"""),45121.99861111111)</f>
        <v>45121.99861</v>
      </c>
      <c r="I197" s="433">
        <f>IFERROR(__xludf.DUMMYFUNCTION("""COMPUTED_VALUE"""),2005.6861)</f>
        <v>2005.6861</v>
      </c>
    </row>
    <row r="198">
      <c r="A198" s="434">
        <f>IFERROR(__xludf.DUMMYFUNCTION("""COMPUTED_VALUE"""),42769.99861111111)</f>
        <v>42769.99861</v>
      </c>
      <c r="B198" s="433">
        <f>IFERROR(__xludf.DUMMYFUNCTION("""COMPUTED_VALUE"""),1010.52)</f>
        <v>1010.52</v>
      </c>
      <c r="C198" s="434">
        <f>IFERROR(__xludf.DUMMYFUNCTION("""COMPUTED_VALUE"""),42419.99861111111)</f>
        <v>42419.99861</v>
      </c>
      <c r="D198" s="433">
        <f>IFERROR(__xludf.DUMMYFUNCTION("""COMPUTED_VALUE"""),4.3848)</f>
        <v>4.3848</v>
      </c>
      <c r="F198" s="434">
        <f>IFERROR(__xludf.DUMMYFUNCTION("""COMPUTED_VALUE"""),45122.99861111111)</f>
        <v>45122.99861</v>
      </c>
      <c r="G198" s="433">
        <f>IFERROR(__xludf.DUMMYFUNCTION("""COMPUTED_VALUE"""),30330.87)</f>
        <v>30330.87</v>
      </c>
      <c r="H198" s="434">
        <f>IFERROR(__xludf.DUMMYFUNCTION("""COMPUTED_VALUE"""),45122.99861111111)</f>
        <v>45122.99861</v>
      </c>
      <c r="I198" s="433">
        <f>IFERROR(__xludf.DUMMYFUNCTION("""COMPUTED_VALUE"""),1939.1296)</f>
        <v>1939.1296</v>
      </c>
    </row>
    <row r="199">
      <c r="A199" s="434">
        <f>IFERROR(__xludf.DUMMYFUNCTION("""COMPUTED_VALUE"""),42772.99861111111)</f>
        <v>42772.99861</v>
      </c>
      <c r="B199" s="433">
        <f>IFERROR(__xludf.DUMMYFUNCTION("""COMPUTED_VALUE"""),1018.47)</f>
        <v>1018.47</v>
      </c>
      <c r="C199" s="434">
        <f>IFERROR(__xludf.DUMMYFUNCTION("""COMPUTED_VALUE"""),42420.99861111111)</f>
        <v>42420.99861</v>
      </c>
      <c r="D199" s="433">
        <f>IFERROR(__xludf.DUMMYFUNCTION("""COMPUTED_VALUE"""),4.6822)</f>
        <v>4.6822</v>
      </c>
      <c r="F199" s="434">
        <f>IFERROR(__xludf.DUMMYFUNCTION("""COMPUTED_VALUE"""),45123.99861111111)</f>
        <v>45123.99861</v>
      </c>
      <c r="G199" s="433">
        <f>IFERROR(__xludf.DUMMYFUNCTION("""COMPUTED_VALUE"""),30262.35)</f>
        <v>30262.35</v>
      </c>
      <c r="H199" s="434">
        <f>IFERROR(__xludf.DUMMYFUNCTION("""COMPUTED_VALUE"""),45123.99861111111)</f>
        <v>45123.99861</v>
      </c>
      <c r="I199" s="433">
        <f>IFERROR(__xludf.DUMMYFUNCTION("""COMPUTED_VALUE"""),1931.645)</f>
        <v>1931.645</v>
      </c>
    </row>
    <row r="200">
      <c r="A200" s="434">
        <f>IFERROR(__xludf.DUMMYFUNCTION("""COMPUTED_VALUE"""),42773.99861111111)</f>
        <v>42773.99861</v>
      </c>
      <c r="B200" s="433">
        <f>IFERROR(__xludf.DUMMYFUNCTION("""COMPUTED_VALUE"""),1040.2)</f>
        <v>1040.2</v>
      </c>
      <c r="C200" s="434">
        <f>IFERROR(__xludf.DUMMYFUNCTION("""COMPUTED_VALUE"""),42421.99861111111)</f>
        <v>42421.99861</v>
      </c>
      <c r="D200" s="433">
        <f>IFERROR(__xludf.DUMMYFUNCTION("""COMPUTED_VALUE"""),4.3606)</f>
        <v>4.3606</v>
      </c>
      <c r="F200" s="434">
        <f>IFERROR(__xludf.DUMMYFUNCTION("""COMPUTED_VALUE"""),45124.99861111111)</f>
        <v>45124.99861</v>
      </c>
      <c r="G200" s="433">
        <f>IFERROR(__xludf.DUMMYFUNCTION("""COMPUTED_VALUE"""),30157.59)</f>
        <v>30157.59</v>
      </c>
      <c r="H200" s="434">
        <f>IFERROR(__xludf.DUMMYFUNCTION("""COMPUTED_VALUE"""),45124.99861111111)</f>
        <v>45124.99861</v>
      </c>
      <c r="I200" s="433">
        <f>IFERROR(__xludf.DUMMYFUNCTION("""COMPUTED_VALUE"""),1923.6943)</f>
        <v>1923.6943</v>
      </c>
    </row>
    <row r="201">
      <c r="A201" s="434">
        <f>IFERROR(__xludf.DUMMYFUNCTION("""COMPUTED_VALUE"""),42774.99861111111)</f>
        <v>42774.99861</v>
      </c>
      <c r="B201" s="433">
        <f>IFERROR(__xludf.DUMMYFUNCTION("""COMPUTED_VALUE"""),1050.71)</f>
        <v>1050.71</v>
      </c>
      <c r="C201" s="434">
        <f>IFERROR(__xludf.DUMMYFUNCTION("""COMPUTED_VALUE"""),42422.99861111111)</f>
        <v>42422.99861</v>
      </c>
      <c r="D201" s="433">
        <f>IFERROR(__xludf.DUMMYFUNCTION("""COMPUTED_VALUE"""),4.6649)</f>
        <v>4.6649</v>
      </c>
      <c r="F201" s="434">
        <f>IFERROR(__xludf.DUMMYFUNCTION("""COMPUTED_VALUE"""),45125.99861111111)</f>
        <v>45125.99861</v>
      </c>
      <c r="G201" s="433">
        <f>IFERROR(__xludf.DUMMYFUNCTION("""COMPUTED_VALUE"""),29878.96)</f>
        <v>29878.96</v>
      </c>
      <c r="H201" s="434">
        <f>IFERROR(__xludf.DUMMYFUNCTION("""COMPUTED_VALUE"""),45125.99861111111)</f>
        <v>45125.99861</v>
      </c>
      <c r="I201" s="433">
        <f>IFERROR(__xludf.DUMMYFUNCTION("""COMPUTED_VALUE"""),1911.697)</f>
        <v>1911.697</v>
      </c>
    </row>
    <row r="202">
      <c r="A202" s="434">
        <f>IFERROR(__xludf.DUMMYFUNCTION("""COMPUTED_VALUE"""),42775.99861111111)</f>
        <v>42775.99861</v>
      </c>
      <c r="B202" s="433">
        <f>IFERROR(__xludf.DUMMYFUNCTION("""COMPUTED_VALUE"""),1021.83)</f>
        <v>1021.83</v>
      </c>
      <c r="C202" s="434">
        <f>IFERROR(__xludf.DUMMYFUNCTION("""COMPUTED_VALUE"""),42423.99861111111)</f>
        <v>42423.99861</v>
      </c>
      <c r="D202" s="433">
        <f>IFERROR(__xludf.DUMMYFUNCTION("""COMPUTED_VALUE"""),5.6849)</f>
        <v>5.6849</v>
      </c>
      <c r="F202" s="434">
        <f>IFERROR(__xludf.DUMMYFUNCTION("""COMPUTED_VALUE"""),45126.99861111111)</f>
        <v>45126.99861</v>
      </c>
      <c r="G202" s="433">
        <f>IFERROR(__xludf.DUMMYFUNCTION("""COMPUTED_VALUE"""),29926.23)</f>
        <v>29926.23</v>
      </c>
      <c r="H202" s="434">
        <f>IFERROR(__xludf.DUMMYFUNCTION("""COMPUTED_VALUE"""),45126.99861111111)</f>
        <v>45126.99861</v>
      </c>
      <c r="I202" s="433">
        <f>IFERROR(__xludf.DUMMYFUNCTION("""COMPUTED_VALUE"""),1897.7973)</f>
        <v>1897.7973</v>
      </c>
    </row>
    <row r="203">
      <c r="A203" s="434">
        <f>IFERROR(__xludf.DUMMYFUNCTION("""COMPUTED_VALUE"""),42776.99861111111)</f>
        <v>42776.99861</v>
      </c>
      <c r="B203" s="433">
        <f>IFERROR(__xludf.DUMMYFUNCTION("""COMPUTED_VALUE"""),975.79)</f>
        <v>975.79</v>
      </c>
      <c r="C203" s="434">
        <f>IFERROR(__xludf.DUMMYFUNCTION("""COMPUTED_VALUE"""),42424.99861111111)</f>
        <v>42424.99861</v>
      </c>
      <c r="D203" s="433">
        <f>IFERROR(__xludf.DUMMYFUNCTION("""COMPUTED_VALUE"""),5.604)</f>
        <v>5.604</v>
      </c>
      <c r="F203" s="434">
        <f>IFERROR(__xludf.DUMMYFUNCTION("""COMPUTED_VALUE"""),45127.99861111111)</f>
        <v>45127.99861</v>
      </c>
      <c r="G203" s="433">
        <f>IFERROR(__xludf.DUMMYFUNCTION("""COMPUTED_VALUE"""),29812.25)</f>
        <v>29812.25</v>
      </c>
      <c r="H203" s="434">
        <f>IFERROR(__xludf.DUMMYFUNCTION("""COMPUTED_VALUE"""),45127.99861111111)</f>
        <v>45127.99861</v>
      </c>
      <c r="I203" s="433">
        <f>IFERROR(__xludf.DUMMYFUNCTION("""COMPUTED_VALUE"""),1889.0737)</f>
        <v>1889.0737</v>
      </c>
    </row>
    <row r="204">
      <c r="A204" s="434">
        <f>IFERROR(__xludf.DUMMYFUNCTION("""COMPUTED_VALUE"""),42779.99861111111)</f>
        <v>42779.99861</v>
      </c>
      <c r="B204" s="433">
        <f>IFERROR(__xludf.DUMMYFUNCTION("""COMPUTED_VALUE"""),996.31)</f>
        <v>996.31</v>
      </c>
      <c r="C204" s="434">
        <f>IFERROR(__xludf.DUMMYFUNCTION("""COMPUTED_VALUE"""),42425.99861111111)</f>
        <v>42425.99861</v>
      </c>
      <c r="D204" s="433">
        <f>IFERROR(__xludf.DUMMYFUNCTION("""COMPUTED_VALUE"""),6.1867)</f>
        <v>6.1867</v>
      </c>
      <c r="F204" s="434">
        <f>IFERROR(__xludf.DUMMYFUNCTION("""COMPUTED_VALUE"""),45128.99861111111)</f>
        <v>45128.99861</v>
      </c>
      <c r="G204" s="433">
        <f>IFERROR(__xludf.DUMMYFUNCTION("""COMPUTED_VALUE"""),29927.21)</f>
        <v>29927.21</v>
      </c>
      <c r="H204" s="434">
        <f>IFERROR(__xludf.DUMMYFUNCTION("""COMPUTED_VALUE"""),45128.99861111111)</f>
        <v>45128.99861</v>
      </c>
      <c r="I204" s="433">
        <f>IFERROR(__xludf.DUMMYFUNCTION("""COMPUTED_VALUE"""),1891.5813)</f>
        <v>1891.5813</v>
      </c>
    </row>
    <row r="205">
      <c r="A205" s="434">
        <f>IFERROR(__xludf.DUMMYFUNCTION("""COMPUTED_VALUE"""),42780.99861111111)</f>
        <v>42780.99861</v>
      </c>
      <c r="B205" s="433">
        <f>IFERROR(__xludf.DUMMYFUNCTION("""COMPUTED_VALUE"""),1004.77)</f>
        <v>1004.77</v>
      </c>
      <c r="C205" s="434">
        <f>IFERROR(__xludf.DUMMYFUNCTION("""COMPUTED_VALUE"""),42426.99861111111)</f>
        <v>42426.99861</v>
      </c>
      <c r="D205" s="433">
        <f>IFERROR(__xludf.DUMMYFUNCTION("""COMPUTED_VALUE"""),6.0378)</f>
        <v>6.0378</v>
      </c>
      <c r="F205" s="434">
        <f>IFERROR(__xludf.DUMMYFUNCTION("""COMPUTED_VALUE"""),45129.99861111111)</f>
        <v>45129.99861</v>
      </c>
      <c r="G205" s="433">
        <f>IFERROR(__xludf.DUMMYFUNCTION("""COMPUTED_VALUE"""),29805.75)</f>
        <v>29805.75</v>
      </c>
      <c r="H205" s="434">
        <f>IFERROR(__xludf.DUMMYFUNCTION("""COMPUTED_VALUE"""),45129.99861111111)</f>
        <v>45129.99861</v>
      </c>
      <c r="I205" s="433">
        <f>IFERROR(__xludf.DUMMYFUNCTION("""COMPUTED_VALUE"""),1891.9551)</f>
        <v>1891.9551</v>
      </c>
    </row>
    <row r="206">
      <c r="A206" s="434">
        <f>IFERROR(__xludf.DUMMYFUNCTION("""COMPUTED_VALUE"""),42781.99861111111)</f>
        <v>42781.99861</v>
      </c>
      <c r="B206" s="433">
        <f>IFERROR(__xludf.DUMMYFUNCTION("""COMPUTED_VALUE"""),1008.41)</f>
        <v>1008.41</v>
      </c>
      <c r="C206" s="434">
        <f>IFERROR(__xludf.DUMMYFUNCTION("""COMPUTED_VALUE"""),42427.99861111111)</f>
        <v>42427.99861</v>
      </c>
      <c r="D206" s="433">
        <f>IFERROR(__xludf.DUMMYFUNCTION("""COMPUTED_VALUE"""),5.9631)</f>
        <v>5.9631</v>
      </c>
      <c r="F206" s="434">
        <f>IFERROR(__xludf.DUMMYFUNCTION("""COMPUTED_VALUE"""),45130.99861111111)</f>
        <v>45130.99861</v>
      </c>
      <c r="G206" s="433">
        <f>IFERROR(__xludf.DUMMYFUNCTION("""COMPUTED_VALUE"""),30100.01)</f>
        <v>30100.01</v>
      </c>
      <c r="H206" s="434">
        <f>IFERROR(__xludf.DUMMYFUNCTION("""COMPUTED_VALUE"""),45130.99861111111)</f>
        <v>45130.99861</v>
      </c>
      <c r="I206" s="433">
        <f>IFERROR(__xludf.DUMMYFUNCTION("""COMPUTED_VALUE"""),1866.0942)</f>
        <v>1866.0942</v>
      </c>
    </row>
    <row r="207">
      <c r="A207" s="434">
        <f>IFERROR(__xludf.DUMMYFUNCTION("""COMPUTED_VALUE"""),42782.99861111111)</f>
        <v>42782.99861</v>
      </c>
      <c r="B207" s="433">
        <f>IFERROR(__xludf.DUMMYFUNCTION("""COMPUTED_VALUE"""),1025.44)</f>
        <v>1025.44</v>
      </c>
      <c r="C207" s="434">
        <f>IFERROR(__xludf.DUMMYFUNCTION("""COMPUTED_VALUE"""),42428.99861111111)</f>
        <v>42428.99861</v>
      </c>
      <c r="D207" s="433">
        <f>IFERROR(__xludf.DUMMYFUNCTION("""COMPUTED_VALUE"""),6.4055)</f>
        <v>6.4055</v>
      </c>
      <c r="F207" s="434">
        <f>IFERROR(__xludf.DUMMYFUNCTION("""COMPUTED_VALUE"""),45131.99861111111)</f>
        <v>45131.99861</v>
      </c>
      <c r="G207" s="433">
        <f>IFERROR(__xludf.DUMMYFUNCTION("""COMPUTED_VALUE"""),29189.36)</f>
        <v>29189.36</v>
      </c>
      <c r="H207" s="434">
        <f>IFERROR(__xludf.DUMMYFUNCTION("""COMPUTED_VALUE"""),45131.99861111111)</f>
        <v>45131.99861</v>
      </c>
      <c r="I207" s="433">
        <f>IFERROR(__xludf.DUMMYFUNCTION("""COMPUTED_VALUE"""),1888.8095)</f>
        <v>1888.8095</v>
      </c>
    </row>
    <row r="208">
      <c r="A208" s="434">
        <f>IFERROR(__xludf.DUMMYFUNCTION("""COMPUTED_VALUE"""),42783.99861111111)</f>
        <v>42783.99861</v>
      </c>
      <c r="B208" s="433">
        <f>IFERROR(__xludf.DUMMYFUNCTION("""COMPUTED_VALUE"""),1047.11)</f>
        <v>1047.11</v>
      </c>
      <c r="C208" s="434">
        <f>IFERROR(__xludf.DUMMYFUNCTION("""COMPUTED_VALUE"""),42429.99861111111)</f>
        <v>42429.99861</v>
      </c>
      <c r="D208" s="433">
        <f>IFERROR(__xludf.DUMMYFUNCTION("""COMPUTED_VALUE"""),6.4557)</f>
        <v>6.4557</v>
      </c>
      <c r="F208" s="434">
        <f>IFERROR(__xludf.DUMMYFUNCTION("""COMPUTED_VALUE"""),45132.99861111111)</f>
        <v>45132.99861</v>
      </c>
      <c r="G208" s="433">
        <f>IFERROR(__xludf.DUMMYFUNCTION("""COMPUTED_VALUE"""),29239.03)</f>
        <v>29239.03</v>
      </c>
      <c r="H208" s="434">
        <f>IFERROR(__xludf.DUMMYFUNCTION("""COMPUTED_VALUE"""),45132.99861111111)</f>
        <v>45132.99861</v>
      </c>
      <c r="I208" s="433">
        <f>IFERROR(__xludf.DUMMYFUNCTION("""COMPUTED_VALUE"""),1850.028)</f>
        <v>1850.028</v>
      </c>
    </row>
    <row r="209">
      <c r="A209" s="434">
        <f>IFERROR(__xludf.DUMMYFUNCTION("""COMPUTED_VALUE"""),42786.99861111111)</f>
        <v>42786.99861</v>
      </c>
      <c r="B209" s="433">
        <f>IFERROR(__xludf.DUMMYFUNCTION("""COMPUTED_VALUE"""),1056.3)</f>
        <v>1056.3</v>
      </c>
      <c r="C209" s="434">
        <f>IFERROR(__xludf.DUMMYFUNCTION("""COMPUTED_VALUE"""),42430.99861111111)</f>
        <v>42430.99861</v>
      </c>
      <c r="D209" s="433">
        <f>IFERROR(__xludf.DUMMYFUNCTION("""COMPUTED_VALUE"""),6.3193)</f>
        <v>6.3193</v>
      </c>
      <c r="F209" s="434">
        <f>IFERROR(__xludf.DUMMYFUNCTION("""COMPUTED_VALUE"""),45133.99861111111)</f>
        <v>45133.99861</v>
      </c>
      <c r="G209" s="433">
        <f>IFERROR(__xludf.DUMMYFUNCTION("""COMPUTED_VALUE"""),29366.65)</f>
        <v>29366.65</v>
      </c>
      <c r="H209" s="434">
        <f>IFERROR(__xludf.DUMMYFUNCTION("""COMPUTED_VALUE"""),45133.99861111111)</f>
        <v>45133.99861</v>
      </c>
      <c r="I209" s="433">
        <f>IFERROR(__xludf.DUMMYFUNCTION("""COMPUTED_VALUE"""),1857.6965)</f>
        <v>1857.6965</v>
      </c>
    </row>
    <row r="210">
      <c r="A210" s="434">
        <f>IFERROR(__xludf.DUMMYFUNCTION("""COMPUTED_VALUE"""),42787.99861111111)</f>
        <v>42787.99861</v>
      </c>
      <c r="B210" s="433">
        <f>IFERROR(__xludf.DUMMYFUNCTION("""COMPUTED_VALUE"""),1100.31)</f>
        <v>1100.31</v>
      </c>
      <c r="C210" s="434">
        <f>IFERROR(__xludf.DUMMYFUNCTION("""COMPUTED_VALUE"""),42431.99861111111)</f>
        <v>42431.99861</v>
      </c>
      <c r="D210" s="433">
        <f>IFERROR(__xludf.DUMMYFUNCTION("""COMPUTED_VALUE"""),7.633)</f>
        <v>7.633</v>
      </c>
      <c r="F210" s="434">
        <f>IFERROR(__xludf.DUMMYFUNCTION("""COMPUTED_VALUE"""),45134.99861111111)</f>
        <v>45134.99861</v>
      </c>
      <c r="G210" s="433">
        <f>IFERROR(__xludf.DUMMYFUNCTION("""COMPUTED_VALUE"""),29226.86)</f>
        <v>29226.86</v>
      </c>
      <c r="H210" s="434">
        <f>IFERROR(__xludf.DUMMYFUNCTION("""COMPUTED_VALUE"""),45134.99861111111)</f>
        <v>45134.99861</v>
      </c>
      <c r="I210" s="433">
        <f>IFERROR(__xludf.DUMMYFUNCTION("""COMPUTED_VALUE"""),1872.0863)</f>
        <v>1872.0863</v>
      </c>
    </row>
    <row r="211">
      <c r="A211" s="434">
        <f>IFERROR(__xludf.DUMMYFUNCTION("""COMPUTED_VALUE"""),42788.99861111111)</f>
        <v>42788.99861</v>
      </c>
      <c r="B211" s="433">
        <f>IFERROR(__xludf.DUMMYFUNCTION("""COMPUTED_VALUE"""),1120.37)</f>
        <v>1120.37</v>
      </c>
      <c r="C211" s="434">
        <f>IFERROR(__xludf.DUMMYFUNCTION("""COMPUTED_VALUE"""),42432.99861111111)</f>
        <v>42432.99861</v>
      </c>
      <c r="D211" s="433">
        <f>IFERROR(__xludf.DUMMYFUNCTION("""COMPUTED_VALUE"""),8.4423)</f>
        <v>8.4423</v>
      </c>
      <c r="F211" s="434">
        <f>IFERROR(__xludf.DUMMYFUNCTION("""COMPUTED_VALUE"""),45135.99861111111)</f>
        <v>45135.99861</v>
      </c>
      <c r="G211" s="433">
        <f>IFERROR(__xludf.DUMMYFUNCTION("""COMPUTED_VALUE"""),29324.19)</f>
        <v>29324.19</v>
      </c>
      <c r="H211" s="434">
        <f>IFERROR(__xludf.DUMMYFUNCTION("""COMPUTED_VALUE"""),45135.99861111111)</f>
        <v>45135.99861</v>
      </c>
      <c r="I211" s="433">
        <f>IFERROR(__xludf.DUMMYFUNCTION("""COMPUTED_VALUE"""),1860.7025)</f>
        <v>1860.7025</v>
      </c>
    </row>
    <row r="212">
      <c r="A212" s="434">
        <f>IFERROR(__xludf.DUMMYFUNCTION("""COMPUTED_VALUE"""),42789.99861111111)</f>
        <v>42789.99861</v>
      </c>
      <c r="B212" s="433">
        <f>IFERROR(__xludf.DUMMYFUNCTION("""COMPUTED_VALUE"""),1145.58)</f>
        <v>1145.58</v>
      </c>
      <c r="C212" s="434">
        <f>IFERROR(__xludf.DUMMYFUNCTION("""COMPUTED_VALUE"""),42433.99861111111)</f>
        <v>42433.99861</v>
      </c>
      <c r="D212" s="433">
        <f>IFERROR(__xludf.DUMMYFUNCTION("""COMPUTED_VALUE"""),9.2406)</f>
        <v>9.2406</v>
      </c>
      <c r="F212" s="434">
        <f>IFERROR(__xludf.DUMMYFUNCTION("""COMPUTED_VALUE"""),45136.99861111111)</f>
        <v>45136.99861</v>
      </c>
      <c r="G212" s="433">
        <f>IFERROR(__xludf.DUMMYFUNCTION("""COMPUTED_VALUE"""),29391.08)</f>
        <v>29391.08</v>
      </c>
      <c r="H212" s="434">
        <f>IFERROR(__xludf.DUMMYFUNCTION("""COMPUTED_VALUE"""),45136.99861111111)</f>
        <v>45136.99861</v>
      </c>
      <c r="I212" s="433">
        <f>IFERROR(__xludf.DUMMYFUNCTION("""COMPUTED_VALUE"""),1874.5604)</f>
        <v>1874.5604</v>
      </c>
    </row>
    <row r="213">
      <c r="A213" s="434">
        <f>IFERROR(__xludf.DUMMYFUNCTION("""COMPUTED_VALUE"""),42790.99861111111)</f>
        <v>42790.99861</v>
      </c>
      <c r="B213" s="433">
        <f>IFERROR(__xludf.DUMMYFUNCTION("""COMPUTED_VALUE"""),1185.01)</f>
        <v>1185.01</v>
      </c>
      <c r="C213" s="434">
        <f>IFERROR(__xludf.DUMMYFUNCTION("""COMPUTED_VALUE"""),42434.99861111111)</f>
        <v>42434.99861</v>
      </c>
      <c r="D213" s="433">
        <f>IFERROR(__xludf.DUMMYFUNCTION("""COMPUTED_VALUE"""),10.3703)</f>
        <v>10.3703</v>
      </c>
      <c r="F213" s="434">
        <f>IFERROR(__xludf.DUMMYFUNCTION("""COMPUTED_VALUE"""),45137.99861111111)</f>
        <v>45137.99861</v>
      </c>
      <c r="G213" s="433">
        <f>IFERROR(__xludf.DUMMYFUNCTION("""COMPUTED_VALUE"""),29295.0)</f>
        <v>29295</v>
      </c>
      <c r="H213" s="434">
        <f>IFERROR(__xludf.DUMMYFUNCTION("""COMPUTED_VALUE"""),45137.99861111111)</f>
        <v>45137.99861</v>
      </c>
      <c r="I213" s="433">
        <f>IFERROR(__xludf.DUMMYFUNCTION("""COMPUTED_VALUE"""),1880.8715)</f>
        <v>1880.8715</v>
      </c>
    </row>
    <row r="214">
      <c r="A214" s="434">
        <f>IFERROR(__xludf.DUMMYFUNCTION("""COMPUTED_VALUE"""),42793.99861111111)</f>
        <v>42793.99861</v>
      </c>
      <c r="B214" s="433">
        <f>IFERROR(__xludf.DUMMYFUNCTION("""COMPUTED_VALUE"""),1184.47)</f>
        <v>1184.47</v>
      </c>
      <c r="C214" s="434">
        <f>IFERROR(__xludf.DUMMYFUNCTION("""COMPUTED_VALUE"""),42435.99861111111)</f>
        <v>42435.99861</v>
      </c>
      <c r="D214" s="433">
        <f>IFERROR(__xludf.DUMMYFUNCTION("""COMPUTED_VALUE"""),11.204)</f>
        <v>11.204</v>
      </c>
      <c r="F214" s="434">
        <f>IFERROR(__xludf.DUMMYFUNCTION("""COMPUTED_VALUE"""),45138.99861111111)</f>
        <v>45138.99861</v>
      </c>
      <c r="G214" s="433">
        <f>IFERROR(__xludf.DUMMYFUNCTION("""COMPUTED_VALUE"""),29244.09)</f>
        <v>29244.09</v>
      </c>
      <c r="H214" s="434">
        <f>IFERROR(__xludf.DUMMYFUNCTION("""COMPUTED_VALUE"""),45138.99861111111)</f>
        <v>45138.99861</v>
      </c>
      <c r="I214" s="433">
        <f>IFERROR(__xludf.DUMMYFUNCTION("""COMPUTED_VALUE"""),1861.7552)</f>
        <v>1861.7552</v>
      </c>
    </row>
    <row r="215">
      <c r="A215" s="434">
        <f>IFERROR(__xludf.DUMMYFUNCTION("""COMPUTED_VALUE"""),42794.99861111111)</f>
        <v>42794.99861</v>
      </c>
      <c r="B215" s="433">
        <f>IFERROR(__xludf.DUMMYFUNCTION("""COMPUTED_VALUE"""),1192.12)</f>
        <v>1192.12</v>
      </c>
      <c r="C215" s="434">
        <f>IFERROR(__xludf.DUMMYFUNCTION("""COMPUTED_VALUE"""),42436.99861111111)</f>
        <v>42436.99861</v>
      </c>
      <c r="D215" s="433">
        <f>IFERROR(__xludf.DUMMYFUNCTION("""COMPUTED_VALUE"""),11.4288)</f>
        <v>11.4288</v>
      </c>
      <c r="F215" s="434">
        <f>IFERROR(__xludf.DUMMYFUNCTION("""COMPUTED_VALUE"""),45139.99861111111)</f>
        <v>45139.99861</v>
      </c>
      <c r="G215" s="433">
        <f>IFERROR(__xludf.DUMMYFUNCTION("""COMPUTED_VALUE"""),29704.41)</f>
        <v>29704.41</v>
      </c>
      <c r="H215" s="434">
        <f>IFERROR(__xludf.DUMMYFUNCTION("""COMPUTED_VALUE"""),45139.99861111111)</f>
        <v>45139.99861</v>
      </c>
      <c r="I215" s="433">
        <f>IFERROR(__xludf.DUMMYFUNCTION("""COMPUTED_VALUE"""),1856.1902)</f>
        <v>1856.1902</v>
      </c>
    </row>
    <row r="216">
      <c r="A216" s="434">
        <f>IFERROR(__xludf.DUMMYFUNCTION("""COMPUTED_VALUE"""),42795.99861111111)</f>
        <v>42795.99861</v>
      </c>
      <c r="B216" s="433">
        <f>IFERROR(__xludf.DUMMYFUNCTION("""COMPUTED_VALUE"""),1205.0)</f>
        <v>1205</v>
      </c>
      <c r="C216" s="434">
        <f>IFERROR(__xludf.DUMMYFUNCTION("""COMPUTED_VALUE"""),42437.99861111111)</f>
        <v>42437.99861</v>
      </c>
      <c r="D216" s="433">
        <f>IFERROR(__xludf.DUMMYFUNCTION("""COMPUTED_VALUE"""),9.5821)</f>
        <v>9.5821</v>
      </c>
      <c r="F216" s="434">
        <f>IFERROR(__xludf.DUMMYFUNCTION("""COMPUTED_VALUE"""),45140.99861111111)</f>
        <v>45140.99861</v>
      </c>
      <c r="G216" s="433">
        <f>IFERROR(__xludf.DUMMYFUNCTION("""COMPUTED_VALUE"""),29168.12)</f>
        <v>29168.12</v>
      </c>
      <c r="H216" s="434">
        <f>IFERROR(__xludf.DUMMYFUNCTION("""COMPUTED_VALUE"""),45140.99861111111)</f>
        <v>45140.99861</v>
      </c>
      <c r="I216" s="433">
        <f>IFERROR(__xludf.DUMMYFUNCTION("""COMPUTED_VALUE"""),1873.4681)</f>
        <v>1873.4681</v>
      </c>
    </row>
    <row r="217">
      <c r="A217" s="434">
        <f>IFERROR(__xludf.DUMMYFUNCTION("""COMPUTED_VALUE"""),42796.99861111111)</f>
        <v>42796.99861</v>
      </c>
      <c r="B217" s="433">
        <f>IFERROR(__xludf.DUMMYFUNCTION("""COMPUTED_VALUE"""),1238.86)</f>
        <v>1238.86</v>
      </c>
      <c r="C217" s="434">
        <f>IFERROR(__xludf.DUMMYFUNCTION("""COMPUTED_VALUE"""),42438.99861111111)</f>
        <v>42438.99861</v>
      </c>
      <c r="D217" s="433">
        <f>IFERROR(__xludf.DUMMYFUNCTION("""COMPUTED_VALUE"""),9.7924)</f>
        <v>9.7924</v>
      </c>
      <c r="F217" s="434">
        <f>IFERROR(__xludf.DUMMYFUNCTION("""COMPUTED_VALUE"""),45141.99861111111)</f>
        <v>45141.99861</v>
      </c>
      <c r="G217" s="433">
        <f>IFERROR(__xludf.DUMMYFUNCTION("""COMPUTED_VALUE"""),29187.88)</f>
        <v>29187.88</v>
      </c>
      <c r="H217" s="434">
        <f>IFERROR(__xludf.DUMMYFUNCTION("""COMPUTED_VALUE"""),45141.99861111111)</f>
        <v>45141.99861</v>
      </c>
      <c r="I217" s="433">
        <f>IFERROR(__xludf.DUMMYFUNCTION("""COMPUTED_VALUE"""),1838.8979)</f>
        <v>1838.8979</v>
      </c>
    </row>
    <row r="218">
      <c r="A218" s="434">
        <f>IFERROR(__xludf.DUMMYFUNCTION("""COMPUTED_VALUE"""),42797.99861111111)</f>
        <v>42797.99861</v>
      </c>
      <c r="B218" s="433">
        <f>IFERROR(__xludf.DUMMYFUNCTION("""COMPUTED_VALUE"""),1272.84)</f>
        <v>1272.84</v>
      </c>
      <c r="C218" s="434">
        <f>IFERROR(__xludf.DUMMYFUNCTION("""COMPUTED_VALUE"""),42439.99861111111)</f>
        <v>42439.99861</v>
      </c>
      <c r="D218" s="433">
        <f>IFERROR(__xludf.DUMMYFUNCTION("""COMPUTED_VALUE"""),11.8815)</f>
        <v>11.8815</v>
      </c>
      <c r="F218" s="434">
        <f>IFERROR(__xludf.DUMMYFUNCTION("""COMPUTED_VALUE"""),45142.99861111111)</f>
        <v>45142.99861</v>
      </c>
      <c r="G218" s="433">
        <f>IFERROR(__xludf.DUMMYFUNCTION("""COMPUTED_VALUE"""),29107.64)</f>
        <v>29107.64</v>
      </c>
      <c r="H218" s="434">
        <f>IFERROR(__xludf.DUMMYFUNCTION("""COMPUTED_VALUE"""),45142.99861111111)</f>
        <v>45142.99861</v>
      </c>
      <c r="I218" s="433">
        <f>IFERROR(__xludf.DUMMYFUNCTION("""COMPUTED_VALUE"""),1834.8905)</f>
        <v>1834.8905</v>
      </c>
    </row>
    <row r="219">
      <c r="A219" s="434">
        <f>IFERROR(__xludf.DUMMYFUNCTION("""COMPUTED_VALUE"""),42800.99861111111)</f>
        <v>42800.99861</v>
      </c>
      <c r="B219" s="433">
        <f>IFERROR(__xludf.DUMMYFUNCTION("""COMPUTED_VALUE"""),1275.89)</f>
        <v>1275.89</v>
      </c>
      <c r="C219" s="434">
        <f>IFERROR(__xludf.DUMMYFUNCTION("""COMPUTED_VALUE"""),42440.99861111111)</f>
        <v>42440.99861</v>
      </c>
      <c r="D219" s="433">
        <f>IFERROR(__xludf.DUMMYFUNCTION("""COMPUTED_VALUE"""),11.2216)</f>
        <v>11.2216</v>
      </c>
      <c r="F219" s="434">
        <f>IFERROR(__xludf.DUMMYFUNCTION("""COMPUTED_VALUE"""),45143.99861111111)</f>
        <v>45143.99861</v>
      </c>
      <c r="G219" s="433">
        <f>IFERROR(__xludf.DUMMYFUNCTION("""COMPUTED_VALUE"""),29077.05)</f>
        <v>29077.05</v>
      </c>
      <c r="H219" s="434">
        <f>IFERROR(__xludf.DUMMYFUNCTION("""COMPUTED_VALUE"""),45143.99861111111)</f>
        <v>45143.99861</v>
      </c>
      <c r="I219" s="433">
        <f>IFERROR(__xludf.DUMMYFUNCTION("""COMPUTED_VALUE"""),1827.7986)</f>
        <v>1827.7986</v>
      </c>
    </row>
    <row r="220">
      <c r="A220" s="434">
        <f>IFERROR(__xludf.DUMMYFUNCTION("""COMPUTED_VALUE"""),42801.99861111111)</f>
        <v>42801.99861</v>
      </c>
      <c r="B220" s="433">
        <f>IFERROR(__xludf.DUMMYFUNCTION("""COMPUTED_VALUE"""),1253.74)</f>
        <v>1253.74</v>
      </c>
      <c r="C220" s="434">
        <f>IFERROR(__xludf.DUMMYFUNCTION("""COMPUTED_VALUE"""),42441.99861111111)</f>
        <v>42441.99861</v>
      </c>
      <c r="D220" s="433">
        <f>IFERROR(__xludf.DUMMYFUNCTION("""COMPUTED_VALUE"""),11.1307)</f>
        <v>11.1307</v>
      </c>
      <c r="F220" s="434">
        <f>IFERROR(__xludf.DUMMYFUNCTION("""COMPUTED_VALUE"""),45144.99861111111)</f>
        <v>45144.99861</v>
      </c>
      <c r="G220" s="433">
        <f>IFERROR(__xludf.DUMMYFUNCTION("""COMPUTED_VALUE"""),29071.92)</f>
        <v>29071.92</v>
      </c>
      <c r="H220" s="434">
        <f>IFERROR(__xludf.DUMMYFUNCTION("""COMPUTED_VALUE"""),45144.99861111111)</f>
        <v>45144.99861</v>
      </c>
      <c r="I220" s="433">
        <f>IFERROR(__xludf.DUMMYFUNCTION("""COMPUTED_VALUE"""),1834.8452)</f>
        <v>1834.8452</v>
      </c>
    </row>
    <row r="221">
      <c r="A221" s="434">
        <f>IFERROR(__xludf.DUMMYFUNCTION("""COMPUTED_VALUE"""),42802.99861111111)</f>
        <v>42802.99861</v>
      </c>
      <c r="B221" s="433">
        <f>IFERROR(__xludf.DUMMYFUNCTION("""COMPUTED_VALUE"""),1196.73)</f>
        <v>1196.73</v>
      </c>
      <c r="C221" s="434">
        <f>IFERROR(__xludf.DUMMYFUNCTION("""COMPUTED_VALUE"""),42442.99861111111)</f>
        <v>42442.99861</v>
      </c>
      <c r="D221" s="433">
        <f>IFERROR(__xludf.DUMMYFUNCTION("""COMPUTED_VALUE"""),13.5102)</f>
        <v>13.5102</v>
      </c>
      <c r="F221" s="434">
        <f>IFERROR(__xludf.DUMMYFUNCTION("""COMPUTED_VALUE"""),45145.99861111111)</f>
        <v>45145.99861</v>
      </c>
      <c r="G221" s="433">
        <f>IFERROR(__xludf.DUMMYFUNCTION("""COMPUTED_VALUE"""),29189.82)</f>
        <v>29189.82</v>
      </c>
      <c r="H221" s="434">
        <f>IFERROR(__xludf.DUMMYFUNCTION("""COMPUTED_VALUE"""),45145.99861111111)</f>
        <v>45145.99861</v>
      </c>
      <c r="I221" s="433">
        <f>IFERROR(__xludf.DUMMYFUNCTION("""COMPUTED_VALUE"""),1827.2395)</f>
        <v>1827.2395</v>
      </c>
    </row>
    <row r="222">
      <c r="A222" s="434">
        <f>IFERROR(__xludf.DUMMYFUNCTION("""COMPUTED_VALUE"""),42803.99861111111)</f>
        <v>42803.99861</v>
      </c>
      <c r="B222" s="433">
        <f>IFERROR(__xludf.DUMMYFUNCTION("""COMPUTED_VALUE"""),1176.06)</f>
        <v>1176.06</v>
      </c>
      <c r="C222" s="434">
        <f>IFERROR(__xludf.DUMMYFUNCTION("""COMPUTED_VALUE"""),42443.99861111111)</f>
        <v>42443.99861</v>
      </c>
      <c r="D222" s="433">
        <f>IFERROR(__xludf.DUMMYFUNCTION("""COMPUTED_VALUE"""),14.5122)</f>
        <v>14.5122</v>
      </c>
      <c r="F222" s="434">
        <f>IFERROR(__xludf.DUMMYFUNCTION("""COMPUTED_VALUE"""),45146.99861111111)</f>
        <v>45146.99861</v>
      </c>
      <c r="G222" s="433">
        <f>IFERROR(__xludf.DUMMYFUNCTION("""COMPUTED_VALUE"""),29771.04)</f>
        <v>29771.04</v>
      </c>
      <c r="H222" s="434">
        <f>IFERROR(__xludf.DUMMYFUNCTION("""COMPUTED_VALUE"""),45146.99861111111)</f>
        <v>45146.99861</v>
      </c>
      <c r="I222" s="433">
        <f>IFERROR(__xludf.DUMMYFUNCTION("""COMPUTED_VALUE"""),1826.931)</f>
        <v>1826.931</v>
      </c>
    </row>
    <row r="223">
      <c r="A223" s="434">
        <f>IFERROR(__xludf.DUMMYFUNCTION("""COMPUTED_VALUE"""),42804.99861111111)</f>
        <v>42804.99861</v>
      </c>
      <c r="B223" s="433">
        <f>IFERROR(__xludf.DUMMYFUNCTION("""COMPUTED_VALUE"""),1201.86)</f>
        <v>1201.86</v>
      </c>
      <c r="C223" s="434">
        <f>IFERROR(__xludf.DUMMYFUNCTION("""COMPUTED_VALUE"""),42444.99861111111)</f>
        <v>42444.99861</v>
      </c>
      <c r="D223" s="433">
        <f>IFERROR(__xludf.DUMMYFUNCTION("""COMPUTED_VALUE"""),13.0017)</f>
        <v>13.0017</v>
      </c>
      <c r="F223" s="434">
        <f>IFERROR(__xludf.DUMMYFUNCTION("""COMPUTED_VALUE"""),45147.99861111111)</f>
        <v>45147.99861</v>
      </c>
      <c r="G223" s="433">
        <f>IFERROR(__xludf.DUMMYFUNCTION("""COMPUTED_VALUE"""),29569.32)</f>
        <v>29569.32</v>
      </c>
      <c r="H223" s="434">
        <f>IFERROR(__xludf.DUMMYFUNCTION("""COMPUTED_VALUE"""),45147.99861111111)</f>
        <v>45147.99861</v>
      </c>
      <c r="I223" s="433">
        <f>IFERROR(__xludf.DUMMYFUNCTION("""COMPUTED_VALUE"""),1855.7795)</f>
        <v>1855.7795</v>
      </c>
    </row>
    <row r="224">
      <c r="A224" s="434">
        <f>IFERROR(__xludf.DUMMYFUNCTION("""COMPUTED_VALUE"""),42807.99861111111)</f>
        <v>42807.99861</v>
      </c>
      <c r="B224" s="433">
        <f>IFERROR(__xludf.DUMMYFUNCTION("""COMPUTED_VALUE"""),1230.09)</f>
        <v>1230.09</v>
      </c>
      <c r="C224" s="434">
        <f>IFERROR(__xludf.DUMMYFUNCTION("""COMPUTED_VALUE"""),42445.99861111111)</f>
        <v>42445.99861</v>
      </c>
      <c r="D224" s="433">
        <f>IFERROR(__xludf.DUMMYFUNCTION("""COMPUTED_VALUE"""),13.0216)</f>
        <v>13.0216</v>
      </c>
      <c r="F224" s="434">
        <f>IFERROR(__xludf.DUMMYFUNCTION("""COMPUTED_VALUE"""),45148.99861111111)</f>
        <v>45148.99861</v>
      </c>
      <c r="G224" s="433">
        <f>IFERROR(__xludf.DUMMYFUNCTION("""COMPUTED_VALUE"""),29439.7)</f>
        <v>29439.7</v>
      </c>
      <c r="H224" s="434">
        <f>IFERROR(__xludf.DUMMYFUNCTION("""COMPUTED_VALUE"""),45148.99861111111)</f>
        <v>45148.99861</v>
      </c>
      <c r="I224" s="433">
        <f>IFERROR(__xludf.DUMMYFUNCTION("""COMPUTED_VALUE"""),1854.3483)</f>
        <v>1854.3483</v>
      </c>
    </row>
    <row r="225">
      <c r="A225" s="434">
        <f>IFERROR(__xludf.DUMMYFUNCTION("""COMPUTED_VALUE"""),42808.99861111111)</f>
        <v>42808.99861</v>
      </c>
      <c r="B225" s="433">
        <f>IFERROR(__xludf.DUMMYFUNCTION("""COMPUTED_VALUE"""),1240.57)</f>
        <v>1240.57</v>
      </c>
      <c r="C225" s="434">
        <f>IFERROR(__xludf.DUMMYFUNCTION("""COMPUTED_VALUE"""),42446.99861111111)</f>
        <v>42446.99861</v>
      </c>
      <c r="D225" s="433">
        <f>IFERROR(__xludf.DUMMYFUNCTION("""COMPUTED_VALUE"""),12.5587)</f>
        <v>12.5587</v>
      </c>
      <c r="F225" s="434">
        <f>IFERROR(__xludf.DUMMYFUNCTION("""COMPUTED_VALUE"""),45149.99861111111)</f>
        <v>45149.99861</v>
      </c>
      <c r="G225" s="433">
        <f>IFERROR(__xludf.DUMMYFUNCTION("""COMPUTED_VALUE"""),29416.77)</f>
        <v>29416.77</v>
      </c>
      <c r="H225" s="434">
        <f>IFERROR(__xludf.DUMMYFUNCTION("""COMPUTED_VALUE"""),45149.99861111111)</f>
        <v>45149.99861</v>
      </c>
      <c r="I225" s="433">
        <f>IFERROR(__xludf.DUMMYFUNCTION("""COMPUTED_VALUE"""),1850.7417)</f>
        <v>1850.7417</v>
      </c>
    </row>
    <row r="226">
      <c r="A226" s="434">
        <f>IFERROR(__xludf.DUMMYFUNCTION("""COMPUTED_VALUE"""),42809.99861111111)</f>
        <v>42809.99861</v>
      </c>
      <c r="B226" s="433">
        <f>IFERROR(__xludf.DUMMYFUNCTION("""COMPUTED_VALUE"""),1250.5)</f>
        <v>1250.5</v>
      </c>
      <c r="C226" s="434">
        <f>IFERROR(__xludf.DUMMYFUNCTION("""COMPUTED_VALUE"""),42447.99861111111)</f>
        <v>42447.99861</v>
      </c>
      <c r="D226" s="433">
        <f>IFERROR(__xludf.DUMMYFUNCTION("""COMPUTED_VALUE"""),11.1091)</f>
        <v>11.1091</v>
      </c>
      <c r="F226" s="434">
        <f>IFERROR(__xludf.DUMMYFUNCTION("""COMPUTED_VALUE"""),45150.99861111111)</f>
        <v>45150.99861</v>
      </c>
      <c r="G226" s="433">
        <f>IFERROR(__xludf.DUMMYFUNCTION("""COMPUTED_VALUE"""),29445.23)</f>
        <v>29445.23</v>
      </c>
      <c r="H226" s="434">
        <f>IFERROR(__xludf.DUMMYFUNCTION("""COMPUTED_VALUE"""),45150.99861111111)</f>
        <v>45150.99861</v>
      </c>
      <c r="I226" s="433">
        <f>IFERROR(__xludf.DUMMYFUNCTION("""COMPUTED_VALUE"""),1847.1719)</f>
        <v>1847.1719</v>
      </c>
    </row>
    <row r="227">
      <c r="A227" s="434">
        <f>IFERROR(__xludf.DUMMYFUNCTION("""COMPUTED_VALUE"""),42810.99861111111)</f>
        <v>42810.99861</v>
      </c>
      <c r="B227" s="433">
        <f>IFERROR(__xludf.DUMMYFUNCTION("""COMPUTED_VALUE"""),1219.64)</f>
        <v>1219.64</v>
      </c>
      <c r="C227" s="434">
        <f>IFERROR(__xludf.DUMMYFUNCTION("""COMPUTED_VALUE"""),42448.99861111111)</f>
        <v>42448.99861</v>
      </c>
      <c r="D227" s="433">
        <f>IFERROR(__xludf.DUMMYFUNCTION("""COMPUTED_VALUE"""),11.2037)</f>
        <v>11.2037</v>
      </c>
      <c r="F227" s="434">
        <f>IFERROR(__xludf.DUMMYFUNCTION("""COMPUTED_VALUE"""),45151.99861111111)</f>
        <v>45151.99861</v>
      </c>
      <c r="G227" s="433">
        <f>IFERROR(__xludf.DUMMYFUNCTION("""COMPUTED_VALUE"""),29301.46)</f>
        <v>29301.46</v>
      </c>
      <c r="H227" s="434">
        <f>IFERROR(__xludf.DUMMYFUNCTION("""COMPUTED_VALUE"""),45151.99861111111)</f>
        <v>45151.99861</v>
      </c>
      <c r="I227" s="433">
        <f>IFERROR(__xludf.DUMMYFUNCTION("""COMPUTED_VALUE"""),1849.0538)</f>
        <v>1849.0538</v>
      </c>
    </row>
    <row r="228">
      <c r="A228" s="434">
        <f>IFERROR(__xludf.DUMMYFUNCTION("""COMPUTED_VALUE"""),42811.99861111111)</f>
        <v>42811.99861</v>
      </c>
      <c r="B228" s="433">
        <f>IFERROR(__xludf.DUMMYFUNCTION("""COMPUTED_VALUE"""),1131.17)</f>
        <v>1131.17</v>
      </c>
      <c r="C228" s="434">
        <f>IFERROR(__xludf.DUMMYFUNCTION("""COMPUTED_VALUE"""),42449.99861111111)</f>
        <v>42449.99861</v>
      </c>
      <c r="D228" s="433">
        <f>IFERROR(__xludf.DUMMYFUNCTION("""COMPUTED_VALUE"""),10.5163)</f>
        <v>10.5163</v>
      </c>
      <c r="F228" s="434">
        <f>IFERROR(__xludf.DUMMYFUNCTION("""COMPUTED_VALUE"""),45152.99861111111)</f>
        <v>45152.99861</v>
      </c>
      <c r="G228" s="433">
        <f>IFERROR(__xludf.DUMMYFUNCTION("""COMPUTED_VALUE"""),29414.31)</f>
        <v>29414.31</v>
      </c>
      <c r="H228" s="434">
        <f>IFERROR(__xludf.DUMMYFUNCTION("""COMPUTED_VALUE"""),45152.99861111111)</f>
        <v>45152.99861</v>
      </c>
      <c r="I228" s="433">
        <f>IFERROR(__xludf.DUMMYFUNCTION("""COMPUTED_VALUE"""),1839.3235)</f>
        <v>1839.3235</v>
      </c>
    </row>
    <row r="229">
      <c r="A229" s="434">
        <f>IFERROR(__xludf.DUMMYFUNCTION("""COMPUTED_VALUE"""),42814.99861111111)</f>
        <v>42814.99861</v>
      </c>
      <c r="B229" s="433">
        <f>IFERROR(__xludf.DUMMYFUNCTION("""COMPUTED_VALUE"""),1037.84)</f>
        <v>1037.84</v>
      </c>
      <c r="C229" s="434">
        <f>IFERROR(__xludf.DUMMYFUNCTION("""COMPUTED_VALUE"""),42450.99861111111)</f>
        <v>42450.99861</v>
      </c>
      <c r="D229" s="433">
        <f>IFERROR(__xludf.DUMMYFUNCTION("""COMPUTED_VALUE"""),10.3037)</f>
        <v>10.3037</v>
      </c>
      <c r="F229" s="434">
        <f>IFERROR(__xludf.DUMMYFUNCTION("""COMPUTED_VALUE"""),45153.99861111111)</f>
        <v>45153.99861</v>
      </c>
      <c r="G229" s="433">
        <f>IFERROR(__xludf.DUMMYFUNCTION("""COMPUTED_VALUE"""),29177.08)</f>
        <v>29177.08</v>
      </c>
      <c r="H229" s="434">
        <f>IFERROR(__xludf.DUMMYFUNCTION("""COMPUTED_VALUE"""),45153.99861111111)</f>
        <v>45153.99861</v>
      </c>
      <c r="I229" s="433">
        <f>IFERROR(__xludf.DUMMYFUNCTION("""COMPUTED_VALUE"""),1844.1641)</f>
        <v>1844.1641</v>
      </c>
    </row>
    <row r="230">
      <c r="A230" s="434">
        <f>IFERROR(__xludf.DUMMYFUNCTION("""COMPUTED_VALUE"""),42815.99861111111)</f>
        <v>42815.99861</v>
      </c>
      <c r="B230" s="433">
        <f>IFERROR(__xludf.DUMMYFUNCTION("""COMPUTED_VALUE"""),1087.68)</f>
        <v>1087.68</v>
      </c>
      <c r="C230" s="434">
        <f>IFERROR(__xludf.DUMMYFUNCTION("""COMPUTED_VALUE"""),42451.99861111111)</f>
        <v>42451.99861</v>
      </c>
      <c r="D230" s="433">
        <f>IFERROR(__xludf.DUMMYFUNCTION("""COMPUTED_VALUE"""),11.8792)</f>
        <v>11.8792</v>
      </c>
      <c r="F230" s="434">
        <f>IFERROR(__xludf.DUMMYFUNCTION("""COMPUTED_VALUE"""),45154.99861111111)</f>
        <v>45154.99861</v>
      </c>
      <c r="G230" s="433">
        <f>IFERROR(__xludf.DUMMYFUNCTION("""COMPUTED_VALUE"""),28719.62)</f>
        <v>28719.62</v>
      </c>
      <c r="H230" s="434">
        <f>IFERROR(__xludf.DUMMYFUNCTION("""COMPUTED_VALUE"""),45154.99861111111)</f>
        <v>45154.99861</v>
      </c>
      <c r="I230" s="433">
        <f>IFERROR(__xludf.DUMMYFUNCTION("""COMPUTED_VALUE"""),1827.0364)</f>
        <v>1827.0364</v>
      </c>
    </row>
    <row r="231">
      <c r="A231" s="434">
        <f>IFERROR(__xludf.DUMMYFUNCTION("""COMPUTED_VALUE"""),42816.99861111111)</f>
        <v>42816.99861</v>
      </c>
      <c r="B231" s="433">
        <f>IFERROR(__xludf.DUMMYFUNCTION("""COMPUTED_VALUE"""),1061.62)</f>
        <v>1061.62</v>
      </c>
      <c r="C231" s="434">
        <f>IFERROR(__xludf.DUMMYFUNCTION("""COMPUTED_VALUE"""),42452.99861111111)</f>
        <v>42452.99861</v>
      </c>
      <c r="D231" s="433">
        <f>IFERROR(__xludf.DUMMYFUNCTION("""COMPUTED_VALUE"""),11.3279)</f>
        <v>11.3279</v>
      </c>
      <c r="F231" s="434">
        <f>IFERROR(__xludf.DUMMYFUNCTION("""COMPUTED_VALUE"""),45155.99861111111)</f>
        <v>45155.99861</v>
      </c>
      <c r="G231" s="433">
        <f>IFERROR(__xludf.DUMMYFUNCTION("""COMPUTED_VALUE"""),26643.99)</f>
        <v>26643.99</v>
      </c>
      <c r="H231" s="434">
        <f>IFERROR(__xludf.DUMMYFUNCTION("""COMPUTED_VALUE"""),45155.99861111111)</f>
        <v>45155.99861</v>
      </c>
      <c r="I231" s="433">
        <f>IFERROR(__xludf.DUMMYFUNCTION("""COMPUTED_VALUE"""),1805.5674)</f>
        <v>1805.5674</v>
      </c>
    </row>
    <row r="232">
      <c r="A232" s="434">
        <f>IFERROR(__xludf.DUMMYFUNCTION("""COMPUTED_VALUE"""),42817.99861111111)</f>
        <v>42817.99861</v>
      </c>
      <c r="B232" s="433">
        <f>IFERROR(__xludf.DUMMYFUNCTION("""COMPUTED_VALUE"""),1043.56)</f>
        <v>1043.56</v>
      </c>
      <c r="C232" s="434">
        <f>IFERROR(__xludf.DUMMYFUNCTION("""COMPUTED_VALUE"""),42453.99861111111)</f>
        <v>42453.99861</v>
      </c>
      <c r="D232" s="433">
        <f>IFERROR(__xludf.DUMMYFUNCTION("""COMPUTED_VALUE"""),12.4422)</f>
        <v>12.4422</v>
      </c>
      <c r="F232" s="434">
        <f>IFERROR(__xludf.DUMMYFUNCTION("""COMPUTED_VALUE"""),45156.99861111111)</f>
        <v>45156.99861</v>
      </c>
      <c r="G232" s="433">
        <f>IFERROR(__xludf.DUMMYFUNCTION("""COMPUTED_VALUE"""),26063.93)</f>
        <v>26063.93</v>
      </c>
      <c r="H232" s="434">
        <f>IFERROR(__xludf.DUMMYFUNCTION("""COMPUTED_VALUE"""),45156.99861111111)</f>
        <v>45156.99861</v>
      </c>
      <c r="I232" s="433">
        <f>IFERROR(__xludf.DUMMYFUNCTION("""COMPUTED_VALUE"""),1682.0385)</f>
        <v>1682.0385</v>
      </c>
    </row>
    <row r="233">
      <c r="A233" s="434">
        <f>IFERROR(__xludf.DUMMYFUNCTION("""COMPUTED_VALUE"""),42818.99861111111)</f>
        <v>42818.99861</v>
      </c>
      <c r="B233" s="433">
        <f>IFERROR(__xludf.DUMMYFUNCTION("""COMPUTED_VALUE"""),998.69)</f>
        <v>998.69</v>
      </c>
      <c r="C233" s="434">
        <f>IFERROR(__xludf.DUMMYFUNCTION("""COMPUTED_VALUE"""),42454.99861111111)</f>
        <v>42454.99861</v>
      </c>
      <c r="D233" s="433">
        <f>IFERROR(__xludf.DUMMYFUNCTION("""COMPUTED_VALUE"""),11.2603)</f>
        <v>11.2603</v>
      </c>
      <c r="F233" s="434">
        <f>IFERROR(__xludf.DUMMYFUNCTION("""COMPUTED_VALUE"""),45157.99861111111)</f>
        <v>45157.99861</v>
      </c>
      <c r="G233" s="433">
        <f>IFERROR(__xludf.DUMMYFUNCTION("""COMPUTED_VALUE"""),26117.54)</f>
        <v>26117.54</v>
      </c>
      <c r="H233" s="434">
        <f>IFERROR(__xludf.DUMMYFUNCTION("""COMPUTED_VALUE"""),45157.99861111111)</f>
        <v>45157.99861</v>
      </c>
      <c r="I233" s="433">
        <f>IFERROR(__xludf.DUMMYFUNCTION("""COMPUTED_VALUE"""),1660.8443)</f>
        <v>1660.8443</v>
      </c>
    </row>
    <row r="234">
      <c r="A234" s="434">
        <f>IFERROR(__xludf.DUMMYFUNCTION("""COMPUTED_VALUE"""),42821.99861111111)</f>
        <v>42821.99861</v>
      </c>
      <c r="B234" s="433">
        <f>IFERROR(__xludf.DUMMYFUNCTION("""COMPUTED_VALUE"""),1001.71)</f>
        <v>1001.71</v>
      </c>
      <c r="C234" s="434">
        <f>IFERROR(__xludf.DUMMYFUNCTION("""COMPUTED_VALUE"""),42455.99861111111)</f>
        <v>42455.99861</v>
      </c>
      <c r="D234" s="433">
        <f>IFERROR(__xludf.DUMMYFUNCTION("""COMPUTED_VALUE"""),10.7679)</f>
        <v>10.7679</v>
      </c>
      <c r="F234" s="434">
        <f>IFERROR(__xludf.DUMMYFUNCTION("""COMPUTED_VALUE"""),45158.99861111111)</f>
        <v>45158.99861</v>
      </c>
      <c r="G234" s="433">
        <f>IFERROR(__xludf.DUMMYFUNCTION("""COMPUTED_VALUE"""),26203.13)</f>
        <v>26203.13</v>
      </c>
      <c r="H234" s="434">
        <f>IFERROR(__xludf.DUMMYFUNCTION("""COMPUTED_VALUE"""),45158.99861111111)</f>
        <v>45158.99861</v>
      </c>
      <c r="I234" s="433">
        <f>IFERROR(__xludf.DUMMYFUNCTION("""COMPUTED_VALUE"""),1669.5877)</f>
        <v>1669.5877</v>
      </c>
    </row>
    <row r="235">
      <c r="A235" s="434">
        <f>IFERROR(__xludf.DUMMYFUNCTION("""COMPUTED_VALUE"""),42822.99861111111)</f>
        <v>42822.99861</v>
      </c>
      <c r="B235" s="433">
        <f>IFERROR(__xludf.DUMMYFUNCTION("""COMPUTED_VALUE"""),1044.25)</f>
        <v>1044.25</v>
      </c>
      <c r="C235" s="434">
        <f>IFERROR(__xludf.DUMMYFUNCTION("""COMPUTED_VALUE"""),42456.99861111111)</f>
        <v>42456.99861</v>
      </c>
      <c r="D235" s="433">
        <f>IFERROR(__xludf.DUMMYFUNCTION("""COMPUTED_VALUE"""),10.9861)</f>
        <v>10.9861</v>
      </c>
      <c r="F235" s="434">
        <f>IFERROR(__xludf.DUMMYFUNCTION("""COMPUTED_VALUE"""),45159.99861111111)</f>
        <v>45159.99861</v>
      </c>
      <c r="G235" s="433">
        <f>IFERROR(__xludf.DUMMYFUNCTION("""COMPUTED_VALUE"""),26130.78)</f>
        <v>26130.78</v>
      </c>
      <c r="H235" s="434">
        <f>IFERROR(__xludf.DUMMYFUNCTION("""COMPUTED_VALUE"""),45159.99861111111)</f>
        <v>45159.99861</v>
      </c>
      <c r="I235" s="433">
        <f>IFERROR(__xludf.DUMMYFUNCTION("""COMPUTED_VALUE"""),1685.0223)</f>
        <v>1685.0223</v>
      </c>
    </row>
    <row r="236">
      <c r="A236" s="434">
        <f>IFERROR(__xludf.DUMMYFUNCTION("""COMPUTED_VALUE"""),42823.99861111111)</f>
        <v>42823.99861</v>
      </c>
      <c r="B236" s="433">
        <f>IFERROR(__xludf.DUMMYFUNCTION("""COMPUTED_VALUE"""),1036.02)</f>
        <v>1036.02</v>
      </c>
      <c r="C236" s="434">
        <f>IFERROR(__xludf.DUMMYFUNCTION("""COMPUTED_VALUE"""),42457.99861111111)</f>
        <v>42457.99861</v>
      </c>
      <c r="D236" s="433">
        <f>IFERROR(__xludf.DUMMYFUNCTION("""COMPUTED_VALUE"""),10.4314)</f>
        <v>10.4314</v>
      </c>
      <c r="F236" s="434">
        <f>IFERROR(__xludf.DUMMYFUNCTION("""COMPUTED_VALUE"""),45160.99861111111)</f>
        <v>45160.99861</v>
      </c>
      <c r="G236" s="433">
        <f>IFERROR(__xludf.DUMMYFUNCTION("""COMPUTED_VALUE"""),26043.79)</f>
        <v>26043.79</v>
      </c>
      <c r="H236" s="434">
        <f>IFERROR(__xludf.DUMMYFUNCTION("""COMPUTED_VALUE"""),45160.99861111111)</f>
        <v>45160.99861</v>
      </c>
      <c r="I236" s="433">
        <f>IFERROR(__xludf.DUMMYFUNCTION("""COMPUTED_VALUE"""),1667.2792)</f>
        <v>1667.2792</v>
      </c>
    </row>
    <row r="237">
      <c r="A237" s="434">
        <f>IFERROR(__xludf.DUMMYFUNCTION("""COMPUTED_VALUE"""),42824.99861111111)</f>
        <v>42824.99861</v>
      </c>
      <c r="B237" s="433">
        <f>IFERROR(__xludf.DUMMYFUNCTION("""COMPUTED_VALUE"""),1037.16)</f>
        <v>1037.16</v>
      </c>
      <c r="C237" s="434">
        <f>IFERROR(__xludf.DUMMYFUNCTION("""COMPUTED_VALUE"""),42458.99861111111)</f>
        <v>42458.99861</v>
      </c>
      <c r="D237" s="433">
        <f>IFERROR(__xludf.DUMMYFUNCTION("""COMPUTED_VALUE"""),11.7527)</f>
        <v>11.7527</v>
      </c>
      <c r="F237" s="434">
        <f>IFERROR(__xludf.DUMMYFUNCTION("""COMPUTED_VALUE"""),45161.99861111111)</f>
        <v>45161.99861</v>
      </c>
      <c r="G237" s="433">
        <f>IFERROR(__xludf.DUMMYFUNCTION("""COMPUTED_VALUE"""),26435.17)</f>
        <v>26435.17</v>
      </c>
      <c r="H237" s="434">
        <f>IFERROR(__xludf.DUMMYFUNCTION("""COMPUTED_VALUE"""),45161.99861111111)</f>
        <v>45161.99861</v>
      </c>
      <c r="I237" s="433">
        <f>IFERROR(__xludf.DUMMYFUNCTION("""COMPUTED_VALUE"""),1634.4017)</f>
        <v>1634.4017</v>
      </c>
    </row>
    <row r="238">
      <c r="A238" s="434">
        <f>IFERROR(__xludf.DUMMYFUNCTION("""COMPUTED_VALUE"""),42825.99861111111)</f>
        <v>42825.99861</v>
      </c>
      <c r="B238" s="433">
        <f>IFERROR(__xludf.DUMMYFUNCTION("""COMPUTED_VALUE"""),1057.34)</f>
        <v>1057.34</v>
      </c>
      <c r="C238" s="434">
        <f>IFERROR(__xludf.DUMMYFUNCTION("""COMPUTED_VALUE"""),42459.99861111111)</f>
        <v>42459.99861</v>
      </c>
      <c r="D238" s="433">
        <f>IFERROR(__xludf.DUMMYFUNCTION("""COMPUTED_VALUE"""),11.6053)</f>
        <v>11.6053</v>
      </c>
      <c r="F238" s="434">
        <f>IFERROR(__xludf.DUMMYFUNCTION("""COMPUTED_VALUE"""),45162.99861111111)</f>
        <v>45162.99861</v>
      </c>
      <c r="G238" s="433">
        <f>IFERROR(__xludf.DUMMYFUNCTION("""COMPUTED_VALUE"""),26173.38)</f>
        <v>26173.38</v>
      </c>
      <c r="H238" s="434">
        <f>IFERROR(__xludf.DUMMYFUNCTION("""COMPUTED_VALUE"""),45162.99861111111)</f>
        <v>45162.99861</v>
      </c>
      <c r="I238" s="433">
        <f>IFERROR(__xludf.DUMMYFUNCTION("""COMPUTED_VALUE"""),1679.2483)</f>
        <v>1679.2483</v>
      </c>
    </row>
    <row r="239">
      <c r="A239" s="434">
        <f>IFERROR(__xludf.DUMMYFUNCTION("""COMPUTED_VALUE"""),42828.99861111111)</f>
        <v>42828.99861</v>
      </c>
      <c r="B239" s="433">
        <f>IFERROR(__xludf.DUMMYFUNCTION("""COMPUTED_VALUE"""),1135.18)</f>
        <v>1135.18</v>
      </c>
      <c r="C239" s="434">
        <f>IFERROR(__xludf.DUMMYFUNCTION("""COMPUTED_VALUE"""),42460.99861111111)</f>
        <v>42460.99861</v>
      </c>
      <c r="D239" s="433">
        <f>IFERROR(__xludf.DUMMYFUNCTION("""COMPUTED_VALUE"""),11.9198)</f>
        <v>11.9198</v>
      </c>
      <c r="F239" s="434">
        <f>IFERROR(__xludf.DUMMYFUNCTION("""COMPUTED_VALUE"""),45163.99861111111)</f>
        <v>45163.99861</v>
      </c>
      <c r="G239" s="433">
        <f>IFERROR(__xludf.DUMMYFUNCTION("""COMPUTED_VALUE"""),26054.19)</f>
        <v>26054.19</v>
      </c>
      <c r="H239" s="434">
        <f>IFERROR(__xludf.DUMMYFUNCTION("""COMPUTED_VALUE"""),45163.99861111111)</f>
        <v>45163.99861</v>
      </c>
      <c r="I239" s="433">
        <f>IFERROR(__xludf.DUMMYFUNCTION("""COMPUTED_VALUE"""),1660.2699)</f>
        <v>1660.2699</v>
      </c>
    </row>
    <row r="240">
      <c r="A240" s="434">
        <f>IFERROR(__xludf.DUMMYFUNCTION("""COMPUTED_VALUE"""),42829.99861111111)</f>
        <v>42829.99861</v>
      </c>
      <c r="B240" s="433">
        <f>IFERROR(__xludf.DUMMYFUNCTION("""COMPUTED_VALUE"""),1143.29)</f>
        <v>1143.29</v>
      </c>
      <c r="C240" s="434">
        <f>IFERROR(__xludf.DUMMYFUNCTION("""COMPUTED_VALUE"""),42461.99861111111)</f>
        <v>42461.99861</v>
      </c>
      <c r="D240" s="433">
        <f>IFERROR(__xludf.DUMMYFUNCTION("""COMPUTED_VALUE"""),11.4006)</f>
        <v>11.4006</v>
      </c>
      <c r="F240" s="434">
        <f>IFERROR(__xludf.DUMMYFUNCTION("""COMPUTED_VALUE"""),45164.99861111111)</f>
        <v>45164.99861</v>
      </c>
      <c r="G240" s="433">
        <f>IFERROR(__xludf.DUMMYFUNCTION("""COMPUTED_VALUE"""),26020.23)</f>
        <v>26020.23</v>
      </c>
      <c r="H240" s="434">
        <f>IFERROR(__xludf.DUMMYFUNCTION("""COMPUTED_VALUE"""),45164.99861111111)</f>
        <v>45164.99861</v>
      </c>
      <c r="I240" s="433">
        <f>IFERROR(__xludf.DUMMYFUNCTION("""COMPUTED_VALUE"""),1652.9272)</f>
        <v>1652.9272</v>
      </c>
    </row>
    <row r="241">
      <c r="A241" s="434">
        <f>IFERROR(__xludf.DUMMYFUNCTION("""COMPUTED_VALUE"""),42830.99861111111)</f>
        <v>42830.99861</v>
      </c>
      <c r="B241" s="433">
        <f>IFERROR(__xludf.DUMMYFUNCTION("""COMPUTED_VALUE"""),1129.41)</f>
        <v>1129.41</v>
      </c>
      <c r="C241" s="434">
        <f>IFERROR(__xludf.DUMMYFUNCTION("""COMPUTED_VALUE"""),42462.99861111111)</f>
        <v>42462.99861</v>
      </c>
      <c r="D241" s="433">
        <f>IFERROR(__xludf.DUMMYFUNCTION("""COMPUTED_VALUE"""),11.6306)</f>
        <v>11.6306</v>
      </c>
      <c r="F241" s="434">
        <f>IFERROR(__xludf.DUMMYFUNCTION("""COMPUTED_VALUE"""),45165.99861111111)</f>
        <v>45165.99861</v>
      </c>
      <c r="G241" s="433">
        <f>IFERROR(__xludf.DUMMYFUNCTION("""COMPUTED_VALUE"""),26099.84)</f>
        <v>26099.84</v>
      </c>
      <c r="H241" s="434">
        <f>IFERROR(__xludf.DUMMYFUNCTION("""COMPUTED_VALUE"""),45165.99861111111)</f>
        <v>45165.99861</v>
      </c>
      <c r="I241" s="433">
        <f>IFERROR(__xludf.DUMMYFUNCTION("""COMPUTED_VALUE"""),1646.272)</f>
        <v>1646.272</v>
      </c>
    </row>
    <row r="242">
      <c r="A242" s="434">
        <f>IFERROR(__xludf.DUMMYFUNCTION("""COMPUTED_VALUE"""),42831.99861111111)</f>
        <v>42831.99861</v>
      </c>
      <c r="B242" s="433">
        <f>IFERROR(__xludf.DUMMYFUNCTION("""COMPUTED_VALUE"""),1166.54)</f>
        <v>1166.54</v>
      </c>
      <c r="C242" s="434">
        <f>IFERROR(__xludf.DUMMYFUNCTION("""COMPUTED_VALUE"""),42463.99861111111)</f>
        <v>42463.99861</v>
      </c>
      <c r="D242" s="433">
        <f>IFERROR(__xludf.DUMMYFUNCTION("""COMPUTED_VALUE"""),11.6283)</f>
        <v>11.6283</v>
      </c>
      <c r="F242" s="434">
        <f>IFERROR(__xludf.DUMMYFUNCTION("""COMPUTED_VALUE"""),45166.99861111111)</f>
        <v>45166.99861</v>
      </c>
      <c r="G242" s="433">
        <f>IFERROR(__xludf.DUMMYFUNCTION("""COMPUTED_VALUE"""),26108.12)</f>
        <v>26108.12</v>
      </c>
      <c r="H242" s="434">
        <f>IFERROR(__xludf.DUMMYFUNCTION("""COMPUTED_VALUE"""),45166.99861111111)</f>
        <v>45166.99861</v>
      </c>
      <c r="I242" s="433">
        <f>IFERROR(__xludf.DUMMYFUNCTION("""COMPUTED_VALUE"""),1657.4398)</f>
        <v>1657.4398</v>
      </c>
    </row>
    <row r="243">
      <c r="A243" s="434">
        <f>IFERROR(__xludf.DUMMYFUNCTION("""COMPUTED_VALUE"""),42832.99861111111)</f>
        <v>42832.99861</v>
      </c>
      <c r="B243" s="433">
        <f>IFERROR(__xludf.DUMMYFUNCTION("""COMPUTED_VALUE"""),1190.39)</f>
        <v>1190.39</v>
      </c>
      <c r="C243" s="434">
        <f>IFERROR(__xludf.DUMMYFUNCTION("""COMPUTED_VALUE"""),42464.99861111111)</f>
        <v>42464.99861</v>
      </c>
      <c r="D243" s="433">
        <f>IFERROR(__xludf.DUMMYFUNCTION("""COMPUTED_VALUE"""),11.6158)</f>
        <v>11.6158</v>
      </c>
      <c r="F243" s="434">
        <f>IFERROR(__xludf.DUMMYFUNCTION("""COMPUTED_VALUE"""),45167.99861111111)</f>
        <v>45167.99861</v>
      </c>
      <c r="G243" s="433">
        <f>IFERROR(__xludf.DUMMYFUNCTION("""COMPUTED_VALUE"""),27728.26)</f>
        <v>27728.26</v>
      </c>
      <c r="H243" s="434">
        <f>IFERROR(__xludf.DUMMYFUNCTION("""COMPUTED_VALUE"""),45167.99861111111)</f>
        <v>45167.99861</v>
      </c>
      <c r="I243" s="433">
        <f>IFERROR(__xludf.DUMMYFUNCTION("""COMPUTED_VALUE"""),1652.2742)</f>
        <v>1652.2742</v>
      </c>
    </row>
    <row r="244">
      <c r="A244" s="434">
        <f>IFERROR(__xludf.DUMMYFUNCTION("""COMPUTED_VALUE"""),42835.99861111111)</f>
        <v>42835.99861</v>
      </c>
      <c r="B244" s="433">
        <f>IFERROR(__xludf.DUMMYFUNCTION("""COMPUTED_VALUE"""),1211.02)</f>
        <v>1211.02</v>
      </c>
      <c r="C244" s="434">
        <f>IFERROR(__xludf.DUMMYFUNCTION("""COMPUTED_VALUE"""),42465.99861111111)</f>
        <v>42465.99861</v>
      </c>
      <c r="D244" s="433">
        <f>IFERROR(__xludf.DUMMYFUNCTION("""COMPUTED_VALUE"""),11.1573)</f>
        <v>11.1573</v>
      </c>
      <c r="F244" s="434">
        <f>IFERROR(__xludf.DUMMYFUNCTION("""COMPUTED_VALUE"""),45168.99861111111)</f>
        <v>45168.99861</v>
      </c>
      <c r="G244" s="433">
        <f>IFERROR(__xludf.DUMMYFUNCTION("""COMPUTED_VALUE"""),27304.24)</f>
        <v>27304.24</v>
      </c>
      <c r="H244" s="434">
        <f>IFERROR(__xludf.DUMMYFUNCTION("""COMPUTED_VALUE"""),45168.99861111111)</f>
        <v>45168.99861</v>
      </c>
      <c r="I244" s="433">
        <f>IFERROR(__xludf.DUMMYFUNCTION("""COMPUTED_VALUE"""),1729.6766)</f>
        <v>1729.6766</v>
      </c>
    </row>
    <row r="245">
      <c r="A245" s="434">
        <f>IFERROR(__xludf.DUMMYFUNCTION("""COMPUTED_VALUE"""),42836.99861111111)</f>
        <v>42836.99861</v>
      </c>
      <c r="B245" s="433">
        <f>IFERROR(__xludf.DUMMYFUNCTION("""COMPUTED_VALUE"""),1215.69)</f>
        <v>1215.69</v>
      </c>
      <c r="C245" s="434">
        <f>IFERROR(__xludf.DUMMYFUNCTION("""COMPUTED_VALUE"""),42466.99861111111)</f>
        <v>42466.99861</v>
      </c>
      <c r="D245" s="433">
        <f>IFERROR(__xludf.DUMMYFUNCTION("""COMPUTED_VALUE"""),10.4498)</f>
        <v>10.4498</v>
      </c>
      <c r="F245" s="434">
        <f>IFERROR(__xludf.DUMMYFUNCTION("""COMPUTED_VALUE"""),45169.99861111111)</f>
        <v>45169.99861</v>
      </c>
      <c r="G245" s="433">
        <f>IFERROR(__xludf.DUMMYFUNCTION("""COMPUTED_VALUE"""),25936.08)</f>
        <v>25936.08</v>
      </c>
      <c r="H245" s="434">
        <f>IFERROR(__xludf.DUMMYFUNCTION("""COMPUTED_VALUE"""),45169.99861111111)</f>
        <v>45169.99861</v>
      </c>
      <c r="I245" s="433">
        <f>IFERROR(__xludf.DUMMYFUNCTION("""COMPUTED_VALUE"""),1705.3645)</f>
        <v>1705.3645</v>
      </c>
    </row>
    <row r="246">
      <c r="A246" s="434">
        <f>IFERROR(__xludf.DUMMYFUNCTION("""COMPUTED_VALUE"""),42837.99861111111)</f>
        <v>42837.99861</v>
      </c>
      <c r="B246" s="433">
        <f>IFERROR(__xludf.DUMMYFUNCTION("""COMPUTED_VALUE"""),1220.78)</f>
        <v>1220.78</v>
      </c>
      <c r="C246" s="434">
        <f>IFERROR(__xludf.DUMMYFUNCTION("""COMPUTED_VALUE"""),42467.99861111111)</f>
        <v>42467.99861</v>
      </c>
      <c r="D246" s="433">
        <f>IFERROR(__xludf.DUMMYFUNCTION("""COMPUTED_VALUE"""),10.6952)</f>
        <v>10.6952</v>
      </c>
      <c r="F246" s="434">
        <f>IFERROR(__xludf.DUMMYFUNCTION("""COMPUTED_VALUE"""),45170.99861111111)</f>
        <v>45170.99861</v>
      </c>
      <c r="G246" s="433">
        <f>IFERROR(__xludf.DUMMYFUNCTION("""COMPUTED_VALUE"""),25798.36)</f>
        <v>25798.36</v>
      </c>
      <c r="H246" s="434">
        <f>IFERROR(__xludf.DUMMYFUNCTION("""COMPUTED_VALUE"""),45170.99861111111)</f>
        <v>45170.99861</v>
      </c>
      <c r="I246" s="433">
        <f>IFERROR(__xludf.DUMMYFUNCTION("""COMPUTED_VALUE"""),1645.5813)</f>
        <v>1645.5813</v>
      </c>
    </row>
    <row r="247">
      <c r="A247" s="434">
        <f>IFERROR(__xludf.DUMMYFUNCTION("""COMPUTED_VALUE"""),42838.99861111111)</f>
        <v>42838.99861</v>
      </c>
      <c r="B247" s="433">
        <f>IFERROR(__xludf.DUMMYFUNCTION("""COMPUTED_VALUE"""),1192.84)</f>
        <v>1192.84</v>
      </c>
      <c r="C247" s="434">
        <f>IFERROR(__xludf.DUMMYFUNCTION("""COMPUTED_VALUE"""),42468.99861111111)</f>
        <v>42468.99861</v>
      </c>
      <c r="D247" s="433">
        <f>IFERROR(__xludf.DUMMYFUNCTION("""COMPUTED_VALUE"""),10.0774)</f>
        <v>10.0774</v>
      </c>
      <c r="F247" s="434">
        <f>IFERROR(__xludf.DUMMYFUNCTION("""COMPUTED_VALUE"""),45171.99861111111)</f>
        <v>45171.99861</v>
      </c>
      <c r="G247" s="433">
        <f>IFERROR(__xludf.DUMMYFUNCTION("""COMPUTED_VALUE"""),25877.09)</f>
        <v>25877.09</v>
      </c>
      <c r="H247" s="434">
        <f>IFERROR(__xludf.DUMMYFUNCTION("""COMPUTED_VALUE"""),45171.99861111111)</f>
        <v>45171.99861</v>
      </c>
      <c r="I247" s="433">
        <f>IFERROR(__xludf.DUMMYFUNCTION("""COMPUTED_VALUE"""),1628.5597)</f>
        <v>1628.5597</v>
      </c>
    </row>
    <row r="248">
      <c r="A248" s="434">
        <f>IFERROR(__xludf.DUMMYFUNCTION("""COMPUTED_VALUE"""),42839.99861111111)</f>
        <v>42839.99861</v>
      </c>
      <c r="B248" s="433">
        <f>IFERROR(__xludf.DUMMYFUNCTION("""COMPUTED_VALUE"""),1187.13)</f>
        <v>1187.13</v>
      </c>
      <c r="C248" s="434">
        <f>IFERROR(__xludf.DUMMYFUNCTION("""COMPUTED_VALUE"""),42469.99861111111)</f>
        <v>42469.99861</v>
      </c>
      <c r="D248" s="433">
        <f>IFERROR(__xludf.DUMMYFUNCTION("""COMPUTED_VALUE"""),9.6942)</f>
        <v>9.6942</v>
      </c>
      <c r="F248" s="434">
        <f>IFERROR(__xludf.DUMMYFUNCTION("""COMPUTED_VALUE"""),45172.99861111111)</f>
        <v>45172.99861</v>
      </c>
      <c r="G248" s="433">
        <f>IFERROR(__xludf.DUMMYFUNCTION("""COMPUTED_VALUE"""),25974.93)</f>
        <v>25974.93</v>
      </c>
      <c r="H248" s="434">
        <f>IFERROR(__xludf.DUMMYFUNCTION("""COMPUTED_VALUE"""),45172.99861111111)</f>
        <v>45172.99861</v>
      </c>
      <c r="I248" s="433">
        <f>IFERROR(__xludf.DUMMYFUNCTION("""COMPUTED_VALUE"""),1637.0436)</f>
        <v>1637.0436</v>
      </c>
    </row>
    <row r="249">
      <c r="A249" s="434">
        <f>IFERROR(__xludf.DUMMYFUNCTION("""COMPUTED_VALUE"""),42842.99861111111)</f>
        <v>42842.99861</v>
      </c>
      <c r="B249" s="433">
        <f>IFERROR(__xludf.DUMMYFUNCTION("""COMPUTED_VALUE"""),1194.11)</f>
        <v>1194.11</v>
      </c>
      <c r="C249" s="434">
        <f>IFERROR(__xludf.DUMMYFUNCTION("""COMPUTED_VALUE"""),42470.99861111111)</f>
        <v>42470.99861</v>
      </c>
      <c r="D249" s="433">
        <f>IFERROR(__xludf.DUMMYFUNCTION("""COMPUTED_VALUE"""),9.1498)</f>
        <v>9.1498</v>
      </c>
      <c r="F249" s="434">
        <f>IFERROR(__xludf.DUMMYFUNCTION("""COMPUTED_VALUE"""),45173.99861111111)</f>
        <v>45173.99861</v>
      </c>
      <c r="G249" s="433">
        <f>IFERROR(__xludf.DUMMYFUNCTION("""COMPUTED_VALUE"""),25822.07)</f>
        <v>25822.07</v>
      </c>
      <c r="H249" s="434">
        <f>IFERROR(__xludf.DUMMYFUNCTION("""COMPUTED_VALUE"""),45173.99861111111)</f>
        <v>45173.99861</v>
      </c>
      <c r="I249" s="433">
        <f>IFERROR(__xludf.DUMMYFUNCTION("""COMPUTED_VALUE"""),1635.7248)</f>
        <v>1635.7248</v>
      </c>
    </row>
    <row r="250">
      <c r="A250" s="434">
        <f>IFERROR(__xludf.DUMMYFUNCTION("""COMPUTED_VALUE"""),42843.99861111111)</f>
        <v>42843.99861</v>
      </c>
      <c r="B250" s="433">
        <f>IFERROR(__xludf.DUMMYFUNCTION("""COMPUTED_VALUE"""),1226.71)</f>
        <v>1226.71</v>
      </c>
      <c r="C250" s="434">
        <f>IFERROR(__xludf.DUMMYFUNCTION("""COMPUTED_VALUE"""),42471.99861111111)</f>
        <v>42471.99861</v>
      </c>
      <c r="D250" s="433">
        <f>IFERROR(__xludf.DUMMYFUNCTION("""COMPUTED_VALUE"""),8.9428)</f>
        <v>8.9428</v>
      </c>
      <c r="F250" s="434">
        <f>IFERROR(__xludf.DUMMYFUNCTION("""COMPUTED_VALUE"""),45174.99861111111)</f>
        <v>45174.99861</v>
      </c>
      <c r="G250" s="433">
        <f>IFERROR(__xludf.DUMMYFUNCTION("""COMPUTED_VALUE"""),25785.84)</f>
        <v>25785.84</v>
      </c>
      <c r="H250" s="434">
        <f>IFERROR(__xludf.DUMMYFUNCTION("""COMPUTED_VALUE"""),45174.99861111111)</f>
        <v>45174.99861</v>
      </c>
      <c r="I250" s="433">
        <f>IFERROR(__xludf.DUMMYFUNCTION("""COMPUTED_VALUE"""),1629.9111)</f>
        <v>1629.9111</v>
      </c>
    </row>
    <row r="251">
      <c r="A251" s="434">
        <f>IFERROR(__xludf.DUMMYFUNCTION("""COMPUTED_VALUE"""),42844.99861111111)</f>
        <v>42844.99861</v>
      </c>
      <c r="B251" s="433">
        <f>IFERROR(__xludf.DUMMYFUNCTION("""COMPUTED_VALUE"""),1211.2)</f>
        <v>1211.2</v>
      </c>
      <c r="C251" s="434">
        <f>IFERROR(__xludf.DUMMYFUNCTION("""COMPUTED_VALUE"""),42472.99861111111)</f>
        <v>42472.99861</v>
      </c>
      <c r="D251" s="433">
        <f>IFERROR(__xludf.DUMMYFUNCTION("""COMPUTED_VALUE"""),8.6395)</f>
        <v>8.6395</v>
      </c>
      <c r="F251" s="434">
        <f>IFERROR(__xludf.DUMMYFUNCTION("""COMPUTED_VALUE"""),45175.99861111111)</f>
        <v>45175.99861</v>
      </c>
      <c r="G251" s="433">
        <f>IFERROR(__xludf.DUMMYFUNCTION("""COMPUTED_VALUE"""),25755.55)</f>
        <v>25755.55</v>
      </c>
      <c r="H251" s="434">
        <f>IFERROR(__xludf.DUMMYFUNCTION("""COMPUTED_VALUE"""),45175.99861111111)</f>
        <v>45175.99861</v>
      </c>
      <c r="I251" s="433">
        <f>IFERROR(__xludf.DUMMYFUNCTION("""COMPUTED_VALUE"""),1633.9121)</f>
        <v>1633.9121</v>
      </c>
    </row>
    <row r="252">
      <c r="A252" s="434">
        <f>IFERROR(__xludf.DUMMYFUNCTION("""COMPUTED_VALUE"""),42845.99861111111)</f>
        <v>42845.99861</v>
      </c>
      <c r="B252" s="433">
        <f>IFERROR(__xludf.DUMMYFUNCTION("""COMPUTED_VALUE"""),1223.02)</f>
        <v>1223.02</v>
      </c>
      <c r="C252" s="434">
        <f>IFERROR(__xludf.DUMMYFUNCTION("""COMPUTED_VALUE"""),42473.99861111111)</f>
        <v>42473.99861</v>
      </c>
      <c r="D252" s="433">
        <f>IFERROR(__xludf.DUMMYFUNCTION("""COMPUTED_VALUE"""),7.4414)</f>
        <v>7.4414</v>
      </c>
      <c r="F252" s="434">
        <f>IFERROR(__xludf.DUMMYFUNCTION("""COMPUTED_VALUE"""),45176.99861111111)</f>
        <v>45176.99861</v>
      </c>
      <c r="G252" s="433">
        <f>IFERROR(__xludf.DUMMYFUNCTION("""COMPUTED_VALUE"""),26259.23)</f>
        <v>26259.23</v>
      </c>
      <c r="H252" s="434">
        <f>IFERROR(__xludf.DUMMYFUNCTION("""COMPUTED_VALUE"""),45176.99861111111)</f>
        <v>45176.99861</v>
      </c>
      <c r="I252" s="433">
        <f>IFERROR(__xludf.DUMMYFUNCTION("""COMPUTED_VALUE"""),1632.2629)</f>
        <v>1632.2629</v>
      </c>
    </row>
    <row r="253">
      <c r="A253" s="434">
        <f>IFERROR(__xludf.DUMMYFUNCTION("""COMPUTED_VALUE"""),42846.99861111111)</f>
        <v>42846.99861</v>
      </c>
      <c r="B253" s="433">
        <f>IFERROR(__xludf.DUMMYFUNCTION("""COMPUTED_VALUE"""),1242.85)</f>
        <v>1242.85</v>
      </c>
      <c r="C253" s="434">
        <f>IFERROR(__xludf.DUMMYFUNCTION("""COMPUTED_VALUE"""),42474.99861111111)</f>
        <v>42474.99861</v>
      </c>
      <c r="D253" s="433">
        <f>IFERROR(__xludf.DUMMYFUNCTION("""COMPUTED_VALUE"""),8.0752)</f>
        <v>8.0752</v>
      </c>
      <c r="F253" s="434">
        <f>IFERROR(__xludf.DUMMYFUNCTION("""COMPUTED_VALUE"""),45177.99861111111)</f>
        <v>45177.99861</v>
      </c>
      <c r="G253" s="433">
        <f>IFERROR(__xludf.DUMMYFUNCTION("""COMPUTED_VALUE"""),25909.41)</f>
        <v>25909.41</v>
      </c>
      <c r="H253" s="434">
        <f>IFERROR(__xludf.DUMMYFUNCTION("""COMPUTED_VALUE"""),45177.99861111111)</f>
        <v>45177.99861</v>
      </c>
      <c r="I253" s="433">
        <f>IFERROR(__xludf.DUMMYFUNCTION("""COMPUTED_VALUE"""),1647.8076)</f>
        <v>1647.8076</v>
      </c>
    </row>
    <row r="254">
      <c r="A254" s="434">
        <f>IFERROR(__xludf.DUMMYFUNCTION("""COMPUTED_VALUE"""),42849.99861111111)</f>
        <v>42849.99861</v>
      </c>
      <c r="B254" s="433">
        <f>IFERROR(__xludf.DUMMYFUNCTION("""COMPUTED_VALUE"""),1246.56)</f>
        <v>1246.56</v>
      </c>
      <c r="C254" s="434">
        <f>IFERROR(__xludf.DUMMYFUNCTION("""COMPUTED_VALUE"""),42475.99861111111)</f>
        <v>42475.99861</v>
      </c>
      <c r="D254" s="433">
        <f>IFERROR(__xludf.DUMMYFUNCTION("""COMPUTED_VALUE"""),8.3861)</f>
        <v>8.3861</v>
      </c>
      <c r="F254" s="434">
        <f>IFERROR(__xludf.DUMMYFUNCTION("""COMPUTED_VALUE"""),45178.99861111111)</f>
        <v>45178.99861</v>
      </c>
      <c r="G254" s="433">
        <f>IFERROR(__xludf.DUMMYFUNCTION("""COMPUTED_VALUE"""),25905.51)</f>
        <v>25905.51</v>
      </c>
      <c r="H254" s="434">
        <f>IFERROR(__xludf.DUMMYFUNCTION("""COMPUTED_VALUE"""),45178.99861111111)</f>
        <v>45178.99861</v>
      </c>
      <c r="I254" s="433">
        <f>IFERROR(__xludf.DUMMYFUNCTION("""COMPUTED_VALUE"""),1636.0505)</f>
        <v>1636.0505</v>
      </c>
    </row>
    <row r="255">
      <c r="A255" s="434">
        <f>IFERROR(__xludf.DUMMYFUNCTION("""COMPUTED_VALUE"""),42850.99861111111)</f>
        <v>42850.99861</v>
      </c>
      <c r="B255" s="433">
        <f>IFERROR(__xludf.DUMMYFUNCTION("""COMPUTED_VALUE"""),1265.78)</f>
        <v>1265.78</v>
      </c>
      <c r="C255" s="434">
        <f>IFERROR(__xludf.DUMMYFUNCTION("""COMPUTED_VALUE"""),42476.99861111111)</f>
        <v>42476.99861</v>
      </c>
      <c r="D255" s="433">
        <f>IFERROR(__xludf.DUMMYFUNCTION("""COMPUTED_VALUE"""),8.2359)</f>
        <v>8.2359</v>
      </c>
      <c r="F255" s="434">
        <f>IFERROR(__xludf.DUMMYFUNCTION("""COMPUTED_VALUE"""),45179.99861111111)</f>
        <v>45179.99861</v>
      </c>
      <c r="G255" s="433">
        <f>IFERROR(__xludf.DUMMYFUNCTION("""COMPUTED_VALUE"""),25838.32)</f>
        <v>25838.32</v>
      </c>
      <c r="H255" s="434">
        <f>IFERROR(__xludf.DUMMYFUNCTION("""COMPUTED_VALUE"""),45179.99861111111)</f>
        <v>45179.99861</v>
      </c>
      <c r="I255" s="433">
        <f>IFERROR(__xludf.DUMMYFUNCTION("""COMPUTED_VALUE"""),1635.2117)</f>
        <v>1635.2117</v>
      </c>
    </row>
    <row r="256">
      <c r="A256" s="434">
        <f>IFERROR(__xludf.DUMMYFUNCTION("""COMPUTED_VALUE"""),42851.99861111111)</f>
        <v>42851.99861</v>
      </c>
      <c r="B256" s="433">
        <f>IFERROR(__xludf.DUMMYFUNCTION("""COMPUTED_VALUE"""),1286.71)</f>
        <v>1286.71</v>
      </c>
      <c r="C256" s="434">
        <f>IFERROR(__xludf.DUMMYFUNCTION("""COMPUTED_VALUE"""),42477.99861111111)</f>
        <v>42477.99861</v>
      </c>
      <c r="D256" s="433">
        <f>IFERROR(__xludf.DUMMYFUNCTION("""COMPUTED_VALUE"""),8.6232)</f>
        <v>8.6232</v>
      </c>
      <c r="F256" s="434">
        <f>IFERROR(__xludf.DUMMYFUNCTION("""COMPUTED_VALUE"""),45180.99861111111)</f>
        <v>45180.99861</v>
      </c>
      <c r="G256" s="433">
        <f>IFERROR(__xludf.DUMMYFUNCTION("""COMPUTED_VALUE"""),25163.71)</f>
        <v>25163.71</v>
      </c>
      <c r="H256" s="434">
        <f>IFERROR(__xludf.DUMMYFUNCTION("""COMPUTED_VALUE"""),45180.99861111111)</f>
        <v>45180.99861</v>
      </c>
      <c r="I256" s="433">
        <f>IFERROR(__xludf.DUMMYFUNCTION("""COMPUTED_VALUE"""),1616.7697)</f>
        <v>1616.7697</v>
      </c>
    </row>
    <row r="257">
      <c r="A257" s="434">
        <f>IFERROR(__xludf.DUMMYFUNCTION("""COMPUTED_VALUE"""),42852.99861111111)</f>
        <v>42852.99861</v>
      </c>
      <c r="B257" s="433">
        <f>IFERROR(__xludf.DUMMYFUNCTION("""COMPUTED_VALUE"""),1313.57)</f>
        <v>1313.57</v>
      </c>
      <c r="C257" s="434">
        <f>IFERROR(__xludf.DUMMYFUNCTION("""COMPUTED_VALUE"""),42478.99861111111)</f>
        <v>42478.99861</v>
      </c>
      <c r="D257" s="433">
        <f>IFERROR(__xludf.DUMMYFUNCTION("""COMPUTED_VALUE"""),9.3327)</f>
        <v>9.3327</v>
      </c>
      <c r="F257" s="434">
        <f>IFERROR(__xludf.DUMMYFUNCTION("""COMPUTED_VALUE"""),45181.99861111111)</f>
        <v>45181.99861</v>
      </c>
      <c r="G257" s="433">
        <f>IFERROR(__xludf.DUMMYFUNCTION("""COMPUTED_VALUE"""),25843.55)</f>
        <v>25843.55</v>
      </c>
      <c r="H257" s="434">
        <f>IFERROR(__xludf.DUMMYFUNCTION("""COMPUTED_VALUE"""),45181.99861111111)</f>
        <v>45181.99861</v>
      </c>
      <c r="I257" s="433">
        <f>IFERROR(__xludf.DUMMYFUNCTION("""COMPUTED_VALUE"""),1551.4978)</f>
        <v>1551.4978</v>
      </c>
    </row>
    <row r="258">
      <c r="A258" s="434">
        <f>IFERROR(__xludf.DUMMYFUNCTION("""COMPUTED_VALUE"""),42853.99861111111)</f>
        <v>42853.99861</v>
      </c>
      <c r="B258" s="433">
        <f>IFERROR(__xludf.DUMMYFUNCTION("""COMPUTED_VALUE"""),1326.88)</f>
        <v>1326.88</v>
      </c>
      <c r="C258" s="434">
        <f>IFERROR(__xludf.DUMMYFUNCTION("""COMPUTED_VALUE"""),42479.99861111111)</f>
        <v>42479.99861</v>
      </c>
      <c r="D258" s="433">
        <f>IFERROR(__xludf.DUMMYFUNCTION("""COMPUTED_VALUE"""),9.0753)</f>
        <v>9.0753</v>
      </c>
      <c r="F258" s="434">
        <f>IFERROR(__xludf.DUMMYFUNCTION("""COMPUTED_VALUE"""),45182.99861111111)</f>
        <v>45182.99861</v>
      </c>
      <c r="G258" s="433">
        <f>IFERROR(__xludf.DUMMYFUNCTION("""COMPUTED_VALUE"""),26227.52)</f>
        <v>26227.52</v>
      </c>
      <c r="H258" s="434">
        <f>IFERROR(__xludf.DUMMYFUNCTION("""COMPUTED_VALUE"""),45182.99861111111)</f>
        <v>45182.99861</v>
      </c>
      <c r="I258" s="433">
        <f>IFERROR(__xludf.DUMMYFUNCTION("""COMPUTED_VALUE"""),1592.8924)</f>
        <v>1592.8924</v>
      </c>
    </row>
    <row r="259">
      <c r="A259" s="434">
        <f>IFERROR(__xludf.DUMMYFUNCTION("""COMPUTED_VALUE"""),42856.99861111111)</f>
        <v>42856.99861</v>
      </c>
      <c r="B259" s="433">
        <f>IFERROR(__xludf.DUMMYFUNCTION("""COMPUTED_VALUE"""),1396.9)</f>
        <v>1396.9</v>
      </c>
      <c r="C259" s="434">
        <f>IFERROR(__xludf.DUMMYFUNCTION("""COMPUTED_VALUE"""),42480.99861111111)</f>
        <v>42480.99861</v>
      </c>
      <c r="D259" s="433">
        <f>IFERROR(__xludf.DUMMYFUNCTION("""COMPUTED_VALUE"""),8.6882)</f>
        <v>8.6882</v>
      </c>
      <c r="F259" s="434">
        <f>IFERROR(__xludf.DUMMYFUNCTION("""COMPUTED_VALUE"""),45183.99861111111)</f>
        <v>45183.99861</v>
      </c>
      <c r="G259" s="433">
        <f>IFERROR(__xludf.DUMMYFUNCTION("""COMPUTED_VALUE"""),26534.06)</f>
        <v>26534.06</v>
      </c>
      <c r="H259" s="434">
        <f>IFERROR(__xludf.DUMMYFUNCTION("""COMPUTED_VALUE"""),45183.99861111111)</f>
        <v>45183.99861</v>
      </c>
      <c r="I259" s="433">
        <f>IFERROR(__xludf.DUMMYFUNCTION("""COMPUTED_VALUE"""),1608.0316)</f>
        <v>1608.0316</v>
      </c>
    </row>
    <row r="260">
      <c r="A260" s="434">
        <f>IFERROR(__xludf.DUMMYFUNCTION("""COMPUTED_VALUE"""),42857.99861111111)</f>
        <v>42857.99861</v>
      </c>
      <c r="B260" s="433">
        <f>IFERROR(__xludf.DUMMYFUNCTION("""COMPUTED_VALUE"""),1441.09)</f>
        <v>1441.09</v>
      </c>
      <c r="C260" s="434">
        <f>IFERROR(__xludf.DUMMYFUNCTION("""COMPUTED_VALUE"""),42481.99861111111)</f>
        <v>42481.99861</v>
      </c>
      <c r="D260" s="433">
        <f>IFERROR(__xludf.DUMMYFUNCTION("""COMPUTED_VALUE"""),8.4535)</f>
        <v>8.4535</v>
      </c>
      <c r="F260" s="434">
        <f>IFERROR(__xludf.DUMMYFUNCTION("""COMPUTED_VALUE"""),45184.99861111111)</f>
        <v>45184.99861</v>
      </c>
      <c r="G260" s="433">
        <f>IFERROR(__xludf.DUMMYFUNCTION("""COMPUTED_VALUE"""),26607.32)</f>
        <v>26607.32</v>
      </c>
      <c r="H260" s="434">
        <f>IFERROR(__xludf.DUMMYFUNCTION("""COMPUTED_VALUE"""),45184.99861111111)</f>
        <v>45184.99861</v>
      </c>
      <c r="I260" s="433">
        <f>IFERROR(__xludf.DUMMYFUNCTION("""COMPUTED_VALUE"""),1626.8701)</f>
        <v>1626.8701</v>
      </c>
    </row>
    <row r="261">
      <c r="A261" s="434">
        <f>IFERROR(__xludf.DUMMYFUNCTION("""COMPUTED_VALUE"""),42858.99861111111)</f>
        <v>42858.99861</v>
      </c>
      <c r="B261" s="433">
        <f>IFERROR(__xludf.DUMMYFUNCTION("""COMPUTED_VALUE"""),1470.65)</f>
        <v>1470.65</v>
      </c>
      <c r="C261" s="434">
        <f>IFERROR(__xludf.DUMMYFUNCTION("""COMPUTED_VALUE"""),42482.99861111111)</f>
        <v>42482.99861</v>
      </c>
      <c r="D261" s="433">
        <f>IFERROR(__xludf.DUMMYFUNCTION("""COMPUTED_VALUE"""),8.1499)</f>
        <v>8.1499</v>
      </c>
      <c r="F261" s="434">
        <f>IFERROR(__xludf.DUMMYFUNCTION("""COMPUTED_VALUE"""),45185.99861111111)</f>
        <v>45185.99861</v>
      </c>
      <c r="G261" s="433">
        <f>IFERROR(__xludf.DUMMYFUNCTION("""COMPUTED_VALUE"""),26569.63)</f>
        <v>26569.63</v>
      </c>
      <c r="H261" s="434">
        <f>IFERROR(__xludf.DUMMYFUNCTION("""COMPUTED_VALUE"""),45185.99861111111)</f>
        <v>45185.99861</v>
      </c>
      <c r="I261" s="433">
        <f>IFERROR(__xludf.DUMMYFUNCTION("""COMPUTED_VALUE"""),1641.4465)</f>
        <v>1641.4465</v>
      </c>
    </row>
    <row r="262">
      <c r="A262" s="434">
        <f>IFERROR(__xludf.DUMMYFUNCTION("""COMPUTED_VALUE"""),42859.99861111111)</f>
        <v>42859.99861</v>
      </c>
      <c r="B262" s="433">
        <f>IFERROR(__xludf.DUMMYFUNCTION("""COMPUTED_VALUE"""),1541.9)</f>
        <v>1541.9</v>
      </c>
      <c r="C262" s="434">
        <f>IFERROR(__xludf.DUMMYFUNCTION("""COMPUTED_VALUE"""),42483.99861111111)</f>
        <v>42483.99861</v>
      </c>
      <c r="D262" s="433">
        <f>IFERROR(__xludf.DUMMYFUNCTION("""COMPUTED_VALUE"""),7.7918)</f>
        <v>7.7918</v>
      </c>
      <c r="F262" s="434">
        <f>IFERROR(__xludf.DUMMYFUNCTION("""COMPUTED_VALUE"""),45186.99861111111)</f>
        <v>45186.99861</v>
      </c>
      <c r="G262" s="433">
        <f>IFERROR(__xludf.DUMMYFUNCTION("""COMPUTED_VALUE"""),26530.24)</f>
        <v>26530.24</v>
      </c>
      <c r="H262" s="434">
        <f>IFERROR(__xludf.DUMMYFUNCTION("""COMPUTED_VALUE"""),45186.99861111111)</f>
        <v>45186.99861</v>
      </c>
      <c r="I262" s="433">
        <f>IFERROR(__xludf.DUMMYFUNCTION("""COMPUTED_VALUE"""),1635.2011)</f>
        <v>1635.2011</v>
      </c>
    </row>
    <row r="263">
      <c r="A263" s="434">
        <f>IFERROR(__xludf.DUMMYFUNCTION("""COMPUTED_VALUE"""),42860.99861111111)</f>
        <v>42860.99861</v>
      </c>
      <c r="B263" s="433">
        <f>IFERROR(__xludf.DUMMYFUNCTION("""COMPUTED_VALUE"""),1554.5)</f>
        <v>1554.5</v>
      </c>
      <c r="C263" s="434">
        <f>IFERROR(__xludf.DUMMYFUNCTION("""COMPUTED_VALUE"""),42484.99861111111)</f>
        <v>42484.99861</v>
      </c>
      <c r="D263" s="433">
        <f>IFERROR(__xludf.DUMMYFUNCTION("""COMPUTED_VALUE"""),8.2934)</f>
        <v>8.2934</v>
      </c>
      <c r="F263" s="434">
        <f>IFERROR(__xludf.DUMMYFUNCTION("""COMPUTED_VALUE"""),45187.99861111111)</f>
        <v>45187.99861</v>
      </c>
      <c r="G263" s="433">
        <f>IFERROR(__xludf.DUMMYFUNCTION("""COMPUTED_VALUE"""),26764.2)</f>
        <v>26764.2</v>
      </c>
      <c r="H263" s="434">
        <f>IFERROR(__xludf.DUMMYFUNCTION("""COMPUTED_VALUE"""),45187.99861111111)</f>
        <v>45187.99861</v>
      </c>
      <c r="I263" s="433">
        <f>IFERROR(__xludf.DUMMYFUNCTION("""COMPUTED_VALUE"""),1623.0819)</f>
        <v>1623.0819</v>
      </c>
    </row>
    <row r="264">
      <c r="A264" s="434">
        <f>IFERROR(__xludf.DUMMYFUNCTION("""COMPUTED_VALUE"""),42863.99861111111)</f>
        <v>42863.99861</v>
      </c>
      <c r="B264" s="433">
        <f>IFERROR(__xludf.DUMMYFUNCTION("""COMPUTED_VALUE"""),1608.48)</f>
        <v>1608.48</v>
      </c>
      <c r="C264" s="434">
        <f>IFERROR(__xludf.DUMMYFUNCTION("""COMPUTED_VALUE"""),42485.99861111111)</f>
        <v>42485.99861</v>
      </c>
      <c r="D264" s="433">
        <f>IFERROR(__xludf.DUMMYFUNCTION("""COMPUTED_VALUE"""),8.0078)</f>
        <v>8.0078</v>
      </c>
      <c r="F264" s="434">
        <f>IFERROR(__xludf.DUMMYFUNCTION("""COMPUTED_VALUE"""),45188.99861111111)</f>
        <v>45188.99861</v>
      </c>
      <c r="G264" s="433">
        <f>IFERROR(__xludf.DUMMYFUNCTION("""COMPUTED_VALUE"""),27217.88)</f>
        <v>27217.88</v>
      </c>
      <c r="H264" s="434">
        <f>IFERROR(__xludf.DUMMYFUNCTION("""COMPUTED_VALUE"""),45188.99861111111)</f>
        <v>45188.99861</v>
      </c>
      <c r="I264" s="433">
        <f>IFERROR(__xludf.DUMMYFUNCTION("""COMPUTED_VALUE"""),1637.312)</f>
        <v>1637.312</v>
      </c>
    </row>
    <row r="265">
      <c r="A265" s="434">
        <f>IFERROR(__xludf.DUMMYFUNCTION("""COMPUTED_VALUE"""),42864.99861111111)</f>
        <v>42864.99861</v>
      </c>
      <c r="B265" s="433">
        <f>IFERROR(__xludf.DUMMYFUNCTION("""COMPUTED_VALUE"""),1709.31)</f>
        <v>1709.31</v>
      </c>
      <c r="C265" s="434">
        <f>IFERROR(__xludf.DUMMYFUNCTION("""COMPUTED_VALUE"""),42486.99861111111)</f>
        <v>42486.99861</v>
      </c>
      <c r="D265" s="433">
        <f>IFERROR(__xludf.DUMMYFUNCTION("""COMPUTED_VALUE"""),7.5265)</f>
        <v>7.5265</v>
      </c>
      <c r="F265" s="434">
        <f>IFERROR(__xludf.DUMMYFUNCTION("""COMPUTED_VALUE"""),45189.99861111111)</f>
        <v>45189.99861</v>
      </c>
      <c r="G265" s="433">
        <f>IFERROR(__xludf.DUMMYFUNCTION("""COMPUTED_VALUE"""),27127.37)</f>
        <v>27127.37</v>
      </c>
      <c r="H265" s="434">
        <f>IFERROR(__xludf.DUMMYFUNCTION("""COMPUTED_VALUE"""),45189.99861111111)</f>
        <v>45189.99861</v>
      </c>
      <c r="I265" s="433">
        <f>IFERROR(__xludf.DUMMYFUNCTION("""COMPUTED_VALUE"""),1643.4953)</f>
        <v>1643.4953</v>
      </c>
    </row>
    <row r="266">
      <c r="A266" s="434">
        <f>IFERROR(__xludf.DUMMYFUNCTION("""COMPUTED_VALUE"""),42865.99861111111)</f>
        <v>42865.99861</v>
      </c>
      <c r="B266" s="433">
        <f>IFERROR(__xludf.DUMMYFUNCTION("""COMPUTED_VALUE"""),1740.97)</f>
        <v>1740.97</v>
      </c>
      <c r="C266" s="434">
        <f>IFERROR(__xludf.DUMMYFUNCTION("""COMPUTED_VALUE"""),42487.99861111111)</f>
        <v>42487.99861</v>
      </c>
      <c r="D266" s="433">
        <f>IFERROR(__xludf.DUMMYFUNCTION("""COMPUTED_VALUE"""),7.3884)</f>
        <v>7.3884</v>
      </c>
      <c r="F266" s="434">
        <f>IFERROR(__xludf.DUMMYFUNCTION("""COMPUTED_VALUE"""),45190.99861111111)</f>
        <v>45190.99861</v>
      </c>
      <c r="G266" s="433">
        <f>IFERROR(__xludf.DUMMYFUNCTION("""COMPUTED_VALUE"""),26567.97)</f>
        <v>26567.97</v>
      </c>
      <c r="H266" s="434">
        <f>IFERROR(__xludf.DUMMYFUNCTION("""COMPUTED_VALUE"""),45190.99861111111)</f>
        <v>45190.99861</v>
      </c>
      <c r="I266" s="433">
        <f>IFERROR(__xludf.DUMMYFUNCTION("""COMPUTED_VALUE"""),1622.5918)</f>
        <v>1622.5918</v>
      </c>
    </row>
    <row r="267">
      <c r="A267" s="434">
        <f>IFERROR(__xludf.DUMMYFUNCTION("""COMPUTED_VALUE"""),42866.99861111111)</f>
        <v>42866.99861</v>
      </c>
      <c r="B267" s="433">
        <f>IFERROR(__xludf.DUMMYFUNCTION("""COMPUTED_VALUE"""),1825.4)</f>
        <v>1825.4</v>
      </c>
      <c r="C267" s="434">
        <f>IFERROR(__xludf.DUMMYFUNCTION("""COMPUTED_VALUE"""),42488.99861111111)</f>
        <v>42488.99861</v>
      </c>
      <c r="D267" s="433">
        <f>IFERROR(__xludf.DUMMYFUNCTION("""COMPUTED_VALUE"""),7.7407)</f>
        <v>7.7407</v>
      </c>
      <c r="F267" s="434">
        <f>IFERROR(__xludf.DUMMYFUNCTION("""COMPUTED_VALUE"""),45191.99861111111)</f>
        <v>45191.99861</v>
      </c>
      <c r="G267" s="433">
        <f>IFERROR(__xludf.DUMMYFUNCTION("""COMPUTED_VALUE"""),26588.76)</f>
        <v>26588.76</v>
      </c>
      <c r="H267" s="434">
        <f>IFERROR(__xludf.DUMMYFUNCTION("""COMPUTED_VALUE"""),45191.99861111111)</f>
        <v>45191.99861</v>
      </c>
      <c r="I267" s="433">
        <f>IFERROR(__xludf.DUMMYFUNCTION("""COMPUTED_VALUE"""),1584.0026)</f>
        <v>1584.0026</v>
      </c>
    </row>
    <row r="268">
      <c r="A268" s="434">
        <f>IFERROR(__xludf.DUMMYFUNCTION("""COMPUTED_VALUE"""),42867.99861111111)</f>
        <v>42867.99861</v>
      </c>
      <c r="B268" s="433">
        <f>IFERROR(__xludf.DUMMYFUNCTION("""COMPUTED_VALUE"""),1770.44)</f>
        <v>1770.44</v>
      </c>
      <c r="C268" s="434">
        <f>IFERROR(__xludf.DUMMYFUNCTION("""COMPUTED_VALUE"""),42489.99861111111)</f>
        <v>42489.99861</v>
      </c>
      <c r="D268" s="433">
        <f>IFERROR(__xludf.DUMMYFUNCTION("""COMPUTED_VALUE"""),7.207)</f>
        <v>7.207</v>
      </c>
      <c r="F268" s="434">
        <f>IFERROR(__xludf.DUMMYFUNCTION("""COMPUTED_VALUE"""),45192.99861111111)</f>
        <v>45192.99861</v>
      </c>
      <c r="G268" s="433">
        <f>IFERROR(__xludf.DUMMYFUNCTION("""COMPUTED_VALUE"""),26591.66)</f>
        <v>26591.66</v>
      </c>
      <c r="H268" s="434">
        <f>IFERROR(__xludf.DUMMYFUNCTION("""COMPUTED_VALUE"""),45192.99861111111)</f>
        <v>45192.99861</v>
      </c>
      <c r="I268" s="433">
        <f>IFERROR(__xludf.DUMMYFUNCTION("""COMPUTED_VALUE"""),1593.2131)</f>
        <v>1593.2131</v>
      </c>
    </row>
    <row r="269">
      <c r="A269" s="434">
        <f>IFERROR(__xludf.DUMMYFUNCTION("""COMPUTED_VALUE"""),42870.99861111111)</f>
        <v>42870.99861</v>
      </c>
      <c r="B269" s="433">
        <f>IFERROR(__xludf.DUMMYFUNCTION("""COMPUTED_VALUE"""),1737.21)</f>
        <v>1737.21</v>
      </c>
      <c r="C269" s="434">
        <f>IFERROR(__xludf.DUMMYFUNCTION("""COMPUTED_VALUE"""),42490.99861111111)</f>
        <v>42490.99861</v>
      </c>
      <c r="D269" s="433">
        <f>IFERROR(__xludf.DUMMYFUNCTION("""COMPUTED_VALUE"""),7.4539)</f>
        <v>7.4539</v>
      </c>
      <c r="F269" s="434">
        <f>IFERROR(__xludf.DUMMYFUNCTION("""COMPUTED_VALUE"""),45193.99861111111)</f>
        <v>45193.99861</v>
      </c>
      <c r="G269" s="433">
        <f>IFERROR(__xludf.DUMMYFUNCTION("""COMPUTED_VALUE"""),26263.58)</f>
        <v>26263.58</v>
      </c>
      <c r="H269" s="434">
        <f>IFERROR(__xludf.DUMMYFUNCTION("""COMPUTED_VALUE"""),45193.99861111111)</f>
        <v>45193.99861</v>
      </c>
      <c r="I269" s="433">
        <f>IFERROR(__xludf.DUMMYFUNCTION("""COMPUTED_VALUE"""),1593.8257)</f>
        <v>1593.8257</v>
      </c>
    </row>
    <row r="270">
      <c r="A270" s="434">
        <f>IFERROR(__xludf.DUMMYFUNCTION("""COMPUTED_VALUE"""),42871.99861111111)</f>
        <v>42871.99861</v>
      </c>
      <c r="B270" s="433">
        <f>IFERROR(__xludf.DUMMYFUNCTION("""COMPUTED_VALUE"""),1726.46)</f>
        <v>1726.46</v>
      </c>
      <c r="C270" s="434">
        <f>IFERROR(__xludf.DUMMYFUNCTION("""COMPUTED_VALUE"""),42491.99861111111)</f>
        <v>42491.99861</v>
      </c>
      <c r="D270" s="433">
        <f>IFERROR(__xludf.DUMMYFUNCTION("""COMPUTED_VALUE"""),8.794)</f>
        <v>8.794</v>
      </c>
      <c r="F270" s="434">
        <f>IFERROR(__xludf.DUMMYFUNCTION("""COMPUTED_VALUE"""),45194.99861111111)</f>
        <v>45194.99861</v>
      </c>
      <c r="G270" s="433">
        <f>IFERROR(__xludf.DUMMYFUNCTION("""COMPUTED_VALUE"""),26296.83)</f>
        <v>26296.83</v>
      </c>
      <c r="H270" s="434">
        <f>IFERROR(__xludf.DUMMYFUNCTION("""COMPUTED_VALUE"""),45194.99861111111)</f>
        <v>45194.99861</v>
      </c>
      <c r="I270" s="433">
        <f>IFERROR(__xludf.DUMMYFUNCTION("""COMPUTED_VALUE"""),1580.7475)</f>
        <v>1580.7475</v>
      </c>
    </row>
    <row r="271">
      <c r="A271" s="434">
        <f>IFERROR(__xludf.DUMMYFUNCTION("""COMPUTED_VALUE"""),42872.99861111111)</f>
        <v>42872.99861</v>
      </c>
      <c r="B271" s="433">
        <f>IFERROR(__xludf.DUMMYFUNCTION("""COMPUTED_VALUE"""),1795.77)</f>
        <v>1795.77</v>
      </c>
      <c r="C271" s="434">
        <f>IFERROR(__xludf.DUMMYFUNCTION("""COMPUTED_VALUE"""),42492.99861111111)</f>
        <v>42492.99861</v>
      </c>
      <c r="D271" s="433">
        <f>IFERROR(__xludf.DUMMYFUNCTION("""COMPUTED_VALUE"""),8.8942)</f>
        <v>8.8942</v>
      </c>
      <c r="F271" s="434">
        <f>IFERROR(__xludf.DUMMYFUNCTION("""COMPUTED_VALUE"""),45195.99861111111)</f>
        <v>45195.99861</v>
      </c>
      <c r="G271" s="433">
        <f>IFERROR(__xludf.DUMMYFUNCTION("""COMPUTED_VALUE"""),26211.61)</f>
        <v>26211.61</v>
      </c>
      <c r="H271" s="434">
        <f>IFERROR(__xludf.DUMMYFUNCTION("""COMPUTED_VALUE"""),45195.99861111111)</f>
        <v>45195.99861</v>
      </c>
      <c r="I271" s="433">
        <f>IFERROR(__xludf.DUMMYFUNCTION("""COMPUTED_VALUE"""),1588.0232)</f>
        <v>1588.0232</v>
      </c>
    </row>
    <row r="272">
      <c r="A272" s="434">
        <f>IFERROR(__xludf.DUMMYFUNCTION("""COMPUTED_VALUE"""),42873.99861111111)</f>
        <v>42873.99861</v>
      </c>
      <c r="B272" s="433">
        <f>IFERROR(__xludf.DUMMYFUNCTION("""COMPUTED_VALUE"""),1830.53)</f>
        <v>1830.53</v>
      </c>
      <c r="C272" s="434">
        <f>IFERROR(__xludf.DUMMYFUNCTION("""COMPUTED_VALUE"""),42493.99861111111)</f>
        <v>42493.99861</v>
      </c>
      <c r="D272" s="433">
        <f>IFERROR(__xludf.DUMMYFUNCTION("""COMPUTED_VALUE"""),10.1651)</f>
        <v>10.1651</v>
      </c>
      <c r="F272" s="434">
        <f>IFERROR(__xludf.DUMMYFUNCTION("""COMPUTED_VALUE"""),45196.99861111111)</f>
        <v>45196.99861</v>
      </c>
      <c r="G272" s="433">
        <f>IFERROR(__xludf.DUMMYFUNCTION("""COMPUTED_VALUE"""),26359.27)</f>
        <v>26359.27</v>
      </c>
      <c r="H272" s="434">
        <f>IFERROR(__xludf.DUMMYFUNCTION("""COMPUTED_VALUE"""),45196.99861111111)</f>
        <v>45196.99861</v>
      </c>
      <c r="I272" s="433">
        <f>IFERROR(__xludf.DUMMYFUNCTION("""COMPUTED_VALUE"""),1593.1083)</f>
        <v>1593.1083</v>
      </c>
    </row>
    <row r="273">
      <c r="A273" s="434">
        <f>IFERROR(__xludf.DUMMYFUNCTION("""COMPUTED_VALUE"""),42874.99861111111)</f>
        <v>42874.99861</v>
      </c>
      <c r="B273" s="433">
        <f>IFERROR(__xludf.DUMMYFUNCTION("""COMPUTED_VALUE"""),1922.18)</f>
        <v>1922.18</v>
      </c>
      <c r="C273" s="434">
        <f>IFERROR(__xludf.DUMMYFUNCTION("""COMPUTED_VALUE"""),42494.99861111111)</f>
        <v>42494.99861</v>
      </c>
      <c r="D273" s="433">
        <f>IFERROR(__xludf.DUMMYFUNCTION("""COMPUTED_VALUE"""),9.3829)</f>
        <v>9.3829</v>
      </c>
      <c r="F273" s="434">
        <f>IFERROR(__xludf.DUMMYFUNCTION("""COMPUTED_VALUE"""),45197.99861111111)</f>
        <v>45197.99861</v>
      </c>
      <c r="G273" s="433">
        <f>IFERROR(__xludf.DUMMYFUNCTION("""COMPUTED_VALUE"""),27026.88)</f>
        <v>27026.88</v>
      </c>
      <c r="H273" s="434">
        <f>IFERROR(__xludf.DUMMYFUNCTION("""COMPUTED_VALUE"""),45197.99861111111)</f>
        <v>45197.99861</v>
      </c>
      <c r="I273" s="433">
        <f>IFERROR(__xludf.DUMMYFUNCTION("""COMPUTED_VALUE"""),1597.672)</f>
        <v>1597.672</v>
      </c>
    </row>
    <row r="274">
      <c r="A274" s="434">
        <f>IFERROR(__xludf.DUMMYFUNCTION("""COMPUTED_VALUE"""),42877.99861111111)</f>
        <v>42877.99861</v>
      </c>
      <c r="B274" s="433">
        <f>IFERROR(__xludf.DUMMYFUNCTION("""COMPUTED_VALUE"""),2136.02)</f>
        <v>2136.02</v>
      </c>
      <c r="C274" s="434">
        <f>IFERROR(__xludf.DUMMYFUNCTION("""COMPUTED_VALUE"""),42495.99861111111)</f>
        <v>42495.99861</v>
      </c>
      <c r="D274" s="433">
        <f>IFERROR(__xludf.DUMMYFUNCTION("""COMPUTED_VALUE"""),9.3967)</f>
        <v>9.3967</v>
      </c>
      <c r="F274" s="434">
        <f>IFERROR(__xludf.DUMMYFUNCTION("""COMPUTED_VALUE"""),45198.99861111111)</f>
        <v>45198.99861</v>
      </c>
      <c r="G274" s="433">
        <f>IFERROR(__xludf.DUMMYFUNCTION("""COMPUTED_VALUE"""),26912.09)</f>
        <v>26912.09</v>
      </c>
      <c r="H274" s="434">
        <f>IFERROR(__xludf.DUMMYFUNCTION("""COMPUTED_VALUE"""),45198.99861111111)</f>
        <v>45198.99861</v>
      </c>
      <c r="I274" s="433">
        <f>IFERROR(__xludf.DUMMYFUNCTION("""COMPUTED_VALUE"""),1652.9999)</f>
        <v>1652.9999</v>
      </c>
    </row>
    <row r="275">
      <c r="A275" s="434">
        <f>IFERROR(__xludf.DUMMYFUNCTION("""COMPUTED_VALUE"""),42878.99861111111)</f>
        <v>42878.99861</v>
      </c>
      <c r="B275" s="433">
        <f>IFERROR(__xludf.DUMMYFUNCTION("""COMPUTED_VALUE"""),2199.53)</f>
        <v>2199.53</v>
      </c>
      <c r="C275" s="434">
        <f>IFERROR(__xludf.DUMMYFUNCTION("""COMPUTED_VALUE"""),42496.99861111111)</f>
        <v>42496.99861</v>
      </c>
      <c r="D275" s="433">
        <f>IFERROR(__xludf.DUMMYFUNCTION("""COMPUTED_VALUE"""),9.8096)</f>
        <v>9.8096</v>
      </c>
      <c r="F275" s="434">
        <f>IFERROR(__xludf.DUMMYFUNCTION("""COMPUTED_VALUE"""),45199.99861111111)</f>
        <v>45199.99861</v>
      </c>
      <c r="G275" s="433">
        <f>IFERROR(__xludf.DUMMYFUNCTION("""COMPUTED_VALUE"""),26968.96)</f>
        <v>26968.96</v>
      </c>
      <c r="H275" s="434">
        <f>IFERROR(__xludf.DUMMYFUNCTION("""COMPUTED_VALUE"""),45199.99861111111)</f>
        <v>45199.99861</v>
      </c>
      <c r="I275" s="433">
        <f>IFERROR(__xludf.DUMMYFUNCTION("""COMPUTED_VALUE"""),1667.8345)</f>
        <v>1667.8345</v>
      </c>
    </row>
    <row r="276">
      <c r="A276" s="434">
        <f>IFERROR(__xludf.DUMMYFUNCTION("""COMPUTED_VALUE"""),42879.99861111111)</f>
        <v>42879.99861</v>
      </c>
      <c r="B276" s="433">
        <f>IFERROR(__xludf.DUMMYFUNCTION("""COMPUTED_VALUE"""),2358.96)</f>
        <v>2358.96</v>
      </c>
      <c r="C276" s="434">
        <f>IFERROR(__xludf.DUMMYFUNCTION("""COMPUTED_VALUE"""),42497.99861111111)</f>
        <v>42497.99861</v>
      </c>
      <c r="D276" s="433">
        <f>IFERROR(__xludf.DUMMYFUNCTION("""COMPUTED_VALUE"""),9.3156)</f>
        <v>9.3156</v>
      </c>
      <c r="F276" s="434">
        <f>IFERROR(__xludf.DUMMYFUNCTION("""COMPUTED_VALUE"""),45200.99861111111)</f>
        <v>45200.99861</v>
      </c>
      <c r="G276" s="433">
        <f>IFERROR(__xludf.DUMMYFUNCTION("""COMPUTED_VALUE"""),27974.3)</f>
        <v>27974.3</v>
      </c>
      <c r="H276" s="434">
        <f>IFERROR(__xludf.DUMMYFUNCTION("""COMPUTED_VALUE"""),45200.99861111111)</f>
        <v>45200.99861</v>
      </c>
      <c r="I276" s="433">
        <f>IFERROR(__xludf.DUMMYFUNCTION("""COMPUTED_VALUE"""),1671.1615)</f>
        <v>1671.1615</v>
      </c>
    </row>
    <row r="277">
      <c r="A277" s="434">
        <f>IFERROR(__xludf.DUMMYFUNCTION("""COMPUTED_VALUE"""),42880.99861111111)</f>
        <v>42880.99861</v>
      </c>
      <c r="B277" s="433">
        <f>IFERROR(__xludf.DUMMYFUNCTION("""COMPUTED_VALUE"""),2567.27)</f>
        <v>2567.27</v>
      </c>
      <c r="C277" s="434">
        <f>IFERROR(__xludf.DUMMYFUNCTION("""COMPUTED_VALUE"""),42498.99861111111)</f>
        <v>42498.99861</v>
      </c>
      <c r="D277" s="433">
        <f>IFERROR(__xludf.DUMMYFUNCTION("""COMPUTED_VALUE"""),9.3729)</f>
        <v>9.3729</v>
      </c>
      <c r="F277" s="434">
        <f>IFERROR(__xludf.DUMMYFUNCTION("""COMPUTED_VALUE"""),45201.99861111111)</f>
        <v>45201.99861</v>
      </c>
      <c r="G277" s="433">
        <f>IFERROR(__xludf.DUMMYFUNCTION("""COMPUTED_VALUE"""),27505.1)</f>
        <v>27505.1</v>
      </c>
      <c r="H277" s="434">
        <f>IFERROR(__xludf.DUMMYFUNCTION("""COMPUTED_VALUE"""),45201.99861111111)</f>
        <v>45201.99861</v>
      </c>
      <c r="I277" s="433">
        <f>IFERROR(__xludf.DUMMYFUNCTION("""COMPUTED_VALUE"""),1732.984)</f>
        <v>1732.984</v>
      </c>
    </row>
    <row r="278">
      <c r="A278" s="434">
        <f>IFERROR(__xludf.DUMMYFUNCTION("""COMPUTED_VALUE"""),42881.99861111111)</f>
        <v>42881.99861</v>
      </c>
      <c r="B278" s="433">
        <f>IFERROR(__xludf.DUMMYFUNCTION("""COMPUTED_VALUE"""),2396.97)</f>
        <v>2396.97</v>
      </c>
      <c r="C278" s="434">
        <f>IFERROR(__xludf.DUMMYFUNCTION("""COMPUTED_VALUE"""),42499.99861111111)</f>
        <v>42499.99861</v>
      </c>
      <c r="D278" s="433">
        <f>IFERROR(__xludf.DUMMYFUNCTION("""COMPUTED_VALUE"""),9.494)</f>
        <v>9.494</v>
      </c>
      <c r="F278" s="434">
        <f>IFERROR(__xludf.DUMMYFUNCTION("""COMPUTED_VALUE"""),45202.99861111111)</f>
        <v>45202.99861</v>
      </c>
      <c r="G278" s="433">
        <f>IFERROR(__xludf.DUMMYFUNCTION("""COMPUTED_VALUE"""),27426.54)</f>
        <v>27426.54</v>
      </c>
      <c r="H278" s="434">
        <f>IFERROR(__xludf.DUMMYFUNCTION("""COMPUTED_VALUE"""),45202.99861111111)</f>
        <v>45202.99861</v>
      </c>
      <c r="I278" s="433">
        <f>IFERROR(__xludf.DUMMYFUNCTION("""COMPUTED_VALUE"""),1662.8872)</f>
        <v>1662.8872</v>
      </c>
    </row>
    <row r="279">
      <c r="A279" s="434">
        <f>IFERROR(__xludf.DUMMYFUNCTION("""COMPUTED_VALUE"""),42884.99861111111)</f>
        <v>42884.99861</v>
      </c>
      <c r="B279" s="433">
        <f>IFERROR(__xludf.DUMMYFUNCTION("""COMPUTED_VALUE"""),2229.19)</f>
        <v>2229.19</v>
      </c>
      <c r="C279" s="434">
        <f>IFERROR(__xludf.DUMMYFUNCTION("""COMPUTED_VALUE"""),42500.99861111111)</f>
        <v>42500.99861</v>
      </c>
      <c r="D279" s="433">
        <f>IFERROR(__xludf.DUMMYFUNCTION("""COMPUTED_VALUE"""),9.2827)</f>
        <v>9.2827</v>
      </c>
      <c r="F279" s="434">
        <f>IFERROR(__xludf.DUMMYFUNCTION("""COMPUTED_VALUE"""),45203.99861111111)</f>
        <v>45203.99861</v>
      </c>
      <c r="G279" s="433">
        <f>IFERROR(__xludf.DUMMYFUNCTION("""COMPUTED_VALUE"""),27794.62)</f>
        <v>27794.62</v>
      </c>
      <c r="H279" s="434">
        <f>IFERROR(__xludf.DUMMYFUNCTION("""COMPUTED_VALUE"""),45203.99861111111)</f>
        <v>45203.99861</v>
      </c>
      <c r="I279" s="433">
        <f>IFERROR(__xludf.DUMMYFUNCTION("""COMPUTED_VALUE"""),1656.736)</f>
        <v>1656.736</v>
      </c>
    </row>
    <row r="280">
      <c r="A280" s="434">
        <f>IFERROR(__xludf.DUMMYFUNCTION("""COMPUTED_VALUE"""),42885.99861111111)</f>
        <v>42885.99861</v>
      </c>
      <c r="B280" s="433">
        <f>IFERROR(__xludf.DUMMYFUNCTION("""COMPUTED_VALUE"""),2262.83)</f>
        <v>2262.83</v>
      </c>
      <c r="C280" s="434">
        <f>IFERROR(__xludf.DUMMYFUNCTION("""COMPUTED_VALUE"""),42501.99861111111)</f>
        <v>42501.99861</v>
      </c>
      <c r="D280" s="433">
        <f>IFERROR(__xludf.DUMMYFUNCTION("""COMPUTED_VALUE"""),9.4314)</f>
        <v>9.4314</v>
      </c>
      <c r="F280" s="434">
        <f>IFERROR(__xludf.DUMMYFUNCTION("""COMPUTED_VALUE"""),45204.99861111111)</f>
        <v>45204.99861</v>
      </c>
      <c r="G280" s="433">
        <f>IFERROR(__xludf.DUMMYFUNCTION("""COMPUTED_VALUE"""),27413.3)</f>
        <v>27413.3</v>
      </c>
      <c r="H280" s="434">
        <f>IFERROR(__xludf.DUMMYFUNCTION("""COMPUTED_VALUE"""),45204.99861111111)</f>
        <v>45204.99861</v>
      </c>
      <c r="I280" s="433">
        <f>IFERROR(__xludf.DUMMYFUNCTION("""COMPUTED_VALUE"""),1647.7882)</f>
        <v>1647.7882</v>
      </c>
    </row>
    <row r="281">
      <c r="A281" s="434">
        <f>IFERROR(__xludf.DUMMYFUNCTION("""COMPUTED_VALUE"""),42886.99861111111)</f>
        <v>42886.99861</v>
      </c>
      <c r="B281" s="433">
        <f>IFERROR(__xludf.DUMMYFUNCTION("""COMPUTED_VALUE"""),2244.73)</f>
        <v>2244.73</v>
      </c>
      <c r="C281" s="434">
        <f>IFERROR(__xludf.DUMMYFUNCTION("""COMPUTED_VALUE"""),42502.99861111111)</f>
        <v>42502.99861</v>
      </c>
      <c r="D281" s="433">
        <f>IFERROR(__xludf.DUMMYFUNCTION("""COMPUTED_VALUE"""),9.9951)</f>
        <v>9.9951</v>
      </c>
      <c r="F281" s="434">
        <f>IFERROR(__xludf.DUMMYFUNCTION("""COMPUTED_VALUE"""),45205.99861111111)</f>
        <v>45205.99861</v>
      </c>
      <c r="G281" s="433">
        <f>IFERROR(__xludf.DUMMYFUNCTION("""COMPUTED_VALUE"""),27946.92)</f>
        <v>27946.92</v>
      </c>
      <c r="H281" s="434">
        <f>IFERROR(__xludf.DUMMYFUNCTION("""COMPUTED_VALUE"""),45205.99861111111)</f>
        <v>45205.99861</v>
      </c>
      <c r="I281" s="433">
        <f>IFERROR(__xludf.DUMMYFUNCTION("""COMPUTED_VALUE"""),1611.3657)</f>
        <v>1611.3657</v>
      </c>
    </row>
    <row r="282">
      <c r="A282" s="434">
        <f>IFERROR(__xludf.DUMMYFUNCTION("""COMPUTED_VALUE"""),42887.99861111111)</f>
        <v>42887.99861</v>
      </c>
      <c r="B282" s="433">
        <f>IFERROR(__xludf.DUMMYFUNCTION("""COMPUTED_VALUE"""),2387.53)</f>
        <v>2387.53</v>
      </c>
      <c r="C282" s="434">
        <f>IFERROR(__xludf.DUMMYFUNCTION("""COMPUTED_VALUE"""),42503.99861111111)</f>
        <v>42503.99861</v>
      </c>
      <c r="D282" s="433">
        <f>IFERROR(__xludf.DUMMYFUNCTION("""COMPUTED_VALUE"""),10.0623)</f>
        <v>10.0623</v>
      </c>
      <c r="F282" s="434">
        <f>IFERROR(__xludf.DUMMYFUNCTION("""COMPUTED_VALUE"""),45206.99861111111)</f>
        <v>45206.99861</v>
      </c>
      <c r="G282" s="433">
        <f>IFERROR(__xludf.DUMMYFUNCTION("""COMPUTED_VALUE"""),27973.48)</f>
        <v>27973.48</v>
      </c>
      <c r="H282" s="434">
        <f>IFERROR(__xludf.DUMMYFUNCTION("""COMPUTED_VALUE"""),45206.99861111111)</f>
        <v>45206.99861</v>
      </c>
      <c r="I282" s="433">
        <f>IFERROR(__xludf.DUMMYFUNCTION("""COMPUTED_VALUE"""),1645.8109)</f>
        <v>1645.8109</v>
      </c>
    </row>
    <row r="283">
      <c r="A283" s="434">
        <f>IFERROR(__xludf.DUMMYFUNCTION("""COMPUTED_VALUE"""),42888.99861111111)</f>
        <v>42888.99861</v>
      </c>
      <c r="B283" s="433">
        <f>IFERROR(__xludf.DUMMYFUNCTION("""COMPUTED_VALUE"""),2417.58)</f>
        <v>2417.58</v>
      </c>
      <c r="C283" s="434">
        <f>IFERROR(__xludf.DUMMYFUNCTION("""COMPUTED_VALUE"""),42504.99861111111)</f>
        <v>42504.99861</v>
      </c>
      <c r="D283" s="433">
        <f>IFERROR(__xludf.DUMMYFUNCTION("""COMPUTED_VALUE"""),10.5051)</f>
        <v>10.5051</v>
      </c>
      <c r="F283" s="434">
        <f>IFERROR(__xludf.DUMMYFUNCTION("""COMPUTED_VALUE"""),45207.99861111111)</f>
        <v>45207.99861</v>
      </c>
      <c r="G283" s="433">
        <f>IFERROR(__xludf.DUMMYFUNCTION("""COMPUTED_VALUE"""),27932.73)</f>
        <v>27932.73</v>
      </c>
      <c r="H283" s="434">
        <f>IFERROR(__xludf.DUMMYFUNCTION("""COMPUTED_VALUE"""),45207.99861111111)</f>
        <v>45207.99861</v>
      </c>
      <c r="I283" s="433">
        <f>IFERROR(__xludf.DUMMYFUNCTION("""COMPUTED_VALUE"""),1634.6574)</f>
        <v>1634.6574</v>
      </c>
    </row>
    <row r="284">
      <c r="A284" s="434">
        <f>IFERROR(__xludf.DUMMYFUNCTION("""COMPUTED_VALUE"""),42891.99861111111)</f>
        <v>42891.99861</v>
      </c>
      <c r="B284" s="433">
        <f>IFERROR(__xludf.DUMMYFUNCTION("""COMPUTED_VALUE"""),2593.01)</f>
        <v>2593.01</v>
      </c>
      <c r="C284" s="434">
        <f>IFERROR(__xludf.DUMMYFUNCTION("""COMPUTED_VALUE"""),42505.99861111111)</f>
        <v>42505.99861</v>
      </c>
      <c r="D284" s="433">
        <f>IFERROR(__xludf.DUMMYFUNCTION("""COMPUTED_VALUE"""),10.2386)</f>
        <v>10.2386</v>
      </c>
      <c r="F284" s="434">
        <f>IFERROR(__xludf.DUMMYFUNCTION("""COMPUTED_VALUE"""),45208.99861111111)</f>
        <v>45208.99861</v>
      </c>
      <c r="G284" s="433">
        <f>IFERROR(__xludf.DUMMYFUNCTION("""COMPUTED_VALUE"""),27590.5)</f>
        <v>27590.5</v>
      </c>
      <c r="H284" s="434">
        <f>IFERROR(__xludf.DUMMYFUNCTION("""COMPUTED_VALUE"""),45208.99861111111)</f>
        <v>45208.99861</v>
      </c>
      <c r="I284" s="433">
        <f>IFERROR(__xludf.DUMMYFUNCTION("""COMPUTED_VALUE"""),1633.4549)</f>
        <v>1633.4549</v>
      </c>
    </row>
    <row r="285">
      <c r="A285" s="434">
        <f>IFERROR(__xludf.DUMMYFUNCTION("""COMPUTED_VALUE"""),42892.99861111111)</f>
        <v>42892.99861</v>
      </c>
      <c r="B285" s="433">
        <f>IFERROR(__xludf.DUMMYFUNCTION("""COMPUTED_VALUE"""),2822.52)</f>
        <v>2822.52</v>
      </c>
      <c r="C285" s="434">
        <f>IFERROR(__xludf.DUMMYFUNCTION("""COMPUTED_VALUE"""),42506.99861111111)</f>
        <v>42506.99861</v>
      </c>
      <c r="D285" s="433">
        <f>IFERROR(__xludf.DUMMYFUNCTION("""COMPUTED_VALUE"""),9.9687)</f>
        <v>9.9687</v>
      </c>
      <c r="F285" s="434">
        <f>IFERROR(__xludf.DUMMYFUNCTION("""COMPUTED_VALUE"""),45209.99861111111)</f>
        <v>45209.99861</v>
      </c>
      <c r="G285" s="433">
        <f>IFERROR(__xludf.DUMMYFUNCTION("""COMPUTED_VALUE"""),27395.59)</f>
        <v>27395.59</v>
      </c>
      <c r="H285" s="434">
        <f>IFERROR(__xludf.DUMMYFUNCTION("""COMPUTED_VALUE"""),45209.99861111111)</f>
        <v>45209.99861</v>
      </c>
      <c r="I285" s="433">
        <f>IFERROR(__xludf.DUMMYFUNCTION("""COMPUTED_VALUE"""),1580.1121)</f>
        <v>1580.1121</v>
      </c>
    </row>
    <row r="286">
      <c r="A286" s="434">
        <f>IFERROR(__xludf.DUMMYFUNCTION("""COMPUTED_VALUE"""),42893.99861111111)</f>
        <v>42893.99861</v>
      </c>
      <c r="B286" s="433">
        <f>IFERROR(__xludf.DUMMYFUNCTION("""COMPUTED_VALUE"""),2805.09)</f>
        <v>2805.09</v>
      </c>
      <c r="C286" s="434">
        <f>IFERROR(__xludf.DUMMYFUNCTION("""COMPUTED_VALUE"""),42507.99861111111)</f>
        <v>42507.99861</v>
      </c>
      <c r="D286" s="433">
        <f>IFERROR(__xludf.DUMMYFUNCTION("""COMPUTED_VALUE"""),11.1932)</f>
        <v>11.1932</v>
      </c>
      <c r="F286" s="434">
        <f>IFERROR(__xludf.DUMMYFUNCTION("""COMPUTED_VALUE"""),45210.99861111111)</f>
        <v>45210.99861</v>
      </c>
      <c r="G286" s="433">
        <f>IFERROR(__xludf.DUMMYFUNCTION("""COMPUTED_VALUE"""),26871.54)</f>
        <v>26871.54</v>
      </c>
      <c r="H286" s="434">
        <f>IFERROR(__xludf.DUMMYFUNCTION("""COMPUTED_VALUE"""),45210.99861111111)</f>
        <v>45210.99861</v>
      </c>
      <c r="I286" s="433">
        <f>IFERROR(__xludf.DUMMYFUNCTION("""COMPUTED_VALUE"""),1567.6808)</f>
        <v>1567.6808</v>
      </c>
    </row>
    <row r="287">
      <c r="A287" s="434">
        <f>IFERROR(__xludf.DUMMYFUNCTION("""COMPUTED_VALUE"""),42894.99861111111)</f>
        <v>42894.99861</v>
      </c>
      <c r="B287" s="433">
        <f>IFERROR(__xludf.DUMMYFUNCTION("""COMPUTED_VALUE"""),2743.88)</f>
        <v>2743.88</v>
      </c>
      <c r="C287" s="434">
        <f>IFERROR(__xludf.DUMMYFUNCTION("""COMPUTED_VALUE"""),42508.99861111111)</f>
        <v>42508.99861</v>
      </c>
      <c r="D287" s="433">
        <f>IFERROR(__xludf.DUMMYFUNCTION("""COMPUTED_VALUE"""),12.1793)</f>
        <v>12.1793</v>
      </c>
      <c r="F287" s="434">
        <f>IFERROR(__xludf.DUMMYFUNCTION("""COMPUTED_VALUE"""),45211.99861111111)</f>
        <v>45211.99861</v>
      </c>
      <c r="G287" s="433">
        <f>IFERROR(__xludf.DUMMYFUNCTION("""COMPUTED_VALUE"""),26755.97)</f>
        <v>26755.97</v>
      </c>
      <c r="H287" s="434">
        <f>IFERROR(__xludf.DUMMYFUNCTION("""COMPUTED_VALUE"""),45211.99861111111)</f>
        <v>45211.99861</v>
      </c>
      <c r="I287" s="433">
        <f>IFERROR(__xludf.DUMMYFUNCTION("""COMPUTED_VALUE"""),1566.356)</f>
        <v>1566.356</v>
      </c>
    </row>
    <row r="288">
      <c r="A288" s="434">
        <f>IFERROR(__xludf.DUMMYFUNCTION("""COMPUTED_VALUE"""),42895.99861111111)</f>
        <v>42895.99861</v>
      </c>
      <c r="B288" s="433">
        <f>IFERROR(__xludf.DUMMYFUNCTION("""COMPUTED_VALUE"""),2811.93)</f>
        <v>2811.93</v>
      </c>
      <c r="C288" s="434">
        <f>IFERROR(__xludf.DUMMYFUNCTION("""COMPUTED_VALUE"""),42509.99861111111)</f>
        <v>42509.99861</v>
      </c>
      <c r="D288" s="433">
        <f>IFERROR(__xludf.DUMMYFUNCTION("""COMPUTED_VALUE"""),13.5428)</f>
        <v>13.5428</v>
      </c>
      <c r="F288" s="434">
        <f>IFERROR(__xludf.DUMMYFUNCTION("""COMPUTED_VALUE"""),45212.99861111111)</f>
        <v>45212.99861</v>
      </c>
      <c r="G288" s="433">
        <f>IFERROR(__xludf.DUMMYFUNCTION("""COMPUTED_VALUE"""),26865.08)</f>
        <v>26865.08</v>
      </c>
      <c r="H288" s="434">
        <f>IFERROR(__xludf.DUMMYFUNCTION("""COMPUTED_VALUE"""),45212.99861111111)</f>
        <v>45212.99861</v>
      </c>
      <c r="I288" s="433">
        <f>IFERROR(__xludf.DUMMYFUNCTION("""COMPUTED_VALUE"""),1539.4328)</f>
        <v>1539.4328</v>
      </c>
    </row>
    <row r="289">
      <c r="A289" s="434">
        <f>IFERROR(__xludf.DUMMYFUNCTION("""COMPUTED_VALUE"""),42898.99861111111)</f>
        <v>42898.99861</v>
      </c>
      <c r="B289" s="433">
        <f>IFERROR(__xludf.DUMMYFUNCTION("""COMPUTED_VALUE"""),2799.44)</f>
        <v>2799.44</v>
      </c>
      <c r="C289" s="434">
        <f>IFERROR(__xludf.DUMMYFUNCTION("""COMPUTED_VALUE"""),42510.99861111111)</f>
        <v>42510.99861</v>
      </c>
      <c r="D289" s="433">
        <f>IFERROR(__xludf.DUMMYFUNCTION("""COMPUTED_VALUE"""),14.8532)</f>
        <v>14.8532</v>
      </c>
      <c r="F289" s="434">
        <f>IFERROR(__xludf.DUMMYFUNCTION("""COMPUTED_VALUE"""),45213.99861111111)</f>
        <v>45213.99861</v>
      </c>
      <c r="G289" s="433">
        <f>IFERROR(__xludf.DUMMYFUNCTION("""COMPUTED_VALUE"""),26855.49)</f>
        <v>26855.49</v>
      </c>
      <c r="H289" s="434">
        <f>IFERROR(__xludf.DUMMYFUNCTION("""COMPUTED_VALUE"""),45213.99861111111)</f>
        <v>45213.99861</v>
      </c>
      <c r="I289" s="433">
        <f>IFERROR(__xludf.DUMMYFUNCTION("""COMPUTED_VALUE"""),1552.2638)</f>
        <v>1552.2638</v>
      </c>
    </row>
    <row r="290">
      <c r="A290" s="434">
        <f>IFERROR(__xludf.DUMMYFUNCTION("""COMPUTED_VALUE"""),42899.99861111111)</f>
        <v>42899.99861</v>
      </c>
      <c r="B290" s="433">
        <f>IFERROR(__xludf.DUMMYFUNCTION("""COMPUTED_VALUE"""),2710.03)</f>
        <v>2710.03</v>
      </c>
      <c r="C290" s="434">
        <f>IFERROR(__xludf.DUMMYFUNCTION("""COMPUTED_VALUE"""),42511.99861111111)</f>
        <v>42511.99861</v>
      </c>
      <c r="D290" s="433">
        <f>IFERROR(__xludf.DUMMYFUNCTION("""COMPUTED_VALUE"""),13.6897)</f>
        <v>13.6897</v>
      </c>
      <c r="F290" s="434">
        <f>IFERROR(__xludf.DUMMYFUNCTION("""COMPUTED_VALUE"""),45214.99861111111)</f>
        <v>45214.99861</v>
      </c>
      <c r="G290" s="433">
        <f>IFERROR(__xludf.DUMMYFUNCTION("""COMPUTED_VALUE"""),27174.18)</f>
        <v>27174.18</v>
      </c>
      <c r="H290" s="434">
        <f>IFERROR(__xludf.DUMMYFUNCTION("""COMPUTED_VALUE"""),45214.99861111111)</f>
        <v>45214.99861</v>
      </c>
      <c r="I290" s="433">
        <f>IFERROR(__xludf.DUMMYFUNCTION("""COMPUTED_VALUE"""),1555.0761)</f>
        <v>1555.0761</v>
      </c>
    </row>
    <row r="291">
      <c r="A291" s="434">
        <f>IFERROR(__xludf.DUMMYFUNCTION("""COMPUTED_VALUE"""),42900.99861111111)</f>
        <v>42900.99861</v>
      </c>
      <c r="B291" s="433">
        <f>IFERROR(__xludf.DUMMYFUNCTION("""COMPUTED_VALUE"""),2660.6)</f>
        <v>2660.6</v>
      </c>
      <c r="C291" s="434">
        <f>IFERROR(__xludf.DUMMYFUNCTION("""COMPUTED_VALUE"""),42512.99861111111)</f>
        <v>42512.99861</v>
      </c>
      <c r="D291" s="433">
        <f>IFERROR(__xludf.DUMMYFUNCTION("""COMPUTED_VALUE"""),14.0405)</f>
        <v>14.0405</v>
      </c>
      <c r="F291" s="434">
        <f>IFERROR(__xludf.DUMMYFUNCTION("""COMPUTED_VALUE"""),45215.99861111111)</f>
        <v>45215.99861</v>
      </c>
      <c r="G291" s="433">
        <f>IFERROR(__xludf.DUMMYFUNCTION("""COMPUTED_VALUE"""),28515.97)</f>
        <v>28515.97</v>
      </c>
      <c r="H291" s="434">
        <f>IFERROR(__xludf.DUMMYFUNCTION("""COMPUTED_VALUE"""),45215.99861111111)</f>
        <v>45215.99861</v>
      </c>
      <c r="I291" s="433">
        <f>IFERROR(__xludf.DUMMYFUNCTION("""COMPUTED_VALUE"""),1558.3135)</f>
        <v>1558.3135</v>
      </c>
    </row>
    <row r="292">
      <c r="A292" s="434">
        <f>IFERROR(__xludf.DUMMYFUNCTION("""COMPUTED_VALUE"""),42901.99861111111)</f>
        <v>42901.99861</v>
      </c>
      <c r="B292" s="433">
        <f>IFERROR(__xludf.DUMMYFUNCTION("""COMPUTED_VALUE"""),2364.03)</f>
        <v>2364.03</v>
      </c>
      <c r="C292" s="434">
        <f>IFERROR(__xludf.DUMMYFUNCTION("""COMPUTED_VALUE"""),42513.99861111111)</f>
        <v>42513.99861</v>
      </c>
      <c r="D292" s="433">
        <f>IFERROR(__xludf.DUMMYFUNCTION("""COMPUTED_VALUE"""),14.2798)</f>
        <v>14.2798</v>
      </c>
      <c r="F292" s="434">
        <f>IFERROR(__xludf.DUMMYFUNCTION("""COMPUTED_VALUE"""),45216.99861111111)</f>
        <v>45216.99861</v>
      </c>
      <c r="G292" s="433">
        <f>IFERROR(__xludf.DUMMYFUNCTION("""COMPUTED_VALUE"""),28407.2)</f>
        <v>28407.2</v>
      </c>
      <c r="H292" s="434">
        <f>IFERROR(__xludf.DUMMYFUNCTION("""COMPUTED_VALUE"""),45216.99861111111)</f>
        <v>45216.99861</v>
      </c>
      <c r="I292" s="433">
        <f>IFERROR(__xludf.DUMMYFUNCTION("""COMPUTED_VALUE"""),1600.6356)</f>
        <v>1600.6356</v>
      </c>
    </row>
    <row r="293">
      <c r="A293" s="434">
        <f>IFERROR(__xludf.DUMMYFUNCTION("""COMPUTED_VALUE"""),42902.99861111111)</f>
        <v>42902.99861</v>
      </c>
      <c r="B293" s="433">
        <f>IFERROR(__xludf.DUMMYFUNCTION("""COMPUTED_VALUE"""),2450.47)</f>
        <v>2450.47</v>
      </c>
      <c r="C293" s="434">
        <f>IFERROR(__xludf.DUMMYFUNCTION("""COMPUTED_VALUE"""),42514.99861111111)</f>
        <v>42514.99861</v>
      </c>
      <c r="D293" s="433">
        <f>IFERROR(__xludf.DUMMYFUNCTION("""COMPUTED_VALUE"""),13.3054)</f>
        <v>13.3054</v>
      </c>
      <c r="F293" s="434">
        <f>IFERROR(__xludf.DUMMYFUNCTION("""COMPUTED_VALUE"""),45217.99861111111)</f>
        <v>45217.99861</v>
      </c>
      <c r="G293" s="433">
        <f>IFERROR(__xludf.DUMMYFUNCTION("""COMPUTED_VALUE"""),28326.92)</f>
        <v>28326.92</v>
      </c>
      <c r="H293" s="434">
        <f>IFERROR(__xludf.DUMMYFUNCTION("""COMPUTED_VALUE"""),45217.99861111111)</f>
        <v>45217.99861</v>
      </c>
      <c r="I293" s="433">
        <f>IFERROR(__xludf.DUMMYFUNCTION("""COMPUTED_VALUE"""),1565.3828)</f>
        <v>1565.3828</v>
      </c>
    </row>
    <row r="294">
      <c r="A294" s="434">
        <f>IFERROR(__xludf.DUMMYFUNCTION("""COMPUTED_VALUE"""),42905.99861111111)</f>
        <v>42905.99861</v>
      </c>
      <c r="B294" s="433">
        <f>IFERROR(__xludf.DUMMYFUNCTION("""COMPUTED_VALUE"""),2549.3)</f>
        <v>2549.3</v>
      </c>
      <c r="C294" s="434">
        <f>IFERROR(__xludf.DUMMYFUNCTION("""COMPUTED_VALUE"""),42515.99861111111)</f>
        <v>42515.99861</v>
      </c>
      <c r="D294" s="433">
        <f>IFERROR(__xludf.DUMMYFUNCTION("""COMPUTED_VALUE"""),12.7932)</f>
        <v>12.7932</v>
      </c>
      <c r="F294" s="434">
        <f>IFERROR(__xludf.DUMMYFUNCTION("""COMPUTED_VALUE"""),45218.99861111111)</f>
        <v>45218.99861</v>
      </c>
      <c r="G294" s="433">
        <f>IFERROR(__xludf.DUMMYFUNCTION("""COMPUTED_VALUE"""),28729.38)</f>
        <v>28729.38</v>
      </c>
      <c r="H294" s="434">
        <f>IFERROR(__xludf.DUMMYFUNCTION("""COMPUTED_VALUE"""),45218.99861111111)</f>
        <v>45218.99861</v>
      </c>
      <c r="I294" s="433">
        <f>IFERROR(__xludf.DUMMYFUNCTION("""COMPUTED_VALUE"""),1563.9581)</f>
        <v>1563.9581</v>
      </c>
    </row>
    <row r="295">
      <c r="A295" s="434">
        <f>IFERROR(__xludf.DUMMYFUNCTION("""COMPUTED_VALUE"""),42906.99861111111)</f>
        <v>42906.99861</v>
      </c>
      <c r="B295" s="433">
        <f>IFERROR(__xludf.DUMMYFUNCTION("""COMPUTED_VALUE"""),2649.36)</f>
        <v>2649.36</v>
      </c>
      <c r="C295" s="434">
        <f>IFERROR(__xludf.DUMMYFUNCTION("""COMPUTED_VALUE"""),42516.99861111111)</f>
        <v>42516.99861</v>
      </c>
      <c r="D295" s="433">
        <f>IFERROR(__xludf.DUMMYFUNCTION("""COMPUTED_VALUE"""),12.5161)</f>
        <v>12.5161</v>
      </c>
      <c r="F295" s="434">
        <f>IFERROR(__xludf.DUMMYFUNCTION("""COMPUTED_VALUE"""),45219.99861111111)</f>
        <v>45219.99861</v>
      </c>
      <c r="G295" s="433">
        <f>IFERROR(__xludf.DUMMYFUNCTION("""COMPUTED_VALUE"""),29681.35)</f>
        <v>29681.35</v>
      </c>
      <c r="H295" s="434">
        <f>IFERROR(__xludf.DUMMYFUNCTION("""COMPUTED_VALUE"""),45219.99861111111)</f>
        <v>45219.99861</v>
      </c>
      <c r="I295" s="433">
        <f>IFERROR(__xludf.DUMMYFUNCTION("""COMPUTED_VALUE"""),1567.571)</f>
        <v>1567.571</v>
      </c>
    </row>
    <row r="296">
      <c r="A296" s="434">
        <f>IFERROR(__xludf.DUMMYFUNCTION("""COMPUTED_VALUE"""),42907.99861111111)</f>
        <v>42907.99861</v>
      </c>
      <c r="B296" s="433">
        <f>IFERROR(__xludf.DUMMYFUNCTION("""COMPUTED_VALUE"""),2696.38)</f>
        <v>2696.38</v>
      </c>
      <c r="C296" s="434">
        <f>IFERROR(__xludf.DUMMYFUNCTION("""COMPUTED_VALUE"""),42517.99861111111)</f>
        <v>42517.99861</v>
      </c>
      <c r="D296" s="433">
        <f>IFERROR(__xludf.DUMMYFUNCTION("""COMPUTED_VALUE"""),12.3894)</f>
        <v>12.3894</v>
      </c>
      <c r="F296" s="434">
        <f>IFERROR(__xludf.DUMMYFUNCTION("""COMPUTED_VALUE"""),45220.99861111111)</f>
        <v>45220.99861</v>
      </c>
      <c r="G296" s="433">
        <f>IFERROR(__xludf.DUMMYFUNCTION("""COMPUTED_VALUE"""),29922.28)</f>
        <v>29922.28</v>
      </c>
      <c r="H296" s="434">
        <f>IFERROR(__xludf.DUMMYFUNCTION("""COMPUTED_VALUE"""),45220.99861111111)</f>
        <v>45220.99861</v>
      </c>
      <c r="I296" s="433">
        <f>IFERROR(__xludf.DUMMYFUNCTION("""COMPUTED_VALUE"""),1604.8222)</f>
        <v>1604.8222</v>
      </c>
    </row>
    <row r="297">
      <c r="A297" s="434">
        <f>IFERROR(__xludf.DUMMYFUNCTION("""COMPUTED_VALUE"""),42908.99861111111)</f>
        <v>42908.99861</v>
      </c>
      <c r="B297" s="433">
        <f>IFERROR(__xludf.DUMMYFUNCTION("""COMPUTED_VALUE"""),2671.54)</f>
        <v>2671.54</v>
      </c>
      <c r="C297" s="434">
        <f>IFERROR(__xludf.DUMMYFUNCTION("""COMPUTED_VALUE"""),42518.99861111111)</f>
        <v>42518.99861</v>
      </c>
      <c r="D297" s="433">
        <f>IFERROR(__xludf.DUMMYFUNCTION("""COMPUTED_VALUE"""),11.3332)</f>
        <v>11.3332</v>
      </c>
      <c r="F297" s="434">
        <f>IFERROR(__xludf.DUMMYFUNCTION("""COMPUTED_VALUE"""),45221.99861111111)</f>
        <v>45221.99861</v>
      </c>
      <c r="G297" s="433">
        <f>IFERROR(__xludf.DUMMYFUNCTION("""COMPUTED_VALUE"""),29997.57)</f>
        <v>29997.57</v>
      </c>
      <c r="H297" s="434">
        <f>IFERROR(__xludf.DUMMYFUNCTION("""COMPUTED_VALUE"""),45221.99861111111)</f>
        <v>45221.99861</v>
      </c>
      <c r="I297" s="433">
        <f>IFERROR(__xludf.DUMMYFUNCTION("""COMPUTED_VALUE"""),1629.2978)</f>
        <v>1629.2978</v>
      </c>
    </row>
    <row r="298">
      <c r="A298" s="434">
        <f>IFERROR(__xludf.DUMMYFUNCTION("""COMPUTED_VALUE"""),42909.99861111111)</f>
        <v>42909.99861</v>
      </c>
      <c r="B298" s="433">
        <f>IFERROR(__xludf.DUMMYFUNCTION("""COMPUTED_VALUE"""),2705.71)</f>
        <v>2705.71</v>
      </c>
      <c r="C298" s="434">
        <f>IFERROR(__xludf.DUMMYFUNCTION("""COMPUTED_VALUE"""),42519.99861111111)</f>
        <v>42519.99861</v>
      </c>
      <c r="D298" s="433">
        <f>IFERROR(__xludf.DUMMYFUNCTION("""COMPUTED_VALUE"""),12.1122)</f>
        <v>12.1122</v>
      </c>
      <c r="F298" s="434">
        <f>IFERROR(__xludf.DUMMYFUNCTION("""COMPUTED_VALUE"""),45222.99861111111)</f>
        <v>45222.99861</v>
      </c>
      <c r="G298" s="433">
        <f>IFERROR(__xludf.DUMMYFUNCTION("""COMPUTED_VALUE"""),33069.62)</f>
        <v>33069.62</v>
      </c>
      <c r="H298" s="434">
        <f>IFERROR(__xludf.DUMMYFUNCTION("""COMPUTED_VALUE"""),45222.99861111111)</f>
        <v>45222.99861</v>
      </c>
      <c r="I298" s="433">
        <f>IFERROR(__xludf.DUMMYFUNCTION("""COMPUTED_VALUE"""),1664.3236)</f>
        <v>1664.3236</v>
      </c>
    </row>
    <row r="299">
      <c r="A299" s="434">
        <f>IFERROR(__xludf.DUMMYFUNCTION("""COMPUTED_VALUE"""),42912.99861111111)</f>
        <v>42912.99861</v>
      </c>
      <c r="B299" s="433">
        <f>IFERROR(__xludf.DUMMYFUNCTION("""COMPUTED_VALUE"""),2456.39)</f>
        <v>2456.39</v>
      </c>
      <c r="C299" s="434">
        <f>IFERROR(__xludf.DUMMYFUNCTION("""COMPUTED_VALUE"""),42520.99861111111)</f>
        <v>42520.99861</v>
      </c>
      <c r="D299" s="433">
        <f>IFERROR(__xludf.DUMMYFUNCTION("""COMPUTED_VALUE"""),12.3253)</f>
        <v>12.3253</v>
      </c>
      <c r="F299" s="434">
        <f>IFERROR(__xludf.DUMMYFUNCTION("""COMPUTED_VALUE"""),45223.99861111111)</f>
        <v>45223.99861</v>
      </c>
      <c r="G299" s="433">
        <f>IFERROR(__xludf.DUMMYFUNCTION("""COMPUTED_VALUE"""),33919.16)</f>
        <v>33919.16</v>
      </c>
      <c r="H299" s="434">
        <f>IFERROR(__xludf.DUMMYFUNCTION("""COMPUTED_VALUE"""),45223.99861111111)</f>
        <v>45223.99861</v>
      </c>
      <c r="I299" s="433">
        <f>IFERROR(__xludf.DUMMYFUNCTION("""COMPUTED_VALUE"""),1766.0146)</f>
        <v>1766.0146</v>
      </c>
    </row>
    <row r="300">
      <c r="A300" s="434">
        <f>IFERROR(__xludf.DUMMYFUNCTION("""COMPUTED_VALUE"""),42913.99861111111)</f>
        <v>42913.99861</v>
      </c>
      <c r="B300" s="433">
        <f>IFERROR(__xludf.DUMMYFUNCTION("""COMPUTED_VALUE"""),2402.06)</f>
        <v>2402.06</v>
      </c>
      <c r="C300" s="434">
        <f>IFERROR(__xludf.DUMMYFUNCTION("""COMPUTED_VALUE"""),42521.99861111111)</f>
        <v>42521.99861</v>
      </c>
      <c r="D300" s="433">
        <f>IFERROR(__xludf.DUMMYFUNCTION("""COMPUTED_VALUE"""),12.7435)</f>
        <v>12.7435</v>
      </c>
      <c r="F300" s="434">
        <f>IFERROR(__xludf.DUMMYFUNCTION("""COMPUTED_VALUE"""),45224.99861111111)</f>
        <v>45224.99861</v>
      </c>
      <c r="G300" s="433">
        <f>IFERROR(__xludf.DUMMYFUNCTION("""COMPUTED_VALUE"""),34500.52)</f>
        <v>34500.52</v>
      </c>
      <c r="H300" s="434">
        <f>IFERROR(__xludf.DUMMYFUNCTION("""COMPUTED_VALUE"""),45224.99861111111)</f>
        <v>45224.99861</v>
      </c>
      <c r="I300" s="433">
        <f>IFERROR(__xludf.DUMMYFUNCTION("""COMPUTED_VALUE"""),1784.905)</f>
        <v>1784.905</v>
      </c>
    </row>
    <row r="301">
      <c r="A301" s="434">
        <f>IFERROR(__xludf.DUMMYFUNCTION("""COMPUTED_VALUE"""),42914.99861111111)</f>
        <v>42914.99861</v>
      </c>
      <c r="B301" s="433">
        <f>IFERROR(__xludf.DUMMYFUNCTION("""COMPUTED_VALUE"""),2527.85)</f>
        <v>2527.85</v>
      </c>
      <c r="C301" s="434">
        <f>IFERROR(__xludf.DUMMYFUNCTION("""COMPUTED_VALUE"""),42522.99861111111)</f>
        <v>42522.99861</v>
      </c>
      <c r="D301" s="433">
        <f>IFERROR(__xludf.DUMMYFUNCTION("""COMPUTED_VALUE"""),14.1098)</f>
        <v>14.1098</v>
      </c>
      <c r="F301" s="434">
        <f>IFERROR(__xludf.DUMMYFUNCTION("""COMPUTED_VALUE"""),45225.99861111111)</f>
        <v>45225.99861</v>
      </c>
      <c r="G301" s="433">
        <f>IFERROR(__xludf.DUMMYFUNCTION("""COMPUTED_VALUE"""),34155.89)</f>
        <v>34155.89</v>
      </c>
      <c r="H301" s="434">
        <f>IFERROR(__xludf.DUMMYFUNCTION("""COMPUTED_VALUE"""),45225.99861111111)</f>
        <v>45225.99861</v>
      </c>
      <c r="I301" s="433">
        <f>IFERROR(__xludf.DUMMYFUNCTION("""COMPUTED_VALUE"""),1787.4819)</f>
        <v>1787.4819</v>
      </c>
    </row>
    <row r="302">
      <c r="A302" s="434">
        <f>IFERROR(__xludf.DUMMYFUNCTION("""COMPUTED_VALUE"""),42915.99861111111)</f>
        <v>42915.99861</v>
      </c>
      <c r="B302" s="433">
        <f>IFERROR(__xludf.DUMMYFUNCTION("""COMPUTED_VALUE"""),2551.48)</f>
        <v>2551.48</v>
      </c>
      <c r="C302" s="434">
        <f>IFERROR(__xludf.DUMMYFUNCTION("""COMPUTED_VALUE"""),42523.99861111111)</f>
        <v>42523.99861</v>
      </c>
      <c r="D302" s="433">
        <f>IFERROR(__xludf.DUMMYFUNCTION("""COMPUTED_VALUE"""),13.9917)</f>
        <v>13.9917</v>
      </c>
      <c r="F302" s="434">
        <f>IFERROR(__xludf.DUMMYFUNCTION("""COMPUTED_VALUE"""),45226.99861111111)</f>
        <v>45226.99861</v>
      </c>
      <c r="G302" s="433">
        <f>IFERROR(__xludf.DUMMYFUNCTION("""COMPUTED_VALUE"""),33906.76)</f>
        <v>33906.76</v>
      </c>
      <c r="H302" s="434">
        <f>IFERROR(__xludf.DUMMYFUNCTION("""COMPUTED_VALUE"""),45226.99861111111)</f>
        <v>45226.99861</v>
      </c>
      <c r="I302" s="433">
        <f>IFERROR(__xludf.DUMMYFUNCTION("""COMPUTED_VALUE"""),1803.7949)</f>
        <v>1803.7949</v>
      </c>
    </row>
    <row r="303">
      <c r="A303" s="434">
        <f>IFERROR(__xludf.DUMMYFUNCTION("""COMPUTED_VALUE"""),42916.99861111111)</f>
        <v>42916.99861</v>
      </c>
      <c r="B303" s="433">
        <f>IFERROR(__xludf.DUMMYFUNCTION("""COMPUTED_VALUE"""),2512.72)</f>
        <v>2512.72</v>
      </c>
      <c r="C303" s="434">
        <f>IFERROR(__xludf.DUMMYFUNCTION("""COMPUTED_VALUE"""),42524.99861111111)</f>
        <v>42524.99861</v>
      </c>
      <c r="D303" s="433">
        <f>IFERROR(__xludf.DUMMYFUNCTION("""COMPUTED_VALUE"""),13.7429)</f>
        <v>13.7429</v>
      </c>
      <c r="F303" s="434">
        <f>IFERROR(__xludf.DUMMYFUNCTION("""COMPUTED_VALUE"""),45227.99861111111)</f>
        <v>45227.99861</v>
      </c>
      <c r="G303" s="433">
        <f>IFERROR(__xludf.DUMMYFUNCTION("""COMPUTED_VALUE"""),34095.03)</f>
        <v>34095.03</v>
      </c>
      <c r="H303" s="434">
        <f>IFERROR(__xludf.DUMMYFUNCTION("""COMPUTED_VALUE"""),45227.99861111111)</f>
        <v>45227.99861</v>
      </c>
      <c r="I303" s="433">
        <f>IFERROR(__xludf.DUMMYFUNCTION("""COMPUTED_VALUE"""),1780.0842)</f>
        <v>1780.0842</v>
      </c>
    </row>
    <row r="304">
      <c r="A304" s="434">
        <f>IFERROR(__xludf.DUMMYFUNCTION("""COMPUTED_VALUE"""),42919.99861111111)</f>
        <v>42919.99861</v>
      </c>
      <c r="B304" s="433">
        <f>IFERROR(__xludf.DUMMYFUNCTION("""COMPUTED_VALUE"""),2516.91)</f>
        <v>2516.91</v>
      </c>
      <c r="C304" s="434">
        <f>IFERROR(__xludf.DUMMYFUNCTION("""COMPUTED_VALUE"""),42525.99861111111)</f>
        <v>42525.99861</v>
      </c>
      <c r="D304" s="433">
        <f>IFERROR(__xludf.DUMMYFUNCTION("""COMPUTED_VALUE"""),13.8643)</f>
        <v>13.8643</v>
      </c>
      <c r="F304" s="434">
        <f>IFERROR(__xludf.DUMMYFUNCTION("""COMPUTED_VALUE"""),45228.99861111111)</f>
        <v>45228.99861</v>
      </c>
      <c r="G304" s="433">
        <f>IFERROR(__xludf.DUMMYFUNCTION("""COMPUTED_VALUE"""),34537.25)</f>
        <v>34537.25</v>
      </c>
      <c r="H304" s="434">
        <f>IFERROR(__xludf.DUMMYFUNCTION("""COMPUTED_VALUE"""),45228.99861111111)</f>
        <v>45228.99861</v>
      </c>
      <c r="I304" s="433">
        <f>IFERROR(__xludf.DUMMYFUNCTION("""COMPUTED_VALUE"""),1776.5639)</f>
        <v>1776.5639</v>
      </c>
    </row>
    <row r="305">
      <c r="A305" s="434">
        <f>IFERROR(__xludf.DUMMYFUNCTION("""COMPUTED_VALUE"""),42920.99861111111)</f>
        <v>42920.99861</v>
      </c>
      <c r="B305" s="433">
        <f>IFERROR(__xludf.DUMMYFUNCTION("""COMPUTED_VALUE"""),2592.41)</f>
        <v>2592.41</v>
      </c>
      <c r="C305" s="434">
        <f>IFERROR(__xludf.DUMMYFUNCTION("""COMPUTED_VALUE"""),42526.99861111111)</f>
        <v>42526.99861</v>
      </c>
      <c r="D305" s="433">
        <f>IFERROR(__xludf.DUMMYFUNCTION("""COMPUTED_VALUE"""),13.7625)</f>
        <v>13.7625</v>
      </c>
      <c r="F305" s="434">
        <f>IFERROR(__xludf.DUMMYFUNCTION("""COMPUTED_VALUE"""),45229.99861111111)</f>
        <v>45229.99861</v>
      </c>
      <c r="G305" s="433">
        <f>IFERROR(__xludf.DUMMYFUNCTION("""COMPUTED_VALUE"""),34494.36)</f>
        <v>34494.36</v>
      </c>
      <c r="H305" s="434">
        <f>IFERROR(__xludf.DUMMYFUNCTION("""COMPUTED_VALUE"""),45229.99861111111)</f>
        <v>45229.99861</v>
      </c>
      <c r="I305" s="433">
        <f>IFERROR(__xludf.DUMMYFUNCTION("""COMPUTED_VALUE"""),1795.5891)</f>
        <v>1795.5891</v>
      </c>
    </row>
    <row r="306">
      <c r="A306" s="434">
        <f>IFERROR(__xludf.DUMMYFUNCTION("""COMPUTED_VALUE"""),42921.99861111111)</f>
        <v>42921.99861</v>
      </c>
      <c r="B306" s="433">
        <f>IFERROR(__xludf.DUMMYFUNCTION("""COMPUTED_VALUE"""),2569.1)</f>
        <v>2569.1</v>
      </c>
      <c r="C306" s="434">
        <f>IFERROR(__xludf.DUMMYFUNCTION("""COMPUTED_VALUE"""),42527.99861111111)</f>
        <v>42527.99861</v>
      </c>
      <c r="D306" s="433">
        <f>IFERROR(__xludf.DUMMYFUNCTION("""COMPUTED_VALUE"""),14.0007)</f>
        <v>14.0007</v>
      </c>
      <c r="F306" s="434">
        <f>IFERROR(__xludf.DUMMYFUNCTION("""COMPUTED_VALUE"""),45230.99861111111)</f>
        <v>45230.99861</v>
      </c>
      <c r="G306" s="433">
        <f>IFERROR(__xludf.DUMMYFUNCTION("""COMPUTED_VALUE"""),34661.5)</f>
        <v>34661.5</v>
      </c>
      <c r="H306" s="434">
        <f>IFERROR(__xludf.DUMMYFUNCTION("""COMPUTED_VALUE"""),45230.99861111111)</f>
        <v>45230.99861</v>
      </c>
      <c r="I306" s="433">
        <f>IFERROR(__xludf.DUMMYFUNCTION("""COMPUTED_VALUE"""),1810.1316)</f>
        <v>1810.1316</v>
      </c>
    </row>
    <row r="307">
      <c r="A307" s="434">
        <f>IFERROR(__xludf.DUMMYFUNCTION("""COMPUTED_VALUE"""),42922.99861111111)</f>
        <v>42922.99861</v>
      </c>
      <c r="B307" s="433">
        <f>IFERROR(__xludf.DUMMYFUNCTION("""COMPUTED_VALUE"""),2594.21)</f>
        <v>2594.21</v>
      </c>
      <c r="C307" s="434">
        <f>IFERROR(__xludf.DUMMYFUNCTION("""COMPUTED_VALUE"""),42528.99861111111)</f>
        <v>42528.99861</v>
      </c>
      <c r="D307" s="433">
        <f>IFERROR(__xludf.DUMMYFUNCTION("""COMPUTED_VALUE"""),13.9453)</f>
        <v>13.9453</v>
      </c>
      <c r="F307" s="434">
        <f>IFERROR(__xludf.DUMMYFUNCTION("""COMPUTED_VALUE"""),45231.99861111111)</f>
        <v>45231.99861</v>
      </c>
      <c r="G307" s="433">
        <f>IFERROR(__xludf.DUMMYFUNCTION("""COMPUTED_VALUE"""),35436.0)</f>
        <v>35436</v>
      </c>
      <c r="H307" s="434">
        <f>IFERROR(__xludf.DUMMYFUNCTION("""COMPUTED_VALUE"""),45231.99861111111)</f>
        <v>45231.99861</v>
      </c>
      <c r="I307" s="433">
        <f>IFERROR(__xludf.DUMMYFUNCTION("""COMPUTED_VALUE"""),1815.8721)</f>
        <v>1815.8721</v>
      </c>
    </row>
    <row r="308">
      <c r="A308" s="434">
        <f>IFERROR(__xludf.DUMMYFUNCTION("""COMPUTED_VALUE"""),42923.99861111111)</f>
        <v>42923.99861</v>
      </c>
      <c r="B308" s="433">
        <f>IFERROR(__xludf.DUMMYFUNCTION("""COMPUTED_VALUE"""),2542.14)</f>
        <v>2542.14</v>
      </c>
      <c r="C308" s="434">
        <f>IFERROR(__xludf.DUMMYFUNCTION("""COMPUTED_VALUE"""),42529.99861111111)</f>
        <v>42529.99861</v>
      </c>
      <c r="D308" s="433">
        <f>IFERROR(__xludf.DUMMYFUNCTION("""COMPUTED_VALUE"""),14.5079)</f>
        <v>14.5079</v>
      </c>
      <c r="F308" s="434">
        <f>IFERROR(__xludf.DUMMYFUNCTION("""COMPUTED_VALUE"""),45232.99861111111)</f>
        <v>45232.99861</v>
      </c>
      <c r="G308" s="433">
        <f>IFERROR(__xludf.DUMMYFUNCTION("""COMPUTED_VALUE"""),34945.19)</f>
        <v>34945.19</v>
      </c>
      <c r="H308" s="434">
        <f>IFERROR(__xludf.DUMMYFUNCTION("""COMPUTED_VALUE"""),45232.99861111111)</f>
        <v>45232.99861</v>
      </c>
      <c r="I308" s="433">
        <f>IFERROR(__xludf.DUMMYFUNCTION("""COMPUTED_VALUE"""),1847.2599)</f>
        <v>1847.2599</v>
      </c>
    </row>
    <row r="309">
      <c r="A309" s="434">
        <f>IFERROR(__xludf.DUMMYFUNCTION("""COMPUTED_VALUE"""),42926.99861111111)</f>
        <v>42926.99861</v>
      </c>
      <c r="B309" s="433">
        <f>IFERROR(__xludf.DUMMYFUNCTION("""COMPUTED_VALUE"""),2452.26)</f>
        <v>2452.26</v>
      </c>
      <c r="C309" s="434">
        <f>IFERROR(__xludf.DUMMYFUNCTION("""COMPUTED_VALUE"""),42530.99861111111)</f>
        <v>42530.99861</v>
      </c>
      <c r="D309" s="433">
        <f>IFERROR(__xludf.DUMMYFUNCTION("""COMPUTED_VALUE"""),14.4306)</f>
        <v>14.4306</v>
      </c>
      <c r="F309" s="434">
        <f>IFERROR(__xludf.DUMMYFUNCTION("""COMPUTED_VALUE"""),45233.99861111111)</f>
        <v>45233.99861</v>
      </c>
      <c r="G309" s="433">
        <f>IFERROR(__xludf.DUMMYFUNCTION("""COMPUTED_VALUE"""),34741.35)</f>
        <v>34741.35</v>
      </c>
      <c r="H309" s="434">
        <f>IFERROR(__xludf.DUMMYFUNCTION("""COMPUTED_VALUE"""),45233.99861111111)</f>
        <v>45233.99861</v>
      </c>
      <c r="I309" s="433">
        <f>IFERROR(__xludf.DUMMYFUNCTION("""COMPUTED_VALUE"""),1800.9165)</f>
        <v>1800.9165</v>
      </c>
    </row>
    <row r="310">
      <c r="A310" s="434">
        <f>IFERROR(__xludf.DUMMYFUNCTION("""COMPUTED_VALUE"""),42927.99861111111)</f>
        <v>42927.99861</v>
      </c>
      <c r="B310" s="433">
        <f>IFERROR(__xludf.DUMMYFUNCTION("""COMPUTED_VALUE"""),2340.0)</f>
        <v>2340</v>
      </c>
      <c r="C310" s="434">
        <f>IFERROR(__xludf.DUMMYFUNCTION("""COMPUTED_VALUE"""),42531.99861111111)</f>
        <v>42531.99861</v>
      </c>
      <c r="D310" s="433">
        <f>IFERROR(__xludf.DUMMYFUNCTION("""COMPUTED_VALUE"""),14.3759)</f>
        <v>14.3759</v>
      </c>
      <c r="F310" s="434">
        <f>IFERROR(__xludf.DUMMYFUNCTION("""COMPUTED_VALUE"""),45234.99861111111)</f>
        <v>45234.99861</v>
      </c>
      <c r="G310" s="433">
        <f>IFERROR(__xludf.DUMMYFUNCTION("""COMPUTED_VALUE"""),35103.04)</f>
        <v>35103.04</v>
      </c>
      <c r="H310" s="434">
        <f>IFERROR(__xludf.DUMMYFUNCTION("""COMPUTED_VALUE"""),45234.99861111111)</f>
        <v>45234.99861</v>
      </c>
      <c r="I310" s="433">
        <f>IFERROR(__xludf.DUMMYFUNCTION("""COMPUTED_VALUE"""),1833.3688)</f>
        <v>1833.3688</v>
      </c>
    </row>
    <row r="311">
      <c r="A311" s="434">
        <f>IFERROR(__xludf.DUMMYFUNCTION("""COMPUTED_VALUE"""),42928.99861111111)</f>
        <v>42928.99861</v>
      </c>
      <c r="B311" s="433">
        <f>IFERROR(__xludf.DUMMYFUNCTION("""COMPUTED_VALUE"""),2338.33)</f>
        <v>2338.33</v>
      </c>
      <c r="C311" s="434">
        <f>IFERROR(__xludf.DUMMYFUNCTION("""COMPUTED_VALUE"""),42532.99861111111)</f>
        <v>42532.99861</v>
      </c>
      <c r="D311" s="433">
        <f>IFERROR(__xludf.DUMMYFUNCTION("""COMPUTED_VALUE"""),13.9091)</f>
        <v>13.9091</v>
      </c>
      <c r="F311" s="434">
        <f>IFERROR(__xludf.DUMMYFUNCTION("""COMPUTED_VALUE"""),45235.99861111111)</f>
        <v>45235.99861</v>
      </c>
      <c r="G311" s="433">
        <f>IFERROR(__xludf.DUMMYFUNCTION("""COMPUTED_VALUE"""),35052.37)</f>
        <v>35052.37</v>
      </c>
      <c r="H311" s="434">
        <f>IFERROR(__xludf.DUMMYFUNCTION("""COMPUTED_VALUE"""),45235.99861111111)</f>
        <v>45235.99861</v>
      </c>
      <c r="I311" s="433">
        <f>IFERROR(__xludf.DUMMYFUNCTION("""COMPUTED_VALUE"""),1857.3956)</f>
        <v>1857.3956</v>
      </c>
    </row>
    <row r="312">
      <c r="A312" s="434">
        <f>IFERROR(__xludf.DUMMYFUNCTION("""COMPUTED_VALUE"""),42929.99861111111)</f>
        <v>42929.99861</v>
      </c>
      <c r="B312" s="433">
        <f>IFERROR(__xludf.DUMMYFUNCTION("""COMPUTED_VALUE"""),2364.62)</f>
        <v>2364.62</v>
      </c>
      <c r="C312" s="434">
        <f>IFERROR(__xludf.DUMMYFUNCTION("""COMPUTED_VALUE"""),42533.99861111111)</f>
        <v>42533.99861</v>
      </c>
      <c r="D312" s="433">
        <f>IFERROR(__xludf.DUMMYFUNCTION("""COMPUTED_VALUE"""),14.1864)</f>
        <v>14.1864</v>
      </c>
      <c r="F312" s="434">
        <f>IFERROR(__xludf.DUMMYFUNCTION("""COMPUTED_VALUE"""),45236.99861111111)</f>
        <v>45236.99861</v>
      </c>
      <c r="G312" s="433">
        <f>IFERROR(__xludf.DUMMYFUNCTION("""COMPUTED_VALUE"""),35055.07)</f>
        <v>35055.07</v>
      </c>
      <c r="H312" s="434">
        <f>IFERROR(__xludf.DUMMYFUNCTION("""COMPUTED_VALUE"""),45236.99861111111)</f>
        <v>45236.99861</v>
      </c>
      <c r="I312" s="433">
        <f>IFERROR(__xludf.DUMMYFUNCTION("""COMPUTED_VALUE"""),1894.0271)</f>
        <v>1894.0271</v>
      </c>
    </row>
    <row r="313">
      <c r="A313" s="434">
        <f>IFERROR(__xludf.DUMMYFUNCTION("""COMPUTED_VALUE"""),42930.99861111111)</f>
        <v>42930.99861</v>
      </c>
      <c r="B313" s="433">
        <f>IFERROR(__xludf.DUMMYFUNCTION("""COMPUTED_VALUE"""),2274.57)</f>
        <v>2274.57</v>
      </c>
      <c r="C313" s="434">
        <f>IFERROR(__xludf.DUMMYFUNCTION("""COMPUTED_VALUE"""),42534.99861111111)</f>
        <v>42534.99861</v>
      </c>
      <c r="D313" s="433">
        <f>IFERROR(__xludf.DUMMYFUNCTION("""COMPUTED_VALUE"""),15.7723)</f>
        <v>15.7723</v>
      </c>
      <c r="F313" s="434">
        <f>IFERROR(__xludf.DUMMYFUNCTION("""COMPUTED_VALUE"""),45237.99861111111)</f>
        <v>45237.99861</v>
      </c>
      <c r="G313" s="433">
        <f>IFERROR(__xludf.DUMMYFUNCTION("""COMPUTED_VALUE"""),35430.56)</f>
        <v>35430.56</v>
      </c>
      <c r="H313" s="434">
        <f>IFERROR(__xludf.DUMMYFUNCTION("""COMPUTED_VALUE"""),45237.99861111111)</f>
        <v>45237.99861</v>
      </c>
      <c r="I313" s="433">
        <f>IFERROR(__xludf.DUMMYFUNCTION("""COMPUTED_VALUE"""),1900.5997)</f>
        <v>1900.5997</v>
      </c>
    </row>
    <row r="314">
      <c r="A314" s="434">
        <f>IFERROR(__xludf.DUMMYFUNCTION("""COMPUTED_VALUE"""),42933.99861111111)</f>
        <v>42933.99861</v>
      </c>
      <c r="B314" s="433">
        <f>IFERROR(__xludf.DUMMYFUNCTION("""COMPUTED_VALUE"""),2050.82)</f>
        <v>2050.82</v>
      </c>
      <c r="C314" s="434">
        <f>IFERROR(__xludf.DUMMYFUNCTION("""COMPUTED_VALUE"""),42535.99861111111)</f>
        <v>42535.99861</v>
      </c>
      <c r="D314" s="433">
        <f>IFERROR(__xludf.DUMMYFUNCTION("""COMPUTED_VALUE"""),17.6128)</f>
        <v>17.6128</v>
      </c>
      <c r="F314" s="434">
        <f>IFERROR(__xludf.DUMMYFUNCTION("""COMPUTED_VALUE"""),45238.99861111111)</f>
        <v>45238.99861</v>
      </c>
      <c r="G314" s="433">
        <f>IFERROR(__xludf.DUMMYFUNCTION("""COMPUTED_VALUE"""),35639.24)</f>
        <v>35639.24</v>
      </c>
      <c r="H314" s="434">
        <f>IFERROR(__xludf.DUMMYFUNCTION("""COMPUTED_VALUE"""),45238.99861111111)</f>
        <v>45238.99861</v>
      </c>
      <c r="I314" s="433">
        <f>IFERROR(__xludf.DUMMYFUNCTION("""COMPUTED_VALUE"""),1887.119)</f>
        <v>1887.119</v>
      </c>
    </row>
    <row r="315">
      <c r="A315" s="434">
        <f>IFERROR(__xludf.DUMMYFUNCTION("""COMPUTED_VALUE"""),42934.99861111111)</f>
        <v>42934.99861</v>
      </c>
      <c r="B315" s="433">
        <f>IFERROR(__xludf.DUMMYFUNCTION("""COMPUTED_VALUE"""),2269.79)</f>
        <v>2269.79</v>
      </c>
      <c r="C315" s="434">
        <f>IFERROR(__xludf.DUMMYFUNCTION("""COMPUTED_VALUE"""),42536.99861111111)</f>
        <v>42536.99861</v>
      </c>
      <c r="D315" s="433">
        <f>IFERROR(__xludf.DUMMYFUNCTION("""COMPUTED_VALUE"""),18.9053)</f>
        <v>18.9053</v>
      </c>
      <c r="F315" s="434">
        <f>IFERROR(__xludf.DUMMYFUNCTION("""COMPUTED_VALUE"""),45239.99861111111)</f>
        <v>45239.99861</v>
      </c>
      <c r="G315" s="433">
        <f>IFERROR(__xludf.DUMMYFUNCTION("""COMPUTED_VALUE"""),36701.68)</f>
        <v>36701.68</v>
      </c>
      <c r="H315" s="434">
        <f>IFERROR(__xludf.DUMMYFUNCTION("""COMPUTED_VALUE"""),45239.99861111111)</f>
        <v>45239.99861</v>
      </c>
      <c r="I315" s="433">
        <f>IFERROR(__xludf.DUMMYFUNCTION("""COMPUTED_VALUE"""),1888.9403)</f>
        <v>1888.9403</v>
      </c>
    </row>
    <row r="316">
      <c r="A316" s="434">
        <f>IFERROR(__xludf.DUMMYFUNCTION("""COMPUTED_VALUE"""),42935.99861111111)</f>
        <v>42935.99861</v>
      </c>
      <c r="B316" s="433">
        <f>IFERROR(__xludf.DUMMYFUNCTION("""COMPUTED_VALUE"""),2308.37)</f>
        <v>2308.37</v>
      </c>
      <c r="C316" s="434">
        <f>IFERROR(__xludf.DUMMYFUNCTION("""COMPUTED_VALUE"""),42537.99861111111)</f>
        <v>42537.99861</v>
      </c>
      <c r="D316" s="433">
        <f>IFERROR(__xludf.DUMMYFUNCTION("""COMPUTED_VALUE"""),18.3628)</f>
        <v>18.3628</v>
      </c>
      <c r="F316" s="434">
        <f>IFERROR(__xludf.DUMMYFUNCTION("""COMPUTED_VALUE"""),45240.99861111111)</f>
        <v>45240.99861</v>
      </c>
      <c r="G316" s="433">
        <f>IFERROR(__xludf.DUMMYFUNCTION("""COMPUTED_VALUE"""),37328.04)</f>
        <v>37328.04</v>
      </c>
      <c r="H316" s="434">
        <f>IFERROR(__xludf.DUMMYFUNCTION("""COMPUTED_VALUE"""),45240.99861111111)</f>
        <v>45240.99861</v>
      </c>
      <c r="I316" s="433">
        <f>IFERROR(__xludf.DUMMYFUNCTION("""COMPUTED_VALUE"""),2121.0674)</f>
        <v>2121.0674</v>
      </c>
    </row>
    <row r="317">
      <c r="A317" s="434">
        <f>IFERROR(__xludf.DUMMYFUNCTION("""COMPUTED_VALUE"""),42936.99861111111)</f>
        <v>42936.99861</v>
      </c>
      <c r="B317" s="433">
        <f>IFERROR(__xludf.DUMMYFUNCTION("""COMPUTED_VALUE"""),2486.87)</f>
        <v>2486.87</v>
      </c>
      <c r="C317" s="434">
        <f>IFERROR(__xludf.DUMMYFUNCTION("""COMPUTED_VALUE"""),42538.99861111111)</f>
        <v>42538.99861</v>
      </c>
      <c r="D317" s="433">
        <f>IFERROR(__xludf.DUMMYFUNCTION("""COMPUTED_VALUE"""),20.6509)</f>
        <v>20.6509</v>
      </c>
      <c r="F317" s="434">
        <f>IFERROR(__xludf.DUMMYFUNCTION("""COMPUTED_VALUE"""),45241.99861111111)</f>
        <v>45241.99861</v>
      </c>
      <c r="G317" s="433">
        <f>IFERROR(__xludf.DUMMYFUNCTION("""COMPUTED_VALUE"""),37149.43)</f>
        <v>37149.43</v>
      </c>
      <c r="H317" s="434">
        <f>IFERROR(__xludf.DUMMYFUNCTION("""COMPUTED_VALUE"""),45241.99861111111)</f>
        <v>45241.99861</v>
      </c>
      <c r="I317" s="433">
        <f>IFERROR(__xludf.DUMMYFUNCTION("""COMPUTED_VALUE"""),2078.0583)</f>
        <v>2078.0583</v>
      </c>
    </row>
    <row r="318">
      <c r="A318" s="434">
        <f>IFERROR(__xludf.DUMMYFUNCTION("""COMPUTED_VALUE"""),42937.99861111111)</f>
        <v>42937.99861</v>
      </c>
      <c r="B318" s="433">
        <f>IFERROR(__xludf.DUMMYFUNCTION("""COMPUTED_VALUE"""),2720.35)</f>
        <v>2720.35</v>
      </c>
      <c r="C318" s="434">
        <f>IFERROR(__xludf.DUMMYFUNCTION("""COMPUTED_VALUE"""),42539.99861111111)</f>
        <v>42539.99861</v>
      </c>
      <c r="D318" s="433">
        <f>IFERROR(__xludf.DUMMYFUNCTION("""COMPUTED_VALUE"""),15.3786)</f>
        <v>15.3786</v>
      </c>
      <c r="F318" s="434">
        <f>IFERROR(__xludf.DUMMYFUNCTION("""COMPUTED_VALUE"""),45242.99861111111)</f>
        <v>45242.99861</v>
      </c>
      <c r="G318" s="433">
        <f>IFERROR(__xludf.DUMMYFUNCTION("""COMPUTED_VALUE"""),37084.73)</f>
        <v>37084.73</v>
      </c>
      <c r="H318" s="434">
        <f>IFERROR(__xludf.DUMMYFUNCTION("""COMPUTED_VALUE"""),45242.99861111111)</f>
        <v>45242.99861</v>
      </c>
      <c r="I318" s="433">
        <f>IFERROR(__xludf.DUMMYFUNCTION("""COMPUTED_VALUE"""),2053.1187)</f>
        <v>2053.1187</v>
      </c>
    </row>
    <row r="319">
      <c r="A319" s="434">
        <f>IFERROR(__xludf.DUMMYFUNCTION("""COMPUTED_VALUE"""),42940.99861111111)</f>
        <v>42940.99861</v>
      </c>
      <c r="B319" s="433">
        <f>IFERROR(__xludf.DUMMYFUNCTION("""COMPUTED_VALUE"""),2755.52)</f>
        <v>2755.52</v>
      </c>
      <c r="C319" s="434">
        <f>IFERROR(__xludf.DUMMYFUNCTION("""COMPUTED_VALUE"""),42540.99861111111)</f>
        <v>42540.99861</v>
      </c>
      <c r="D319" s="433">
        <f>IFERROR(__xludf.DUMMYFUNCTION("""COMPUTED_VALUE"""),11.1673)</f>
        <v>11.1673</v>
      </c>
      <c r="F319" s="434">
        <f>IFERROR(__xludf.DUMMYFUNCTION("""COMPUTED_VALUE"""),45243.99861111111)</f>
        <v>45243.99861</v>
      </c>
      <c r="G319" s="433">
        <f>IFERROR(__xludf.DUMMYFUNCTION("""COMPUTED_VALUE"""),36484.45)</f>
        <v>36484.45</v>
      </c>
      <c r="H319" s="434">
        <f>IFERROR(__xludf.DUMMYFUNCTION("""COMPUTED_VALUE"""),45243.99861111111)</f>
        <v>45243.99861</v>
      </c>
      <c r="I319" s="433">
        <f>IFERROR(__xludf.DUMMYFUNCTION("""COMPUTED_VALUE"""),2045.3545)</f>
        <v>2045.3545</v>
      </c>
    </row>
    <row r="320">
      <c r="A320" s="434">
        <f>IFERROR(__xludf.DUMMYFUNCTION("""COMPUTED_VALUE"""),42941.99861111111)</f>
        <v>42941.99861</v>
      </c>
      <c r="B320" s="433">
        <f>IFERROR(__xludf.DUMMYFUNCTION("""COMPUTED_VALUE"""),2622.62)</f>
        <v>2622.62</v>
      </c>
      <c r="C320" s="434">
        <f>IFERROR(__xludf.DUMMYFUNCTION("""COMPUTED_VALUE"""),42541.99861111111)</f>
        <v>42541.99861</v>
      </c>
      <c r="D320" s="433">
        <f>IFERROR(__xludf.DUMMYFUNCTION("""COMPUTED_VALUE"""),12.2369)</f>
        <v>12.2369</v>
      </c>
      <c r="F320" s="434">
        <f>IFERROR(__xludf.DUMMYFUNCTION("""COMPUTED_VALUE"""),45244.99861111111)</f>
        <v>45244.99861</v>
      </c>
      <c r="G320" s="433">
        <f>IFERROR(__xludf.DUMMYFUNCTION("""COMPUTED_VALUE"""),35556.38)</f>
        <v>35556.38</v>
      </c>
      <c r="H320" s="434">
        <f>IFERROR(__xludf.DUMMYFUNCTION("""COMPUTED_VALUE"""),45244.99861111111)</f>
        <v>45244.99861</v>
      </c>
      <c r="I320" s="433">
        <f>IFERROR(__xludf.DUMMYFUNCTION("""COMPUTED_VALUE"""),2054.7653)</f>
        <v>2054.7653</v>
      </c>
    </row>
    <row r="321">
      <c r="A321" s="434">
        <f>IFERROR(__xludf.DUMMYFUNCTION("""COMPUTED_VALUE"""),42942.99861111111)</f>
        <v>42942.99861</v>
      </c>
      <c r="B321" s="433">
        <f>IFERROR(__xludf.DUMMYFUNCTION("""COMPUTED_VALUE"""),2499.05)</f>
        <v>2499.05</v>
      </c>
      <c r="C321" s="434">
        <f>IFERROR(__xludf.DUMMYFUNCTION("""COMPUTED_VALUE"""),42542.99861111111)</f>
        <v>42542.99861</v>
      </c>
      <c r="D321" s="433">
        <f>IFERROR(__xludf.DUMMYFUNCTION("""COMPUTED_VALUE"""),11.8198)</f>
        <v>11.8198</v>
      </c>
      <c r="F321" s="434">
        <f>IFERROR(__xludf.DUMMYFUNCTION("""COMPUTED_VALUE"""),45245.99861111111)</f>
        <v>45245.99861</v>
      </c>
      <c r="G321" s="433">
        <f>IFERROR(__xludf.DUMMYFUNCTION("""COMPUTED_VALUE"""),37884.48)</f>
        <v>37884.48</v>
      </c>
      <c r="H321" s="434">
        <f>IFERROR(__xludf.DUMMYFUNCTION("""COMPUTED_VALUE"""),45245.99861111111)</f>
        <v>45245.99861</v>
      </c>
      <c r="I321" s="433">
        <f>IFERROR(__xludf.DUMMYFUNCTION("""COMPUTED_VALUE"""),1979.4726)</f>
        <v>1979.4726</v>
      </c>
    </row>
    <row r="322">
      <c r="A322" s="434">
        <f>IFERROR(__xludf.DUMMYFUNCTION("""COMPUTED_VALUE"""),42943.99861111111)</f>
        <v>42943.99861</v>
      </c>
      <c r="B322" s="433">
        <f>IFERROR(__xludf.DUMMYFUNCTION("""COMPUTED_VALUE"""),2569.57)</f>
        <v>2569.57</v>
      </c>
      <c r="C322" s="434">
        <f>IFERROR(__xludf.DUMMYFUNCTION("""COMPUTED_VALUE"""),42543.99861111111)</f>
        <v>42543.99861</v>
      </c>
      <c r="D322" s="433">
        <f>IFERROR(__xludf.DUMMYFUNCTION("""COMPUTED_VALUE"""),13.1997)</f>
        <v>13.1997</v>
      </c>
      <c r="F322" s="434">
        <f>IFERROR(__xludf.DUMMYFUNCTION("""COMPUTED_VALUE"""),45246.99861111111)</f>
        <v>45246.99861</v>
      </c>
      <c r="G322" s="433">
        <f>IFERROR(__xludf.DUMMYFUNCTION("""COMPUTED_VALUE"""),36171.1)</f>
        <v>36171.1</v>
      </c>
      <c r="H322" s="434">
        <f>IFERROR(__xludf.DUMMYFUNCTION("""COMPUTED_VALUE"""),45246.99861111111)</f>
        <v>45246.99861</v>
      </c>
      <c r="I322" s="433">
        <f>IFERROR(__xludf.DUMMYFUNCTION("""COMPUTED_VALUE"""),2059.9658)</f>
        <v>2059.9658</v>
      </c>
    </row>
    <row r="323">
      <c r="A323" s="434">
        <f>IFERROR(__xludf.DUMMYFUNCTION("""COMPUTED_VALUE"""),42944.99861111111)</f>
        <v>42944.99861</v>
      </c>
      <c r="B323" s="433">
        <f>IFERROR(__xludf.DUMMYFUNCTION("""COMPUTED_VALUE"""),2740.83)</f>
        <v>2740.83</v>
      </c>
      <c r="C323" s="434">
        <f>IFERROR(__xludf.DUMMYFUNCTION("""COMPUTED_VALUE"""),42544.99861111111)</f>
        <v>42544.99861</v>
      </c>
      <c r="D323" s="433">
        <f>IFERROR(__xludf.DUMMYFUNCTION("""COMPUTED_VALUE"""),13.2156)</f>
        <v>13.2156</v>
      </c>
      <c r="F323" s="434">
        <f>IFERROR(__xludf.DUMMYFUNCTION("""COMPUTED_VALUE"""),45247.99861111111)</f>
        <v>45247.99861</v>
      </c>
      <c r="G323" s="433">
        <f>IFERROR(__xludf.DUMMYFUNCTION("""COMPUTED_VALUE"""),36626.71)</f>
        <v>36626.71</v>
      </c>
      <c r="H323" s="434">
        <f>IFERROR(__xludf.DUMMYFUNCTION("""COMPUTED_VALUE"""),45247.99861111111)</f>
        <v>45247.99861</v>
      </c>
      <c r="I323" s="433">
        <f>IFERROR(__xludf.DUMMYFUNCTION("""COMPUTED_VALUE"""),1961.8675)</f>
        <v>1961.8675</v>
      </c>
    </row>
    <row r="324">
      <c r="A324" s="434">
        <f>IFERROR(__xludf.DUMMYFUNCTION("""COMPUTED_VALUE"""),42947.99861111111)</f>
        <v>42947.99861</v>
      </c>
      <c r="B324" s="433">
        <f>IFERROR(__xludf.DUMMYFUNCTION("""COMPUTED_VALUE"""),2772.74)</f>
        <v>2772.74</v>
      </c>
      <c r="C324" s="434">
        <f>IFERROR(__xludf.DUMMYFUNCTION("""COMPUTED_VALUE"""),42545.99861111111)</f>
        <v>42545.99861</v>
      </c>
      <c r="D324" s="433">
        <f>IFERROR(__xludf.DUMMYFUNCTION("""COMPUTED_VALUE"""),13.6821)</f>
        <v>13.6821</v>
      </c>
      <c r="F324" s="434">
        <f>IFERROR(__xludf.DUMMYFUNCTION("""COMPUTED_VALUE"""),45248.99861111111)</f>
        <v>45248.99861</v>
      </c>
      <c r="G324" s="433">
        <f>IFERROR(__xludf.DUMMYFUNCTION("""COMPUTED_VALUE"""),36587.7)</f>
        <v>36587.7</v>
      </c>
      <c r="H324" s="434">
        <f>IFERROR(__xludf.DUMMYFUNCTION("""COMPUTED_VALUE"""),45248.99861111111)</f>
        <v>45248.99861</v>
      </c>
      <c r="I324" s="433">
        <f>IFERROR(__xludf.DUMMYFUNCTION("""COMPUTED_VALUE"""),1961.6713)</f>
        <v>1961.6713</v>
      </c>
    </row>
    <row r="325">
      <c r="A325" s="434">
        <f>IFERROR(__xludf.DUMMYFUNCTION("""COMPUTED_VALUE"""),42948.99861111111)</f>
        <v>42948.99861</v>
      </c>
      <c r="B325" s="433">
        <f>IFERROR(__xludf.DUMMYFUNCTION("""COMPUTED_VALUE"""),2784.07)</f>
        <v>2784.07</v>
      </c>
      <c r="C325" s="434">
        <f>IFERROR(__xludf.DUMMYFUNCTION("""COMPUTED_VALUE"""),42546.99861111111)</f>
        <v>42546.99861</v>
      </c>
      <c r="D325" s="433">
        <f>IFERROR(__xludf.DUMMYFUNCTION("""COMPUTED_VALUE"""),14.3028)</f>
        <v>14.3028</v>
      </c>
      <c r="F325" s="434">
        <f>IFERROR(__xludf.DUMMYFUNCTION("""COMPUTED_VALUE"""),45249.99861111111)</f>
        <v>45249.99861</v>
      </c>
      <c r="G325" s="433">
        <f>IFERROR(__xludf.DUMMYFUNCTION("""COMPUTED_VALUE"""),37399.95)</f>
        <v>37399.95</v>
      </c>
      <c r="H325" s="434">
        <f>IFERROR(__xludf.DUMMYFUNCTION("""COMPUTED_VALUE"""),45249.99861111111)</f>
        <v>45249.99861</v>
      </c>
      <c r="I325" s="433">
        <f>IFERROR(__xludf.DUMMYFUNCTION("""COMPUTED_VALUE"""),1963.18)</f>
        <v>1963.18</v>
      </c>
    </row>
    <row r="326">
      <c r="A326" s="434">
        <f>IFERROR(__xludf.DUMMYFUNCTION("""COMPUTED_VALUE"""),42949.99861111111)</f>
        <v>42949.99861</v>
      </c>
      <c r="B326" s="433">
        <f>IFERROR(__xludf.DUMMYFUNCTION("""COMPUTED_VALUE"""),2714.09)</f>
        <v>2714.09</v>
      </c>
      <c r="C326" s="434">
        <f>IFERROR(__xludf.DUMMYFUNCTION("""COMPUTED_VALUE"""),42547.99861111111)</f>
        <v>42547.99861</v>
      </c>
      <c r="D326" s="433">
        <f>IFERROR(__xludf.DUMMYFUNCTION("""COMPUTED_VALUE"""),14.2611)</f>
        <v>14.2611</v>
      </c>
      <c r="F326" s="434">
        <f>IFERROR(__xludf.DUMMYFUNCTION("""COMPUTED_VALUE"""),45250.99861111111)</f>
        <v>45250.99861</v>
      </c>
      <c r="G326" s="433">
        <f>IFERROR(__xludf.DUMMYFUNCTION("""COMPUTED_VALUE"""),37475.5)</f>
        <v>37475.5</v>
      </c>
      <c r="H326" s="434">
        <f>IFERROR(__xludf.DUMMYFUNCTION("""COMPUTED_VALUE"""),45250.99861111111)</f>
        <v>45250.99861</v>
      </c>
      <c r="I326" s="433">
        <f>IFERROR(__xludf.DUMMYFUNCTION("""COMPUTED_VALUE"""),2011.8533)</f>
        <v>2011.8533</v>
      </c>
    </row>
    <row r="327">
      <c r="A327" s="434">
        <f>IFERROR(__xludf.DUMMYFUNCTION("""COMPUTED_VALUE"""),42950.99861111111)</f>
        <v>42950.99861</v>
      </c>
      <c r="B327" s="433">
        <f>IFERROR(__xludf.DUMMYFUNCTION("""COMPUTED_VALUE"""),2742.6)</f>
        <v>2742.6</v>
      </c>
      <c r="C327" s="434">
        <f>IFERROR(__xludf.DUMMYFUNCTION("""COMPUTED_VALUE"""),42548.99861111111)</f>
        <v>42548.99861</v>
      </c>
      <c r="D327" s="433">
        <f>IFERROR(__xludf.DUMMYFUNCTION("""COMPUTED_VALUE"""),13.8082)</f>
        <v>13.8082</v>
      </c>
      <c r="F327" s="434">
        <f>IFERROR(__xludf.DUMMYFUNCTION("""COMPUTED_VALUE"""),45251.99861111111)</f>
        <v>45251.99861</v>
      </c>
      <c r="G327" s="433">
        <f>IFERROR(__xludf.DUMMYFUNCTION("""COMPUTED_VALUE"""),35790.33)</f>
        <v>35790.33</v>
      </c>
      <c r="H327" s="434">
        <f>IFERROR(__xludf.DUMMYFUNCTION("""COMPUTED_VALUE"""),45251.99861111111)</f>
        <v>45251.99861</v>
      </c>
      <c r="I327" s="433">
        <f>IFERROR(__xludf.DUMMYFUNCTION("""COMPUTED_VALUE"""),2022.2173)</f>
        <v>2022.2173</v>
      </c>
    </row>
    <row r="328">
      <c r="A328" s="434">
        <f>IFERROR(__xludf.DUMMYFUNCTION("""COMPUTED_VALUE"""),42951.99861111111)</f>
        <v>42951.99861</v>
      </c>
      <c r="B328" s="433">
        <f>IFERROR(__xludf.DUMMYFUNCTION("""COMPUTED_VALUE"""),2826.89)</f>
        <v>2826.89</v>
      </c>
      <c r="C328" s="434">
        <f>IFERROR(__xludf.DUMMYFUNCTION("""COMPUTED_VALUE"""),42549.99861111111)</f>
        <v>42549.99861</v>
      </c>
      <c r="D328" s="433">
        <f>IFERROR(__xludf.DUMMYFUNCTION("""COMPUTED_VALUE"""),13.9276)</f>
        <v>13.9276</v>
      </c>
      <c r="F328" s="434">
        <f>IFERROR(__xludf.DUMMYFUNCTION("""COMPUTED_VALUE"""),45252.99861111111)</f>
        <v>45252.99861</v>
      </c>
      <c r="G328" s="433">
        <f>IFERROR(__xludf.DUMMYFUNCTION("""COMPUTED_VALUE"""),37422.05)</f>
        <v>37422.05</v>
      </c>
      <c r="H328" s="434">
        <f>IFERROR(__xludf.DUMMYFUNCTION("""COMPUTED_VALUE"""),45252.99861111111)</f>
        <v>45252.99861</v>
      </c>
      <c r="I328" s="433">
        <f>IFERROR(__xludf.DUMMYFUNCTION("""COMPUTED_VALUE"""),1933.5832)</f>
        <v>1933.5832</v>
      </c>
    </row>
    <row r="329">
      <c r="A329" s="434">
        <f>IFERROR(__xludf.DUMMYFUNCTION("""COMPUTED_VALUE"""),42954.99861111111)</f>
        <v>42954.99861</v>
      </c>
      <c r="B329" s="433">
        <f>IFERROR(__xludf.DUMMYFUNCTION("""COMPUTED_VALUE"""),3305.9)</f>
        <v>3305.9</v>
      </c>
      <c r="C329" s="434">
        <f>IFERROR(__xludf.DUMMYFUNCTION("""COMPUTED_VALUE"""),42550.99861111111)</f>
        <v>42550.99861</v>
      </c>
      <c r="D329" s="433">
        <f>IFERROR(__xludf.DUMMYFUNCTION("""COMPUTED_VALUE"""),12.1742)</f>
        <v>12.1742</v>
      </c>
      <c r="F329" s="434">
        <f>IFERROR(__xludf.DUMMYFUNCTION("""COMPUTED_VALUE"""),45253.99861111111)</f>
        <v>45253.99861</v>
      </c>
      <c r="G329" s="433">
        <f>IFERROR(__xludf.DUMMYFUNCTION("""COMPUTED_VALUE"""),37304.17)</f>
        <v>37304.17</v>
      </c>
      <c r="H329" s="434">
        <f>IFERROR(__xludf.DUMMYFUNCTION("""COMPUTED_VALUE"""),45253.99861111111)</f>
        <v>45253.99861</v>
      </c>
      <c r="I329" s="433">
        <f>IFERROR(__xludf.DUMMYFUNCTION("""COMPUTED_VALUE"""),2063.9055)</f>
        <v>2063.9055</v>
      </c>
    </row>
    <row r="330">
      <c r="A330" s="434">
        <f>IFERROR(__xludf.DUMMYFUNCTION("""COMPUTED_VALUE"""),42955.99861111111)</f>
        <v>42955.99861</v>
      </c>
      <c r="B330" s="433">
        <f>IFERROR(__xludf.DUMMYFUNCTION("""COMPUTED_VALUE"""),3420.55)</f>
        <v>3420.55</v>
      </c>
      <c r="C330" s="434">
        <f>IFERROR(__xludf.DUMMYFUNCTION("""COMPUTED_VALUE"""),42551.99861111111)</f>
        <v>42551.99861</v>
      </c>
      <c r="D330" s="433">
        <f>IFERROR(__xludf.DUMMYFUNCTION("""COMPUTED_VALUE"""),12.6029)</f>
        <v>12.6029</v>
      </c>
      <c r="F330" s="434">
        <f>IFERROR(__xludf.DUMMYFUNCTION("""COMPUTED_VALUE"""),45254.99861111111)</f>
        <v>45254.99861</v>
      </c>
      <c r="G330" s="433">
        <f>IFERROR(__xludf.DUMMYFUNCTION("""COMPUTED_VALUE"""),37736.24)</f>
        <v>37736.24</v>
      </c>
      <c r="H330" s="434">
        <f>IFERROR(__xludf.DUMMYFUNCTION("""COMPUTED_VALUE"""),45254.99861111111)</f>
        <v>45254.99861</v>
      </c>
      <c r="I330" s="433">
        <f>IFERROR(__xludf.DUMMYFUNCTION("""COMPUTED_VALUE"""),2062.4117)</f>
        <v>2062.4117</v>
      </c>
    </row>
    <row r="331">
      <c r="A331" s="434">
        <f>IFERROR(__xludf.DUMMYFUNCTION("""COMPUTED_VALUE"""),42956.99861111111)</f>
        <v>42956.99861</v>
      </c>
      <c r="B331" s="433">
        <f>IFERROR(__xludf.DUMMYFUNCTION("""COMPUTED_VALUE"""),3346.88)</f>
        <v>3346.88</v>
      </c>
      <c r="C331" s="434">
        <f>IFERROR(__xludf.DUMMYFUNCTION("""COMPUTED_VALUE"""),42552.99861111111)</f>
        <v>42552.99861</v>
      </c>
      <c r="D331" s="433">
        <f>IFERROR(__xludf.DUMMYFUNCTION("""COMPUTED_VALUE"""),12.4381)</f>
        <v>12.4381</v>
      </c>
      <c r="F331" s="434">
        <f>IFERROR(__xludf.DUMMYFUNCTION("""COMPUTED_VALUE"""),45255.99861111111)</f>
        <v>45255.99861</v>
      </c>
      <c r="G331" s="433">
        <f>IFERROR(__xludf.DUMMYFUNCTION("""COMPUTED_VALUE"""),37807.9)</f>
        <v>37807.9</v>
      </c>
      <c r="H331" s="434">
        <f>IFERROR(__xludf.DUMMYFUNCTION("""COMPUTED_VALUE"""),45255.99861111111)</f>
        <v>45255.99861</v>
      </c>
      <c r="I331" s="433">
        <f>IFERROR(__xludf.DUMMYFUNCTION("""COMPUTED_VALUE"""),2081.2962)</f>
        <v>2081.2962</v>
      </c>
    </row>
    <row r="332">
      <c r="A332" s="434">
        <f>IFERROR(__xludf.DUMMYFUNCTION("""COMPUTED_VALUE"""),42957.99861111111)</f>
        <v>42957.99861</v>
      </c>
      <c r="B332" s="433">
        <f>IFERROR(__xludf.DUMMYFUNCTION("""COMPUTED_VALUE"""),3396.2)</f>
        <v>3396.2</v>
      </c>
      <c r="C332" s="434">
        <f>IFERROR(__xludf.DUMMYFUNCTION("""COMPUTED_VALUE"""),42553.99861111111)</f>
        <v>42553.99861</v>
      </c>
      <c r="D332" s="433">
        <f>IFERROR(__xludf.DUMMYFUNCTION("""COMPUTED_VALUE"""),12.216)</f>
        <v>12.216</v>
      </c>
      <c r="F332" s="434">
        <f>IFERROR(__xludf.DUMMYFUNCTION("""COMPUTED_VALUE"""),45256.99861111111)</f>
        <v>45256.99861</v>
      </c>
      <c r="G332" s="433">
        <f>IFERROR(__xludf.DUMMYFUNCTION("""COMPUTED_VALUE"""),37462.87)</f>
        <v>37462.87</v>
      </c>
      <c r="H332" s="434">
        <f>IFERROR(__xludf.DUMMYFUNCTION("""COMPUTED_VALUE"""),45256.99861111111)</f>
        <v>45256.99861</v>
      </c>
      <c r="I332" s="433">
        <f>IFERROR(__xludf.DUMMYFUNCTION("""COMPUTED_VALUE"""),2084.1774)</f>
        <v>2084.1774</v>
      </c>
    </row>
    <row r="333">
      <c r="A333" s="434">
        <f>IFERROR(__xludf.DUMMYFUNCTION("""COMPUTED_VALUE"""),42958.99861111111)</f>
        <v>42958.99861</v>
      </c>
      <c r="B333" s="433">
        <f>IFERROR(__xludf.DUMMYFUNCTION("""COMPUTED_VALUE"""),3511.88)</f>
        <v>3511.88</v>
      </c>
      <c r="C333" s="434">
        <f>IFERROR(__xludf.DUMMYFUNCTION("""COMPUTED_VALUE"""),42554.99861111111)</f>
        <v>42554.99861</v>
      </c>
      <c r="D333" s="433">
        <f>IFERROR(__xludf.DUMMYFUNCTION("""COMPUTED_VALUE"""),12.1208)</f>
        <v>12.1208</v>
      </c>
      <c r="F333" s="434">
        <f>IFERROR(__xludf.DUMMYFUNCTION("""COMPUTED_VALUE"""),45257.99861111111)</f>
        <v>45257.99861</v>
      </c>
      <c r="G333" s="433">
        <f>IFERROR(__xludf.DUMMYFUNCTION("""COMPUTED_VALUE"""),37247.49)</f>
        <v>37247.49</v>
      </c>
      <c r="H333" s="434">
        <f>IFERROR(__xludf.DUMMYFUNCTION("""COMPUTED_VALUE"""),45257.99861111111)</f>
        <v>45257.99861</v>
      </c>
      <c r="I333" s="433">
        <f>IFERROR(__xludf.DUMMYFUNCTION("""COMPUTED_VALUE"""),2062.3908)</f>
        <v>2062.3908</v>
      </c>
    </row>
    <row r="334">
      <c r="A334" s="434">
        <f>IFERROR(__xludf.DUMMYFUNCTION("""COMPUTED_VALUE"""),42961.99861111111)</f>
        <v>42961.99861</v>
      </c>
      <c r="B334" s="433">
        <f>IFERROR(__xludf.DUMMYFUNCTION("""COMPUTED_VALUE"""),4173.75)</f>
        <v>4173.75</v>
      </c>
      <c r="C334" s="434">
        <f>IFERROR(__xludf.DUMMYFUNCTION("""COMPUTED_VALUE"""),42555.99861111111)</f>
        <v>42555.99861</v>
      </c>
      <c r="D334" s="433">
        <f>IFERROR(__xludf.DUMMYFUNCTION("""COMPUTED_VALUE"""),11.6961)</f>
        <v>11.6961</v>
      </c>
      <c r="F334" s="434">
        <f>IFERROR(__xludf.DUMMYFUNCTION("""COMPUTED_VALUE"""),45258.99861111111)</f>
        <v>45258.99861</v>
      </c>
      <c r="G334" s="433">
        <f>IFERROR(__xludf.DUMMYFUNCTION("""COMPUTED_VALUE"""),37832.33)</f>
        <v>37832.33</v>
      </c>
      <c r="H334" s="434">
        <f>IFERROR(__xludf.DUMMYFUNCTION("""COMPUTED_VALUE"""),45258.99861111111)</f>
        <v>45258.99861</v>
      </c>
      <c r="I334" s="433">
        <f>IFERROR(__xludf.DUMMYFUNCTION("""COMPUTED_VALUE"""),2027.5172)</f>
        <v>2027.5172</v>
      </c>
    </row>
    <row r="335">
      <c r="A335" s="434">
        <f>IFERROR(__xludf.DUMMYFUNCTION("""COMPUTED_VALUE"""),42962.99861111111)</f>
        <v>42962.99861</v>
      </c>
      <c r="B335" s="433">
        <f>IFERROR(__xludf.DUMMYFUNCTION("""COMPUTED_VALUE"""),4178.62)</f>
        <v>4178.62</v>
      </c>
      <c r="C335" s="434">
        <f>IFERROR(__xludf.DUMMYFUNCTION("""COMPUTED_VALUE"""),42556.99861111111)</f>
        <v>42556.99861</v>
      </c>
      <c r="D335" s="433">
        <f>IFERROR(__xludf.DUMMYFUNCTION("""COMPUTED_VALUE"""),11.4574)</f>
        <v>11.4574</v>
      </c>
      <c r="F335" s="434">
        <f>IFERROR(__xludf.DUMMYFUNCTION("""COMPUTED_VALUE"""),45259.99861111111)</f>
        <v>45259.99861</v>
      </c>
      <c r="G335" s="433">
        <f>IFERROR(__xludf.DUMMYFUNCTION("""COMPUTED_VALUE"""),37861.98)</f>
        <v>37861.98</v>
      </c>
      <c r="H335" s="434">
        <f>IFERROR(__xludf.DUMMYFUNCTION("""COMPUTED_VALUE"""),45259.99861111111)</f>
        <v>45259.99861</v>
      </c>
      <c r="I335" s="433">
        <f>IFERROR(__xludf.DUMMYFUNCTION("""COMPUTED_VALUE"""),2049.1868)</f>
        <v>2049.1868</v>
      </c>
    </row>
    <row r="336">
      <c r="A336" s="434">
        <f>IFERROR(__xludf.DUMMYFUNCTION("""COMPUTED_VALUE"""),42963.99861111111)</f>
        <v>42963.99861</v>
      </c>
      <c r="B336" s="433">
        <f>IFERROR(__xludf.DUMMYFUNCTION("""COMPUTED_VALUE"""),4172.97)</f>
        <v>4172.97</v>
      </c>
      <c r="C336" s="434">
        <f>IFERROR(__xludf.DUMMYFUNCTION("""COMPUTED_VALUE"""),42557.99861111111)</f>
        <v>42557.99861</v>
      </c>
      <c r="D336" s="433">
        <f>IFERROR(__xludf.DUMMYFUNCTION("""COMPUTED_VALUE"""),10.5758)</f>
        <v>10.5758</v>
      </c>
      <c r="F336" s="434">
        <f>IFERROR(__xludf.DUMMYFUNCTION("""COMPUTED_VALUE"""),45260.99861111111)</f>
        <v>45260.99861</v>
      </c>
      <c r="G336" s="433">
        <f>IFERROR(__xludf.DUMMYFUNCTION("""COMPUTED_VALUE"""),37723.79)</f>
        <v>37723.79</v>
      </c>
      <c r="H336" s="434">
        <f>IFERROR(__xludf.DUMMYFUNCTION("""COMPUTED_VALUE"""),45260.99861111111)</f>
        <v>45260.99861</v>
      </c>
      <c r="I336" s="433">
        <f>IFERROR(__xludf.DUMMYFUNCTION("""COMPUTED_VALUE"""),2029.3583)</f>
        <v>2029.3583</v>
      </c>
    </row>
    <row r="337">
      <c r="A337" s="434">
        <f>IFERROR(__xludf.DUMMYFUNCTION("""COMPUTED_VALUE"""),42964.99861111111)</f>
        <v>42964.99861</v>
      </c>
      <c r="B337" s="433">
        <f>IFERROR(__xludf.DUMMYFUNCTION("""COMPUTED_VALUE"""),4349.68)</f>
        <v>4349.68</v>
      </c>
      <c r="C337" s="434">
        <f>IFERROR(__xludf.DUMMYFUNCTION("""COMPUTED_VALUE"""),42558.99861111111)</f>
        <v>42558.99861</v>
      </c>
      <c r="D337" s="433">
        <f>IFERROR(__xludf.DUMMYFUNCTION("""COMPUTED_VALUE"""),10.5359)</f>
        <v>10.5359</v>
      </c>
      <c r="F337" s="434">
        <f>IFERROR(__xludf.DUMMYFUNCTION("""COMPUTED_VALUE"""),45261.99861111111)</f>
        <v>45261.99861</v>
      </c>
      <c r="G337" s="433">
        <f>IFERROR(__xludf.DUMMYFUNCTION("""COMPUTED_VALUE"""),38704.05)</f>
        <v>38704.05</v>
      </c>
      <c r="H337" s="434">
        <f>IFERROR(__xludf.DUMMYFUNCTION("""COMPUTED_VALUE"""),45261.99861111111)</f>
        <v>45261.99861</v>
      </c>
      <c r="I337" s="433">
        <f>IFERROR(__xludf.DUMMYFUNCTION("""COMPUTED_VALUE"""),2052.0967)</f>
        <v>2052.0967</v>
      </c>
    </row>
    <row r="338">
      <c r="A338" s="434">
        <f>IFERROR(__xludf.DUMMYFUNCTION("""COMPUTED_VALUE"""),42965.99861111111)</f>
        <v>42965.99861</v>
      </c>
      <c r="B338" s="433">
        <f>IFERROR(__xludf.DUMMYFUNCTION("""COMPUTED_VALUE"""),4227.94)</f>
        <v>4227.94</v>
      </c>
      <c r="C338" s="434">
        <f>IFERROR(__xludf.DUMMYFUNCTION("""COMPUTED_VALUE"""),42559.99861111111)</f>
        <v>42559.99861</v>
      </c>
      <c r="D338" s="433">
        <f>IFERROR(__xludf.DUMMYFUNCTION("""COMPUTED_VALUE"""),10.1153)</f>
        <v>10.1153</v>
      </c>
      <c r="F338" s="434">
        <f>IFERROR(__xludf.DUMMYFUNCTION("""COMPUTED_VALUE"""),45262.99861111111)</f>
        <v>45262.99861</v>
      </c>
      <c r="G338" s="433">
        <f>IFERROR(__xludf.DUMMYFUNCTION("""COMPUTED_VALUE"""),39463.38)</f>
        <v>39463.38</v>
      </c>
      <c r="H338" s="434">
        <f>IFERROR(__xludf.DUMMYFUNCTION("""COMPUTED_VALUE"""),45262.99861111111)</f>
        <v>45262.99861</v>
      </c>
      <c r="I338" s="433">
        <f>IFERROR(__xludf.DUMMYFUNCTION("""COMPUTED_VALUE"""),2087.6635)</f>
        <v>2087.6635</v>
      </c>
    </row>
    <row r="339">
      <c r="A339" s="434">
        <f>IFERROR(__xludf.DUMMYFUNCTION("""COMPUTED_VALUE"""),42968.99861111111)</f>
        <v>42968.99861</v>
      </c>
      <c r="B339" s="433">
        <f>IFERROR(__xludf.DUMMYFUNCTION("""COMPUTED_VALUE"""),4028.13)</f>
        <v>4028.13</v>
      </c>
      <c r="C339" s="434">
        <f>IFERROR(__xludf.DUMMYFUNCTION("""COMPUTED_VALUE"""),42560.99861111111)</f>
        <v>42560.99861</v>
      </c>
      <c r="D339" s="433">
        <f>IFERROR(__xludf.DUMMYFUNCTION("""COMPUTED_VALUE"""),11.4177)</f>
        <v>11.4177</v>
      </c>
      <c r="F339" s="434">
        <f>IFERROR(__xludf.DUMMYFUNCTION("""COMPUTED_VALUE"""),45263.99861111111)</f>
        <v>45263.99861</v>
      </c>
      <c r="G339" s="433">
        <f>IFERROR(__xludf.DUMMYFUNCTION("""COMPUTED_VALUE"""),39976.71)</f>
        <v>39976.71</v>
      </c>
      <c r="H339" s="434">
        <f>IFERROR(__xludf.DUMMYFUNCTION("""COMPUTED_VALUE"""),45263.99861111111)</f>
        <v>45263.99861</v>
      </c>
      <c r="I339" s="433">
        <f>IFERROR(__xludf.DUMMYFUNCTION("""COMPUTED_VALUE"""),2165.8957)</f>
        <v>2165.8957</v>
      </c>
    </row>
    <row r="340">
      <c r="A340" s="434">
        <f>IFERROR(__xludf.DUMMYFUNCTION("""COMPUTED_VALUE"""),42969.99861111111)</f>
        <v>42969.99861</v>
      </c>
      <c r="B340" s="433">
        <f>IFERROR(__xludf.DUMMYFUNCTION("""COMPUTED_VALUE"""),3925.49)</f>
        <v>3925.49</v>
      </c>
      <c r="C340" s="434">
        <f>IFERROR(__xludf.DUMMYFUNCTION("""COMPUTED_VALUE"""),42561.99861111111)</f>
        <v>42561.99861</v>
      </c>
      <c r="D340" s="433">
        <f>IFERROR(__xludf.DUMMYFUNCTION("""COMPUTED_VALUE"""),10.9604)</f>
        <v>10.9604</v>
      </c>
      <c r="F340" s="434">
        <f>IFERROR(__xludf.DUMMYFUNCTION("""COMPUTED_VALUE"""),45264.99861111111)</f>
        <v>45264.99861</v>
      </c>
      <c r="G340" s="433">
        <f>IFERROR(__xludf.DUMMYFUNCTION("""COMPUTED_VALUE"""),41982.22)</f>
        <v>41982.22</v>
      </c>
      <c r="H340" s="434">
        <f>IFERROR(__xludf.DUMMYFUNCTION("""COMPUTED_VALUE"""),45264.99861111111)</f>
        <v>45264.99861</v>
      </c>
      <c r="I340" s="433">
        <f>IFERROR(__xludf.DUMMYFUNCTION("""COMPUTED_VALUE"""),2193.6634)</f>
        <v>2193.6634</v>
      </c>
    </row>
    <row r="341">
      <c r="A341" s="434">
        <f>IFERROR(__xludf.DUMMYFUNCTION("""COMPUTED_VALUE"""),42970.99861111111)</f>
        <v>42970.99861</v>
      </c>
      <c r="B341" s="433">
        <f>IFERROR(__xludf.DUMMYFUNCTION("""COMPUTED_VALUE"""),4148.95)</f>
        <v>4148.95</v>
      </c>
      <c r="C341" s="434">
        <f>IFERROR(__xludf.DUMMYFUNCTION("""COMPUTED_VALUE"""),42562.99861111111)</f>
        <v>42562.99861</v>
      </c>
      <c r="D341" s="433">
        <f>IFERROR(__xludf.DUMMYFUNCTION("""COMPUTED_VALUE"""),10.9411)</f>
        <v>10.9411</v>
      </c>
      <c r="F341" s="434">
        <f>IFERROR(__xludf.DUMMYFUNCTION("""COMPUTED_VALUE"""),45265.99861111111)</f>
        <v>45265.99861</v>
      </c>
      <c r="G341" s="433">
        <f>IFERROR(__xludf.DUMMYFUNCTION("""COMPUTED_VALUE"""),44082.62)</f>
        <v>44082.62</v>
      </c>
      <c r="H341" s="434">
        <f>IFERROR(__xludf.DUMMYFUNCTION("""COMPUTED_VALUE"""),45265.99861111111)</f>
        <v>45265.99861</v>
      </c>
      <c r="I341" s="433">
        <f>IFERROR(__xludf.DUMMYFUNCTION("""COMPUTED_VALUE"""),2243.0925)</f>
        <v>2243.0925</v>
      </c>
    </row>
    <row r="342">
      <c r="A342" s="434">
        <f>IFERROR(__xludf.DUMMYFUNCTION("""COMPUTED_VALUE"""),42971.99861111111)</f>
        <v>42971.99861</v>
      </c>
      <c r="B342" s="433">
        <f>IFERROR(__xludf.DUMMYFUNCTION("""COMPUTED_VALUE"""),4195.61)</f>
        <v>4195.61</v>
      </c>
      <c r="C342" s="434">
        <f>IFERROR(__xludf.DUMMYFUNCTION("""COMPUTED_VALUE"""),42563.99861111111)</f>
        <v>42563.99861</v>
      </c>
      <c r="D342" s="433">
        <f>IFERROR(__xludf.DUMMYFUNCTION("""COMPUTED_VALUE"""),10.447)</f>
        <v>10.447</v>
      </c>
      <c r="F342" s="434">
        <f>IFERROR(__xludf.DUMMYFUNCTION("""COMPUTED_VALUE"""),45266.99861111111)</f>
        <v>45266.99861</v>
      </c>
      <c r="G342" s="433">
        <f>IFERROR(__xludf.DUMMYFUNCTION("""COMPUTED_VALUE"""),43774.54)</f>
        <v>43774.54</v>
      </c>
      <c r="H342" s="434">
        <f>IFERROR(__xludf.DUMMYFUNCTION("""COMPUTED_VALUE"""),45266.99861111111)</f>
        <v>45266.99861</v>
      </c>
      <c r="I342" s="433">
        <f>IFERROR(__xludf.DUMMYFUNCTION("""COMPUTED_VALUE"""),2293.6282)</f>
        <v>2293.6282</v>
      </c>
    </row>
    <row r="343">
      <c r="A343" s="434">
        <f>IFERROR(__xludf.DUMMYFUNCTION("""COMPUTED_VALUE"""),42972.99861111111)</f>
        <v>42972.99861</v>
      </c>
      <c r="B343" s="433">
        <f>IFERROR(__xludf.DUMMYFUNCTION("""COMPUTED_VALUE"""),4359.87)</f>
        <v>4359.87</v>
      </c>
      <c r="C343" s="434">
        <f>IFERROR(__xludf.DUMMYFUNCTION("""COMPUTED_VALUE"""),42564.99861111111)</f>
        <v>42564.99861</v>
      </c>
      <c r="D343" s="433">
        <f>IFERROR(__xludf.DUMMYFUNCTION("""COMPUTED_VALUE"""),10.5066)</f>
        <v>10.5066</v>
      </c>
      <c r="F343" s="434">
        <f>IFERROR(__xludf.DUMMYFUNCTION("""COMPUTED_VALUE"""),45267.99861111111)</f>
        <v>45267.99861</v>
      </c>
      <c r="G343" s="433">
        <f>IFERROR(__xludf.DUMMYFUNCTION("""COMPUTED_VALUE"""),43296.1)</f>
        <v>43296.1</v>
      </c>
      <c r="H343" s="434">
        <f>IFERROR(__xludf.DUMMYFUNCTION("""COMPUTED_VALUE"""),45267.99861111111)</f>
        <v>45267.99861</v>
      </c>
      <c r="I343" s="433">
        <f>IFERROR(__xludf.DUMMYFUNCTION("""COMPUTED_VALUE"""),2233.2177)</f>
        <v>2233.2177</v>
      </c>
    </row>
    <row r="344">
      <c r="A344" s="434">
        <f>IFERROR(__xludf.DUMMYFUNCTION("""COMPUTED_VALUE"""),42975.99861111111)</f>
        <v>42975.99861</v>
      </c>
      <c r="B344" s="433">
        <f>IFERROR(__xludf.DUMMYFUNCTION("""COMPUTED_VALUE"""),4308.84)</f>
        <v>4308.84</v>
      </c>
      <c r="C344" s="434">
        <f>IFERROR(__xludf.DUMMYFUNCTION("""COMPUTED_VALUE"""),42565.99861111111)</f>
        <v>42565.99861</v>
      </c>
      <c r="D344" s="433">
        <f>IFERROR(__xludf.DUMMYFUNCTION("""COMPUTED_VALUE"""),10.5969)</f>
        <v>10.5969</v>
      </c>
      <c r="F344" s="434">
        <f>IFERROR(__xludf.DUMMYFUNCTION("""COMPUTED_VALUE"""),45268.99861111111)</f>
        <v>45268.99861</v>
      </c>
      <c r="G344" s="433">
        <f>IFERROR(__xludf.DUMMYFUNCTION("""COMPUTED_VALUE"""),44193.9)</f>
        <v>44193.9</v>
      </c>
      <c r="H344" s="434">
        <f>IFERROR(__xludf.DUMMYFUNCTION("""COMPUTED_VALUE"""),45268.99861111111)</f>
        <v>45268.99861</v>
      </c>
      <c r="I344" s="433">
        <f>IFERROR(__xludf.DUMMYFUNCTION("""COMPUTED_VALUE"""),2357.1693)</f>
        <v>2357.1693</v>
      </c>
    </row>
    <row r="345">
      <c r="A345" s="434">
        <f>IFERROR(__xludf.DUMMYFUNCTION("""COMPUTED_VALUE"""),42976.99861111111)</f>
        <v>42976.99861</v>
      </c>
      <c r="B345" s="433">
        <f>IFERROR(__xludf.DUMMYFUNCTION("""COMPUTED_VALUE"""),4465.7)</f>
        <v>4465.7</v>
      </c>
      <c r="C345" s="434">
        <f>IFERROR(__xludf.DUMMYFUNCTION("""COMPUTED_VALUE"""),42566.99861111111)</f>
        <v>42566.99861</v>
      </c>
      <c r="D345" s="433">
        <f>IFERROR(__xludf.DUMMYFUNCTION("""COMPUTED_VALUE"""),11.4991)</f>
        <v>11.4991</v>
      </c>
      <c r="F345" s="434">
        <f>IFERROR(__xludf.DUMMYFUNCTION("""COMPUTED_VALUE"""),45269.99861111111)</f>
        <v>45269.99861</v>
      </c>
      <c r="G345" s="433">
        <f>IFERROR(__xludf.DUMMYFUNCTION("""COMPUTED_VALUE"""),43736.8)</f>
        <v>43736.8</v>
      </c>
      <c r="H345" s="434">
        <f>IFERROR(__xludf.DUMMYFUNCTION("""COMPUTED_VALUE"""),45269.99861111111)</f>
        <v>45269.99861</v>
      </c>
      <c r="I345" s="433">
        <f>IFERROR(__xludf.DUMMYFUNCTION("""COMPUTED_VALUE"""),2358.686)</f>
        <v>2358.686</v>
      </c>
    </row>
    <row r="346">
      <c r="A346" s="434">
        <f>IFERROR(__xludf.DUMMYFUNCTION("""COMPUTED_VALUE"""),42977.99861111111)</f>
        <v>42977.99861</v>
      </c>
      <c r="B346" s="433">
        <f>IFERROR(__xludf.DUMMYFUNCTION("""COMPUTED_VALUE"""),4577.26)</f>
        <v>4577.26</v>
      </c>
      <c r="C346" s="434">
        <f>IFERROR(__xludf.DUMMYFUNCTION("""COMPUTED_VALUE"""),42567.99861111111)</f>
        <v>42567.99861</v>
      </c>
      <c r="D346" s="433">
        <f>IFERROR(__xludf.DUMMYFUNCTION("""COMPUTED_VALUE"""),11.9194)</f>
        <v>11.9194</v>
      </c>
      <c r="F346" s="434">
        <f>IFERROR(__xludf.DUMMYFUNCTION("""COMPUTED_VALUE"""),45270.99861111111)</f>
        <v>45270.99861</v>
      </c>
      <c r="G346" s="433">
        <f>IFERROR(__xludf.DUMMYFUNCTION("""COMPUTED_VALUE"""),43790.26)</f>
        <v>43790.26</v>
      </c>
      <c r="H346" s="434">
        <f>IFERROR(__xludf.DUMMYFUNCTION("""COMPUTED_VALUE"""),45270.99861111111)</f>
        <v>45270.99861</v>
      </c>
      <c r="I346" s="433">
        <f>IFERROR(__xludf.DUMMYFUNCTION("""COMPUTED_VALUE"""),2341.4402)</f>
        <v>2341.4402</v>
      </c>
    </row>
    <row r="347">
      <c r="A347" s="434">
        <f>IFERROR(__xludf.DUMMYFUNCTION("""COMPUTED_VALUE"""),42978.99861111111)</f>
        <v>42978.99861</v>
      </c>
      <c r="B347" s="433">
        <f>IFERROR(__xludf.DUMMYFUNCTION("""COMPUTED_VALUE"""),4671.11)</f>
        <v>4671.11</v>
      </c>
      <c r="C347" s="434">
        <f>IFERROR(__xludf.DUMMYFUNCTION("""COMPUTED_VALUE"""),42568.99861111111)</f>
        <v>42568.99861</v>
      </c>
      <c r="D347" s="433">
        <f>IFERROR(__xludf.DUMMYFUNCTION("""COMPUTED_VALUE"""),11.6235)</f>
        <v>11.6235</v>
      </c>
      <c r="F347" s="434">
        <f>IFERROR(__xludf.DUMMYFUNCTION("""COMPUTED_VALUE"""),45271.99861111111)</f>
        <v>45271.99861</v>
      </c>
      <c r="G347" s="433">
        <f>IFERROR(__xludf.DUMMYFUNCTION("""COMPUTED_VALUE"""),41237.43)</f>
        <v>41237.43</v>
      </c>
      <c r="H347" s="434">
        <f>IFERROR(__xludf.DUMMYFUNCTION("""COMPUTED_VALUE"""),45271.99861111111)</f>
        <v>45271.99861</v>
      </c>
      <c r="I347" s="433">
        <f>IFERROR(__xludf.DUMMYFUNCTION("""COMPUTED_VALUE"""),2352.4967)</f>
        <v>2352.4967</v>
      </c>
    </row>
    <row r="348">
      <c r="A348" s="434">
        <f>IFERROR(__xludf.DUMMYFUNCTION("""COMPUTED_VALUE"""),42979.99861111111)</f>
        <v>42979.99861</v>
      </c>
      <c r="B348" s="433">
        <f>IFERROR(__xludf.DUMMYFUNCTION("""COMPUTED_VALUE"""),4800.74)</f>
        <v>4800.74</v>
      </c>
      <c r="C348" s="434">
        <f>IFERROR(__xludf.DUMMYFUNCTION("""COMPUTED_VALUE"""),42569.99861111111)</f>
        <v>42569.99861</v>
      </c>
      <c r="D348" s="433">
        <f>IFERROR(__xludf.DUMMYFUNCTION("""COMPUTED_VALUE"""),11.173)</f>
        <v>11.173</v>
      </c>
      <c r="F348" s="434">
        <f>IFERROR(__xludf.DUMMYFUNCTION("""COMPUTED_VALUE"""),45272.99861111111)</f>
        <v>45272.99861</v>
      </c>
      <c r="G348" s="433">
        <f>IFERROR(__xludf.DUMMYFUNCTION("""COMPUTED_VALUE"""),41473.28)</f>
        <v>41473.28</v>
      </c>
      <c r="H348" s="434">
        <f>IFERROR(__xludf.DUMMYFUNCTION("""COMPUTED_VALUE"""),45272.99861111111)</f>
        <v>45272.99861</v>
      </c>
      <c r="I348" s="433">
        <f>IFERROR(__xludf.DUMMYFUNCTION("""COMPUTED_VALUE"""),2224.391)</f>
        <v>2224.391</v>
      </c>
    </row>
    <row r="349">
      <c r="A349" s="434">
        <f>IFERROR(__xludf.DUMMYFUNCTION("""COMPUTED_VALUE"""),42982.99861111111)</f>
        <v>42982.99861</v>
      </c>
      <c r="B349" s="433">
        <f>IFERROR(__xludf.DUMMYFUNCTION("""COMPUTED_VALUE"""),4382.86)</f>
        <v>4382.86</v>
      </c>
      <c r="C349" s="434">
        <f>IFERROR(__xludf.DUMMYFUNCTION("""COMPUTED_VALUE"""),42570.99861111111)</f>
        <v>42570.99861</v>
      </c>
      <c r="D349" s="433">
        <f>IFERROR(__xludf.DUMMYFUNCTION("""COMPUTED_VALUE"""),11.0466)</f>
        <v>11.0466</v>
      </c>
      <c r="F349" s="434">
        <f>IFERROR(__xludf.DUMMYFUNCTION("""COMPUTED_VALUE"""),45273.99861111111)</f>
        <v>45273.99861</v>
      </c>
      <c r="G349" s="433">
        <f>IFERROR(__xludf.DUMMYFUNCTION("""COMPUTED_VALUE"""),42890.93)</f>
        <v>42890.93</v>
      </c>
      <c r="H349" s="434">
        <f>IFERROR(__xludf.DUMMYFUNCTION("""COMPUTED_VALUE"""),45273.99861111111)</f>
        <v>45273.99861</v>
      </c>
      <c r="I349" s="433">
        <f>IFERROR(__xludf.DUMMYFUNCTION("""COMPUTED_VALUE"""),2202.6003)</f>
        <v>2202.6003</v>
      </c>
    </row>
    <row r="350">
      <c r="A350" s="434">
        <f>IFERROR(__xludf.DUMMYFUNCTION("""COMPUTED_VALUE"""),42983.99861111111)</f>
        <v>42983.99861</v>
      </c>
      <c r="B350" s="433">
        <f>IFERROR(__xludf.DUMMYFUNCTION("""COMPUTED_VALUE"""),4278.79)</f>
        <v>4278.79</v>
      </c>
      <c r="C350" s="434">
        <f>IFERROR(__xludf.DUMMYFUNCTION("""COMPUTED_VALUE"""),42571.99861111111)</f>
        <v>42571.99861</v>
      </c>
      <c r="D350" s="433">
        <f>IFERROR(__xludf.DUMMYFUNCTION("""COMPUTED_VALUE"""),11.5902)</f>
        <v>11.5902</v>
      </c>
      <c r="F350" s="434">
        <f>IFERROR(__xludf.DUMMYFUNCTION("""COMPUTED_VALUE"""),45274.99861111111)</f>
        <v>45274.99861</v>
      </c>
      <c r="G350" s="433">
        <f>IFERROR(__xludf.DUMMYFUNCTION("""COMPUTED_VALUE"""),43029.62)</f>
        <v>43029.62</v>
      </c>
      <c r="H350" s="434">
        <f>IFERROR(__xludf.DUMMYFUNCTION("""COMPUTED_VALUE"""),45274.99861111111)</f>
        <v>45274.99861</v>
      </c>
      <c r="I350" s="433">
        <f>IFERROR(__xludf.DUMMYFUNCTION("""COMPUTED_VALUE"""),2260.736)</f>
        <v>2260.736</v>
      </c>
    </row>
    <row r="351">
      <c r="A351" s="434">
        <f>IFERROR(__xludf.DUMMYFUNCTION("""COMPUTED_VALUE"""),42984.99861111111)</f>
        <v>42984.99861</v>
      </c>
      <c r="B351" s="433">
        <f>IFERROR(__xludf.DUMMYFUNCTION("""COMPUTED_VALUE"""),4545.39)</f>
        <v>4545.39</v>
      </c>
      <c r="C351" s="434">
        <f>IFERROR(__xludf.DUMMYFUNCTION("""COMPUTED_VALUE"""),42572.99861111111)</f>
        <v>42572.99861</v>
      </c>
      <c r="D351" s="433">
        <f>IFERROR(__xludf.DUMMYFUNCTION("""COMPUTED_VALUE"""),12.4601)</f>
        <v>12.4601</v>
      </c>
      <c r="F351" s="434">
        <f>IFERROR(__xludf.DUMMYFUNCTION("""COMPUTED_VALUE"""),45275.99861111111)</f>
        <v>45275.99861</v>
      </c>
      <c r="G351" s="433">
        <f>IFERROR(__xludf.DUMMYFUNCTION("""COMPUTED_VALUE"""),41945.55)</f>
        <v>41945.55</v>
      </c>
      <c r="H351" s="434">
        <f>IFERROR(__xludf.DUMMYFUNCTION("""COMPUTED_VALUE"""),45275.99861111111)</f>
        <v>45275.99861</v>
      </c>
      <c r="I351" s="433">
        <f>IFERROR(__xludf.DUMMYFUNCTION("""COMPUTED_VALUE"""),2316.1104)</f>
        <v>2316.1104</v>
      </c>
    </row>
    <row r="352">
      <c r="A352" s="434">
        <f>IFERROR(__xludf.DUMMYFUNCTION("""COMPUTED_VALUE"""),42985.99861111111)</f>
        <v>42985.99861</v>
      </c>
      <c r="B352" s="433">
        <f>IFERROR(__xludf.DUMMYFUNCTION("""COMPUTED_VALUE"""),4589.06)</f>
        <v>4589.06</v>
      </c>
      <c r="C352" s="434">
        <f>IFERROR(__xludf.DUMMYFUNCTION("""COMPUTED_VALUE"""),42573.99861111111)</f>
        <v>42573.99861</v>
      </c>
      <c r="D352" s="433">
        <f>IFERROR(__xludf.DUMMYFUNCTION("""COMPUTED_VALUE"""),12.6575)</f>
        <v>12.6575</v>
      </c>
      <c r="F352" s="434">
        <f>IFERROR(__xludf.DUMMYFUNCTION("""COMPUTED_VALUE"""),45276.99861111111)</f>
        <v>45276.99861</v>
      </c>
      <c r="G352" s="433">
        <f>IFERROR(__xludf.DUMMYFUNCTION("""COMPUTED_VALUE"""),42262.62)</f>
        <v>42262.62</v>
      </c>
      <c r="H352" s="434">
        <f>IFERROR(__xludf.DUMMYFUNCTION("""COMPUTED_VALUE"""),45276.99861111111)</f>
        <v>45276.99861</v>
      </c>
      <c r="I352" s="433">
        <f>IFERROR(__xludf.DUMMYFUNCTION("""COMPUTED_VALUE"""),2220.4156)</f>
        <v>2220.4156</v>
      </c>
    </row>
    <row r="353">
      <c r="A353" s="434">
        <f>IFERROR(__xludf.DUMMYFUNCTION("""COMPUTED_VALUE"""),42986.99861111111)</f>
        <v>42986.99861</v>
      </c>
      <c r="B353" s="433">
        <f>IFERROR(__xludf.DUMMYFUNCTION("""COMPUTED_VALUE"""),4484.14)</f>
        <v>4484.14</v>
      </c>
      <c r="C353" s="434">
        <f>IFERROR(__xludf.DUMMYFUNCTION("""COMPUTED_VALUE"""),42574.99861111111)</f>
        <v>42574.99861</v>
      </c>
      <c r="D353" s="433">
        <f>IFERROR(__xludf.DUMMYFUNCTION("""COMPUTED_VALUE"""),14.6655)</f>
        <v>14.6655</v>
      </c>
      <c r="F353" s="434">
        <f>IFERROR(__xludf.DUMMYFUNCTION("""COMPUTED_VALUE"""),45277.99861111111)</f>
        <v>45277.99861</v>
      </c>
      <c r="G353" s="433">
        <f>IFERROR(__xludf.DUMMYFUNCTION("""COMPUTED_VALUE"""),41360.83)</f>
        <v>41360.83</v>
      </c>
      <c r="H353" s="434">
        <f>IFERROR(__xludf.DUMMYFUNCTION("""COMPUTED_VALUE"""),45277.99861111111)</f>
        <v>45277.99861</v>
      </c>
      <c r="I353" s="433">
        <f>IFERROR(__xludf.DUMMYFUNCTION("""COMPUTED_VALUE"""),2226.8925)</f>
        <v>2226.8925</v>
      </c>
    </row>
    <row r="354">
      <c r="A354" s="434">
        <f>IFERROR(__xludf.DUMMYFUNCTION("""COMPUTED_VALUE"""),42988.99861111111)</f>
        <v>42988.99861</v>
      </c>
      <c r="B354" s="433">
        <f>IFERROR(__xludf.DUMMYFUNCTION("""COMPUTED_VALUE"""),4240.678)</f>
        <v>4240.678</v>
      </c>
      <c r="C354" s="434">
        <f>IFERROR(__xludf.DUMMYFUNCTION("""COMPUTED_VALUE"""),42575.99861111111)</f>
        <v>42575.99861</v>
      </c>
      <c r="D354" s="433">
        <f>IFERROR(__xludf.DUMMYFUNCTION("""COMPUTED_VALUE"""),14.2958)</f>
        <v>14.2958</v>
      </c>
      <c r="F354" s="434">
        <f>IFERROR(__xludf.DUMMYFUNCTION("""COMPUTED_VALUE"""),45278.99861111111)</f>
        <v>45278.99861</v>
      </c>
      <c r="G354" s="433">
        <f>IFERROR(__xludf.DUMMYFUNCTION("""COMPUTED_VALUE"""),42651.91)</f>
        <v>42651.91</v>
      </c>
      <c r="H354" s="434">
        <f>IFERROR(__xludf.DUMMYFUNCTION("""COMPUTED_VALUE"""),45278.99861111111)</f>
        <v>45278.99861</v>
      </c>
      <c r="I354" s="433">
        <f>IFERROR(__xludf.DUMMYFUNCTION("""COMPUTED_VALUE"""),2195.3417)</f>
        <v>2195.3417</v>
      </c>
    </row>
    <row r="355">
      <c r="A355" s="434">
        <f>IFERROR(__xludf.DUMMYFUNCTION("""COMPUTED_VALUE"""),42989.99861111111)</f>
        <v>42989.99861</v>
      </c>
      <c r="B355" s="433">
        <f>IFERROR(__xludf.DUMMYFUNCTION("""COMPUTED_VALUE"""),4219.32)</f>
        <v>4219.32</v>
      </c>
      <c r="C355" s="434">
        <f>IFERROR(__xludf.DUMMYFUNCTION("""COMPUTED_VALUE"""),42576.99861111111)</f>
        <v>42576.99861</v>
      </c>
      <c r="D355" s="433">
        <f>IFERROR(__xludf.DUMMYFUNCTION("""COMPUTED_VALUE"""),12.7434)</f>
        <v>12.7434</v>
      </c>
      <c r="F355" s="434">
        <f>IFERROR(__xludf.DUMMYFUNCTION("""COMPUTED_VALUE"""),45279.99861111111)</f>
        <v>45279.99861</v>
      </c>
      <c r="G355" s="433">
        <f>IFERROR(__xludf.DUMMYFUNCTION("""COMPUTED_VALUE"""),42271.05)</f>
        <v>42271.05</v>
      </c>
      <c r="H355" s="434">
        <f>IFERROR(__xludf.DUMMYFUNCTION("""COMPUTED_VALUE"""),45279.99861111111)</f>
        <v>45279.99861</v>
      </c>
      <c r="I355" s="433">
        <f>IFERROR(__xludf.DUMMYFUNCTION("""COMPUTED_VALUE"""),2218.241)</f>
        <v>2218.241</v>
      </c>
    </row>
    <row r="356">
      <c r="A356" s="434">
        <f>IFERROR(__xludf.DUMMYFUNCTION("""COMPUTED_VALUE"""),42990.99861111111)</f>
        <v>42990.99861</v>
      </c>
      <c r="B356" s="433">
        <f>IFERROR(__xludf.DUMMYFUNCTION("""COMPUTED_VALUE"""),4254.49)</f>
        <v>4254.49</v>
      </c>
      <c r="C356" s="434">
        <f>IFERROR(__xludf.DUMMYFUNCTION("""COMPUTED_VALUE"""),42577.99861111111)</f>
        <v>42577.99861</v>
      </c>
      <c r="D356" s="433">
        <f>IFERROR(__xludf.DUMMYFUNCTION("""COMPUTED_VALUE"""),13.8161)</f>
        <v>13.8161</v>
      </c>
      <c r="F356" s="434">
        <f>IFERROR(__xludf.DUMMYFUNCTION("""COMPUTED_VALUE"""),45280.99861111111)</f>
        <v>45280.99861</v>
      </c>
      <c r="G356" s="433">
        <f>IFERROR(__xludf.DUMMYFUNCTION("""COMPUTED_VALUE"""),43661.13)</f>
        <v>43661.13</v>
      </c>
      <c r="H356" s="434">
        <f>IFERROR(__xludf.DUMMYFUNCTION("""COMPUTED_VALUE"""),45280.99861111111)</f>
        <v>45280.99861</v>
      </c>
      <c r="I356" s="433">
        <f>IFERROR(__xludf.DUMMYFUNCTION("""COMPUTED_VALUE"""),2177.2395)</f>
        <v>2177.2395</v>
      </c>
    </row>
    <row r="357">
      <c r="A357" s="434">
        <f>IFERROR(__xludf.DUMMYFUNCTION("""COMPUTED_VALUE"""),42991.99861111111)</f>
        <v>42991.99861</v>
      </c>
      <c r="B357" s="433">
        <f>IFERROR(__xludf.DUMMYFUNCTION("""COMPUTED_VALUE"""),3930.98)</f>
        <v>3930.98</v>
      </c>
      <c r="C357" s="434">
        <f>IFERROR(__xludf.DUMMYFUNCTION("""COMPUTED_VALUE"""),42578.99861111111)</f>
        <v>42578.99861</v>
      </c>
      <c r="D357" s="433">
        <f>IFERROR(__xludf.DUMMYFUNCTION("""COMPUTED_VALUE"""),12.0505)</f>
        <v>12.0505</v>
      </c>
      <c r="F357" s="434">
        <f>IFERROR(__xludf.DUMMYFUNCTION("""COMPUTED_VALUE"""),45281.99861111111)</f>
        <v>45281.99861</v>
      </c>
      <c r="G357" s="433">
        <f>IFERROR(__xludf.DUMMYFUNCTION("""COMPUTED_VALUE"""),43879.57)</f>
        <v>43879.57</v>
      </c>
      <c r="H357" s="434">
        <f>IFERROR(__xludf.DUMMYFUNCTION("""COMPUTED_VALUE"""),45281.99861111111)</f>
        <v>45281.99861</v>
      </c>
      <c r="I357" s="433">
        <f>IFERROR(__xludf.DUMMYFUNCTION("""COMPUTED_VALUE"""),2201.7901)</f>
        <v>2201.7901</v>
      </c>
    </row>
    <row r="358">
      <c r="A358" s="434">
        <f>IFERROR(__xludf.DUMMYFUNCTION("""COMPUTED_VALUE"""),42992.99861111111)</f>
        <v>42992.99861</v>
      </c>
      <c r="B358" s="433">
        <f>IFERROR(__xludf.DUMMYFUNCTION("""COMPUTED_VALUE"""),3625.0)</f>
        <v>3625</v>
      </c>
      <c r="C358" s="434">
        <f>IFERROR(__xludf.DUMMYFUNCTION("""COMPUTED_VALUE"""),42579.99861111111)</f>
        <v>42579.99861</v>
      </c>
      <c r="D358" s="433">
        <f>IFERROR(__xludf.DUMMYFUNCTION("""COMPUTED_VALUE"""),12.9791)</f>
        <v>12.9791</v>
      </c>
      <c r="F358" s="434">
        <f>IFERROR(__xludf.DUMMYFUNCTION("""COMPUTED_VALUE"""),45282.99861111111)</f>
        <v>45282.99861</v>
      </c>
      <c r="G358" s="433">
        <f>IFERROR(__xludf.DUMMYFUNCTION("""COMPUTED_VALUE"""),44016.18)</f>
        <v>44016.18</v>
      </c>
      <c r="H358" s="434">
        <f>IFERROR(__xludf.DUMMYFUNCTION("""COMPUTED_VALUE"""),45282.99861111111)</f>
        <v>45282.99861</v>
      </c>
      <c r="I358" s="433">
        <f>IFERROR(__xludf.DUMMYFUNCTION("""COMPUTED_VALUE"""),2239.5983)</f>
        <v>2239.5983</v>
      </c>
    </row>
    <row r="359">
      <c r="A359" s="434">
        <f>IFERROR(__xludf.DUMMYFUNCTION("""COMPUTED_VALUE"""),42993.99861111111)</f>
        <v>42993.99861</v>
      </c>
      <c r="B359" s="433">
        <f>IFERROR(__xludf.DUMMYFUNCTION("""COMPUTED_VALUE"""),3417.0)</f>
        <v>3417</v>
      </c>
      <c r="C359" s="434">
        <f>IFERROR(__xludf.DUMMYFUNCTION("""COMPUTED_VALUE"""),42580.99861111111)</f>
        <v>42580.99861</v>
      </c>
      <c r="D359" s="433">
        <f>IFERROR(__xludf.DUMMYFUNCTION("""COMPUTED_VALUE"""),12.8364)</f>
        <v>12.8364</v>
      </c>
      <c r="F359" s="434">
        <f>IFERROR(__xludf.DUMMYFUNCTION("""COMPUTED_VALUE"""),45283.99861111111)</f>
        <v>45283.99861</v>
      </c>
      <c r="G359" s="433">
        <f>IFERROR(__xludf.DUMMYFUNCTION("""COMPUTED_VALUE"""),43768.45)</f>
        <v>43768.45</v>
      </c>
      <c r="H359" s="434">
        <f>IFERROR(__xludf.DUMMYFUNCTION("""COMPUTED_VALUE"""),45283.99861111111)</f>
        <v>45283.99861</v>
      </c>
      <c r="I359" s="433">
        <f>IFERROR(__xludf.DUMMYFUNCTION("""COMPUTED_VALUE"""),2326.7159)</f>
        <v>2326.7159</v>
      </c>
    </row>
    <row r="360">
      <c r="A360" s="434">
        <f>IFERROR(__xludf.DUMMYFUNCTION("""COMPUTED_VALUE"""),42994.99861111111)</f>
        <v>42994.99861</v>
      </c>
      <c r="B360" s="433">
        <f>IFERROR(__xludf.DUMMYFUNCTION("""COMPUTED_VALUE"""),3722.993)</f>
        <v>3722.993</v>
      </c>
      <c r="C360" s="434">
        <f>IFERROR(__xludf.DUMMYFUNCTION("""COMPUTED_VALUE"""),42581.99861111111)</f>
        <v>42581.99861</v>
      </c>
      <c r="D360" s="433">
        <f>IFERROR(__xludf.DUMMYFUNCTION("""COMPUTED_VALUE"""),12.7974)</f>
        <v>12.7974</v>
      </c>
      <c r="F360" s="434">
        <f>IFERROR(__xludf.DUMMYFUNCTION("""COMPUTED_VALUE"""),45284.99861111111)</f>
        <v>45284.99861</v>
      </c>
      <c r="G360" s="433">
        <f>IFERROR(__xludf.DUMMYFUNCTION("""COMPUTED_VALUE"""),43042.68)</f>
        <v>43042.68</v>
      </c>
      <c r="H360" s="434">
        <f>IFERROR(__xludf.DUMMYFUNCTION("""COMPUTED_VALUE"""),45284.99861111111)</f>
        <v>45284.99861</v>
      </c>
      <c r="I360" s="433">
        <f>IFERROR(__xludf.DUMMYFUNCTION("""COMPUTED_VALUE"""),2309.6266)</f>
        <v>2309.6266</v>
      </c>
    </row>
    <row r="361">
      <c r="A361" s="434">
        <f>IFERROR(__xludf.DUMMYFUNCTION("""COMPUTED_VALUE"""),42995.99861111111)</f>
        <v>42995.99861</v>
      </c>
      <c r="B361" s="433">
        <f>IFERROR(__xludf.DUMMYFUNCTION("""COMPUTED_VALUE"""),3688.033)</f>
        <v>3688.033</v>
      </c>
      <c r="C361" s="434">
        <f>IFERROR(__xludf.DUMMYFUNCTION("""COMPUTED_VALUE"""),42582.99861111111)</f>
        <v>42582.99861</v>
      </c>
      <c r="D361" s="433">
        <f>IFERROR(__xludf.DUMMYFUNCTION("""COMPUTED_VALUE"""),12.4397)</f>
        <v>12.4397</v>
      </c>
      <c r="F361" s="434">
        <f>IFERROR(__xludf.DUMMYFUNCTION("""COMPUTED_VALUE"""),45285.99861111111)</f>
        <v>45285.99861</v>
      </c>
      <c r="G361" s="433">
        <f>IFERROR(__xludf.DUMMYFUNCTION("""COMPUTED_VALUE"""),43608.0)</f>
        <v>43608</v>
      </c>
      <c r="H361" s="434">
        <f>IFERROR(__xludf.DUMMYFUNCTION("""COMPUTED_VALUE"""),45285.99861111111)</f>
        <v>45285.99861</v>
      </c>
      <c r="I361" s="433">
        <f>IFERROR(__xludf.DUMMYFUNCTION("""COMPUTED_VALUE"""),2265.3406)</f>
        <v>2265.3406</v>
      </c>
    </row>
    <row r="362">
      <c r="A362" s="434">
        <f>IFERROR(__xludf.DUMMYFUNCTION("""COMPUTED_VALUE"""),42996.99861111111)</f>
        <v>42996.99861</v>
      </c>
      <c r="B362" s="433">
        <f>IFERROR(__xludf.DUMMYFUNCTION("""COMPUTED_VALUE"""),3946.48)</f>
        <v>3946.48</v>
      </c>
      <c r="C362" s="434">
        <f>IFERROR(__xludf.DUMMYFUNCTION("""COMPUTED_VALUE"""),42583.99861111111)</f>
        <v>42583.99861</v>
      </c>
      <c r="D362" s="433">
        <f>IFERROR(__xludf.DUMMYFUNCTION("""COMPUTED_VALUE"""),11.8948)</f>
        <v>11.8948</v>
      </c>
      <c r="F362" s="434">
        <f>IFERROR(__xludf.DUMMYFUNCTION("""COMPUTED_VALUE"""),45286.99861111111)</f>
        <v>45286.99861</v>
      </c>
      <c r="G362" s="433">
        <f>IFERROR(__xludf.DUMMYFUNCTION("""COMPUTED_VALUE"""),42524.73)</f>
        <v>42524.73</v>
      </c>
      <c r="H362" s="434">
        <f>IFERROR(__xludf.DUMMYFUNCTION("""COMPUTED_VALUE"""),45286.99861111111)</f>
        <v>45286.99861</v>
      </c>
      <c r="I362" s="433">
        <f>IFERROR(__xludf.DUMMYFUNCTION("""COMPUTED_VALUE"""),2272.2188)</f>
        <v>2272.2188</v>
      </c>
    </row>
    <row r="363">
      <c r="A363" s="434">
        <f>IFERROR(__xludf.DUMMYFUNCTION("""COMPUTED_VALUE"""),42997.99861111111)</f>
        <v>42997.99861</v>
      </c>
      <c r="B363" s="433">
        <f>IFERROR(__xludf.DUMMYFUNCTION("""COMPUTED_VALUE"""),3961.93)</f>
        <v>3961.93</v>
      </c>
      <c r="C363" s="434">
        <f>IFERROR(__xludf.DUMMYFUNCTION("""COMPUTED_VALUE"""),42584.99861111111)</f>
        <v>42584.99861</v>
      </c>
      <c r="D363" s="433">
        <f>IFERROR(__xludf.DUMMYFUNCTION("""COMPUTED_VALUE"""),10.9485)</f>
        <v>10.9485</v>
      </c>
      <c r="F363" s="434">
        <f>IFERROR(__xludf.DUMMYFUNCTION("""COMPUTED_VALUE"""),45287.99861111111)</f>
        <v>45287.99861</v>
      </c>
      <c r="G363" s="433">
        <f>IFERROR(__xludf.DUMMYFUNCTION("""COMPUTED_VALUE"""),43469.43)</f>
        <v>43469.43</v>
      </c>
      <c r="H363" s="434">
        <f>IFERROR(__xludf.DUMMYFUNCTION("""COMPUTED_VALUE"""),45287.99861111111)</f>
        <v>45287.99861</v>
      </c>
      <c r="I363" s="433">
        <f>IFERROR(__xludf.DUMMYFUNCTION("""COMPUTED_VALUE"""),2231.3931)</f>
        <v>2231.3931</v>
      </c>
    </row>
    <row r="364">
      <c r="A364" s="434">
        <f>IFERROR(__xludf.DUMMYFUNCTION("""COMPUTED_VALUE"""),42998.99861111111)</f>
        <v>42998.99861</v>
      </c>
      <c r="B364" s="433">
        <f>IFERROR(__xludf.DUMMYFUNCTION("""COMPUTED_VALUE"""),3939.52)</f>
        <v>3939.52</v>
      </c>
      <c r="C364" s="434">
        <f>IFERROR(__xludf.DUMMYFUNCTION("""COMPUTED_VALUE"""),42585.99861111111)</f>
        <v>42585.99861</v>
      </c>
      <c r="D364" s="433">
        <f>IFERROR(__xludf.DUMMYFUNCTION("""COMPUTED_VALUE"""),8.8768)</f>
        <v>8.8768</v>
      </c>
      <c r="F364" s="434">
        <f>IFERROR(__xludf.DUMMYFUNCTION("""COMPUTED_VALUE"""),45288.99861111111)</f>
        <v>45288.99861</v>
      </c>
      <c r="G364" s="433">
        <f>IFERROR(__xludf.DUMMYFUNCTION("""COMPUTED_VALUE"""),42596.08)</f>
        <v>42596.08</v>
      </c>
      <c r="H364" s="434">
        <f>IFERROR(__xludf.DUMMYFUNCTION("""COMPUTED_VALUE"""),45288.99861111111)</f>
        <v>45288.99861</v>
      </c>
      <c r="I364" s="433">
        <f>IFERROR(__xludf.DUMMYFUNCTION("""COMPUTED_VALUE"""),2380.2006)</f>
        <v>2380.2006</v>
      </c>
    </row>
    <row r="365">
      <c r="A365" s="434">
        <f>IFERROR(__xludf.DUMMYFUNCTION("""COMPUTED_VALUE"""),42999.99861111111)</f>
        <v>42999.99861</v>
      </c>
      <c r="B365" s="433">
        <f>IFERROR(__xludf.DUMMYFUNCTION("""COMPUTED_VALUE"""),3786.24)</f>
        <v>3786.24</v>
      </c>
      <c r="C365" s="434">
        <f>IFERROR(__xludf.DUMMYFUNCTION("""COMPUTED_VALUE"""),42586.99861111111)</f>
        <v>42586.99861</v>
      </c>
      <c r="D365" s="433">
        <f>IFERROR(__xludf.DUMMYFUNCTION("""COMPUTED_VALUE"""),10.311)</f>
        <v>10.311</v>
      </c>
      <c r="F365" s="434">
        <f>IFERROR(__xludf.DUMMYFUNCTION("""COMPUTED_VALUE"""),45289.99861111111)</f>
        <v>45289.99861</v>
      </c>
      <c r="G365" s="433">
        <f>IFERROR(__xludf.DUMMYFUNCTION("""COMPUTED_VALUE"""),42088.24)</f>
        <v>42088.24</v>
      </c>
      <c r="H365" s="434">
        <f>IFERROR(__xludf.DUMMYFUNCTION("""COMPUTED_VALUE"""),45289.99861111111)</f>
        <v>45289.99861</v>
      </c>
      <c r="I365" s="433">
        <f>IFERROR(__xludf.DUMMYFUNCTION("""COMPUTED_VALUE"""),2346.8438)</f>
        <v>2346.8438</v>
      </c>
    </row>
    <row r="366">
      <c r="A366" s="434">
        <f>IFERROR(__xludf.DUMMYFUNCTION("""COMPUTED_VALUE"""),43000.99861111111)</f>
        <v>43000.99861</v>
      </c>
      <c r="B366" s="433">
        <f>IFERROR(__xludf.DUMMYFUNCTION("""COMPUTED_VALUE"""),3620.38)</f>
        <v>3620.38</v>
      </c>
      <c r="C366" s="434">
        <f>IFERROR(__xludf.DUMMYFUNCTION("""COMPUTED_VALUE"""),42587.99861111111)</f>
        <v>42587.99861</v>
      </c>
      <c r="D366" s="433">
        <f>IFERROR(__xludf.DUMMYFUNCTION("""COMPUTED_VALUE"""),11.019)</f>
        <v>11.019</v>
      </c>
      <c r="F366" s="434">
        <f>IFERROR(__xludf.DUMMYFUNCTION("""COMPUTED_VALUE"""),45290.99861111111)</f>
        <v>45290.99861</v>
      </c>
      <c r="G366" s="433">
        <f>IFERROR(__xludf.DUMMYFUNCTION("""COMPUTED_VALUE"""),42141.19)</f>
        <v>42141.19</v>
      </c>
      <c r="H366" s="434">
        <f>IFERROR(__xludf.DUMMYFUNCTION("""COMPUTED_VALUE"""),45290.99861111111)</f>
        <v>45290.99861</v>
      </c>
      <c r="I366" s="433">
        <f>IFERROR(__xludf.DUMMYFUNCTION("""COMPUTED_VALUE"""),2300.3998)</f>
        <v>2300.3998</v>
      </c>
    </row>
    <row r="367">
      <c r="A367" s="434">
        <f>IFERROR(__xludf.DUMMYFUNCTION("""COMPUTED_VALUE"""),43001.99861111111)</f>
        <v>43001.99861</v>
      </c>
      <c r="B367" s="433">
        <f>IFERROR(__xludf.DUMMYFUNCTION("""COMPUTED_VALUE"""),3548.147)</f>
        <v>3548.147</v>
      </c>
      <c r="C367" s="434">
        <f>IFERROR(__xludf.DUMMYFUNCTION("""COMPUTED_VALUE"""),42588.99861111111)</f>
        <v>42588.99861</v>
      </c>
      <c r="D367" s="433">
        <f>IFERROR(__xludf.DUMMYFUNCTION("""COMPUTED_VALUE"""),10.9167)</f>
        <v>10.9167</v>
      </c>
      <c r="F367" s="434">
        <f>IFERROR(__xludf.DUMMYFUNCTION("""COMPUTED_VALUE"""),45291.99861111111)</f>
        <v>45291.99861</v>
      </c>
      <c r="G367" s="433">
        <f>IFERROR(__xludf.DUMMYFUNCTION("""COMPUTED_VALUE"""),42291.37)</f>
        <v>42291.37</v>
      </c>
      <c r="H367" s="434">
        <f>IFERROR(__xludf.DUMMYFUNCTION("""COMPUTED_VALUE"""),45291.99861111111)</f>
        <v>45291.99861</v>
      </c>
      <c r="I367" s="433">
        <f>IFERROR(__xludf.DUMMYFUNCTION("""COMPUTED_VALUE"""),2291.9452)</f>
        <v>2291.9452</v>
      </c>
    </row>
    <row r="368">
      <c r="A368" s="434">
        <f>IFERROR(__xludf.DUMMYFUNCTION("""COMPUTED_VALUE"""),43002.99861111111)</f>
        <v>43002.99861</v>
      </c>
      <c r="B368" s="433">
        <f>IFERROR(__xludf.DUMMYFUNCTION("""COMPUTED_VALUE"""),3686.39)</f>
        <v>3686.39</v>
      </c>
      <c r="C368" s="434">
        <f>IFERROR(__xludf.DUMMYFUNCTION("""COMPUTED_VALUE"""),42589.99861111111)</f>
        <v>42589.99861</v>
      </c>
      <c r="D368" s="433">
        <f>IFERROR(__xludf.DUMMYFUNCTION("""COMPUTED_VALUE"""),10.8592)</f>
        <v>10.8592</v>
      </c>
      <c r="F368" s="434">
        <f>IFERROR(__xludf.DUMMYFUNCTION("""COMPUTED_VALUE"""),45292.99861111111)</f>
        <v>45292.99861</v>
      </c>
      <c r="G368" s="433">
        <f>IFERROR(__xludf.DUMMYFUNCTION("""COMPUTED_VALUE"""),44204.37)</f>
        <v>44204.37</v>
      </c>
      <c r="H368" s="434">
        <f>IFERROR(__xludf.DUMMYFUNCTION("""COMPUTED_VALUE"""),45292.99861111111)</f>
        <v>45292.99861</v>
      </c>
      <c r="I368" s="433">
        <f>IFERROR(__xludf.DUMMYFUNCTION("""COMPUTED_VALUE"""),2281.7966)</f>
        <v>2281.7966</v>
      </c>
    </row>
    <row r="369">
      <c r="A369" s="434">
        <f>IFERROR(__xludf.DUMMYFUNCTION("""COMPUTED_VALUE"""),43003.99861111111)</f>
        <v>43003.99861</v>
      </c>
      <c r="B369" s="433">
        <f>IFERROR(__xludf.DUMMYFUNCTION("""COMPUTED_VALUE"""),3935.63)</f>
        <v>3935.63</v>
      </c>
      <c r="C369" s="434">
        <f>IFERROR(__xludf.DUMMYFUNCTION("""COMPUTED_VALUE"""),42590.99861111111)</f>
        <v>42590.99861</v>
      </c>
      <c r="D369" s="433">
        <f>IFERROR(__xludf.DUMMYFUNCTION("""COMPUTED_VALUE"""),10.9135)</f>
        <v>10.9135</v>
      </c>
      <c r="F369" s="434">
        <f>IFERROR(__xludf.DUMMYFUNCTION("""COMPUTED_VALUE"""),45293.99861111111)</f>
        <v>45293.99861</v>
      </c>
      <c r="G369" s="433">
        <f>IFERROR(__xludf.DUMMYFUNCTION("""COMPUTED_VALUE"""),44971.76)</f>
        <v>44971.76</v>
      </c>
      <c r="H369" s="434">
        <f>IFERROR(__xludf.DUMMYFUNCTION("""COMPUTED_VALUE"""),45293.99861111111)</f>
        <v>45293.99861</v>
      </c>
      <c r="I369" s="433">
        <f>IFERROR(__xludf.DUMMYFUNCTION("""COMPUTED_VALUE"""),2352.5936)</f>
        <v>2352.5936</v>
      </c>
    </row>
    <row r="370">
      <c r="A370" s="434">
        <f>IFERROR(__xludf.DUMMYFUNCTION("""COMPUTED_VALUE"""),43004.99861111111)</f>
        <v>43004.99861</v>
      </c>
      <c r="B370" s="433">
        <f>IFERROR(__xludf.DUMMYFUNCTION("""COMPUTED_VALUE"""),3913.24)</f>
        <v>3913.24</v>
      </c>
      <c r="C370" s="434">
        <f>IFERROR(__xludf.DUMMYFUNCTION("""COMPUTED_VALUE"""),42591.99861111111)</f>
        <v>42591.99861</v>
      </c>
      <c r="D370" s="433">
        <f>IFERROR(__xludf.DUMMYFUNCTION("""COMPUTED_VALUE"""),11.2746)</f>
        <v>11.2746</v>
      </c>
      <c r="F370" s="434">
        <f>IFERROR(__xludf.DUMMYFUNCTION("""COMPUTED_VALUE"""),45294.99861111111)</f>
        <v>45294.99861</v>
      </c>
      <c r="G370" s="433">
        <f>IFERROR(__xludf.DUMMYFUNCTION("""COMPUTED_VALUE"""),42864.52)</f>
        <v>42864.52</v>
      </c>
      <c r="H370" s="434">
        <f>IFERROR(__xludf.DUMMYFUNCTION("""COMPUTED_VALUE"""),45294.99861111111)</f>
        <v>45294.99861</v>
      </c>
      <c r="I370" s="433">
        <f>IFERROR(__xludf.DUMMYFUNCTION("""COMPUTED_VALUE"""),2355.9813)</f>
        <v>2355.9813</v>
      </c>
    </row>
    <row r="371">
      <c r="A371" s="434">
        <f>IFERROR(__xludf.DUMMYFUNCTION("""COMPUTED_VALUE"""),43005.99861111111)</f>
        <v>43005.99861</v>
      </c>
      <c r="B371" s="433">
        <f>IFERROR(__xludf.DUMMYFUNCTION("""COMPUTED_VALUE"""),4161.2)</f>
        <v>4161.2</v>
      </c>
      <c r="C371" s="434">
        <f>IFERROR(__xludf.DUMMYFUNCTION("""COMPUTED_VALUE"""),42592.99861111111)</f>
        <v>42592.99861</v>
      </c>
      <c r="D371" s="433">
        <f>IFERROR(__xludf.DUMMYFUNCTION("""COMPUTED_VALUE"""),12.2298)</f>
        <v>12.2298</v>
      </c>
      <c r="F371" s="434">
        <f>IFERROR(__xludf.DUMMYFUNCTION("""COMPUTED_VALUE"""),45295.99861111111)</f>
        <v>45295.99861</v>
      </c>
      <c r="G371" s="433">
        <f>IFERROR(__xludf.DUMMYFUNCTION("""COMPUTED_VALUE"""),44202.17)</f>
        <v>44202.17</v>
      </c>
      <c r="H371" s="434">
        <f>IFERROR(__xludf.DUMMYFUNCTION("""COMPUTED_VALUE"""),45295.99861111111)</f>
        <v>45295.99861</v>
      </c>
      <c r="I371" s="433">
        <f>IFERROR(__xludf.DUMMYFUNCTION("""COMPUTED_VALUE"""),2210.5291)</f>
        <v>2210.5291</v>
      </c>
    </row>
    <row r="372">
      <c r="A372" s="434">
        <f>IFERROR(__xludf.DUMMYFUNCTION("""COMPUTED_VALUE"""),43006.99861111111)</f>
        <v>43006.99861</v>
      </c>
      <c r="B372" s="433">
        <f>IFERROR(__xludf.DUMMYFUNCTION("""COMPUTED_VALUE"""),4170.27)</f>
        <v>4170.27</v>
      </c>
      <c r="C372" s="434">
        <f>IFERROR(__xludf.DUMMYFUNCTION("""COMPUTED_VALUE"""),42593.99861111111)</f>
        <v>42593.99861</v>
      </c>
      <c r="D372" s="433">
        <f>IFERROR(__xludf.DUMMYFUNCTION("""COMPUTED_VALUE"""),12.1382)</f>
        <v>12.1382</v>
      </c>
      <c r="F372" s="434">
        <f>IFERROR(__xludf.DUMMYFUNCTION("""COMPUTED_VALUE"""),45296.99861111111)</f>
        <v>45296.99861</v>
      </c>
      <c r="G372" s="433">
        <f>IFERROR(__xludf.DUMMYFUNCTION("""COMPUTED_VALUE"""),44185.63)</f>
        <v>44185.63</v>
      </c>
      <c r="H372" s="434">
        <f>IFERROR(__xludf.DUMMYFUNCTION("""COMPUTED_VALUE"""),45296.99861111111)</f>
        <v>45296.99861</v>
      </c>
      <c r="I372" s="433">
        <f>IFERROR(__xludf.DUMMYFUNCTION("""COMPUTED_VALUE"""),2269.4093)</f>
        <v>2269.4093</v>
      </c>
    </row>
    <row r="373">
      <c r="A373" s="434">
        <f>IFERROR(__xludf.DUMMYFUNCTION("""COMPUTED_VALUE"""),43007.99861111111)</f>
        <v>43007.99861</v>
      </c>
      <c r="B373" s="433">
        <f>IFERROR(__xludf.DUMMYFUNCTION("""COMPUTED_VALUE"""),4180.01)</f>
        <v>4180.01</v>
      </c>
      <c r="C373" s="434">
        <f>IFERROR(__xludf.DUMMYFUNCTION("""COMPUTED_VALUE"""),42594.99861111111)</f>
        <v>42594.99861</v>
      </c>
      <c r="D373" s="433">
        <f>IFERROR(__xludf.DUMMYFUNCTION("""COMPUTED_VALUE"""),11.6889)</f>
        <v>11.6889</v>
      </c>
      <c r="F373" s="434">
        <f>IFERROR(__xludf.DUMMYFUNCTION("""COMPUTED_VALUE"""),45297.99861111111)</f>
        <v>45297.99861</v>
      </c>
      <c r="G373" s="433">
        <f>IFERROR(__xludf.DUMMYFUNCTION("""COMPUTED_VALUE"""),44003.69)</f>
        <v>44003.69</v>
      </c>
      <c r="H373" s="434">
        <f>IFERROR(__xludf.DUMMYFUNCTION("""COMPUTED_VALUE"""),45297.99861111111)</f>
        <v>45297.99861</v>
      </c>
      <c r="I373" s="433">
        <f>IFERROR(__xludf.DUMMYFUNCTION("""COMPUTED_VALUE"""),2269.5399)</f>
        <v>2269.5399</v>
      </c>
    </row>
    <row r="374">
      <c r="A374" s="434">
        <f>IFERROR(__xludf.DUMMYFUNCTION("""COMPUTED_VALUE"""),43008.99861111111)</f>
        <v>43008.99861</v>
      </c>
      <c r="B374" s="433">
        <f>IFERROR(__xludf.DUMMYFUNCTION("""COMPUTED_VALUE"""),4354.27)</f>
        <v>4354.27</v>
      </c>
      <c r="C374" s="434">
        <f>IFERROR(__xludf.DUMMYFUNCTION("""COMPUTED_VALUE"""),42595.99861111111)</f>
        <v>42595.99861</v>
      </c>
      <c r="D374" s="433">
        <f>IFERROR(__xludf.DUMMYFUNCTION("""COMPUTED_VALUE"""),11.7704)</f>
        <v>11.7704</v>
      </c>
      <c r="F374" s="434">
        <f>IFERROR(__xludf.DUMMYFUNCTION("""COMPUTED_VALUE"""),45298.99861111111)</f>
        <v>45298.99861</v>
      </c>
      <c r="G374" s="433">
        <f>IFERROR(__xludf.DUMMYFUNCTION("""COMPUTED_VALUE"""),43940.36)</f>
        <v>43940.36</v>
      </c>
      <c r="H374" s="434">
        <f>IFERROR(__xludf.DUMMYFUNCTION("""COMPUTED_VALUE"""),45298.99861111111)</f>
        <v>45298.99861</v>
      </c>
      <c r="I374" s="433">
        <f>IFERROR(__xludf.DUMMYFUNCTION("""COMPUTED_VALUE"""),2242.0127)</f>
        <v>2242.0127</v>
      </c>
    </row>
    <row r="375">
      <c r="A375" s="434">
        <f>IFERROR(__xludf.DUMMYFUNCTION("""COMPUTED_VALUE"""),43009.99861111111)</f>
        <v>43009.99861</v>
      </c>
      <c r="B375" s="433">
        <f>IFERROR(__xludf.DUMMYFUNCTION("""COMPUTED_VALUE"""),4392.67)</f>
        <v>4392.67</v>
      </c>
      <c r="C375" s="434">
        <f>IFERROR(__xludf.DUMMYFUNCTION("""COMPUTED_VALUE"""),42596.99861111111)</f>
        <v>42596.99861</v>
      </c>
      <c r="D375" s="433">
        <f>IFERROR(__xludf.DUMMYFUNCTION("""COMPUTED_VALUE"""),11.5833)</f>
        <v>11.5833</v>
      </c>
      <c r="F375" s="434">
        <f>IFERROR(__xludf.DUMMYFUNCTION("""COMPUTED_VALUE"""),45299.99861111111)</f>
        <v>45299.99861</v>
      </c>
      <c r="G375" s="433">
        <f>IFERROR(__xludf.DUMMYFUNCTION("""COMPUTED_VALUE"""),46986.92)</f>
        <v>46986.92</v>
      </c>
      <c r="H375" s="434">
        <f>IFERROR(__xludf.DUMMYFUNCTION("""COMPUTED_VALUE"""),45299.99861111111)</f>
        <v>45299.99861</v>
      </c>
      <c r="I375" s="433">
        <f>IFERROR(__xludf.DUMMYFUNCTION("""COMPUTED_VALUE"""),2222.8577)</f>
        <v>2222.8577</v>
      </c>
    </row>
    <row r="376">
      <c r="A376" s="434">
        <f>IFERROR(__xludf.DUMMYFUNCTION("""COMPUTED_VALUE"""),43010.99861111111)</f>
        <v>43010.99861</v>
      </c>
      <c r="B376" s="433">
        <f>IFERROR(__xludf.DUMMYFUNCTION("""COMPUTED_VALUE"""),4399.65)</f>
        <v>4399.65</v>
      </c>
      <c r="C376" s="434">
        <f>IFERROR(__xludf.DUMMYFUNCTION("""COMPUTED_VALUE"""),42597.99861111111)</f>
        <v>42597.99861</v>
      </c>
      <c r="D376" s="433">
        <f>IFERROR(__xludf.DUMMYFUNCTION("""COMPUTED_VALUE"""),11.2017)</f>
        <v>11.2017</v>
      </c>
      <c r="F376" s="434">
        <f>IFERROR(__xludf.DUMMYFUNCTION("""COMPUTED_VALUE"""),45300.99861111111)</f>
        <v>45300.99861</v>
      </c>
      <c r="G376" s="433">
        <f>IFERROR(__xludf.DUMMYFUNCTION("""COMPUTED_VALUE"""),46129.09)</f>
        <v>46129.09</v>
      </c>
      <c r="H376" s="434">
        <f>IFERROR(__xludf.DUMMYFUNCTION("""COMPUTED_VALUE"""),45300.99861111111)</f>
        <v>45300.99861</v>
      </c>
      <c r="I376" s="433">
        <f>IFERROR(__xludf.DUMMYFUNCTION("""COMPUTED_VALUE"""),2332.8681)</f>
        <v>2332.8681</v>
      </c>
    </row>
    <row r="377">
      <c r="A377" s="434">
        <f>IFERROR(__xludf.DUMMYFUNCTION("""COMPUTED_VALUE"""),43011.99861111111)</f>
        <v>43011.99861</v>
      </c>
      <c r="B377" s="433">
        <f>IFERROR(__xludf.DUMMYFUNCTION("""COMPUTED_VALUE"""),4282.58)</f>
        <v>4282.58</v>
      </c>
      <c r="C377" s="434">
        <f>IFERROR(__xludf.DUMMYFUNCTION("""COMPUTED_VALUE"""),42598.99861111111)</f>
        <v>42598.99861</v>
      </c>
      <c r="D377" s="433">
        <f>IFERROR(__xludf.DUMMYFUNCTION("""COMPUTED_VALUE"""),11.2287)</f>
        <v>11.2287</v>
      </c>
      <c r="F377" s="434">
        <f>IFERROR(__xludf.DUMMYFUNCTION("""COMPUTED_VALUE"""),45301.99861111111)</f>
        <v>45301.99861</v>
      </c>
      <c r="G377" s="433">
        <f>IFERROR(__xludf.DUMMYFUNCTION("""COMPUTED_VALUE"""),46662.4)</f>
        <v>46662.4</v>
      </c>
      <c r="H377" s="434">
        <f>IFERROR(__xludf.DUMMYFUNCTION("""COMPUTED_VALUE"""),45301.99861111111)</f>
        <v>45301.99861</v>
      </c>
      <c r="I377" s="433">
        <f>IFERROR(__xludf.DUMMYFUNCTION("""COMPUTED_VALUE"""),2344.9236)</f>
        <v>2344.9236</v>
      </c>
    </row>
    <row r="378">
      <c r="A378" s="434">
        <f>IFERROR(__xludf.DUMMYFUNCTION("""COMPUTED_VALUE"""),43012.99861111111)</f>
        <v>43012.99861</v>
      </c>
      <c r="B378" s="433">
        <f>IFERROR(__xludf.DUMMYFUNCTION("""COMPUTED_VALUE"""),4199.6)</f>
        <v>4199.6</v>
      </c>
      <c r="C378" s="434">
        <f>IFERROR(__xludf.DUMMYFUNCTION("""COMPUTED_VALUE"""),42599.99861111111)</f>
        <v>42599.99861</v>
      </c>
      <c r="D378" s="433">
        <f>IFERROR(__xludf.DUMMYFUNCTION("""COMPUTED_VALUE"""),11.1332)</f>
        <v>11.1332</v>
      </c>
      <c r="F378" s="434">
        <f>IFERROR(__xludf.DUMMYFUNCTION("""COMPUTED_VALUE"""),45302.99861111111)</f>
        <v>45302.99861</v>
      </c>
      <c r="G378" s="433">
        <f>IFERROR(__xludf.DUMMYFUNCTION("""COMPUTED_VALUE"""),46348.52)</f>
        <v>46348.52</v>
      </c>
      <c r="H378" s="434">
        <f>IFERROR(__xludf.DUMMYFUNCTION("""COMPUTED_VALUE"""),45302.99861111111)</f>
        <v>45302.99861</v>
      </c>
      <c r="I378" s="433">
        <f>IFERROR(__xludf.DUMMYFUNCTION("""COMPUTED_VALUE"""),2584.1715)</f>
        <v>2584.1715</v>
      </c>
    </row>
    <row r="379">
      <c r="A379" s="434">
        <f>IFERROR(__xludf.DUMMYFUNCTION("""COMPUTED_VALUE"""),43013.99861111111)</f>
        <v>43013.99861</v>
      </c>
      <c r="B379" s="433">
        <f>IFERROR(__xludf.DUMMYFUNCTION("""COMPUTED_VALUE"""),4347.56)</f>
        <v>4347.56</v>
      </c>
      <c r="C379" s="434">
        <f>IFERROR(__xludf.DUMMYFUNCTION("""COMPUTED_VALUE"""),42600.99861111111)</f>
        <v>42600.99861</v>
      </c>
      <c r="D379" s="433">
        <f>IFERROR(__xludf.DUMMYFUNCTION("""COMPUTED_VALUE"""),10.7475)</f>
        <v>10.7475</v>
      </c>
      <c r="F379" s="434">
        <f>IFERROR(__xludf.DUMMYFUNCTION("""COMPUTED_VALUE"""),45303.99861111111)</f>
        <v>45303.99861</v>
      </c>
      <c r="G379" s="433">
        <f>IFERROR(__xludf.DUMMYFUNCTION("""COMPUTED_VALUE"""),42802.15)</f>
        <v>42802.15</v>
      </c>
      <c r="H379" s="434">
        <f>IFERROR(__xludf.DUMMYFUNCTION("""COMPUTED_VALUE"""),45303.99861111111)</f>
        <v>45303.99861</v>
      </c>
      <c r="I379" s="433">
        <f>IFERROR(__xludf.DUMMYFUNCTION("""COMPUTED_VALUE"""),2619.177)</f>
        <v>2619.177</v>
      </c>
    </row>
    <row r="380">
      <c r="A380" s="434">
        <f>IFERROR(__xludf.DUMMYFUNCTION("""COMPUTED_VALUE"""),43014.99861111111)</f>
        <v>43014.99861</v>
      </c>
      <c r="B380" s="433">
        <f>IFERROR(__xludf.DUMMYFUNCTION("""COMPUTED_VALUE"""),4340.57)</f>
        <v>4340.57</v>
      </c>
      <c r="C380" s="434">
        <f>IFERROR(__xludf.DUMMYFUNCTION("""COMPUTED_VALUE"""),42601.99861111111)</f>
        <v>42601.99861</v>
      </c>
      <c r="D380" s="433">
        <f>IFERROR(__xludf.DUMMYFUNCTION("""COMPUTED_VALUE"""),10.7463)</f>
        <v>10.7463</v>
      </c>
      <c r="F380" s="434">
        <f>IFERROR(__xludf.DUMMYFUNCTION("""COMPUTED_VALUE"""),45304.99861111111)</f>
        <v>45304.99861</v>
      </c>
      <c r="G380" s="433">
        <f>IFERROR(__xludf.DUMMYFUNCTION("""COMPUTED_VALUE"""),42848.36)</f>
        <v>42848.36</v>
      </c>
      <c r="H380" s="434">
        <f>IFERROR(__xludf.DUMMYFUNCTION("""COMPUTED_VALUE"""),45304.99861111111)</f>
        <v>45304.99861</v>
      </c>
      <c r="I380" s="433">
        <f>IFERROR(__xludf.DUMMYFUNCTION("""COMPUTED_VALUE"""),2522.9338)</f>
        <v>2522.9338</v>
      </c>
    </row>
    <row r="381">
      <c r="A381" s="434">
        <f>IFERROR(__xludf.DUMMYFUNCTION("""COMPUTED_VALUE"""),43015.99861111111)</f>
        <v>43015.99861</v>
      </c>
      <c r="B381" s="433">
        <f>IFERROR(__xludf.DUMMYFUNCTION("""COMPUTED_VALUE"""),4434.25)</f>
        <v>4434.25</v>
      </c>
      <c r="C381" s="434">
        <f>IFERROR(__xludf.DUMMYFUNCTION("""COMPUTED_VALUE"""),42602.99861111111)</f>
        <v>42602.99861</v>
      </c>
      <c r="D381" s="433">
        <f>IFERROR(__xludf.DUMMYFUNCTION("""COMPUTED_VALUE"""),10.7501)</f>
        <v>10.7501</v>
      </c>
      <c r="F381" s="434">
        <f>IFERROR(__xludf.DUMMYFUNCTION("""COMPUTED_VALUE"""),45305.99861111111)</f>
        <v>45305.99861</v>
      </c>
      <c r="G381" s="433">
        <f>IFERROR(__xludf.DUMMYFUNCTION("""COMPUTED_VALUE"""),41920.39)</f>
        <v>41920.39</v>
      </c>
      <c r="H381" s="434">
        <f>IFERROR(__xludf.DUMMYFUNCTION("""COMPUTED_VALUE"""),45305.99861111111)</f>
        <v>45305.99861</v>
      </c>
      <c r="I381" s="433">
        <f>IFERROR(__xludf.DUMMYFUNCTION("""COMPUTED_VALUE"""),2578.0037)</f>
        <v>2578.0037</v>
      </c>
    </row>
    <row r="382">
      <c r="A382" s="434">
        <f>IFERROR(__xludf.DUMMYFUNCTION("""COMPUTED_VALUE"""),43016.99861111111)</f>
        <v>43016.99861</v>
      </c>
      <c r="B382" s="433">
        <f>IFERROR(__xludf.DUMMYFUNCTION("""COMPUTED_VALUE"""),4609.84)</f>
        <v>4609.84</v>
      </c>
      <c r="C382" s="434">
        <f>IFERROR(__xludf.DUMMYFUNCTION("""COMPUTED_VALUE"""),42603.99861111111)</f>
        <v>42603.99861</v>
      </c>
      <c r="D382" s="433">
        <f>IFERROR(__xludf.DUMMYFUNCTION("""COMPUTED_VALUE"""),11.2533)</f>
        <v>11.2533</v>
      </c>
      <c r="F382" s="434">
        <f>IFERROR(__xludf.DUMMYFUNCTION("""COMPUTED_VALUE"""),45306.99861111111)</f>
        <v>45306.99861</v>
      </c>
      <c r="G382" s="433">
        <f>IFERROR(__xludf.DUMMYFUNCTION("""COMPUTED_VALUE"""),42507.4)</f>
        <v>42507.4</v>
      </c>
      <c r="H382" s="434">
        <f>IFERROR(__xludf.DUMMYFUNCTION("""COMPUTED_VALUE"""),45306.99861111111)</f>
        <v>45306.99861</v>
      </c>
      <c r="I382" s="433">
        <f>IFERROR(__xludf.DUMMYFUNCTION("""COMPUTED_VALUE"""),2471.6669)</f>
        <v>2471.6669</v>
      </c>
    </row>
    <row r="383">
      <c r="A383" s="434">
        <f>IFERROR(__xludf.DUMMYFUNCTION("""COMPUTED_VALUE"""),43017.99861111111)</f>
        <v>43017.99861</v>
      </c>
      <c r="B383" s="433">
        <f>IFERROR(__xludf.DUMMYFUNCTION("""COMPUTED_VALUE"""),4843.96)</f>
        <v>4843.96</v>
      </c>
      <c r="C383" s="434">
        <f>IFERROR(__xludf.DUMMYFUNCTION("""COMPUTED_VALUE"""),42604.99861111111)</f>
        <v>42604.99861</v>
      </c>
      <c r="D383" s="433">
        <f>IFERROR(__xludf.DUMMYFUNCTION("""COMPUTED_VALUE"""),11.1851)</f>
        <v>11.1851</v>
      </c>
      <c r="F383" s="434">
        <f>IFERROR(__xludf.DUMMYFUNCTION("""COMPUTED_VALUE"""),45307.99861111111)</f>
        <v>45307.99861</v>
      </c>
      <c r="G383" s="433">
        <f>IFERROR(__xludf.DUMMYFUNCTION("""COMPUTED_VALUE"""),43151.11)</f>
        <v>43151.11</v>
      </c>
      <c r="H383" s="434">
        <f>IFERROR(__xludf.DUMMYFUNCTION("""COMPUTED_VALUE"""),45307.99861111111)</f>
        <v>45307.99861</v>
      </c>
      <c r="I383" s="433">
        <f>IFERROR(__xludf.DUMMYFUNCTION("""COMPUTED_VALUE"""),2510.6273)</f>
        <v>2510.6273</v>
      </c>
    </row>
    <row r="384">
      <c r="A384" s="434">
        <f>IFERROR(__xludf.DUMMYFUNCTION("""COMPUTED_VALUE"""),43018.99861111111)</f>
        <v>43018.99861</v>
      </c>
      <c r="B384" s="433">
        <f>IFERROR(__xludf.DUMMYFUNCTION("""COMPUTED_VALUE"""),4884.58)</f>
        <v>4884.58</v>
      </c>
      <c r="C384" s="434">
        <f>IFERROR(__xludf.DUMMYFUNCTION("""COMPUTED_VALUE"""),42605.99861111111)</f>
        <v>42605.99861</v>
      </c>
      <c r="D384" s="433">
        <f>IFERROR(__xludf.DUMMYFUNCTION("""COMPUTED_VALUE"""),11.137)</f>
        <v>11.137</v>
      </c>
      <c r="F384" s="434">
        <f>IFERROR(__xludf.DUMMYFUNCTION("""COMPUTED_VALUE"""),45308.99861111111)</f>
        <v>45308.99861</v>
      </c>
      <c r="G384" s="433">
        <f>IFERROR(__xludf.DUMMYFUNCTION("""COMPUTED_VALUE"""),42698.78)</f>
        <v>42698.78</v>
      </c>
      <c r="H384" s="434">
        <f>IFERROR(__xludf.DUMMYFUNCTION("""COMPUTED_VALUE"""),45308.99861111111)</f>
        <v>45308.99861</v>
      </c>
      <c r="I384" s="433">
        <f>IFERROR(__xludf.DUMMYFUNCTION("""COMPUTED_VALUE"""),2587.0447)</f>
        <v>2587.0447</v>
      </c>
    </row>
    <row r="385">
      <c r="A385" s="434">
        <f>IFERROR(__xludf.DUMMYFUNCTION("""COMPUTED_VALUE"""),43019.99861111111)</f>
        <v>43019.99861</v>
      </c>
      <c r="B385" s="433">
        <f>IFERROR(__xludf.DUMMYFUNCTION("""COMPUTED_VALUE"""),4828.38)</f>
        <v>4828.38</v>
      </c>
      <c r="C385" s="434">
        <f>IFERROR(__xludf.DUMMYFUNCTION("""COMPUTED_VALUE"""),42606.99861111111)</f>
        <v>42606.99861</v>
      </c>
      <c r="D385" s="433">
        <f>IFERROR(__xludf.DUMMYFUNCTION("""COMPUTED_VALUE"""),11.0243)</f>
        <v>11.0243</v>
      </c>
      <c r="F385" s="434">
        <f>IFERROR(__xludf.DUMMYFUNCTION("""COMPUTED_VALUE"""),45309.99861111111)</f>
        <v>45309.99861</v>
      </c>
      <c r="G385" s="433">
        <f>IFERROR(__xludf.DUMMYFUNCTION("""COMPUTED_VALUE"""),41211.56)</f>
        <v>41211.56</v>
      </c>
      <c r="H385" s="434">
        <f>IFERROR(__xludf.DUMMYFUNCTION("""COMPUTED_VALUE"""),45309.99861111111)</f>
        <v>45309.99861</v>
      </c>
      <c r="I385" s="433">
        <f>IFERROR(__xludf.DUMMYFUNCTION("""COMPUTED_VALUE"""),2528.5931)</f>
        <v>2528.5931</v>
      </c>
    </row>
    <row r="386">
      <c r="A386" s="434">
        <f>IFERROR(__xludf.DUMMYFUNCTION("""COMPUTED_VALUE"""),43020.99861111111)</f>
        <v>43020.99861</v>
      </c>
      <c r="B386" s="433">
        <f>IFERROR(__xludf.DUMMYFUNCTION("""COMPUTED_VALUE"""),5319.3)</f>
        <v>5319.3</v>
      </c>
      <c r="C386" s="434">
        <f>IFERROR(__xludf.DUMMYFUNCTION("""COMPUTED_VALUE"""),42607.99861111111)</f>
        <v>42607.99861</v>
      </c>
      <c r="D386" s="433">
        <f>IFERROR(__xludf.DUMMYFUNCTION("""COMPUTED_VALUE"""),11.0313)</f>
        <v>11.0313</v>
      </c>
      <c r="F386" s="434">
        <f>IFERROR(__xludf.DUMMYFUNCTION("""COMPUTED_VALUE"""),45310.99861111111)</f>
        <v>45310.99861</v>
      </c>
      <c r="G386" s="433">
        <f>IFERROR(__xludf.DUMMYFUNCTION("""COMPUTED_VALUE"""),41615.26)</f>
        <v>41615.26</v>
      </c>
      <c r="H386" s="434">
        <f>IFERROR(__xludf.DUMMYFUNCTION("""COMPUTED_VALUE"""),45310.99861111111)</f>
        <v>45310.99861</v>
      </c>
      <c r="I386" s="433">
        <f>IFERROR(__xludf.DUMMYFUNCTION("""COMPUTED_VALUE"""),2468.6889)</f>
        <v>2468.6889</v>
      </c>
    </row>
    <row r="387">
      <c r="A387" s="434">
        <f>IFERROR(__xludf.DUMMYFUNCTION("""COMPUTED_VALUE"""),43021.99861111111)</f>
        <v>43021.99861</v>
      </c>
      <c r="B387" s="433">
        <f>IFERROR(__xludf.DUMMYFUNCTION("""COMPUTED_VALUE"""),5557.52)</f>
        <v>5557.52</v>
      </c>
      <c r="C387" s="434">
        <f>IFERROR(__xludf.DUMMYFUNCTION("""COMPUTED_VALUE"""),42608.99861111111)</f>
        <v>42608.99861</v>
      </c>
      <c r="D387" s="433">
        <f>IFERROR(__xludf.DUMMYFUNCTION("""COMPUTED_VALUE"""),11.3524)</f>
        <v>11.3524</v>
      </c>
      <c r="F387" s="434">
        <f>IFERROR(__xludf.DUMMYFUNCTION("""COMPUTED_VALUE"""),45311.99861111111)</f>
        <v>45311.99861</v>
      </c>
      <c r="G387" s="433">
        <f>IFERROR(__xludf.DUMMYFUNCTION("""COMPUTED_VALUE"""),41705.26)</f>
        <v>41705.26</v>
      </c>
      <c r="H387" s="434">
        <f>IFERROR(__xludf.DUMMYFUNCTION("""COMPUTED_VALUE"""),45311.99861111111)</f>
        <v>45311.99861</v>
      </c>
      <c r="I387" s="433">
        <f>IFERROR(__xludf.DUMMYFUNCTION("""COMPUTED_VALUE"""),2489.8477)</f>
        <v>2489.8477</v>
      </c>
    </row>
    <row r="388">
      <c r="A388" s="434">
        <f>IFERROR(__xludf.DUMMYFUNCTION("""COMPUTED_VALUE"""),43022.99861111111)</f>
        <v>43022.99861</v>
      </c>
      <c r="B388" s="433">
        <f>IFERROR(__xludf.DUMMYFUNCTION("""COMPUTED_VALUE"""),5825.5)</f>
        <v>5825.5</v>
      </c>
      <c r="C388" s="434">
        <f>IFERROR(__xludf.DUMMYFUNCTION("""COMPUTED_VALUE"""),42609.99861111111)</f>
        <v>42609.99861</v>
      </c>
      <c r="D388" s="433">
        <f>IFERROR(__xludf.DUMMYFUNCTION("""COMPUTED_VALUE"""),11.294)</f>
        <v>11.294</v>
      </c>
      <c r="F388" s="434">
        <f>IFERROR(__xludf.DUMMYFUNCTION("""COMPUTED_VALUE"""),45312.99861111111)</f>
        <v>45312.99861</v>
      </c>
      <c r="G388" s="433">
        <f>IFERROR(__xludf.DUMMYFUNCTION("""COMPUTED_VALUE"""),41572.17)</f>
        <v>41572.17</v>
      </c>
      <c r="H388" s="434">
        <f>IFERROR(__xludf.DUMMYFUNCTION("""COMPUTED_VALUE"""),45312.99861111111)</f>
        <v>45312.99861</v>
      </c>
      <c r="I388" s="433">
        <f>IFERROR(__xludf.DUMMYFUNCTION("""COMPUTED_VALUE"""),2469.7986)</f>
        <v>2469.7986</v>
      </c>
    </row>
    <row r="389">
      <c r="A389" s="434">
        <f>IFERROR(__xludf.DUMMYFUNCTION("""COMPUTED_VALUE"""),43023.99861111111)</f>
        <v>43023.99861</v>
      </c>
      <c r="B389" s="433">
        <f>IFERROR(__xludf.DUMMYFUNCTION("""COMPUTED_VALUE"""),5704.67)</f>
        <v>5704.67</v>
      </c>
      <c r="C389" s="434">
        <f>IFERROR(__xludf.DUMMYFUNCTION("""COMPUTED_VALUE"""),42610.99861111111)</f>
        <v>42610.99861</v>
      </c>
      <c r="D389" s="433">
        <f>IFERROR(__xludf.DUMMYFUNCTION("""COMPUTED_VALUE"""),11.147)</f>
        <v>11.147</v>
      </c>
      <c r="F389" s="434">
        <f>IFERROR(__xludf.DUMMYFUNCTION("""COMPUTED_VALUE"""),45313.99861111111)</f>
        <v>45313.99861</v>
      </c>
      <c r="G389" s="433">
        <f>IFERROR(__xludf.DUMMYFUNCTION("""COMPUTED_VALUE"""),39606.84)</f>
        <v>39606.84</v>
      </c>
      <c r="H389" s="434">
        <f>IFERROR(__xludf.DUMMYFUNCTION("""COMPUTED_VALUE"""),45313.99861111111)</f>
        <v>45313.99861</v>
      </c>
      <c r="I389" s="433">
        <f>IFERROR(__xludf.DUMMYFUNCTION("""COMPUTED_VALUE"""),2454.9874)</f>
        <v>2454.9874</v>
      </c>
    </row>
    <row r="390">
      <c r="A390" s="434">
        <f>IFERROR(__xludf.DUMMYFUNCTION("""COMPUTED_VALUE"""),43024.99861111111)</f>
        <v>43024.99861</v>
      </c>
      <c r="B390" s="433">
        <f>IFERROR(__xludf.DUMMYFUNCTION("""COMPUTED_VALUE"""),5731.1)</f>
        <v>5731.1</v>
      </c>
      <c r="C390" s="434">
        <f>IFERROR(__xludf.DUMMYFUNCTION("""COMPUTED_VALUE"""),42611.99861111111)</f>
        <v>42611.99861</v>
      </c>
      <c r="D390" s="433">
        <f>IFERROR(__xludf.DUMMYFUNCTION("""COMPUTED_VALUE"""),10.9151)</f>
        <v>10.9151</v>
      </c>
      <c r="F390" s="434">
        <f>IFERROR(__xludf.DUMMYFUNCTION("""COMPUTED_VALUE"""),45314.99861111111)</f>
        <v>45314.99861</v>
      </c>
      <c r="G390" s="433">
        <f>IFERROR(__xludf.DUMMYFUNCTION("""COMPUTED_VALUE"""),39702.88)</f>
        <v>39702.88</v>
      </c>
      <c r="H390" s="434">
        <f>IFERROR(__xludf.DUMMYFUNCTION("""COMPUTED_VALUE"""),45314.99861111111)</f>
        <v>45314.99861</v>
      </c>
      <c r="I390" s="433">
        <f>IFERROR(__xludf.DUMMYFUNCTION("""COMPUTED_VALUE"""),2310.9516)</f>
        <v>2310.9516</v>
      </c>
    </row>
    <row r="391">
      <c r="A391" s="434">
        <f>IFERROR(__xludf.DUMMYFUNCTION("""COMPUTED_VALUE"""),43025.99861111111)</f>
        <v>43025.99861</v>
      </c>
      <c r="B391" s="433">
        <f>IFERROR(__xludf.DUMMYFUNCTION("""COMPUTED_VALUE"""),5573.33)</f>
        <v>5573.33</v>
      </c>
      <c r="C391" s="434">
        <f>IFERROR(__xludf.DUMMYFUNCTION("""COMPUTED_VALUE"""),42612.99861111111)</f>
        <v>42612.99861</v>
      </c>
      <c r="D391" s="433">
        <f>IFERROR(__xludf.DUMMYFUNCTION("""COMPUTED_VALUE"""),10.9921)</f>
        <v>10.9921</v>
      </c>
      <c r="F391" s="434">
        <f>IFERROR(__xludf.DUMMYFUNCTION("""COMPUTED_VALUE"""),45315.99861111111)</f>
        <v>45315.99861</v>
      </c>
      <c r="G391" s="433">
        <f>IFERROR(__xludf.DUMMYFUNCTION("""COMPUTED_VALUE"""),40011.7)</f>
        <v>40011.7</v>
      </c>
      <c r="H391" s="434">
        <f>IFERROR(__xludf.DUMMYFUNCTION("""COMPUTED_VALUE"""),45315.99861111111)</f>
        <v>45315.99861</v>
      </c>
      <c r="I391" s="433">
        <f>IFERROR(__xludf.DUMMYFUNCTION("""COMPUTED_VALUE"""),2241.7499)</f>
        <v>2241.7499</v>
      </c>
    </row>
    <row r="392">
      <c r="A392" s="434">
        <f>IFERROR(__xludf.DUMMYFUNCTION("""COMPUTED_VALUE"""),43026.99861111111)</f>
        <v>43026.99861</v>
      </c>
      <c r="B392" s="433">
        <f>IFERROR(__xludf.DUMMYFUNCTION("""COMPUTED_VALUE"""),5506.65)</f>
        <v>5506.65</v>
      </c>
      <c r="C392" s="434">
        <f>IFERROR(__xludf.DUMMYFUNCTION("""COMPUTED_VALUE"""),42613.99861111111)</f>
        <v>42613.99861</v>
      </c>
      <c r="D392" s="433">
        <f>IFERROR(__xludf.DUMMYFUNCTION("""COMPUTED_VALUE"""),11.2386)</f>
        <v>11.2386</v>
      </c>
      <c r="F392" s="434">
        <f>IFERROR(__xludf.DUMMYFUNCTION("""COMPUTED_VALUE"""),45316.99861111111)</f>
        <v>45316.99861</v>
      </c>
      <c r="G392" s="433">
        <f>IFERROR(__xludf.DUMMYFUNCTION("""COMPUTED_VALUE"""),39900.16)</f>
        <v>39900.16</v>
      </c>
      <c r="H392" s="434">
        <f>IFERROR(__xludf.DUMMYFUNCTION("""COMPUTED_VALUE"""),45316.99861111111)</f>
        <v>45316.99861</v>
      </c>
      <c r="I392" s="433">
        <f>IFERROR(__xludf.DUMMYFUNCTION("""COMPUTED_VALUE"""),2233.9699)</f>
        <v>2233.9699</v>
      </c>
    </row>
    <row r="393">
      <c r="A393" s="434">
        <f>IFERROR(__xludf.DUMMYFUNCTION("""COMPUTED_VALUE"""),43027.99861111111)</f>
        <v>43027.99861</v>
      </c>
      <c r="B393" s="433">
        <f>IFERROR(__xludf.DUMMYFUNCTION("""COMPUTED_VALUE"""),5703.87)</f>
        <v>5703.87</v>
      </c>
      <c r="C393" s="434">
        <f>IFERROR(__xludf.DUMMYFUNCTION("""COMPUTED_VALUE"""),42614.99861111111)</f>
        <v>42614.99861</v>
      </c>
      <c r="D393" s="433">
        <f>IFERROR(__xludf.DUMMYFUNCTION("""COMPUTED_VALUE"""),11.6705)</f>
        <v>11.6705</v>
      </c>
      <c r="F393" s="434">
        <f>IFERROR(__xludf.DUMMYFUNCTION("""COMPUTED_VALUE"""),45317.99861111111)</f>
        <v>45317.99861</v>
      </c>
      <c r="G393" s="433">
        <f>IFERROR(__xludf.DUMMYFUNCTION("""COMPUTED_VALUE"""),41880.45)</f>
        <v>41880.45</v>
      </c>
      <c r="H393" s="434">
        <f>IFERROR(__xludf.DUMMYFUNCTION("""COMPUTED_VALUE"""),45317.99861111111)</f>
        <v>45317.99861</v>
      </c>
      <c r="I393" s="433">
        <f>IFERROR(__xludf.DUMMYFUNCTION("""COMPUTED_VALUE"""),2217.4418)</f>
        <v>2217.4418</v>
      </c>
    </row>
    <row r="394">
      <c r="A394" s="434">
        <f>IFERROR(__xludf.DUMMYFUNCTION("""COMPUTED_VALUE"""),43028.99861111111)</f>
        <v>43028.99861</v>
      </c>
      <c r="B394" s="433">
        <f>IFERROR(__xludf.DUMMYFUNCTION("""COMPUTED_VALUE"""),5952.11)</f>
        <v>5952.11</v>
      </c>
      <c r="C394" s="434">
        <f>IFERROR(__xludf.DUMMYFUNCTION("""COMPUTED_VALUE"""),42615.99861111111)</f>
        <v>42615.99861</v>
      </c>
      <c r="D394" s="433">
        <f>IFERROR(__xludf.DUMMYFUNCTION("""COMPUTED_VALUE"""),11.9642)</f>
        <v>11.9642</v>
      </c>
      <c r="F394" s="434">
        <f>IFERROR(__xludf.DUMMYFUNCTION("""COMPUTED_VALUE"""),45318.99861111111)</f>
        <v>45318.99861</v>
      </c>
      <c r="G394" s="433">
        <f>IFERROR(__xludf.DUMMYFUNCTION("""COMPUTED_VALUE"""),42124.03)</f>
        <v>42124.03</v>
      </c>
      <c r="H394" s="434">
        <f>IFERROR(__xludf.DUMMYFUNCTION("""COMPUTED_VALUE"""),45318.99861111111)</f>
        <v>45318.99861</v>
      </c>
      <c r="I394" s="433">
        <f>IFERROR(__xludf.DUMMYFUNCTION("""COMPUTED_VALUE"""),2267.3192)</f>
        <v>2267.3192</v>
      </c>
    </row>
    <row r="395">
      <c r="A395" s="434">
        <f>IFERROR(__xludf.DUMMYFUNCTION("""COMPUTED_VALUE"""),43029.99861111111)</f>
        <v>43029.99861</v>
      </c>
      <c r="B395" s="433">
        <f>IFERROR(__xludf.DUMMYFUNCTION("""COMPUTED_VALUE"""),6012.96)</f>
        <v>6012.96</v>
      </c>
      <c r="C395" s="434">
        <f>IFERROR(__xludf.DUMMYFUNCTION("""COMPUTED_VALUE"""),42616.99861111111)</f>
        <v>42616.99861</v>
      </c>
      <c r="D395" s="433">
        <f>IFERROR(__xludf.DUMMYFUNCTION("""COMPUTED_VALUE"""),12.1129)</f>
        <v>12.1129</v>
      </c>
      <c r="F395" s="434">
        <f>IFERROR(__xludf.DUMMYFUNCTION("""COMPUTED_VALUE"""),45319.99861111111)</f>
        <v>45319.99861</v>
      </c>
      <c r="G395" s="433">
        <f>IFERROR(__xludf.DUMMYFUNCTION("""COMPUTED_VALUE"""),42032.22)</f>
        <v>42032.22</v>
      </c>
      <c r="H395" s="434">
        <f>IFERROR(__xludf.DUMMYFUNCTION("""COMPUTED_VALUE"""),45319.99861111111)</f>
        <v>45319.99861</v>
      </c>
      <c r="I395" s="433">
        <f>IFERROR(__xludf.DUMMYFUNCTION("""COMPUTED_VALUE"""),2268.1928)</f>
        <v>2268.1928</v>
      </c>
    </row>
    <row r="396">
      <c r="A396" s="434">
        <f>IFERROR(__xludf.DUMMYFUNCTION("""COMPUTED_VALUE"""),43030.99861111111)</f>
        <v>43030.99861</v>
      </c>
      <c r="B396" s="433">
        <f>IFERROR(__xludf.DUMMYFUNCTION("""COMPUTED_VALUE"""),5983.56)</f>
        <v>5983.56</v>
      </c>
      <c r="C396" s="434">
        <f>IFERROR(__xludf.DUMMYFUNCTION("""COMPUTED_VALUE"""),42617.99861111111)</f>
        <v>42617.99861</v>
      </c>
      <c r="D396" s="433">
        <f>IFERROR(__xludf.DUMMYFUNCTION("""COMPUTED_VALUE"""),11.7541)</f>
        <v>11.7541</v>
      </c>
      <c r="F396" s="434">
        <f>IFERROR(__xludf.DUMMYFUNCTION("""COMPUTED_VALUE"""),45320.99861111111)</f>
        <v>45320.99861</v>
      </c>
      <c r="G396" s="433">
        <f>IFERROR(__xludf.DUMMYFUNCTION("""COMPUTED_VALUE"""),43276.2)</f>
        <v>43276.2</v>
      </c>
      <c r="H396" s="434">
        <f>IFERROR(__xludf.DUMMYFUNCTION("""COMPUTED_VALUE"""),45320.99861111111)</f>
        <v>45320.99861</v>
      </c>
      <c r="I396" s="433">
        <f>IFERROR(__xludf.DUMMYFUNCTION("""COMPUTED_VALUE"""),2256.9952)</f>
        <v>2256.9952</v>
      </c>
    </row>
    <row r="397">
      <c r="A397" s="434">
        <f>IFERROR(__xludf.DUMMYFUNCTION("""COMPUTED_VALUE"""),43031.99861111111)</f>
        <v>43031.99861</v>
      </c>
      <c r="B397" s="433">
        <f>IFERROR(__xludf.DUMMYFUNCTION("""COMPUTED_VALUE"""),5913.82)</f>
        <v>5913.82</v>
      </c>
      <c r="C397" s="434">
        <f>IFERROR(__xludf.DUMMYFUNCTION("""COMPUTED_VALUE"""),42618.99861111111)</f>
        <v>42618.99861</v>
      </c>
      <c r="D397" s="433">
        <f>IFERROR(__xludf.DUMMYFUNCTION("""COMPUTED_VALUE"""),11.6805)</f>
        <v>11.6805</v>
      </c>
      <c r="F397" s="434">
        <f>IFERROR(__xludf.DUMMYFUNCTION("""COMPUTED_VALUE"""),45321.99861111111)</f>
        <v>45321.99861</v>
      </c>
      <c r="G397" s="433">
        <f>IFERROR(__xludf.DUMMYFUNCTION("""COMPUTED_VALUE"""),43074.88)</f>
        <v>43074.88</v>
      </c>
      <c r="H397" s="434">
        <f>IFERROR(__xludf.DUMMYFUNCTION("""COMPUTED_VALUE"""),45321.99861111111)</f>
        <v>45321.99861</v>
      </c>
      <c r="I397" s="433">
        <f>IFERROR(__xludf.DUMMYFUNCTION("""COMPUTED_VALUE"""),2317.4357)</f>
        <v>2317.4357</v>
      </c>
    </row>
    <row r="398">
      <c r="A398" s="434">
        <f>IFERROR(__xludf.DUMMYFUNCTION("""COMPUTED_VALUE"""),43032.99861111111)</f>
        <v>43032.99861</v>
      </c>
      <c r="B398" s="433">
        <f>IFERROR(__xludf.DUMMYFUNCTION("""COMPUTED_VALUE"""),5585.2)</f>
        <v>5585.2</v>
      </c>
      <c r="C398" s="434">
        <f>IFERROR(__xludf.DUMMYFUNCTION("""COMPUTED_VALUE"""),42619.99861111111)</f>
        <v>42619.99861</v>
      </c>
      <c r="D398" s="433">
        <f>IFERROR(__xludf.DUMMYFUNCTION("""COMPUTED_VALUE"""),11.7254)</f>
        <v>11.7254</v>
      </c>
      <c r="F398" s="434">
        <f>IFERROR(__xludf.DUMMYFUNCTION("""COMPUTED_VALUE"""),45322.99861111111)</f>
        <v>45322.99861</v>
      </c>
      <c r="G398" s="433">
        <f>IFERROR(__xludf.DUMMYFUNCTION("""COMPUTED_VALUE"""),42582.21)</f>
        <v>42582.21</v>
      </c>
      <c r="H398" s="434">
        <f>IFERROR(__xludf.DUMMYFUNCTION("""COMPUTED_VALUE"""),45322.99861111111)</f>
        <v>45322.99861</v>
      </c>
      <c r="I398" s="433">
        <f>IFERROR(__xludf.DUMMYFUNCTION("""COMPUTED_VALUE"""),2343.5589)</f>
        <v>2343.5589</v>
      </c>
    </row>
    <row r="399">
      <c r="A399" s="434">
        <f>IFERROR(__xludf.DUMMYFUNCTION("""COMPUTED_VALUE"""),43033.99861111111)</f>
        <v>43033.99861</v>
      </c>
      <c r="B399" s="433">
        <f>IFERROR(__xludf.DUMMYFUNCTION("""COMPUTED_VALUE"""),5671.38)</f>
        <v>5671.38</v>
      </c>
      <c r="C399" s="434">
        <f>IFERROR(__xludf.DUMMYFUNCTION("""COMPUTED_VALUE"""),42620.99861111111)</f>
        <v>42620.99861</v>
      </c>
      <c r="D399" s="433">
        <f>IFERROR(__xludf.DUMMYFUNCTION("""COMPUTED_VALUE"""),11.6945)</f>
        <v>11.6945</v>
      </c>
      <c r="F399" s="434">
        <f>IFERROR(__xludf.DUMMYFUNCTION("""COMPUTED_VALUE"""),45323.99861111111)</f>
        <v>45323.99861</v>
      </c>
      <c r="G399" s="433">
        <f>IFERROR(__xludf.DUMMYFUNCTION("""COMPUTED_VALUE"""),43052.94)</f>
        <v>43052.94</v>
      </c>
      <c r="H399" s="434">
        <f>IFERROR(__xludf.DUMMYFUNCTION("""COMPUTED_VALUE"""),45323.99861111111)</f>
        <v>45323.99861</v>
      </c>
      <c r="I399" s="433">
        <f>IFERROR(__xludf.DUMMYFUNCTION("""COMPUTED_VALUE"""),2282.1753)</f>
        <v>2282.1753</v>
      </c>
    </row>
    <row r="400">
      <c r="A400" s="434">
        <f>IFERROR(__xludf.DUMMYFUNCTION("""COMPUTED_VALUE"""),43034.99861111111)</f>
        <v>43034.99861</v>
      </c>
      <c r="B400" s="433">
        <f>IFERROR(__xludf.DUMMYFUNCTION("""COMPUTED_VALUE"""),5845.66)</f>
        <v>5845.66</v>
      </c>
      <c r="C400" s="434">
        <f>IFERROR(__xludf.DUMMYFUNCTION("""COMPUTED_VALUE"""),42621.99861111111)</f>
        <v>42621.99861</v>
      </c>
      <c r="D400" s="433">
        <f>IFERROR(__xludf.DUMMYFUNCTION("""COMPUTED_VALUE"""),11.5458)</f>
        <v>11.5458</v>
      </c>
      <c r="F400" s="434">
        <f>IFERROR(__xludf.DUMMYFUNCTION("""COMPUTED_VALUE"""),45324.99861111111)</f>
        <v>45324.99861</v>
      </c>
      <c r="G400" s="433">
        <f>IFERROR(__xludf.DUMMYFUNCTION("""COMPUTED_VALUE"""),43181.34)</f>
        <v>43181.34</v>
      </c>
      <c r="H400" s="434">
        <f>IFERROR(__xludf.DUMMYFUNCTION("""COMPUTED_VALUE"""),45324.99861111111)</f>
        <v>45324.99861</v>
      </c>
      <c r="I400" s="433">
        <f>IFERROR(__xludf.DUMMYFUNCTION("""COMPUTED_VALUE"""),2303.706)</f>
        <v>2303.706</v>
      </c>
    </row>
    <row r="401">
      <c r="A401" s="434">
        <f>IFERROR(__xludf.DUMMYFUNCTION("""COMPUTED_VALUE"""),43035.99861111111)</f>
        <v>43035.99861</v>
      </c>
      <c r="B401" s="433">
        <f>IFERROR(__xludf.DUMMYFUNCTION("""COMPUTED_VALUE"""),5757.19)</f>
        <v>5757.19</v>
      </c>
      <c r="C401" s="434">
        <f>IFERROR(__xludf.DUMMYFUNCTION("""COMPUTED_VALUE"""),42622.99861111111)</f>
        <v>42622.99861</v>
      </c>
      <c r="D401" s="433">
        <f>IFERROR(__xludf.DUMMYFUNCTION("""COMPUTED_VALUE"""),11.4125)</f>
        <v>11.4125</v>
      </c>
      <c r="F401" s="434">
        <f>IFERROR(__xludf.DUMMYFUNCTION("""COMPUTED_VALUE"""),45325.99861111111)</f>
        <v>45325.99861</v>
      </c>
      <c r="G401" s="433">
        <f>IFERROR(__xludf.DUMMYFUNCTION("""COMPUTED_VALUE"""),43004.49)</f>
        <v>43004.49</v>
      </c>
      <c r="H401" s="434">
        <f>IFERROR(__xludf.DUMMYFUNCTION("""COMPUTED_VALUE"""),45325.99861111111)</f>
        <v>45325.99861</v>
      </c>
      <c r="I401" s="433">
        <f>IFERROR(__xludf.DUMMYFUNCTION("""COMPUTED_VALUE"""),2307.9802)</f>
        <v>2307.9802</v>
      </c>
    </row>
    <row r="402">
      <c r="A402" s="434">
        <f>IFERROR(__xludf.DUMMYFUNCTION("""COMPUTED_VALUE"""),43036.99861111111)</f>
        <v>43036.99861</v>
      </c>
      <c r="B402" s="433">
        <f>IFERROR(__xludf.DUMMYFUNCTION("""COMPUTED_VALUE"""),5730.17)</f>
        <v>5730.17</v>
      </c>
      <c r="C402" s="434">
        <f>IFERROR(__xludf.DUMMYFUNCTION("""COMPUTED_VALUE"""),42623.99861111111)</f>
        <v>42623.99861</v>
      </c>
      <c r="D402" s="433">
        <f>IFERROR(__xludf.DUMMYFUNCTION("""COMPUTED_VALUE"""),11.6623)</f>
        <v>11.6623</v>
      </c>
      <c r="F402" s="434">
        <f>IFERROR(__xludf.DUMMYFUNCTION("""COMPUTED_VALUE"""),45326.99861111111)</f>
        <v>45326.99861</v>
      </c>
      <c r="G402" s="433">
        <f>IFERROR(__xludf.DUMMYFUNCTION("""COMPUTED_VALUE"""),42565.23)</f>
        <v>42565.23</v>
      </c>
      <c r="H402" s="434">
        <f>IFERROR(__xludf.DUMMYFUNCTION("""COMPUTED_VALUE"""),45326.99861111111)</f>
        <v>45326.99861</v>
      </c>
      <c r="I402" s="433">
        <f>IFERROR(__xludf.DUMMYFUNCTION("""COMPUTED_VALUE"""),2296.1169)</f>
        <v>2296.1169</v>
      </c>
    </row>
    <row r="403">
      <c r="A403" s="434">
        <f>IFERROR(__xludf.DUMMYFUNCTION("""COMPUTED_VALUE"""),43037.99861111111)</f>
        <v>43037.99861</v>
      </c>
      <c r="B403" s="433">
        <f>IFERROR(__xludf.DUMMYFUNCTION("""COMPUTED_VALUE"""),6151.38)</f>
        <v>6151.38</v>
      </c>
      <c r="C403" s="434">
        <f>IFERROR(__xludf.DUMMYFUNCTION("""COMPUTED_VALUE"""),42624.99861111111)</f>
        <v>42624.99861</v>
      </c>
      <c r="D403" s="433">
        <f>IFERROR(__xludf.DUMMYFUNCTION("""COMPUTED_VALUE"""),12.2079)</f>
        <v>12.2079</v>
      </c>
      <c r="F403" s="434">
        <f>IFERROR(__xludf.DUMMYFUNCTION("""COMPUTED_VALUE"""),45327.99861111111)</f>
        <v>45327.99861</v>
      </c>
      <c r="G403" s="433">
        <f>IFERROR(__xludf.DUMMYFUNCTION("""COMPUTED_VALUE"""),42665.05)</f>
        <v>42665.05</v>
      </c>
      <c r="H403" s="434">
        <f>IFERROR(__xludf.DUMMYFUNCTION("""COMPUTED_VALUE"""),45327.99861111111)</f>
        <v>45327.99861</v>
      </c>
      <c r="I403" s="433">
        <f>IFERROR(__xludf.DUMMYFUNCTION("""COMPUTED_VALUE"""),2289.2054)</f>
        <v>2289.2054</v>
      </c>
    </row>
    <row r="404">
      <c r="A404" s="434">
        <f>IFERROR(__xludf.DUMMYFUNCTION("""COMPUTED_VALUE"""),43038.99861111111)</f>
        <v>43038.99861</v>
      </c>
      <c r="B404" s="433">
        <f>IFERROR(__xludf.DUMMYFUNCTION("""COMPUTED_VALUE"""),6104.54)</f>
        <v>6104.54</v>
      </c>
      <c r="C404" s="434">
        <f>IFERROR(__xludf.DUMMYFUNCTION("""COMPUTED_VALUE"""),42625.99861111111)</f>
        <v>42625.99861</v>
      </c>
      <c r="D404" s="433">
        <f>IFERROR(__xludf.DUMMYFUNCTION("""COMPUTED_VALUE"""),11.643)</f>
        <v>11.643</v>
      </c>
      <c r="F404" s="434">
        <f>IFERROR(__xludf.DUMMYFUNCTION("""COMPUTED_VALUE"""),45328.99861111111)</f>
        <v>45328.99861</v>
      </c>
      <c r="G404" s="433">
        <f>IFERROR(__xludf.DUMMYFUNCTION("""COMPUTED_VALUE"""),43084.9)</f>
        <v>43084.9</v>
      </c>
      <c r="H404" s="434">
        <f>IFERROR(__xludf.DUMMYFUNCTION("""COMPUTED_VALUE"""),45328.99861111111)</f>
        <v>45328.99861</v>
      </c>
      <c r="I404" s="433">
        <f>IFERROR(__xludf.DUMMYFUNCTION("""COMPUTED_VALUE"""),2298.9552)</f>
        <v>2298.9552</v>
      </c>
    </row>
    <row r="405">
      <c r="A405" s="434">
        <f>IFERROR(__xludf.DUMMYFUNCTION("""COMPUTED_VALUE"""),43039.99861111111)</f>
        <v>43039.99861</v>
      </c>
      <c r="B405" s="433">
        <f>IFERROR(__xludf.DUMMYFUNCTION("""COMPUTED_VALUE"""),6373.7)</f>
        <v>6373.7</v>
      </c>
      <c r="C405" s="434">
        <f>IFERROR(__xludf.DUMMYFUNCTION("""COMPUTED_VALUE"""),42626.99861111111)</f>
        <v>42626.99861</v>
      </c>
      <c r="D405" s="433">
        <f>IFERROR(__xludf.DUMMYFUNCTION("""COMPUTED_VALUE"""),11.8887)</f>
        <v>11.8887</v>
      </c>
      <c r="F405" s="434">
        <f>IFERROR(__xludf.DUMMYFUNCTION("""COMPUTED_VALUE"""),45329.99861111111)</f>
        <v>45329.99861</v>
      </c>
      <c r="G405" s="433">
        <f>IFERROR(__xludf.DUMMYFUNCTION("""COMPUTED_VALUE"""),44285.67)</f>
        <v>44285.67</v>
      </c>
      <c r="H405" s="434">
        <f>IFERROR(__xludf.DUMMYFUNCTION("""COMPUTED_VALUE"""),45329.99861111111)</f>
        <v>45329.99861</v>
      </c>
      <c r="I405" s="433">
        <f>IFERROR(__xludf.DUMMYFUNCTION("""COMPUTED_VALUE"""),2372.2627)</f>
        <v>2372.2627</v>
      </c>
    </row>
    <row r="406">
      <c r="A406" s="434">
        <f>IFERROR(__xludf.DUMMYFUNCTION("""COMPUTED_VALUE"""),43040.99861111111)</f>
        <v>43040.99861</v>
      </c>
      <c r="B406" s="433">
        <f>IFERROR(__xludf.DUMMYFUNCTION("""COMPUTED_VALUE"""),6567.7)</f>
        <v>6567.7</v>
      </c>
      <c r="C406" s="434">
        <f>IFERROR(__xludf.DUMMYFUNCTION("""COMPUTED_VALUE"""),42627.99861111111)</f>
        <v>42627.99861</v>
      </c>
      <c r="D406" s="433">
        <f>IFERROR(__xludf.DUMMYFUNCTION("""COMPUTED_VALUE"""),11.9046)</f>
        <v>11.9046</v>
      </c>
      <c r="F406" s="434">
        <f>IFERROR(__xludf.DUMMYFUNCTION("""COMPUTED_VALUE"""),45330.99861111111)</f>
        <v>45330.99861</v>
      </c>
      <c r="G406" s="433">
        <f>IFERROR(__xludf.DUMMYFUNCTION("""COMPUTED_VALUE"""),45323.12)</f>
        <v>45323.12</v>
      </c>
      <c r="H406" s="434">
        <f>IFERROR(__xludf.DUMMYFUNCTION("""COMPUTED_VALUE"""),45330.99861111111)</f>
        <v>45330.99861</v>
      </c>
      <c r="I406" s="433">
        <f>IFERROR(__xludf.DUMMYFUNCTION("""COMPUTED_VALUE"""),2424.0801)</f>
        <v>2424.0801</v>
      </c>
    </row>
    <row r="407">
      <c r="A407" s="434">
        <f>IFERROR(__xludf.DUMMYFUNCTION("""COMPUTED_VALUE"""),43041.99861111111)</f>
        <v>43041.99861</v>
      </c>
      <c r="B407" s="433">
        <f>IFERROR(__xludf.DUMMYFUNCTION("""COMPUTED_VALUE"""),7047.16)</f>
        <v>7047.16</v>
      </c>
      <c r="C407" s="434">
        <f>IFERROR(__xludf.DUMMYFUNCTION("""COMPUTED_VALUE"""),42628.99861111111)</f>
        <v>42628.99861</v>
      </c>
      <c r="D407" s="433">
        <f>IFERROR(__xludf.DUMMYFUNCTION("""COMPUTED_VALUE"""),11.9431)</f>
        <v>11.9431</v>
      </c>
      <c r="F407" s="434">
        <f>IFERROR(__xludf.DUMMYFUNCTION("""COMPUTED_VALUE"""),45331.99861111111)</f>
        <v>45331.99861</v>
      </c>
      <c r="G407" s="433">
        <f>IFERROR(__xludf.DUMMYFUNCTION("""COMPUTED_VALUE"""),47282.84)</f>
        <v>47282.84</v>
      </c>
      <c r="H407" s="434">
        <f>IFERROR(__xludf.DUMMYFUNCTION("""COMPUTED_VALUE"""),45331.99861111111)</f>
        <v>45331.99861</v>
      </c>
      <c r="I407" s="433">
        <f>IFERROR(__xludf.DUMMYFUNCTION("""COMPUTED_VALUE"""),2419.7737)</f>
        <v>2419.7737</v>
      </c>
    </row>
    <row r="408">
      <c r="A408" s="434">
        <f>IFERROR(__xludf.DUMMYFUNCTION("""COMPUTED_VALUE"""),43042.99861111111)</f>
        <v>43042.99861</v>
      </c>
      <c r="B408" s="433">
        <f>IFERROR(__xludf.DUMMYFUNCTION("""COMPUTED_VALUE"""),7155.55)</f>
        <v>7155.55</v>
      </c>
      <c r="C408" s="434">
        <f>IFERROR(__xludf.DUMMYFUNCTION("""COMPUTED_VALUE"""),42629.99861111111)</f>
        <v>42629.99861</v>
      </c>
      <c r="D408" s="433">
        <f>IFERROR(__xludf.DUMMYFUNCTION("""COMPUTED_VALUE"""),11.9596)</f>
        <v>11.9596</v>
      </c>
      <c r="F408" s="434">
        <f>IFERROR(__xludf.DUMMYFUNCTION("""COMPUTED_VALUE"""),45332.99861111111)</f>
        <v>45332.99861</v>
      </c>
      <c r="G408" s="433">
        <f>IFERROR(__xludf.DUMMYFUNCTION("""COMPUTED_VALUE"""),47746.95)</f>
        <v>47746.95</v>
      </c>
      <c r="H408" s="434">
        <f>IFERROR(__xludf.DUMMYFUNCTION("""COMPUTED_VALUE"""),45332.99861111111)</f>
        <v>45332.99861</v>
      </c>
      <c r="I408" s="433">
        <f>IFERROR(__xludf.DUMMYFUNCTION("""COMPUTED_VALUE"""),2487.6503)</f>
        <v>2487.6503</v>
      </c>
    </row>
    <row r="409">
      <c r="A409" s="434">
        <f>IFERROR(__xludf.DUMMYFUNCTION("""COMPUTED_VALUE"""),43043.99861111111)</f>
        <v>43043.99861</v>
      </c>
      <c r="B409" s="433">
        <f>IFERROR(__xludf.DUMMYFUNCTION("""COMPUTED_VALUE"""),7373.66)</f>
        <v>7373.66</v>
      </c>
      <c r="C409" s="434">
        <f>IFERROR(__xludf.DUMMYFUNCTION("""COMPUTED_VALUE"""),42630.99861111111)</f>
        <v>42630.99861</v>
      </c>
      <c r="D409" s="433">
        <f>IFERROR(__xludf.DUMMYFUNCTION("""COMPUTED_VALUE"""),12.5582)</f>
        <v>12.5582</v>
      </c>
      <c r="F409" s="434">
        <f>IFERROR(__xludf.DUMMYFUNCTION("""COMPUTED_VALUE"""),45333.99861111111)</f>
        <v>45333.99861</v>
      </c>
      <c r="G409" s="433">
        <f>IFERROR(__xludf.DUMMYFUNCTION("""COMPUTED_VALUE"""),48281.19)</f>
        <v>48281.19</v>
      </c>
      <c r="H409" s="434">
        <f>IFERROR(__xludf.DUMMYFUNCTION("""COMPUTED_VALUE"""),45333.99861111111)</f>
        <v>45333.99861</v>
      </c>
      <c r="I409" s="433">
        <f>IFERROR(__xludf.DUMMYFUNCTION("""COMPUTED_VALUE"""),2501.1299)</f>
        <v>2501.1299</v>
      </c>
    </row>
    <row r="410">
      <c r="A410" s="434">
        <f>IFERROR(__xludf.DUMMYFUNCTION("""COMPUTED_VALUE"""),43044.99861111111)</f>
        <v>43044.99861</v>
      </c>
      <c r="B410" s="433">
        <f>IFERROR(__xludf.DUMMYFUNCTION("""COMPUTED_VALUE"""),7350.08)</f>
        <v>7350.08</v>
      </c>
      <c r="C410" s="434">
        <f>IFERROR(__xludf.DUMMYFUNCTION("""COMPUTED_VALUE"""),42631.99861111111)</f>
        <v>42631.99861</v>
      </c>
      <c r="D410" s="433">
        <f>IFERROR(__xludf.DUMMYFUNCTION("""COMPUTED_VALUE"""),12.6864)</f>
        <v>12.6864</v>
      </c>
      <c r="F410" s="434">
        <f>IFERROR(__xludf.DUMMYFUNCTION("""COMPUTED_VALUE"""),45334.99861111111)</f>
        <v>45334.99861</v>
      </c>
      <c r="G410" s="433">
        <f>IFERROR(__xludf.DUMMYFUNCTION("""COMPUTED_VALUE"""),49999.68)</f>
        <v>49999.68</v>
      </c>
      <c r="H410" s="434">
        <f>IFERROR(__xludf.DUMMYFUNCTION("""COMPUTED_VALUE"""),45334.99861111111)</f>
        <v>45334.99861</v>
      </c>
      <c r="I410" s="433">
        <f>IFERROR(__xludf.DUMMYFUNCTION("""COMPUTED_VALUE"""),2507.5789)</f>
        <v>2507.5789</v>
      </c>
    </row>
    <row r="411">
      <c r="A411" s="434">
        <f>IFERROR(__xludf.DUMMYFUNCTION("""COMPUTED_VALUE"""),43045.99861111111)</f>
        <v>43045.99861</v>
      </c>
      <c r="B411" s="433">
        <f>IFERROR(__xludf.DUMMYFUNCTION("""COMPUTED_VALUE"""),7123.58)</f>
        <v>7123.58</v>
      </c>
      <c r="C411" s="434">
        <f>IFERROR(__xludf.DUMMYFUNCTION("""COMPUTED_VALUE"""),42632.99861111111)</f>
        <v>42632.99861</v>
      </c>
      <c r="D411" s="433">
        <f>IFERROR(__xludf.DUMMYFUNCTION("""COMPUTED_VALUE"""),12.436)</f>
        <v>12.436</v>
      </c>
      <c r="F411" s="434">
        <f>IFERROR(__xludf.DUMMYFUNCTION("""COMPUTED_VALUE"""),45335.99861111111)</f>
        <v>45335.99861</v>
      </c>
      <c r="G411" s="433">
        <f>IFERROR(__xludf.DUMMYFUNCTION("""COMPUTED_VALUE"""),49727.57)</f>
        <v>49727.57</v>
      </c>
      <c r="H411" s="434">
        <f>IFERROR(__xludf.DUMMYFUNCTION("""COMPUTED_VALUE"""),45335.99861111111)</f>
        <v>45335.99861</v>
      </c>
      <c r="I411" s="433">
        <f>IFERROR(__xludf.DUMMYFUNCTION("""COMPUTED_VALUE"""),2659.5862)</f>
        <v>2659.5862</v>
      </c>
    </row>
    <row r="412">
      <c r="A412" s="434">
        <f>IFERROR(__xludf.DUMMYFUNCTION("""COMPUTED_VALUE"""),43046.99861111111)</f>
        <v>43046.99861</v>
      </c>
      <c r="B412" s="433">
        <f>IFERROR(__xludf.DUMMYFUNCTION("""COMPUTED_VALUE"""),7072.92)</f>
        <v>7072.92</v>
      </c>
      <c r="C412" s="434">
        <f>IFERROR(__xludf.DUMMYFUNCTION("""COMPUTED_VALUE"""),42633.99861111111)</f>
        <v>42633.99861</v>
      </c>
      <c r="D412" s="433">
        <f>IFERROR(__xludf.DUMMYFUNCTION("""COMPUTED_VALUE"""),13.2139)</f>
        <v>13.2139</v>
      </c>
      <c r="F412" s="434">
        <f>IFERROR(__xludf.DUMMYFUNCTION("""COMPUTED_VALUE"""),45336.99861111111)</f>
        <v>45336.99861</v>
      </c>
      <c r="G412" s="433">
        <f>IFERROR(__xludf.DUMMYFUNCTION("""COMPUTED_VALUE"""),51837.78)</f>
        <v>51837.78</v>
      </c>
      <c r="H412" s="434">
        <f>IFERROR(__xludf.DUMMYFUNCTION("""COMPUTED_VALUE"""),45336.99861111111)</f>
        <v>45336.99861</v>
      </c>
      <c r="I412" s="433">
        <f>IFERROR(__xludf.DUMMYFUNCTION("""COMPUTED_VALUE"""),2641.6854)</f>
        <v>2641.6854</v>
      </c>
    </row>
    <row r="413">
      <c r="A413" s="434">
        <f>IFERROR(__xludf.DUMMYFUNCTION("""COMPUTED_VALUE"""),43047.99861111111)</f>
        <v>43047.99861</v>
      </c>
      <c r="B413" s="433">
        <f>IFERROR(__xludf.DUMMYFUNCTION("""COMPUTED_VALUE"""),7247.06)</f>
        <v>7247.06</v>
      </c>
      <c r="C413" s="434">
        <f>IFERROR(__xludf.DUMMYFUNCTION("""COMPUTED_VALUE"""),42634.99861111111)</f>
        <v>42634.99861</v>
      </c>
      <c r="D413" s="433">
        <f>IFERROR(__xludf.DUMMYFUNCTION("""COMPUTED_VALUE"""),14.4341)</f>
        <v>14.4341</v>
      </c>
      <c r="F413" s="434">
        <f>IFERROR(__xludf.DUMMYFUNCTION("""COMPUTED_VALUE"""),45337.99861111111)</f>
        <v>45337.99861</v>
      </c>
      <c r="G413" s="433">
        <f>IFERROR(__xludf.DUMMYFUNCTION("""COMPUTED_VALUE"""),51865.25)</f>
        <v>51865.25</v>
      </c>
      <c r="H413" s="434">
        <f>IFERROR(__xludf.DUMMYFUNCTION("""COMPUTED_VALUE"""),45337.99861111111)</f>
        <v>45337.99861</v>
      </c>
      <c r="I413" s="433">
        <f>IFERROR(__xludf.DUMMYFUNCTION("""COMPUTED_VALUE"""),2777.6014)</f>
        <v>2777.6014</v>
      </c>
    </row>
    <row r="414">
      <c r="A414" s="434">
        <f>IFERROR(__xludf.DUMMYFUNCTION("""COMPUTED_VALUE"""),43048.99861111111)</f>
        <v>43048.99861</v>
      </c>
      <c r="B414" s="433">
        <f>IFERROR(__xludf.DUMMYFUNCTION("""COMPUTED_VALUE"""),7112.26)</f>
        <v>7112.26</v>
      </c>
      <c r="C414" s="434">
        <f>IFERROR(__xludf.DUMMYFUNCTION("""COMPUTED_VALUE"""),42635.99861111111)</f>
        <v>42635.99861</v>
      </c>
      <c r="D414" s="433">
        <f>IFERROR(__xludf.DUMMYFUNCTION("""COMPUTED_VALUE"""),13.665)</f>
        <v>13.665</v>
      </c>
      <c r="F414" s="434">
        <f>IFERROR(__xludf.DUMMYFUNCTION("""COMPUTED_VALUE"""),45338.99861111111)</f>
        <v>45338.99861</v>
      </c>
      <c r="G414" s="433">
        <f>IFERROR(__xludf.DUMMYFUNCTION("""COMPUTED_VALUE"""),52191.27)</f>
        <v>52191.27</v>
      </c>
      <c r="H414" s="434">
        <f>IFERROR(__xludf.DUMMYFUNCTION("""COMPUTED_VALUE"""),45338.99861111111)</f>
        <v>45338.99861</v>
      </c>
      <c r="I414" s="433">
        <f>IFERROR(__xludf.DUMMYFUNCTION("""COMPUTED_VALUE"""),2825.4806)</f>
        <v>2825.4806</v>
      </c>
    </row>
    <row r="415">
      <c r="A415" s="434">
        <f>IFERROR(__xludf.DUMMYFUNCTION("""COMPUTED_VALUE"""),43049.99861111111)</f>
        <v>43049.99861</v>
      </c>
      <c r="B415" s="433">
        <f>IFERROR(__xludf.DUMMYFUNCTION("""COMPUTED_VALUE"""),6601.94)</f>
        <v>6601.94</v>
      </c>
      <c r="C415" s="434">
        <f>IFERROR(__xludf.DUMMYFUNCTION("""COMPUTED_VALUE"""),42636.99861111111)</f>
        <v>42636.99861</v>
      </c>
      <c r="D415" s="433">
        <f>IFERROR(__xludf.DUMMYFUNCTION("""COMPUTED_VALUE"""),13.208)</f>
        <v>13.208</v>
      </c>
      <c r="F415" s="434">
        <f>IFERROR(__xludf.DUMMYFUNCTION("""COMPUTED_VALUE"""),45339.99861111111)</f>
        <v>45339.99861</v>
      </c>
      <c r="G415" s="433">
        <f>IFERROR(__xludf.DUMMYFUNCTION("""COMPUTED_VALUE"""),51685.54)</f>
        <v>51685.54</v>
      </c>
      <c r="H415" s="434">
        <f>IFERROR(__xludf.DUMMYFUNCTION("""COMPUTED_VALUE"""),45339.99861111111)</f>
        <v>45339.99861</v>
      </c>
      <c r="I415" s="433">
        <f>IFERROR(__xludf.DUMMYFUNCTION("""COMPUTED_VALUE"""),2803.7357)</f>
        <v>2803.7357</v>
      </c>
    </row>
    <row r="416">
      <c r="A416" s="434">
        <f>IFERROR(__xludf.DUMMYFUNCTION("""COMPUTED_VALUE"""),43050.99861111111)</f>
        <v>43050.99861</v>
      </c>
      <c r="B416" s="433">
        <f>IFERROR(__xludf.DUMMYFUNCTION("""COMPUTED_VALUE"""),6234.73)</f>
        <v>6234.73</v>
      </c>
      <c r="C416" s="434">
        <f>IFERROR(__xludf.DUMMYFUNCTION("""COMPUTED_VALUE"""),42637.99861111111)</f>
        <v>42637.99861</v>
      </c>
      <c r="D416" s="433">
        <f>IFERROR(__xludf.DUMMYFUNCTION("""COMPUTED_VALUE"""),13.3223)</f>
        <v>13.3223</v>
      </c>
      <c r="F416" s="434">
        <f>IFERROR(__xludf.DUMMYFUNCTION("""COMPUTED_VALUE"""),45340.99861111111)</f>
        <v>45340.99861</v>
      </c>
      <c r="G416" s="433">
        <f>IFERROR(__xludf.DUMMYFUNCTION("""COMPUTED_VALUE"""),52120.28)</f>
        <v>52120.28</v>
      </c>
      <c r="H416" s="434">
        <f>IFERROR(__xludf.DUMMYFUNCTION("""COMPUTED_VALUE"""),45340.99861111111)</f>
        <v>45340.99861</v>
      </c>
      <c r="I416" s="433">
        <f>IFERROR(__xludf.DUMMYFUNCTION("""COMPUTED_VALUE"""),2786.7097)</f>
        <v>2786.7097</v>
      </c>
    </row>
    <row r="417">
      <c r="A417" s="434">
        <f>IFERROR(__xludf.DUMMYFUNCTION("""COMPUTED_VALUE"""),43051.99861111111)</f>
        <v>43051.99861</v>
      </c>
      <c r="B417" s="433">
        <f>IFERROR(__xludf.DUMMYFUNCTION("""COMPUTED_VALUE"""),6021.33)</f>
        <v>6021.33</v>
      </c>
      <c r="C417" s="434">
        <f>IFERROR(__xludf.DUMMYFUNCTION("""COMPUTED_VALUE"""),42638.99861111111)</f>
        <v>42638.99861</v>
      </c>
      <c r="D417" s="433">
        <f>IFERROR(__xludf.DUMMYFUNCTION("""COMPUTED_VALUE"""),12.8525)</f>
        <v>12.8525</v>
      </c>
      <c r="F417" s="434">
        <f>IFERROR(__xludf.DUMMYFUNCTION("""COMPUTED_VALUE"""),45341.99861111111)</f>
        <v>45341.99861</v>
      </c>
      <c r="G417" s="433">
        <f>IFERROR(__xludf.DUMMYFUNCTION("""COMPUTED_VALUE"""),51769.91)</f>
        <v>51769.91</v>
      </c>
      <c r="H417" s="434">
        <f>IFERROR(__xludf.DUMMYFUNCTION("""COMPUTED_VALUE"""),45341.99861111111)</f>
        <v>45341.99861</v>
      </c>
      <c r="I417" s="433">
        <f>IFERROR(__xludf.DUMMYFUNCTION("""COMPUTED_VALUE"""),2881.297)</f>
        <v>2881.297</v>
      </c>
    </row>
    <row r="418">
      <c r="A418" s="434">
        <f>IFERROR(__xludf.DUMMYFUNCTION("""COMPUTED_VALUE"""),43052.99861111111)</f>
        <v>43052.99861</v>
      </c>
      <c r="B418" s="433">
        <f>IFERROR(__xludf.DUMMYFUNCTION("""COMPUTED_VALUE"""),6451.83)</f>
        <v>6451.83</v>
      </c>
      <c r="C418" s="434">
        <f>IFERROR(__xludf.DUMMYFUNCTION("""COMPUTED_VALUE"""),42639.99861111111)</f>
        <v>42639.99861</v>
      </c>
      <c r="D418" s="433">
        <f>IFERROR(__xludf.DUMMYFUNCTION("""COMPUTED_VALUE"""),13.1696)</f>
        <v>13.1696</v>
      </c>
      <c r="F418" s="434">
        <f>IFERROR(__xludf.DUMMYFUNCTION("""COMPUTED_VALUE"""),45342.99861111111)</f>
        <v>45342.99861</v>
      </c>
      <c r="G418" s="433">
        <f>IFERROR(__xludf.DUMMYFUNCTION("""COMPUTED_VALUE"""),52287.03)</f>
        <v>52287.03</v>
      </c>
      <c r="H418" s="434">
        <f>IFERROR(__xludf.DUMMYFUNCTION("""COMPUTED_VALUE"""),45342.99861111111)</f>
        <v>45342.99861</v>
      </c>
      <c r="I418" s="433">
        <f>IFERROR(__xludf.DUMMYFUNCTION("""COMPUTED_VALUE"""),2944.1065)</f>
        <v>2944.1065</v>
      </c>
    </row>
    <row r="419">
      <c r="A419" s="434">
        <f>IFERROR(__xludf.DUMMYFUNCTION("""COMPUTED_VALUE"""),43053.99861111111)</f>
        <v>43053.99861</v>
      </c>
      <c r="B419" s="433">
        <f>IFERROR(__xludf.DUMMYFUNCTION("""COMPUTED_VALUE"""),6587.69)</f>
        <v>6587.69</v>
      </c>
      <c r="C419" s="434">
        <f>IFERROR(__xludf.DUMMYFUNCTION("""COMPUTED_VALUE"""),42640.99861111111)</f>
        <v>42640.99861</v>
      </c>
      <c r="D419" s="433">
        <f>IFERROR(__xludf.DUMMYFUNCTION("""COMPUTED_VALUE"""),12.8639)</f>
        <v>12.8639</v>
      </c>
      <c r="F419" s="434">
        <f>IFERROR(__xludf.DUMMYFUNCTION("""COMPUTED_VALUE"""),45343.99861111111)</f>
        <v>45343.99861</v>
      </c>
      <c r="G419" s="433">
        <f>IFERROR(__xludf.DUMMYFUNCTION("""COMPUTED_VALUE"""),51756.38)</f>
        <v>51756.38</v>
      </c>
      <c r="H419" s="434">
        <f>IFERROR(__xludf.DUMMYFUNCTION("""COMPUTED_VALUE"""),45343.99861111111)</f>
        <v>45343.99861</v>
      </c>
      <c r="I419" s="433">
        <f>IFERROR(__xludf.DUMMYFUNCTION("""COMPUTED_VALUE"""),3015.6533)</f>
        <v>3015.6533</v>
      </c>
    </row>
    <row r="420">
      <c r="A420" s="434">
        <f>IFERROR(__xludf.DUMMYFUNCTION("""COMPUTED_VALUE"""),43054.99861111111)</f>
        <v>43054.99861</v>
      </c>
      <c r="B420" s="433">
        <f>IFERROR(__xludf.DUMMYFUNCTION("""COMPUTED_VALUE"""),7291.96)</f>
        <v>7291.96</v>
      </c>
      <c r="C420" s="434">
        <f>IFERROR(__xludf.DUMMYFUNCTION("""COMPUTED_VALUE"""),42641.99861111111)</f>
        <v>42641.99861</v>
      </c>
      <c r="D420" s="433">
        <f>IFERROR(__xludf.DUMMYFUNCTION("""COMPUTED_VALUE"""),13.1074)</f>
        <v>13.1074</v>
      </c>
      <c r="F420" s="434">
        <f>IFERROR(__xludf.DUMMYFUNCTION("""COMPUTED_VALUE"""),45344.99861111111)</f>
        <v>45344.99861</v>
      </c>
      <c r="G420" s="433">
        <f>IFERROR(__xludf.DUMMYFUNCTION("""COMPUTED_VALUE"""),51312.23)</f>
        <v>51312.23</v>
      </c>
      <c r="H420" s="434">
        <f>IFERROR(__xludf.DUMMYFUNCTION("""COMPUTED_VALUE"""),45344.99861111111)</f>
        <v>45344.99861</v>
      </c>
      <c r="I420" s="433">
        <f>IFERROR(__xludf.DUMMYFUNCTION("""COMPUTED_VALUE"""),2969.5998)</f>
        <v>2969.5998</v>
      </c>
    </row>
    <row r="421">
      <c r="A421" s="434">
        <f>IFERROR(__xludf.DUMMYFUNCTION("""COMPUTED_VALUE"""),43055.99861111111)</f>
        <v>43055.99861</v>
      </c>
      <c r="B421" s="433">
        <f>IFERROR(__xludf.DUMMYFUNCTION("""COMPUTED_VALUE"""),7895.76)</f>
        <v>7895.76</v>
      </c>
      <c r="C421" s="434">
        <f>IFERROR(__xludf.DUMMYFUNCTION("""COMPUTED_VALUE"""),42642.99861111111)</f>
        <v>42642.99861</v>
      </c>
      <c r="D421" s="433">
        <f>IFERROR(__xludf.DUMMYFUNCTION("""COMPUTED_VALUE"""),13.2768)</f>
        <v>13.2768</v>
      </c>
      <c r="F421" s="434">
        <f>IFERROR(__xludf.DUMMYFUNCTION("""COMPUTED_VALUE"""),45345.99861111111)</f>
        <v>45345.99861</v>
      </c>
      <c r="G421" s="433">
        <f>IFERROR(__xludf.DUMMYFUNCTION("""COMPUTED_VALUE"""),50745.88)</f>
        <v>50745.88</v>
      </c>
      <c r="H421" s="434">
        <f>IFERROR(__xludf.DUMMYFUNCTION("""COMPUTED_VALUE"""),45345.99861111111)</f>
        <v>45345.99861</v>
      </c>
      <c r="I421" s="433">
        <f>IFERROR(__xludf.DUMMYFUNCTION("""COMPUTED_VALUE"""),2970.1396)</f>
        <v>2970.1396</v>
      </c>
    </row>
    <row r="422">
      <c r="A422" s="434">
        <f>IFERROR(__xludf.DUMMYFUNCTION("""COMPUTED_VALUE"""),43056.99861111111)</f>
        <v>43056.99861</v>
      </c>
      <c r="B422" s="433">
        <f>IFERROR(__xludf.DUMMYFUNCTION("""COMPUTED_VALUE"""),7730.75)</f>
        <v>7730.75</v>
      </c>
      <c r="C422" s="434">
        <f>IFERROR(__xludf.DUMMYFUNCTION("""COMPUTED_VALUE"""),42643.99861111111)</f>
        <v>42643.99861</v>
      </c>
      <c r="D422" s="433">
        <f>IFERROR(__xludf.DUMMYFUNCTION("""COMPUTED_VALUE"""),13.076)</f>
        <v>13.076</v>
      </c>
      <c r="F422" s="434">
        <f>IFERROR(__xludf.DUMMYFUNCTION("""COMPUTED_VALUE"""),45346.99861111111)</f>
        <v>45346.99861</v>
      </c>
      <c r="G422" s="433">
        <f>IFERROR(__xludf.DUMMYFUNCTION("""COMPUTED_VALUE"""),51592.58)</f>
        <v>51592.58</v>
      </c>
      <c r="H422" s="434">
        <f>IFERROR(__xludf.DUMMYFUNCTION("""COMPUTED_VALUE"""),45346.99861111111)</f>
        <v>45346.99861</v>
      </c>
      <c r="I422" s="433">
        <f>IFERROR(__xludf.DUMMYFUNCTION("""COMPUTED_VALUE"""),2921.963)</f>
        <v>2921.963</v>
      </c>
    </row>
    <row r="423">
      <c r="A423" s="434">
        <f>IFERROR(__xludf.DUMMYFUNCTION("""COMPUTED_VALUE"""),43057.99861111111)</f>
        <v>43057.99861</v>
      </c>
      <c r="B423" s="433">
        <f>IFERROR(__xludf.DUMMYFUNCTION("""COMPUTED_VALUE"""),7751.54)</f>
        <v>7751.54</v>
      </c>
      <c r="C423" s="434">
        <f>IFERROR(__xludf.DUMMYFUNCTION("""COMPUTED_VALUE"""),42644.99861111111)</f>
        <v>42644.99861</v>
      </c>
      <c r="D423" s="433">
        <f>IFERROR(__xludf.DUMMYFUNCTION("""COMPUTED_VALUE"""),13.2032)</f>
        <v>13.2032</v>
      </c>
      <c r="F423" s="434">
        <f>IFERROR(__xludf.DUMMYFUNCTION("""COMPUTED_VALUE"""),45347.99861111111)</f>
        <v>45347.99861</v>
      </c>
      <c r="G423" s="433">
        <f>IFERROR(__xludf.DUMMYFUNCTION("""COMPUTED_VALUE"""),51728.53)</f>
        <v>51728.53</v>
      </c>
      <c r="H423" s="434">
        <f>IFERROR(__xludf.DUMMYFUNCTION("""COMPUTED_VALUE"""),45347.99861111111)</f>
        <v>45347.99861</v>
      </c>
      <c r="I423" s="433">
        <f>IFERROR(__xludf.DUMMYFUNCTION("""COMPUTED_VALUE"""),2992.3667)</f>
        <v>2992.3667</v>
      </c>
    </row>
    <row r="424">
      <c r="A424" s="434">
        <f>IFERROR(__xludf.DUMMYFUNCTION("""COMPUTED_VALUE"""),43058.99861111111)</f>
        <v>43058.99861</v>
      </c>
      <c r="B424" s="433">
        <f>IFERROR(__xludf.DUMMYFUNCTION("""COMPUTED_VALUE"""),8039.79)</f>
        <v>8039.79</v>
      </c>
      <c r="C424" s="434">
        <f>IFERROR(__xludf.DUMMYFUNCTION("""COMPUTED_VALUE"""),42645.99861111111)</f>
        <v>42645.99861</v>
      </c>
      <c r="D424" s="433">
        <f>IFERROR(__xludf.DUMMYFUNCTION("""COMPUTED_VALUE"""),13.1802)</f>
        <v>13.1802</v>
      </c>
      <c r="F424" s="434">
        <f>IFERROR(__xludf.DUMMYFUNCTION("""COMPUTED_VALUE"""),45348.99861111111)</f>
        <v>45348.99861</v>
      </c>
      <c r="G424" s="433">
        <f>IFERROR(__xludf.DUMMYFUNCTION("""COMPUTED_VALUE"""),54501.24)</f>
        <v>54501.24</v>
      </c>
      <c r="H424" s="434">
        <f>IFERROR(__xludf.DUMMYFUNCTION("""COMPUTED_VALUE"""),45348.99861111111)</f>
        <v>45348.99861</v>
      </c>
      <c r="I424" s="433">
        <f>IFERROR(__xludf.DUMMYFUNCTION("""COMPUTED_VALUE"""),3112.529)</f>
        <v>3112.529</v>
      </c>
    </row>
    <row r="425">
      <c r="A425" s="434">
        <f>IFERROR(__xludf.DUMMYFUNCTION("""COMPUTED_VALUE"""),43059.99861111111)</f>
        <v>43059.99861</v>
      </c>
      <c r="B425" s="433">
        <f>IFERROR(__xludf.DUMMYFUNCTION("""COMPUTED_VALUE"""),8265.47)</f>
        <v>8265.47</v>
      </c>
      <c r="C425" s="434">
        <f>IFERROR(__xludf.DUMMYFUNCTION("""COMPUTED_VALUE"""),42646.99861111111)</f>
        <v>42646.99861</v>
      </c>
      <c r="D425" s="433">
        <f>IFERROR(__xludf.DUMMYFUNCTION("""COMPUTED_VALUE"""),13.203)</f>
        <v>13.203</v>
      </c>
      <c r="F425" s="434">
        <f>IFERROR(__xludf.DUMMYFUNCTION("""COMPUTED_VALUE"""),45349.99861111111)</f>
        <v>45349.99861</v>
      </c>
      <c r="G425" s="433">
        <f>IFERROR(__xludf.DUMMYFUNCTION("""COMPUTED_VALUE"""),57067.15)</f>
        <v>57067.15</v>
      </c>
      <c r="H425" s="434">
        <f>IFERROR(__xludf.DUMMYFUNCTION("""COMPUTED_VALUE"""),45349.99861111111)</f>
        <v>45349.99861</v>
      </c>
      <c r="I425" s="433">
        <f>IFERROR(__xludf.DUMMYFUNCTION("""COMPUTED_VALUE"""),3178.405)</f>
        <v>3178.405</v>
      </c>
    </row>
    <row r="426">
      <c r="A426" s="434">
        <f>IFERROR(__xludf.DUMMYFUNCTION("""COMPUTED_VALUE"""),43060.99861111111)</f>
        <v>43060.99861</v>
      </c>
      <c r="B426" s="433">
        <f>IFERROR(__xludf.DUMMYFUNCTION("""COMPUTED_VALUE"""),8144.43)</f>
        <v>8144.43</v>
      </c>
      <c r="C426" s="434">
        <f>IFERROR(__xludf.DUMMYFUNCTION("""COMPUTED_VALUE"""),42647.99861111111)</f>
        <v>42647.99861</v>
      </c>
      <c r="D426" s="433">
        <f>IFERROR(__xludf.DUMMYFUNCTION("""COMPUTED_VALUE"""),13.4505)</f>
        <v>13.4505</v>
      </c>
      <c r="F426" s="434">
        <f>IFERROR(__xludf.DUMMYFUNCTION("""COMPUTED_VALUE"""),45350.99861111111)</f>
        <v>45350.99861</v>
      </c>
      <c r="G426" s="433">
        <f>IFERROR(__xludf.DUMMYFUNCTION("""COMPUTED_VALUE"""),62534.39)</f>
        <v>62534.39</v>
      </c>
      <c r="H426" s="434">
        <f>IFERROR(__xludf.DUMMYFUNCTION("""COMPUTED_VALUE"""),45350.99861111111)</f>
        <v>45350.99861</v>
      </c>
      <c r="I426" s="433">
        <f>IFERROR(__xludf.DUMMYFUNCTION("""COMPUTED_VALUE"""),3243.8932)</f>
        <v>3243.8932</v>
      </c>
    </row>
    <row r="427">
      <c r="A427" s="434">
        <f>IFERROR(__xludf.DUMMYFUNCTION("""COMPUTED_VALUE"""),43061.99861111111)</f>
        <v>43061.99861</v>
      </c>
      <c r="B427" s="433">
        <f>IFERROR(__xludf.DUMMYFUNCTION("""COMPUTED_VALUE"""),8204.26)</f>
        <v>8204.26</v>
      </c>
      <c r="C427" s="434">
        <f>IFERROR(__xludf.DUMMYFUNCTION("""COMPUTED_VALUE"""),42648.99861111111)</f>
        <v>42648.99861</v>
      </c>
      <c r="D427" s="433">
        <f>IFERROR(__xludf.DUMMYFUNCTION("""COMPUTED_VALUE"""),13.2834)</f>
        <v>13.2834</v>
      </c>
      <c r="F427" s="434">
        <f>IFERROR(__xludf.DUMMYFUNCTION("""COMPUTED_VALUE"""),45351.99861111111)</f>
        <v>45351.99861</v>
      </c>
      <c r="G427" s="433">
        <f>IFERROR(__xludf.DUMMYFUNCTION("""COMPUTED_VALUE"""),61253.9)</f>
        <v>61253.9</v>
      </c>
      <c r="H427" s="434">
        <f>IFERROR(__xludf.DUMMYFUNCTION("""COMPUTED_VALUE"""),45351.99861111111)</f>
        <v>45351.99861</v>
      </c>
      <c r="I427" s="433">
        <f>IFERROR(__xludf.DUMMYFUNCTION("""COMPUTED_VALUE"""),3386.8027)</f>
        <v>3386.8027</v>
      </c>
    </row>
    <row r="428">
      <c r="A428" s="434">
        <f>IFERROR(__xludf.DUMMYFUNCTION("""COMPUTED_VALUE"""),43062.99861111111)</f>
        <v>43062.99861</v>
      </c>
      <c r="B428" s="433">
        <f>IFERROR(__xludf.DUMMYFUNCTION("""COMPUTED_VALUE"""),8168.15)</f>
        <v>8168.15</v>
      </c>
      <c r="C428" s="434">
        <f>IFERROR(__xludf.DUMMYFUNCTION("""COMPUTED_VALUE"""),42649.99861111111)</f>
        <v>42649.99861</v>
      </c>
      <c r="D428" s="433">
        <f>IFERROR(__xludf.DUMMYFUNCTION("""COMPUTED_VALUE"""),13.0263)</f>
        <v>13.0263</v>
      </c>
      <c r="F428" s="434">
        <f>IFERROR(__xludf.DUMMYFUNCTION("""COMPUTED_VALUE"""),45352.99861111111)</f>
        <v>45352.99861</v>
      </c>
      <c r="G428" s="433">
        <f>IFERROR(__xludf.DUMMYFUNCTION("""COMPUTED_VALUE"""),62520.18)</f>
        <v>62520.18</v>
      </c>
      <c r="H428" s="434">
        <f>IFERROR(__xludf.DUMMYFUNCTION("""COMPUTED_VALUE"""),45352.99861111111)</f>
        <v>45352.99861</v>
      </c>
      <c r="I428" s="433">
        <f>IFERROR(__xludf.DUMMYFUNCTION("""COMPUTED_VALUE"""),3341.9658)</f>
        <v>3341.9658</v>
      </c>
    </row>
    <row r="429">
      <c r="A429" s="434">
        <f>IFERROR(__xludf.DUMMYFUNCTION("""COMPUTED_VALUE"""),43063.99861111111)</f>
        <v>43063.99861</v>
      </c>
      <c r="B429" s="433">
        <f>IFERROR(__xludf.DUMMYFUNCTION("""COMPUTED_VALUE"""),8248.41)</f>
        <v>8248.41</v>
      </c>
      <c r="C429" s="434">
        <f>IFERROR(__xludf.DUMMYFUNCTION("""COMPUTED_VALUE"""),42650.99861111111)</f>
        <v>42650.99861</v>
      </c>
      <c r="D429" s="433">
        <f>IFERROR(__xludf.DUMMYFUNCTION("""COMPUTED_VALUE"""),12.8516)</f>
        <v>12.8516</v>
      </c>
      <c r="F429" s="434">
        <f>IFERROR(__xludf.DUMMYFUNCTION("""COMPUTED_VALUE"""),45353.99861111111)</f>
        <v>45353.99861</v>
      </c>
      <c r="G429" s="433">
        <f>IFERROR(__xludf.DUMMYFUNCTION("""COMPUTED_VALUE"""),61980.11)</f>
        <v>61980.11</v>
      </c>
      <c r="H429" s="434">
        <f>IFERROR(__xludf.DUMMYFUNCTION("""COMPUTED_VALUE"""),45353.99861111111)</f>
        <v>45353.99861</v>
      </c>
      <c r="I429" s="433">
        <f>IFERROR(__xludf.DUMMYFUNCTION("""COMPUTED_VALUE"""),3436.1591)</f>
        <v>3436.1591</v>
      </c>
    </row>
    <row r="430">
      <c r="A430" s="434">
        <f>IFERROR(__xludf.DUMMYFUNCTION("""COMPUTED_VALUE"""),43064.99861111111)</f>
        <v>43064.99861</v>
      </c>
      <c r="B430" s="433">
        <f>IFERROR(__xludf.DUMMYFUNCTION("""COMPUTED_VALUE"""),8835.39)</f>
        <v>8835.39</v>
      </c>
      <c r="C430" s="434">
        <f>IFERROR(__xludf.DUMMYFUNCTION("""COMPUTED_VALUE"""),42651.99861111111)</f>
        <v>42651.99861</v>
      </c>
      <c r="D430" s="433">
        <f>IFERROR(__xludf.DUMMYFUNCTION("""COMPUTED_VALUE"""),12.674)</f>
        <v>12.674</v>
      </c>
      <c r="F430" s="434">
        <f>IFERROR(__xludf.DUMMYFUNCTION("""COMPUTED_VALUE"""),45354.99861111111)</f>
        <v>45354.99861</v>
      </c>
      <c r="G430" s="433">
        <f>IFERROR(__xludf.DUMMYFUNCTION("""COMPUTED_VALUE"""),63043.77)</f>
        <v>63043.77</v>
      </c>
      <c r="H430" s="434">
        <f>IFERROR(__xludf.DUMMYFUNCTION("""COMPUTED_VALUE"""),45354.99861111111)</f>
        <v>45354.99861</v>
      </c>
      <c r="I430" s="433">
        <f>IFERROR(__xludf.DUMMYFUNCTION("""COMPUTED_VALUE"""),3422.8752)</f>
        <v>3422.8752</v>
      </c>
    </row>
    <row r="431">
      <c r="A431" s="434">
        <f>IFERROR(__xludf.DUMMYFUNCTION("""COMPUTED_VALUE"""),43065.99861111111)</f>
        <v>43065.99861</v>
      </c>
      <c r="B431" s="433">
        <f>IFERROR(__xludf.DUMMYFUNCTION("""COMPUTED_VALUE"""),9579.17)</f>
        <v>9579.17</v>
      </c>
      <c r="C431" s="434">
        <f>IFERROR(__xludf.DUMMYFUNCTION("""COMPUTED_VALUE"""),42652.99861111111)</f>
        <v>42652.99861</v>
      </c>
      <c r="D431" s="433">
        <f>IFERROR(__xludf.DUMMYFUNCTION("""COMPUTED_VALUE"""),12.2156)</f>
        <v>12.2156</v>
      </c>
      <c r="F431" s="434">
        <f>IFERROR(__xludf.DUMMYFUNCTION("""COMPUTED_VALUE"""),45355.99861111111)</f>
        <v>45355.99861</v>
      </c>
      <c r="G431" s="433">
        <f>IFERROR(__xludf.DUMMYFUNCTION("""COMPUTED_VALUE"""),68304.96)</f>
        <v>68304.96</v>
      </c>
      <c r="H431" s="434">
        <f>IFERROR(__xludf.DUMMYFUNCTION("""COMPUTED_VALUE"""),45355.99861111111)</f>
        <v>45355.99861</v>
      </c>
      <c r="I431" s="433">
        <f>IFERROR(__xludf.DUMMYFUNCTION("""COMPUTED_VALUE"""),3489.3401)</f>
        <v>3489.3401</v>
      </c>
    </row>
    <row r="432">
      <c r="A432" s="434">
        <f>IFERROR(__xludf.DUMMYFUNCTION("""COMPUTED_VALUE"""),43066.99861111111)</f>
        <v>43066.99861</v>
      </c>
      <c r="B432" s="433">
        <f>IFERROR(__xludf.DUMMYFUNCTION("""COMPUTED_VALUE"""),9643.04)</f>
        <v>9643.04</v>
      </c>
      <c r="C432" s="434">
        <f>IFERROR(__xludf.DUMMYFUNCTION("""COMPUTED_VALUE"""),42653.99861111111)</f>
        <v>42653.99861</v>
      </c>
      <c r="D432" s="433">
        <f>IFERROR(__xludf.DUMMYFUNCTION("""COMPUTED_VALUE"""),12.0607)</f>
        <v>12.0607</v>
      </c>
      <c r="F432" s="434">
        <f>IFERROR(__xludf.DUMMYFUNCTION("""COMPUTED_VALUE"""),45356.99861111111)</f>
        <v>45356.99861</v>
      </c>
      <c r="G432" s="433">
        <f>IFERROR(__xludf.DUMMYFUNCTION("""COMPUTED_VALUE"""),64041.52)</f>
        <v>64041.52</v>
      </c>
      <c r="H432" s="434">
        <f>IFERROR(__xludf.DUMMYFUNCTION("""COMPUTED_VALUE"""),45356.99861111111)</f>
        <v>45356.99861</v>
      </c>
      <c r="I432" s="433">
        <f>IFERROR(__xludf.DUMMYFUNCTION("""COMPUTED_VALUE"""),3631.9289)</f>
        <v>3631.9289</v>
      </c>
    </row>
    <row r="433">
      <c r="A433" s="434">
        <f>IFERROR(__xludf.DUMMYFUNCTION("""COMPUTED_VALUE"""),43067.99861111111)</f>
        <v>43067.99861</v>
      </c>
      <c r="B433" s="433">
        <f>IFERROR(__xludf.DUMMYFUNCTION("""COMPUTED_VALUE"""),9937.51)</f>
        <v>9937.51</v>
      </c>
      <c r="C433" s="434">
        <f>IFERROR(__xludf.DUMMYFUNCTION("""COMPUTED_VALUE"""),42654.99861111111)</f>
        <v>42654.99861</v>
      </c>
      <c r="D433" s="433">
        <f>IFERROR(__xludf.DUMMYFUNCTION("""COMPUTED_VALUE"""),11.7624)</f>
        <v>11.7624</v>
      </c>
      <c r="F433" s="434">
        <f>IFERROR(__xludf.DUMMYFUNCTION("""COMPUTED_VALUE"""),45357.99861111111)</f>
        <v>45357.99861</v>
      </c>
      <c r="G433" s="433">
        <f>IFERROR(__xludf.DUMMYFUNCTION("""COMPUTED_VALUE"""),66142.74)</f>
        <v>66142.74</v>
      </c>
      <c r="H433" s="434">
        <f>IFERROR(__xludf.DUMMYFUNCTION("""COMPUTED_VALUE"""),45357.99861111111)</f>
        <v>45357.99861</v>
      </c>
      <c r="I433" s="433">
        <f>IFERROR(__xludf.DUMMYFUNCTION("""COMPUTED_VALUE"""),3558.4552)</f>
        <v>3558.4552</v>
      </c>
    </row>
    <row r="434">
      <c r="A434" s="434">
        <f>IFERROR(__xludf.DUMMYFUNCTION("""COMPUTED_VALUE"""),43068.99861111111)</f>
        <v>43068.99861</v>
      </c>
      <c r="B434" s="433">
        <f>IFERROR(__xludf.DUMMYFUNCTION("""COMPUTED_VALUE"""),10159.46)</f>
        <v>10159.46</v>
      </c>
      <c r="C434" s="434">
        <f>IFERROR(__xludf.DUMMYFUNCTION("""COMPUTED_VALUE"""),42655.99861111111)</f>
        <v>42655.99861</v>
      </c>
      <c r="D434" s="433">
        <f>IFERROR(__xludf.DUMMYFUNCTION("""COMPUTED_VALUE"""),11.7846)</f>
        <v>11.7846</v>
      </c>
      <c r="F434" s="434">
        <f>IFERROR(__xludf.DUMMYFUNCTION("""COMPUTED_VALUE"""),45358.99861111111)</f>
        <v>45358.99861</v>
      </c>
      <c r="G434" s="433">
        <f>IFERROR(__xludf.DUMMYFUNCTION("""COMPUTED_VALUE"""),66935.05)</f>
        <v>66935.05</v>
      </c>
      <c r="H434" s="434">
        <f>IFERROR(__xludf.DUMMYFUNCTION("""COMPUTED_VALUE"""),45358.99861111111)</f>
        <v>45358.99861</v>
      </c>
      <c r="I434" s="433">
        <f>IFERROR(__xludf.DUMMYFUNCTION("""COMPUTED_VALUE"""),3819.4352)</f>
        <v>3819.4352</v>
      </c>
    </row>
    <row r="435">
      <c r="A435" s="434">
        <f>IFERROR(__xludf.DUMMYFUNCTION("""COMPUTED_VALUE"""),43069.99861111111)</f>
        <v>43069.99861</v>
      </c>
      <c r="B435" s="433">
        <f>IFERROR(__xludf.DUMMYFUNCTION("""COMPUTED_VALUE"""),9677.47)</f>
        <v>9677.47</v>
      </c>
      <c r="C435" s="434">
        <f>IFERROR(__xludf.DUMMYFUNCTION("""COMPUTED_VALUE"""),42656.99861111111)</f>
        <v>42656.99861</v>
      </c>
      <c r="D435" s="433">
        <f>IFERROR(__xludf.DUMMYFUNCTION("""COMPUTED_VALUE"""),11.9092)</f>
        <v>11.9092</v>
      </c>
      <c r="F435" s="434">
        <f>IFERROR(__xludf.DUMMYFUNCTION("""COMPUTED_VALUE"""),45359.99861111111)</f>
        <v>45359.99861</v>
      </c>
      <c r="G435" s="433">
        <f>IFERROR(__xludf.DUMMYFUNCTION("""COMPUTED_VALUE"""),68330.96)</f>
        <v>68330.96</v>
      </c>
      <c r="H435" s="434">
        <f>IFERROR(__xludf.DUMMYFUNCTION("""COMPUTED_VALUE"""),45359.99861111111)</f>
        <v>45359.99861</v>
      </c>
      <c r="I435" s="433">
        <f>IFERROR(__xludf.DUMMYFUNCTION("""COMPUTED_VALUE"""),3875.0786)</f>
        <v>3875.0786</v>
      </c>
    </row>
    <row r="436">
      <c r="A436" s="434">
        <f>IFERROR(__xludf.DUMMYFUNCTION("""COMPUTED_VALUE"""),43070.99861111111)</f>
        <v>43070.99861</v>
      </c>
      <c r="B436" s="433">
        <f>IFERROR(__xludf.DUMMYFUNCTION("""COMPUTED_VALUE"""),10820.12)</f>
        <v>10820.12</v>
      </c>
      <c r="C436" s="434">
        <f>IFERROR(__xludf.DUMMYFUNCTION("""COMPUTED_VALUE"""),42657.99861111111)</f>
        <v>42657.99861</v>
      </c>
      <c r="D436" s="433">
        <f>IFERROR(__xludf.DUMMYFUNCTION("""COMPUTED_VALUE"""),11.9891)</f>
        <v>11.9891</v>
      </c>
      <c r="F436" s="434">
        <f>IFERROR(__xludf.DUMMYFUNCTION("""COMPUTED_VALUE"""),45360.99861111111)</f>
        <v>45360.99861</v>
      </c>
      <c r="G436" s="433">
        <f>IFERROR(__xludf.DUMMYFUNCTION("""COMPUTED_VALUE"""),68469.46)</f>
        <v>68469.46</v>
      </c>
      <c r="H436" s="434">
        <f>IFERROR(__xludf.DUMMYFUNCTION("""COMPUTED_VALUE"""),45360.99861111111)</f>
        <v>45360.99861</v>
      </c>
      <c r="I436" s="433">
        <f>IFERROR(__xludf.DUMMYFUNCTION("""COMPUTED_VALUE"""),3891.9782)</f>
        <v>3891.9782</v>
      </c>
    </row>
    <row r="437">
      <c r="A437" s="434">
        <f>IFERROR(__xludf.DUMMYFUNCTION("""COMPUTED_VALUE"""),43071.99861111111)</f>
        <v>43071.99861</v>
      </c>
      <c r="B437" s="433">
        <f>IFERROR(__xludf.DUMMYFUNCTION("""COMPUTED_VALUE"""),10919.04)</f>
        <v>10919.04</v>
      </c>
      <c r="C437" s="434">
        <f>IFERROR(__xludf.DUMMYFUNCTION("""COMPUTED_VALUE"""),42658.99861111111)</f>
        <v>42658.99861</v>
      </c>
      <c r="D437" s="433">
        <f>IFERROR(__xludf.DUMMYFUNCTION("""COMPUTED_VALUE"""),11.9361)</f>
        <v>11.9361</v>
      </c>
      <c r="F437" s="434">
        <f>IFERROR(__xludf.DUMMYFUNCTION("""COMPUTED_VALUE"""),45361.99861111111)</f>
        <v>45361.99861</v>
      </c>
      <c r="G437" s="433">
        <f>IFERROR(__xludf.DUMMYFUNCTION("""COMPUTED_VALUE"""),69011.28)</f>
        <v>69011.28</v>
      </c>
      <c r="H437" s="434">
        <f>IFERROR(__xludf.DUMMYFUNCTION("""COMPUTED_VALUE"""),45361.99861111111)</f>
        <v>45361.99861</v>
      </c>
      <c r="I437" s="433">
        <f>IFERROR(__xludf.DUMMYFUNCTION("""COMPUTED_VALUE"""),3913.7166)</f>
        <v>3913.7166</v>
      </c>
    </row>
    <row r="438">
      <c r="A438" s="434">
        <f>IFERROR(__xludf.DUMMYFUNCTION("""COMPUTED_VALUE"""),43072.99861111111)</f>
        <v>43072.99861</v>
      </c>
      <c r="B438" s="433">
        <f>IFERROR(__xludf.DUMMYFUNCTION("""COMPUTED_VALUE"""),11250.03)</f>
        <v>11250.03</v>
      </c>
      <c r="C438" s="434">
        <f>IFERROR(__xludf.DUMMYFUNCTION("""COMPUTED_VALUE"""),42659.99861111111)</f>
        <v>42659.99861</v>
      </c>
      <c r="D438" s="433">
        <f>IFERROR(__xludf.DUMMYFUNCTION("""COMPUTED_VALUE"""),11.9817)</f>
        <v>11.9817</v>
      </c>
      <c r="F438" s="434">
        <f>IFERROR(__xludf.DUMMYFUNCTION("""COMPUTED_VALUE"""),45362.99861111111)</f>
        <v>45362.99861</v>
      </c>
      <c r="G438" s="433">
        <f>IFERROR(__xludf.DUMMYFUNCTION("""COMPUTED_VALUE"""),72133.38)</f>
        <v>72133.38</v>
      </c>
      <c r="H438" s="434">
        <f>IFERROR(__xludf.DUMMYFUNCTION("""COMPUTED_VALUE"""),45362.99861111111)</f>
        <v>45362.99861</v>
      </c>
      <c r="I438" s="433">
        <f>IFERROR(__xludf.DUMMYFUNCTION("""COMPUTED_VALUE"""),3882.1181)</f>
        <v>3882.1181</v>
      </c>
    </row>
    <row r="439">
      <c r="A439" s="434">
        <f>IFERROR(__xludf.DUMMYFUNCTION("""COMPUTED_VALUE"""),43073.99861111111)</f>
        <v>43073.99861</v>
      </c>
      <c r="B439" s="433">
        <f>IFERROR(__xludf.DUMMYFUNCTION("""COMPUTED_VALUE"""),11469.23)</f>
        <v>11469.23</v>
      </c>
      <c r="C439" s="434">
        <f>IFERROR(__xludf.DUMMYFUNCTION("""COMPUTED_VALUE"""),42660.99861111111)</f>
        <v>42660.99861</v>
      </c>
      <c r="D439" s="433">
        <f>IFERROR(__xludf.DUMMYFUNCTION("""COMPUTED_VALUE"""),11.9556)</f>
        <v>11.9556</v>
      </c>
      <c r="F439" s="434">
        <f>IFERROR(__xludf.DUMMYFUNCTION("""COMPUTED_VALUE"""),45363.99861111111)</f>
        <v>45363.99861</v>
      </c>
      <c r="G439" s="433">
        <f>IFERROR(__xludf.DUMMYFUNCTION("""COMPUTED_VALUE"""),71491.77)</f>
        <v>71491.77</v>
      </c>
      <c r="H439" s="434">
        <f>IFERROR(__xludf.DUMMYFUNCTION("""COMPUTED_VALUE"""),45363.99861111111)</f>
        <v>45363.99861</v>
      </c>
      <c r="I439" s="433">
        <f>IFERROR(__xludf.DUMMYFUNCTION("""COMPUTED_VALUE"""),4066.0375)</f>
        <v>4066.0375</v>
      </c>
    </row>
    <row r="440">
      <c r="A440" s="434">
        <f>IFERROR(__xludf.DUMMYFUNCTION("""COMPUTED_VALUE"""),43074.99861111111)</f>
        <v>43074.99861</v>
      </c>
      <c r="B440" s="433">
        <f>IFERROR(__xludf.DUMMYFUNCTION("""COMPUTED_VALUE"""),11755.85)</f>
        <v>11755.85</v>
      </c>
      <c r="C440" s="434">
        <f>IFERROR(__xludf.DUMMYFUNCTION("""COMPUTED_VALUE"""),42661.99861111111)</f>
        <v>42661.99861</v>
      </c>
      <c r="D440" s="433">
        <f>IFERROR(__xludf.DUMMYFUNCTION("""COMPUTED_VALUE"""),11.9959)</f>
        <v>11.9959</v>
      </c>
      <c r="F440" s="434">
        <f>IFERROR(__xludf.DUMMYFUNCTION("""COMPUTED_VALUE"""),45364.99861111111)</f>
        <v>45364.99861</v>
      </c>
      <c r="G440" s="433">
        <f>IFERROR(__xludf.DUMMYFUNCTION("""COMPUTED_VALUE"""),73096.85)</f>
        <v>73096.85</v>
      </c>
      <c r="H440" s="434">
        <f>IFERROR(__xludf.DUMMYFUNCTION("""COMPUTED_VALUE"""),45364.99861111111)</f>
        <v>45364.99861</v>
      </c>
      <c r="I440" s="433">
        <f>IFERROR(__xludf.DUMMYFUNCTION("""COMPUTED_VALUE"""),3980.0814)</f>
        <v>3980.0814</v>
      </c>
    </row>
    <row r="441">
      <c r="A441" s="434">
        <f>IFERROR(__xludf.DUMMYFUNCTION("""COMPUTED_VALUE"""),43075.99861111111)</f>
        <v>43075.99861</v>
      </c>
      <c r="B441" s="433">
        <f>IFERROR(__xludf.DUMMYFUNCTION("""COMPUTED_VALUE"""),13227.41)</f>
        <v>13227.41</v>
      </c>
      <c r="C441" s="434">
        <f>IFERROR(__xludf.DUMMYFUNCTION("""COMPUTED_VALUE"""),42662.99861111111)</f>
        <v>42662.99861</v>
      </c>
      <c r="D441" s="433">
        <f>IFERROR(__xludf.DUMMYFUNCTION("""COMPUTED_VALUE"""),12.5926)</f>
        <v>12.5926</v>
      </c>
      <c r="F441" s="434">
        <f>IFERROR(__xludf.DUMMYFUNCTION("""COMPUTED_VALUE"""),45365.99861111111)</f>
        <v>45365.99861</v>
      </c>
      <c r="G441" s="433">
        <f>IFERROR(__xludf.DUMMYFUNCTION("""COMPUTED_VALUE"""),71394.04)</f>
        <v>71394.04</v>
      </c>
      <c r="H441" s="434">
        <f>IFERROR(__xludf.DUMMYFUNCTION("""COMPUTED_VALUE"""),45365.99861111111)</f>
        <v>45365.99861</v>
      </c>
      <c r="I441" s="433">
        <f>IFERROR(__xludf.DUMMYFUNCTION("""COMPUTED_VALUE"""),4006.6884)</f>
        <v>4006.6884</v>
      </c>
    </row>
    <row r="442">
      <c r="A442" s="434">
        <f>IFERROR(__xludf.DUMMYFUNCTION("""COMPUTED_VALUE"""),43076.99861111111)</f>
        <v>43076.99861</v>
      </c>
      <c r="B442" s="433">
        <f>IFERROR(__xludf.DUMMYFUNCTION("""COMPUTED_VALUE"""),16165.85)</f>
        <v>16165.85</v>
      </c>
      <c r="C442" s="434">
        <f>IFERROR(__xludf.DUMMYFUNCTION("""COMPUTED_VALUE"""),42663.99861111111)</f>
        <v>42663.99861</v>
      </c>
      <c r="D442" s="433">
        <f>IFERROR(__xludf.DUMMYFUNCTION("""COMPUTED_VALUE"""),12.0463)</f>
        <v>12.0463</v>
      </c>
      <c r="F442" s="434">
        <f>IFERROR(__xludf.DUMMYFUNCTION("""COMPUTED_VALUE"""),45366.99861111111)</f>
        <v>45366.99861</v>
      </c>
      <c r="G442" s="433">
        <f>IFERROR(__xludf.DUMMYFUNCTION("""COMPUTED_VALUE"""),69441.68)</f>
        <v>69441.68</v>
      </c>
      <c r="H442" s="434">
        <f>IFERROR(__xludf.DUMMYFUNCTION("""COMPUTED_VALUE"""),45366.99861111111)</f>
        <v>45366.99861</v>
      </c>
      <c r="I442" s="433">
        <f>IFERROR(__xludf.DUMMYFUNCTION("""COMPUTED_VALUE"""),3880.2239)</f>
        <v>3880.2239</v>
      </c>
    </row>
    <row r="443">
      <c r="A443" s="434">
        <f>IFERROR(__xludf.DUMMYFUNCTION("""COMPUTED_VALUE"""),43077.99861111111)</f>
        <v>43077.99861</v>
      </c>
      <c r="B443" s="433">
        <f>IFERROR(__xludf.DUMMYFUNCTION("""COMPUTED_VALUE"""),15926.65)</f>
        <v>15926.65</v>
      </c>
      <c r="C443" s="434">
        <f>IFERROR(__xludf.DUMMYFUNCTION("""COMPUTED_VALUE"""),42664.99861111111)</f>
        <v>42664.99861</v>
      </c>
      <c r="D443" s="433">
        <f>IFERROR(__xludf.DUMMYFUNCTION("""COMPUTED_VALUE"""),12.1297)</f>
        <v>12.1297</v>
      </c>
      <c r="F443" s="434">
        <f>IFERROR(__xludf.DUMMYFUNCTION("""COMPUTED_VALUE"""),45367.99861111111)</f>
        <v>45367.99861</v>
      </c>
      <c r="G443" s="433">
        <f>IFERROR(__xludf.DUMMYFUNCTION("""COMPUTED_VALUE"""),65314.75)</f>
        <v>65314.75</v>
      </c>
      <c r="H443" s="434">
        <f>IFERROR(__xludf.DUMMYFUNCTION("""COMPUTED_VALUE"""),45367.99861111111)</f>
        <v>45367.99861</v>
      </c>
      <c r="I443" s="433">
        <f>IFERROR(__xludf.DUMMYFUNCTION("""COMPUTED_VALUE"""),3742.1979)</f>
        <v>3742.1979</v>
      </c>
    </row>
    <row r="444">
      <c r="A444" s="434">
        <f>IFERROR(__xludf.DUMMYFUNCTION("""COMPUTED_VALUE"""),43078.99861111111)</f>
        <v>43078.99861</v>
      </c>
      <c r="B444" s="433">
        <f>IFERROR(__xludf.DUMMYFUNCTION("""COMPUTED_VALUE"""),15764.98)</f>
        <v>15764.98</v>
      </c>
      <c r="C444" s="434">
        <f>IFERROR(__xludf.DUMMYFUNCTION("""COMPUTED_VALUE"""),42665.99861111111)</f>
        <v>42665.99861</v>
      </c>
      <c r="D444" s="433">
        <f>IFERROR(__xludf.DUMMYFUNCTION("""COMPUTED_VALUE"""),12.1804)</f>
        <v>12.1804</v>
      </c>
      <c r="F444" s="434">
        <f>IFERROR(__xludf.DUMMYFUNCTION("""COMPUTED_VALUE"""),45368.99861111111)</f>
        <v>45368.99861</v>
      </c>
      <c r="G444" s="433">
        <f>IFERROR(__xludf.DUMMYFUNCTION("""COMPUTED_VALUE"""),68476.19)</f>
        <v>68476.19</v>
      </c>
      <c r="H444" s="434">
        <f>IFERROR(__xludf.DUMMYFUNCTION("""COMPUTED_VALUE"""),45368.99861111111)</f>
        <v>45368.99861</v>
      </c>
      <c r="I444" s="433">
        <f>IFERROR(__xludf.DUMMYFUNCTION("""COMPUTED_VALUE"""),3520.284)</f>
        <v>3520.284</v>
      </c>
    </row>
    <row r="445">
      <c r="A445" s="434">
        <f>IFERROR(__xludf.DUMMYFUNCTION("""COMPUTED_VALUE"""),43079.99861111111)</f>
        <v>43079.99861</v>
      </c>
      <c r="B445" s="433">
        <f>IFERROR(__xludf.DUMMYFUNCTION("""COMPUTED_VALUE"""),15378.63)</f>
        <v>15378.63</v>
      </c>
      <c r="C445" s="434">
        <f>IFERROR(__xludf.DUMMYFUNCTION("""COMPUTED_VALUE"""),42666.99861111111)</f>
        <v>42666.99861</v>
      </c>
      <c r="D445" s="433">
        <f>IFERROR(__xludf.DUMMYFUNCTION("""COMPUTED_VALUE"""),12.1304)</f>
        <v>12.1304</v>
      </c>
      <c r="F445" s="434">
        <f>IFERROR(__xludf.DUMMYFUNCTION("""COMPUTED_VALUE"""),45369.99861111111)</f>
        <v>45369.99861</v>
      </c>
      <c r="G445" s="433">
        <f>IFERROR(__xludf.DUMMYFUNCTION("""COMPUTED_VALUE"""),67732.55)</f>
        <v>67732.55</v>
      </c>
      <c r="H445" s="434">
        <f>IFERROR(__xludf.DUMMYFUNCTION("""COMPUTED_VALUE"""),45369.99861111111)</f>
        <v>45369.99861</v>
      </c>
      <c r="I445" s="433">
        <f>IFERROR(__xludf.DUMMYFUNCTION("""COMPUTED_VALUE"""),3642.1852)</f>
        <v>3642.1852</v>
      </c>
    </row>
    <row r="446">
      <c r="A446" s="434">
        <f>IFERROR(__xludf.DUMMYFUNCTION("""COMPUTED_VALUE"""),43080.99861111111)</f>
        <v>43080.99861</v>
      </c>
      <c r="B446" s="433">
        <f>IFERROR(__xludf.DUMMYFUNCTION("""COMPUTED_VALUE"""),17192.2)</f>
        <v>17192.2</v>
      </c>
      <c r="C446" s="434">
        <f>IFERROR(__xludf.DUMMYFUNCTION("""COMPUTED_VALUE"""),42667.99861111111)</f>
        <v>42667.99861</v>
      </c>
      <c r="D446" s="433">
        <f>IFERROR(__xludf.DUMMYFUNCTION("""COMPUTED_VALUE"""),12.0372)</f>
        <v>12.0372</v>
      </c>
      <c r="F446" s="434">
        <f>IFERROR(__xludf.DUMMYFUNCTION("""COMPUTED_VALUE"""),45370.99861111111)</f>
        <v>45370.99861</v>
      </c>
      <c r="G446" s="433">
        <f>IFERROR(__xludf.DUMMYFUNCTION("""COMPUTED_VALUE"""),61964.65)</f>
        <v>61964.65</v>
      </c>
      <c r="H446" s="434">
        <f>IFERROR(__xludf.DUMMYFUNCTION("""COMPUTED_VALUE"""),45370.99861111111)</f>
        <v>45370.99861</v>
      </c>
      <c r="I446" s="433">
        <f>IFERROR(__xludf.DUMMYFUNCTION("""COMPUTED_VALUE"""),3519.9801)</f>
        <v>3519.9801</v>
      </c>
    </row>
    <row r="447">
      <c r="A447" s="434">
        <f>IFERROR(__xludf.DUMMYFUNCTION("""COMPUTED_VALUE"""),43081.99861111111)</f>
        <v>43081.99861</v>
      </c>
      <c r="B447" s="433">
        <f>IFERROR(__xludf.DUMMYFUNCTION("""COMPUTED_VALUE"""),17242.16)</f>
        <v>17242.16</v>
      </c>
      <c r="C447" s="434">
        <f>IFERROR(__xludf.DUMMYFUNCTION("""COMPUTED_VALUE"""),42668.99861111111)</f>
        <v>42668.99861</v>
      </c>
      <c r="D447" s="433">
        <f>IFERROR(__xludf.DUMMYFUNCTION("""COMPUTED_VALUE"""),11.9676)</f>
        <v>11.9676</v>
      </c>
      <c r="F447" s="434">
        <f>IFERROR(__xludf.DUMMYFUNCTION("""COMPUTED_VALUE"""),45371.99861111111)</f>
        <v>45371.99861</v>
      </c>
      <c r="G447" s="433">
        <f>IFERROR(__xludf.DUMMYFUNCTION("""COMPUTED_VALUE"""),67900.47)</f>
        <v>67900.47</v>
      </c>
      <c r="H447" s="434">
        <f>IFERROR(__xludf.DUMMYFUNCTION("""COMPUTED_VALUE"""),45371.99861111111)</f>
        <v>45371.99861</v>
      </c>
      <c r="I447" s="433">
        <f>IFERROR(__xludf.DUMMYFUNCTION("""COMPUTED_VALUE"""),3158.4657)</f>
        <v>3158.4657</v>
      </c>
    </row>
    <row r="448">
      <c r="A448" s="434">
        <f>IFERROR(__xludf.DUMMYFUNCTION("""COMPUTED_VALUE"""),43082.99861111111)</f>
        <v>43082.99861</v>
      </c>
      <c r="B448" s="433">
        <f>IFERROR(__xludf.DUMMYFUNCTION("""COMPUTED_VALUE"""),16695.39)</f>
        <v>16695.39</v>
      </c>
      <c r="C448" s="434">
        <f>IFERROR(__xludf.DUMMYFUNCTION("""COMPUTED_VALUE"""),42669.99861111111)</f>
        <v>42669.99861</v>
      </c>
      <c r="D448" s="433">
        <f>IFERROR(__xludf.DUMMYFUNCTION("""COMPUTED_VALUE"""),11.3841)</f>
        <v>11.3841</v>
      </c>
      <c r="F448" s="434">
        <f>IFERROR(__xludf.DUMMYFUNCTION("""COMPUTED_VALUE"""),45372.99861111111)</f>
        <v>45372.99861</v>
      </c>
      <c r="G448" s="433">
        <f>IFERROR(__xludf.DUMMYFUNCTION("""COMPUTED_VALUE"""),65507.84)</f>
        <v>65507.84</v>
      </c>
      <c r="H448" s="434">
        <f>IFERROR(__xludf.DUMMYFUNCTION("""COMPUTED_VALUE"""),45372.99861111111)</f>
        <v>45372.99861</v>
      </c>
      <c r="I448" s="433">
        <f>IFERROR(__xludf.DUMMYFUNCTION("""COMPUTED_VALUE"""),3516.4046)</f>
        <v>3516.4046</v>
      </c>
    </row>
    <row r="449">
      <c r="A449" s="434">
        <f>IFERROR(__xludf.DUMMYFUNCTION("""COMPUTED_VALUE"""),43083.99861111111)</f>
        <v>43083.99861</v>
      </c>
      <c r="B449" s="433">
        <f>IFERROR(__xludf.DUMMYFUNCTION("""COMPUTED_VALUE"""),16446.68)</f>
        <v>16446.68</v>
      </c>
      <c r="C449" s="434">
        <f>IFERROR(__xludf.DUMMYFUNCTION("""COMPUTED_VALUE"""),42670.99861111111)</f>
        <v>42670.99861</v>
      </c>
      <c r="D449" s="433">
        <f>IFERROR(__xludf.DUMMYFUNCTION("""COMPUTED_VALUE"""),11.5312)</f>
        <v>11.5312</v>
      </c>
      <c r="F449" s="434">
        <f>IFERROR(__xludf.DUMMYFUNCTION("""COMPUTED_VALUE"""),45373.99861111111)</f>
        <v>45373.99861</v>
      </c>
      <c r="G449" s="433">
        <f>IFERROR(__xludf.DUMMYFUNCTION("""COMPUTED_VALUE"""),63669.71)</f>
        <v>63669.71</v>
      </c>
      <c r="H449" s="434">
        <f>IFERROR(__xludf.DUMMYFUNCTION("""COMPUTED_VALUE"""),45373.99861111111)</f>
        <v>45373.99861</v>
      </c>
      <c r="I449" s="433">
        <f>IFERROR(__xludf.DUMMYFUNCTION("""COMPUTED_VALUE"""),3492.004)</f>
        <v>3492.004</v>
      </c>
    </row>
    <row r="450">
      <c r="A450" s="434">
        <f>IFERROR(__xludf.DUMMYFUNCTION("""COMPUTED_VALUE"""),43084.99861111111)</f>
        <v>43084.99861</v>
      </c>
      <c r="B450" s="433">
        <f>IFERROR(__xludf.DUMMYFUNCTION("""COMPUTED_VALUE"""),17584.91)</f>
        <v>17584.91</v>
      </c>
      <c r="C450" s="434">
        <f>IFERROR(__xludf.DUMMYFUNCTION("""COMPUTED_VALUE"""),42671.99861111111)</f>
        <v>42671.99861</v>
      </c>
      <c r="D450" s="433">
        <f>IFERROR(__xludf.DUMMYFUNCTION("""COMPUTED_VALUE"""),11.4749)</f>
        <v>11.4749</v>
      </c>
      <c r="F450" s="434">
        <f>IFERROR(__xludf.DUMMYFUNCTION("""COMPUTED_VALUE"""),45374.99861111111)</f>
        <v>45374.99861</v>
      </c>
      <c r="G450" s="433">
        <f>IFERROR(__xludf.DUMMYFUNCTION("""COMPUTED_VALUE"""),64052.68)</f>
        <v>64052.68</v>
      </c>
      <c r="H450" s="434">
        <f>IFERROR(__xludf.DUMMYFUNCTION("""COMPUTED_VALUE"""),45374.99861111111)</f>
        <v>45374.99861</v>
      </c>
      <c r="I450" s="433">
        <f>IFERROR(__xludf.DUMMYFUNCTION("""COMPUTED_VALUE"""),3336.0716)</f>
        <v>3336.0716</v>
      </c>
    </row>
    <row r="451">
      <c r="A451" s="434">
        <f>IFERROR(__xludf.DUMMYFUNCTION("""COMPUTED_VALUE"""),43085.99861111111)</f>
        <v>43085.99861</v>
      </c>
      <c r="B451" s="433">
        <f>IFERROR(__xludf.DUMMYFUNCTION("""COMPUTED_VALUE"""),19217.13)</f>
        <v>19217.13</v>
      </c>
      <c r="C451" s="434">
        <f>IFERROR(__xludf.DUMMYFUNCTION("""COMPUTED_VALUE"""),42672.99861111111)</f>
        <v>42672.99861</v>
      </c>
      <c r="D451" s="433">
        <f>IFERROR(__xludf.DUMMYFUNCTION("""COMPUTED_VALUE"""),11.1003)</f>
        <v>11.1003</v>
      </c>
      <c r="F451" s="434">
        <f>IFERROR(__xludf.DUMMYFUNCTION("""COMPUTED_VALUE"""),45375.99861111111)</f>
        <v>45375.99861</v>
      </c>
      <c r="G451" s="433">
        <f>IFERROR(__xludf.DUMMYFUNCTION("""COMPUTED_VALUE"""),67228.68)</f>
        <v>67228.68</v>
      </c>
      <c r="H451" s="434">
        <f>IFERROR(__xludf.DUMMYFUNCTION("""COMPUTED_VALUE"""),45375.99861111111)</f>
        <v>45375.99861</v>
      </c>
      <c r="I451" s="433">
        <f>IFERROR(__xludf.DUMMYFUNCTION("""COMPUTED_VALUE"""),3332.3782)</f>
        <v>3332.3782</v>
      </c>
    </row>
    <row r="452">
      <c r="A452" s="434">
        <f>IFERROR(__xludf.DUMMYFUNCTION("""COMPUTED_VALUE"""),43086.99861111111)</f>
        <v>43086.99861</v>
      </c>
      <c r="B452" s="433">
        <f>IFERROR(__xludf.DUMMYFUNCTION("""COMPUTED_VALUE"""),18288.9)</f>
        <v>18288.9</v>
      </c>
      <c r="C452" s="434">
        <f>IFERROR(__xludf.DUMMYFUNCTION("""COMPUTED_VALUE"""),42673.99861111111)</f>
        <v>42673.99861</v>
      </c>
      <c r="D452" s="433">
        <f>IFERROR(__xludf.DUMMYFUNCTION("""COMPUTED_VALUE"""),10.4282)</f>
        <v>10.4282</v>
      </c>
      <c r="F452" s="434">
        <f>IFERROR(__xludf.DUMMYFUNCTION("""COMPUTED_VALUE"""),45376.99861111111)</f>
        <v>45376.99861</v>
      </c>
      <c r="G452" s="433">
        <f>IFERROR(__xludf.DUMMYFUNCTION("""COMPUTED_VALUE"""),69956.47)</f>
        <v>69956.47</v>
      </c>
      <c r="H452" s="434">
        <f>IFERROR(__xludf.DUMMYFUNCTION("""COMPUTED_VALUE"""),45376.99861111111)</f>
        <v>45376.99861</v>
      </c>
      <c r="I452" s="433">
        <f>IFERROR(__xludf.DUMMYFUNCTION("""COMPUTED_VALUE"""),3453.6938)</f>
        <v>3453.6938</v>
      </c>
    </row>
    <row r="453">
      <c r="A453" s="434">
        <f>IFERROR(__xludf.DUMMYFUNCTION("""COMPUTED_VALUE"""),43087.99861111111)</f>
        <v>43087.99861</v>
      </c>
      <c r="B453" s="433">
        <f>IFERROR(__xludf.DUMMYFUNCTION("""COMPUTED_VALUE"""),18699.82)</f>
        <v>18699.82</v>
      </c>
      <c r="C453" s="434">
        <f>IFERROR(__xludf.DUMMYFUNCTION("""COMPUTED_VALUE"""),42674.99861111111)</f>
        <v>42674.99861</v>
      </c>
      <c r="D453" s="433">
        <f>IFERROR(__xludf.DUMMYFUNCTION("""COMPUTED_VALUE"""),11.2296)</f>
        <v>11.2296</v>
      </c>
      <c r="F453" s="434">
        <f>IFERROR(__xludf.DUMMYFUNCTION("""COMPUTED_VALUE"""),45377.99861111111)</f>
        <v>45377.99861</v>
      </c>
      <c r="G453" s="433">
        <f>IFERROR(__xludf.DUMMYFUNCTION("""COMPUTED_VALUE"""),69976.26)</f>
        <v>69976.26</v>
      </c>
      <c r="H453" s="434">
        <f>IFERROR(__xludf.DUMMYFUNCTION("""COMPUTED_VALUE"""),45377.99861111111)</f>
        <v>45377.99861</v>
      </c>
      <c r="I453" s="433">
        <f>IFERROR(__xludf.DUMMYFUNCTION("""COMPUTED_VALUE"""),3590.941)</f>
        <v>3590.941</v>
      </c>
    </row>
    <row r="454">
      <c r="A454" s="434">
        <f>IFERROR(__xludf.DUMMYFUNCTION("""COMPUTED_VALUE"""),43088.99861111111)</f>
        <v>43088.99861</v>
      </c>
      <c r="B454" s="433">
        <f>IFERROR(__xludf.DUMMYFUNCTION("""COMPUTED_VALUE"""),16977.0)</f>
        <v>16977</v>
      </c>
      <c r="C454" s="434">
        <f>IFERROR(__xludf.DUMMYFUNCTION("""COMPUTED_VALUE"""),42675.99861111111)</f>
        <v>42675.99861</v>
      </c>
      <c r="D454" s="433">
        <f>IFERROR(__xludf.DUMMYFUNCTION("""COMPUTED_VALUE"""),10.9578)</f>
        <v>10.9578</v>
      </c>
      <c r="F454" s="434">
        <f>IFERROR(__xludf.DUMMYFUNCTION("""COMPUTED_VALUE"""),45378.99861111111)</f>
        <v>45378.99861</v>
      </c>
      <c r="G454" s="433">
        <f>IFERROR(__xludf.DUMMYFUNCTION("""COMPUTED_VALUE"""),69402.96)</f>
        <v>69402.96</v>
      </c>
      <c r="H454" s="434">
        <f>IFERROR(__xludf.DUMMYFUNCTION("""COMPUTED_VALUE"""),45378.99861111111)</f>
        <v>45378.99861</v>
      </c>
      <c r="I454" s="433">
        <f>IFERROR(__xludf.DUMMYFUNCTION("""COMPUTED_VALUE"""),3587.5291)</f>
        <v>3587.5291</v>
      </c>
    </row>
    <row r="455">
      <c r="A455" s="434">
        <f>IFERROR(__xludf.DUMMYFUNCTION("""COMPUTED_VALUE"""),43089.99861111111)</f>
        <v>43089.99861</v>
      </c>
      <c r="B455" s="433">
        <f>IFERROR(__xludf.DUMMYFUNCTION("""COMPUTED_VALUE"""),16235.66)</f>
        <v>16235.66</v>
      </c>
      <c r="C455" s="434">
        <f>IFERROR(__xludf.DUMMYFUNCTION("""COMPUTED_VALUE"""),42676.99861111111)</f>
        <v>42676.99861</v>
      </c>
      <c r="D455" s="433">
        <f>IFERROR(__xludf.DUMMYFUNCTION("""COMPUTED_VALUE"""),10.7735)</f>
        <v>10.7735</v>
      </c>
      <c r="F455" s="434">
        <f>IFERROR(__xludf.DUMMYFUNCTION("""COMPUTED_VALUE"""),45379.99861111111)</f>
        <v>45379.99861</v>
      </c>
      <c r="G455" s="433">
        <f>IFERROR(__xludf.DUMMYFUNCTION("""COMPUTED_VALUE"""),70787.45)</f>
        <v>70787.45</v>
      </c>
      <c r="H455" s="434">
        <f>IFERROR(__xludf.DUMMYFUNCTION("""COMPUTED_VALUE"""),45379.99861111111)</f>
        <v>45379.99861</v>
      </c>
      <c r="I455" s="433">
        <f>IFERROR(__xludf.DUMMYFUNCTION("""COMPUTED_VALUE"""),3500.0163)</f>
        <v>3500.0163</v>
      </c>
    </row>
    <row r="456">
      <c r="A456" s="434">
        <f>IFERROR(__xludf.DUMMYFUNCTION("""COMPUTED_VALUE"""),43090.99861111111)</f>
        <v>43090.99861</v>
      </c>
      <c r="B456" s="433">
        <f>IFERROR(__xludf.DUMMYFUNCTION("""COMPUTED_VALUE"""),15603.51)</f>
        <v>15603.51</v>
      </c>
      <c r="C456" s="434">
        <f>IFERROR(__xludf.DUMMYFUNCTION("""COMPUTED_VALUE"""),42677.99861111111)</f>
        <v>42677.99861</v>
      </c>
      <c r="D456" s="433">
        <f>IFERROR(__xludf.DUMMYFUNCTION("""COMPUTED_VALUE"""),10.7977)</f>
        <v>10.7977</v>
      </c>
      <c r="F456" s="434">
        <f>IFERROR(__xludf.DUMMYFUNCTION("""COMPUTED_VALUE"""),45380.99861111111)</f>
        <v>45380.99861</v>
      </c>
      <c r="G456" s="433">
        <f>IFERROR(__xludf.DUMMYFUNCTION("""COMPUTED_VALUE"""),69917.16)</f>
        <v>69917.16</v>
      </c>
      <c r="H456" s="434">
        <f>IFERROR(__xludf.DUMMYFUNCTION("""COMPUTED_VALUE"""),45380.99861111111)</f>
        <v>45380.99861</v>
      </c>
      <c r="I456" s="433">
        <f>IFERROR(__xludf.DUMMYFUNCTION("""COMPUTED_VALUE"""),3561.4234)</f>
        <v>3561.4234</v>
      </c>
    </row>
    <row r="457">
      <c r="A457" s="434">
        <f>IFERROR(__xludf.DUMMYFUNCTION("""COMPUTED_VALUE"""),43091.99861111111)</f>
        <v>43091.99861</v>
      </c>
      <c r="B457" s="433">
        <f>IFERROR(__xludf.DUMMYFUNCTION("""COMPUTED_VALUE"""),14985.87)</f>
        <v>14985.87</v>
      </c>
      <c r="C457" s="434">
        <f>IFERROR(__xludf.DUMMYFUNCTION("""COMPUTED_VALUE"""),42678.99861111111)</f>
        <v>42678.99861</v>
      </c>
      <c r="D457" s="433">
        <f>IFERROR(__xludf.DUMMYFUNCTION("""COMPUTED_VALUE"""),10.8175)</f>
        <v>10.8175</v>
      </c>
      <c r="F457" s="434">
        <f>IFERROR(__xludf.DUMMYFUNCTION("""COMPUTED_VALUE"""),45381.99861111111)</f>
        <v>45381.99861</v>
      </c>
      <c r="G457" s="433">
        <f>IFERROR(__xludf.DUMMYFUNCTION("""COMPUTED_VALUE"""),69666.93)</f>
        <v>69666.93</v>
      </c>
      <c r="H457" s="434">
        <f>IFERROR(__xludf.DUMMYFUNCTION("""COMPUTED_VALUE"""),45381.99861111111)</f>
        <v>45381.99861</v>
      </c>
      <c r="I457" s="433">
        <f>IFERROR(__xludf.DUMMYFUNCTION("""COMPUTED_VALUE"""),3511.3431)</f>
        <v>3511.3431</v>
      </c>
    </row>
    <row r="458">
      <c r="A458" s="434">
        <f>IFERROR(__xludf.DUMMYFUNCTION("""COMPUTED_VALUE"""),43092.99861111111)</f>
        <v>43092.99861</v>
      </c>
      <c r="B458" s="433">
        <f>IFERROR(__xludf.DUMMYFUNCTION("""COMPUTED_VALUE"""),14549.56)</f>
        <v>14549.56</v>
      </c>
      <c r="C458" s="434">
        <f>IFERROR(__xludf.DUMMYFUNCTION("""COMPUTED_VALUE"""),42679.99861111111)</f>
        <v>42679.99861</v>
      </c>
      <c r="D458" s="433">
        <f>IFERROR(__xludf.DUMMYFUNCTION("""COMPUTED_VALUE"""),11.0948)</f>
        <v>11.0948</v>
      </c>
      <c r="F458" s="434">
        <f>IFERROR(__xludf.DUMMYFUNCTION("""COMPUTED_VALUE"""),45382.99861111111)</f>
        <v>45382.99861</v>
      </c>
      <c r="G458" s="433">
        <f>IFERROR(__xludf.DUMMYFUNCTION("""COMPUTED_VALUE"""),71341.71)</f>
        <v>71341.71</v>
      </c>
      <c r="H458" s="434">
        <f>IFERROR(__xludf.DUMMYFUNCTION("""COMPUTED_VALUE"""),45382.99861111111)</f>
        <v>45382.99861</v>
      </c>
      <c r="I458" s="433">
        <f>IFERROR(__xludf.DUMMYFUNCTION("""COMPUTED_VALUE"""),3508.179)</f>
        <v>3508.179</v>
      </c>
    </row>
    <row r="459">
      <c r="A459" s="434">
        <f>IFERROR(__xludf.DUMMYFUNCTION("""COMPUTED_VALUE"""),43093.99861111111)</f>
        <v>43093.99861</v>
      </c>
      <c r="B459" s="433">
        <f>IFERROR(__xludf.DUMMYFUNCTION("""COMPUTED_VALUE"""),14084.03)</f>
        <v>14084.03</v>
      </c>
      <c r="C459" s="434">
        <f>IFERROR(__xludf.DUMMYFUNCTION("""COMPUTED_VALUE"""),42680.99861111111)</f>
        <v>42680.99861</v>
      </c>
      <c r="D459" s="433">
        <f>IFERROR(__xludf.DUMMYFUNCTION("""COMPUTED_VALUE"""),10.9917)</f>
        <v>10.9917</v>
      </c>
      <c r="F459" s="434">
        <f>IFERROR(__xludf.DUMMYFUNCTION("""COMPUTED_VALUE"""),45383.99861111111)</f>
        <v>45383.99861</v>
      </c>
      <c r="G459" s="433">
        <f>IFERROR(__xludf.DUMMYFUNCTION("""COMPUTED_VALUE"""),69693.39)</f>
        <v>69693.39</v>
      </c>
      <c r="H459" s="434">
        <f>IFERROR(__xludf.DUMMYFUNCTION("""COMPUTED_VALUE"""),45383.99861111111)</f>
        <v>45383.99861</v>
      </c>
      <c r="I459" s="433">
        <f>IFERROR(__xludf.DUMMYFUNCTION("""COMPUTED_VALUE"""),3646.2803)</f>
        <v>3646.2803</v>
      </c>
    </row>
    <row r="460">
      <c r="A460" s="434">
        <f>IFERROR(__xludf.DUMMYFUNCTION("""COMPUTED_VALUE"""),43094.99861111111)</f>
        <v>43094.99861</v>
      </c>
      <c r="B460" s="433">
        <f>IFERROR(__xludf.DUMMYFUNCTION("""COMPUTED_VALUE"""),13970.37)</f>
        <v>13970.37</v>
      </c>
      <c r="C460" s="434">
        <f>IFERROR(__xludf.DUMMYFUNCTION("""COMPUTED_VALUE"""),42681.99861111111)</f>
        <v>42681.99861</v>
      </c>
      <c r="D460" s="433">
        <f>IFERROR(__xludf.DUMMYFUNCTION("""COMPUTED_VALUE"""),10.9037)</f>
        <v>10.9037</v>
      </c>
      <c r="F460" s="434">
        <f>IFERROR(__xludf.DUMMYFUNCTION("""COMPUTED_VALUE"""),45384.99861111111)</f>
        <v>45384.99861</v>
      </c>
      <c r="G460" s="433">
        <f>IFERROR(__xludf.DUMMYFUNCTION("""COMPUTED_VALUE"""),65620.65)</f>
        <v>65620.65</v>
      </c>
      <c r="H460" s="434">
        <f>IFERROR(__xludf.DUMMYFUNCTION("""COMPUTED_VALUE"""),45384.99861111111)</f>
        <v>45384.99861</v>
      </c>
      <c r="I460" s="433">
        <f>IFERROR(__xludf.DUMMYFUNCTION("""COMPUTED_VALUE"""),3505.4748)</f>
        <v>3505.4748</v>
      </c>
    </row>
    <row r="461">
      <c r="A461" s="434">
        <f>IFERROR(__xludf.DUMMYFUNCTION("""COMPUTED_VALUE"""),43095.99861111111)</f>
        <v>43095.99861</v>
      </c>
      <c r="B461" s="433">
        <f>IFERROR(__xludf.DUMMYFUNCTION("""COMPUTED_VALUE"""),15915.92)</f>
        <v>15915.92</v>
      </c>
      <c r="C461" s="434">
        <f>IFERROR(__xludf.DUMMYFUNCTION("""COMPUTED_VALUE"""),42682.99861111111)</f>
        <v>42682.99861</v>
      </c>
      <c r="D461" s="433">
        <f>IFERROR(__xludf.DUMMYFUNCTION("""COMPUTED_VALUE"""),10.8506)</f>
        <v>10.8506</v>
      </c>
      <c r="F461" s="434">
        <f>IFERROR(__xludf.DUMMYFUNCTION("""COMPUTED_VALUE"""),45385.99861111111)</f>
        <v>45385.99861</v>
      </c>
      <c r="G461" s="433">
        <f>IFERROR(__xludf.DUMMYFUNCTION("""COMPUTED_VALUE"""),66053.35)</f>
        <v>66053.35</v>
      </c>
      <c r="H461" s="434">
        <f>IFERROR(__xludf.DUMMYFUNCTION("""COMPUTED_VALUE"""),45385.99861111111)</f>
        <v>45385.99861</v>
      </c>
      <c r="I461" s="433">
        <f>IFERROR(__xludf.DUMMYFUNCTION("""COMPUTED_VALUE"""),3278.3454)</f>
        <v>3278.3454</v>
      </c>
    </row>
    <row r="462">
      <c r="A462" s="434">
        <f>IFERROR(__xludf.DUMMYFUNCTION("""COMPUTED_VALUE"""),43096.99861111111)</f>
        <v>43096.99861</v>
      </c>
      <c r="B462" s="433">
        <f>IFERROR(__xludf.DUMMYFUNCTION("""COMPUTED_VALUE"""),15188.78)</f>
        <v>15188.78</v>
      </c>
      <c r="C462" s="434">
        <f>IFERROR(__xludf.DUMMYFUNCTION("""COMPUTED_VALUE"""),42683.99861111111)</f>
        <v>42683.99861</v>
      </c>
      <c r="D462" s="433">
        <f>IFERROR(__xludf.DUMMYFUNCTION("""COMPUTED_VALUE"""),10.8199)</f>
        <v>10.8199</v>
      </c>
      <c r="F462" s="434">
        <f>IFERROR(__xludf.DUMMYFUNCTION("""COMPUTED_VALUE"""),45386.99861111111)</f>
        <v>45386.99861</v>
      </c>
      <c r="G462" s="433">
        <f>IFERROR(__xludf.DUMMYFUNCTION("""COMPUTED_VALUE"""),68517.75)</f>
        <v>68517.75</v>
      </c>
      <c r="H462" s="434">
        <f>IFERROR(__xludf.DUMMYFUNCTION("""COMPUTED_VALUE"""),45386.99861111111)</f>
        <v>45386.99861</v>
      </c>
      <c r="I462" s="433">
        <f>IFERROR(__xludf.DUMMYFUNCTION("""COMPUTED_VALUE"""),3311.9862)</f>
        <v>3311.9862</v>
      </c>
    </row>
    <row r="463">
      <c r="A463" s="434">
        <f>IFERROR(__xludf.DUMMYFUNCTION("""COMPUTED_VALUE"""),43097.99861111111)</f>
        <v>43097.99861</v>
      </c>
      <c r="B463" s="433">
        <f>IFERROR(__xludf.DUMMYFUNCTION("""COMPUTED_VALUE"""),13906.25)</f>
        <v>13906.25</v>
      </c>
      <c r="C463" s="434">
        <f>IFERROR(__xludf.DUMMYFUNCTION("""COMPUTED_VALUE"""),42684.99861111111)</f>
        <v>42684.99861</v>
      </c>
      <c r="D463" s="433">
        <f>IFERROR(__xludf.DUMMYFUNCTION("""COMPUTED_VALUE"""),10.6747)</f>
        <v>10.6747</v>
      </c>
      <c r="F463" s="434">
        <f>IFERROR(__xludf.DUMMYFUNCTION("""COMPUTED_VALUE"""),45387.99861111111)</f>
        <v>45387.99861</v>
      </c>
      <c r="G463" s="433">
        <f>IFERROR(__xludf.DUMMYFUNCTION("""COMPUTED_VALUE"""),67824.42)</f>
        <v>67824.42</v>
      </c>
      <c r="H463" s="434">
        <f>IFERROR(__xludf.DUMMYFUNCTION("""COMPUTED_VALUE"""),45387.99861111111)</f>
        <v>45387.99861</v>
      </c>
      <c r="I463" s="433">
        <f>IFERROR(__xludf.DUMMYFUNCTION("""COMPUTED_VALUE"""),3329.5221)</f>
        <v>3329.5221</v>
      </c>
    </row>
    <row r="464">
      <c r="A464" s="434">
        <f>IFERROR(__xludf.DUMMYFUNCTION("""COMPUTED_VALUE"""),43098.99861111111)</f>
        <v>43098.99861</v>
      </c>
      <c r="B464" s="433">
        <f>IFERROR(__xludf.DUMMYFUNCTION("""COMPUTED_VALUE"""),14492.85)</f>
        <v>14492.85</v>
      </c>
      <c r="C464" s="434">
        <f>IFERROR(__xludf.DUMMYFUNCTION("""COMPUTED_VALUE"""),42685.99861111111)</f>
        <v>42685.99861</v>
      </c>
      <c r="D464" s="433">
        <f>IFERROR(__xludf.DUMMYFUNCTION("""COMPUTED_VALUE"""),10.514)</f>
        <v>10.514</v>
      </c>
      <c r="F464" s="434">
        <f>IFERROR(__xludf.DUMMYFUNCTION("""COMPUTED_VALUE"""),45388.99861111111)</f>
        <v>45388.99861</v>
      </c>
      <c r="G464" s="433">
        <f>IFERROR(__xludf.DUMMYFUNCTION("""COMPUTED_VALUE"""),68870.32)</f>
        <v>68870.32</v>
      </c>
      <c r="H464" s="434">
        <f>IFERROR(__xludf.DUMMYFUNCTION("""COMPUTED_VALUE"""),45388.99861111111)</f>
        <v>45388.99861</v>
      </c>
      <c r="I464" s="433">
        <f>IFERROR(__xludf.DUMMYFUNCTION("""COMPUTED_VALUE"""),3319.0546)</f>
        <v>3319.0546</v>
      </c>
    </row>
    <row r="465">
      <c r="A465" s="434">
        <f>IFERROR(__xludf.DUMMYFUNCTION("""COMPUTED_VALUE"""),43099.99861111111)</f>
        <v>43099.99861</v>
      </c>
      <c r="B465" s="433">
        <f>IFERROR(__xludf.DUMMYFUNCTION("""COMPUTED_VALUE"""),13012.22)</f>
        <v>13012.22</v>
      </c>
      <c r="C465" s="434">
        <f>IFERROR(__xludf.DUMMYFUNCTION("""COMPUTED_VALUE"""),42686.99861111111)</f>
        <v>42686.99861</v>
      </c>
      <c r="D465" s="433">
        <f>IFERROR(__xludf.DUMMYFUNCTION("""COMPUTED_VALUE"""),10.2924)</f>
        <v>10.2924</v>
      </c>
      <c r="F465" s="434">
        <f>IFERROR(__xludf.DUMMYFUNCTION("""COMPUTED_VALUE"""),45389.99861111111)</f>
        <v>45389.99861</v>
      </c>
      <c r="G465" s="433">
        <f>IFERROR(__xludf.DUMMYFUNCTION("""COMPUTED_VALUE"""),69412.3)</f>
        <v>69412.3</v>
      </c>
      <c r="H465" s="434">
        <f>IFERROR(__xludf.DUMMYFUNCTION("""COMPUTED_VALUE"""),45389.99861111111)</f>
        <v>45389.99861</v>
      </c>
      <c r="I465" s="433">
        <f>IFERROR(__xludf.DUMMYFUNCTION("""COMPUTED_VALUE"""),3353.7635)</f>
        <v>3353.7635</v>
      </c>
    </row>
    <row r="466">
      <c r="A466" s="434">
        <f>IFERROR(__xludf.DUMMYFUNCTION("""COMPUTED_VALUE"""),43100.99861111111)</f>
        <v>43100.99861</v>
      </c>
      <c r="B466" s="433">
        <f>IFERROR(__xludf.DUMMYFUNCTION("""COMPUTED_VALUE"""),13880.99)</f>
        <v>13880.99</v>
      </c>
      <c r="C466" s="434">
        <f>IFERROR(__xludf.DUMMYFUNCTION("""COMPUTED_VALUE"""),42687.99861111111)</f>
        <v>42687.99861</v>
      </c>
      <c r="D466" s="433">
        <f>IFERROR(__xludf.DUMMYFUNCTION("""COMPUTED_VALUE"""),9.8876)</f>
        <v>9.8876</v>
      </c>
      <c r="F466" s="434">
        <f>IFERROR(__xludf.DUMMYFUNCTION("""COMPUTED_VALUE"""),45390.99861111111)</f>
        <v>45390.99861</v>
      </c>
      <c r="G466" s="433">
        <f>IFERROR(__xludf.DUMMYFUNCTION("""COMPUTED_VALUE"""),71636.84)</f>
        <v>71636.84</v>
      </c>
      <c r="H466" s="434">
        <f>IFERROR(__xludf.DUMMYFUNCTION("""COMPUTED_VALUE"""),45390.99861111111)</f>
        <v>45390.99861</v>
      </c>
      <c r="I466" s="433">
        <f>IFERROR(__xludf.DUMMYFUNCTION("""COMPUTED_VALUE"""),3453.9621)</f>
        <v>3453.9621</v>
      </c>
    </row>
    <row r="467">
      <c r="A467" s="434">
        <f>IFERROR(__xludf.DUMMYFUNCTION("""COMPUTED_VALUE"""),43101.99861111111)</f>
        <v>43101.99861</v>
      </c>
      <c r="B467" s="433">
        <f>IFERROR(__xludf.DUMMYFUNCTION("""COMPUTED_VALUE"""),13584.14)</f>
        <v>13584.14</v>
      </c>
      <c r="C467" s="434">
        <f>IFERROR(__xludf.DUMMYFUNCTION("""COMPUTED_VALUE"""),42688.99861111111)</f>
        <v>42688.99861</v>
      </c>
      <c r="D467" s="433">
        <f>IFERROR(__xludf.DUMMYFUNCTION("""COMPUTED_VALUE"""),10.0982)</f>
        <v>10.0982</v>
      </c>
      <c r="F467" s="434">
        <f>IFERROR(__xludf.DUMMYFUNCTION("""COMPUTED_VALUE"""),45391.99861111111)</f>
        <v>45391.99861</v>
      </c>
      <c r="G467" s="433">
        <f>IFERROR(__xludf.DUMMYFUNCTION("""COMPUTED_VALUE"""),69156.68)</f>
        <v>69156.68</v>
      </c>
      <c r="H467" s="434">
        <f>IFERROR(__xludf.DUMMYFUNCTION("""COMPUTED_VALUE"""),45391.99861111111)</f>
        <v>45391.99861</v>
      </c>
      <c r="I467" s="433">
        <f>IFERROR(__xludf.DUMMYFUNCTION("""COMPUTED_VALUE"""),3695.206)</f>
        <v>3695.206</v>
      </c>
    </row>
    <row r="468">
      <c r="A468" s="434">
        <f>IFERROR(__xludf.DUMMYFUNCTION("""COMPUTED_VALUE"""),43102.99861111111)</f>
        <v>43102.99861</v>
      </c>
      <c r="B468" s="433">
        <f>IFERROR(__xludf.DUMMYFUNCTION("""COMPUTED_VALUE"""),14756.63)</f>
        <v>14756.63</v>
      </c>
      <c r="C468" s="434">
        <f>IFERROR(__xludf.DUMMYFUNCTION("""COMPUTED_VALUE"""),42689.99861111111)</f>
        <v>42689.99861</v>
      </c>
      <c r="D468" s="433">
        <f>IFERROR(__xludf.DUMMYFUNCTION("""COMPUTED_VALUE"""),9.9719)</f>
        <v>9.9719</v>
      </c>
      <c r="F468" s="434">
        <f>IFERROR(__xludf.DUMMYFUNCTION("""COMPUTED_VALUE"""),45392.99861111111)</f>
        <v>45392.99861</v>
      </c>
      <c r="G468" s="433">
        <f>IFERROR(__xludf.DUMMYFUNCTION("""COMPUTED_VALUE"""),70612.79)</f>
        <v>70612.79</v>
      </c>
      <c r="H468" s="434">
        <f>IFERROR(__xludf.DUMMYFUNCTION("""COMPUTED_VALUE"""),45392.99861111111)</f>
        <v>45392.99861</v>
      </c>
      <c r="I468" s="433">
        <f>IFERROR(__xludf.DUMMYFUNCTION("""COMPUTED_VALUE"""),3505.2583)</f>
        <v>3505.2583</v>
      </c>
    </row>
    <row r="469">
      <c r="A469" s="434">
        <f>IFERROR(__xludf.DUMMYFUNCTION("""COMPUTED_VALUE"""),43103.99861111111)</f>
        <v>43103.99861</v>
      </c>
      <c r="B469" s="433">
        <f>IFERROR(__xludf.DUMMYFUNCTION("""COMPUTED_VALUE"""),15082.82)</f>
        <v>15082.82</v>
      </c>
      <c r="C469" s="434">
        <f>IFERROR(__xludf.DUMMYFUNCTION("""COMPUTED_VALUE"""),42690.99861111111)</f>
        <v>42690.99861</v>
      </c>
      <c r="D469" s="433">
        <f>IFERROR(__xludf.DUMMYFUNCTION("""COMPUTED_VALUE"""),10.217)</f>
        <v>10.217</v>
      </c>
      <c r="F469" s="434">
        <f>IFERROR(__xludf.DUMMYFUNCTION("""COMPUTED_VALUE"""),45393.99861111111)</f>
        <v>45393.99861</v>
      </c>
      <c r="G469" s="433">
        <f>IFERROR(__xludf.DUMMYFUNCTION("""COMPUTED_VALUE"""),70029.4)</f>
        <v>70029.4</v>
      </c>
      <c r="H469" s="434">
        <f>IFERROR(__xludf.DUMMYFUNCTION("""COMPUTED_VALUE"""),45393.99861111111)</f>
        <v>45393.99861</v>
      </c>
      <c r="I469" s="433">
        <f>IFERROR(__xludf.DUMMYFUNCTION("""COMPUTED_VALUE"""),3545.3481)</f>
        <v>3545.3481</v>
      </c>
    </row>
    <row r="470">
      <c r="A470" s="434">
        <f>IFERROR(__xludf.DUMMYFUNCTION("""COMPUTED_VALUE"""),43104.99861111111)</f>
        <v>43104.99861</v>
      </c>
      <c r="B470" s="433">
        <f>IFERROR(__xludf.DUMMYFUNCTION("""COMPUTED_VALUE"""),14922.65)</f>
        <v>14922.65</v>
      </c>
      <c r="C470" s="434">
        <f>IFERROR(__xludf.DUMMYFUNCTION("""COMPUTED_VALUE"""),42691.99861111111)</f>
        <v>42691.99861</v>
      </c>
      <c r="D470" s="433">
        <f>IFERROR(__xludf.DUMMYFUNCTION("""COMPUTED_VALUE"""),10.0596)</f>
        <v>10.0596</v>
      </c>
      <c r="F470" s="434">
        <f>IFERROR(__xludf.DUMMYFUNCTION("""COMPUTED_VALUE"""),45394.99861111111)</f>
        <v>45394.99861</v>
      </c>
      <c r="G470" s="433">
        <f>IFERROR(__xludf.DUMMYFUNCTION("""COMPUTED_VALUE"""),67094.69)</f>
        <v>67094.69</v>
      </c>
      <c r="H470" s="434">
        <f>IFERROR(__xludf.DUMMYFUNCTION("""COMPUTED_VALUE"""),45394.99861111111)</f>
        <v>45394.99861</v>
      </c>
      <c r="I470" s="433">
        <f>IFERROR(__xludf.DUMMYFUNCTION("""COMPUTED_VALUE"""),3503.8341)</f>
        <v>3503.8341</v>
      </c>
    </row>
    <row r="471">
      <c r="A471" s="434">
        <f>IFERROR(__xludf.DUMMYFUNCTION("""COMPUTED_VALUE"""),43105.99861111111)</f>
        <v>43105.99861</v>
      </c>
      <c r="B471" s="433">
        <f>IFERROR(__xludf.DUMMYFUNCTION("""COMPUTED_VALUE"""),16951.88)</f>
        <v>16951.88</v>
      </c>
      <c r="C471" s="434">
        <f>IFERROR(__xludf.DUMMYFUNCTION("""COMPUTED_VALUE"""),42692.99861111111)</f>
        <v>42692.99861</v>
      </c>
      <c r="D471" s="433">
        <f>IFERROR(__xludf.DUMMYFUNCTION("""COMPUTED_VALUE"""),9.9884)</f>
        <v>9.9884</v>
      </c>
      <c r="F471" s="434">
        <f>IFERROR(__xludf.DUMMYFUNCTION("""COMPUTED_VALUE"""),45395.99861111111)</f>
        <v>45395.99861</v>
      </c>
      <c r="G471" s="433">
        <f>IFERROR(__xludf.DUMMYFUNCTION("""COMPUTED_VALUE"""),64349.1)</f>
        <v>64349.1</v>
      </c>
      <c r="H471" s="434">
        <f>IFERROR(__xludf.DUMMYFUNCTION("""COMPUTED_VALUE"""),45395.99861111111)</f>
        <v>45395.99861</v>
      </c>
      <c r="I471" s="433">
        <f>IFERROR(__xludf.DUMMYFUNCTION("""COMPUTED_VALUE"""),3239.3603)</f>
        <v>3239.3603</v>
      </c>
    </row>
    <row r="472">
      <c r="A472" s="434">
        <f>IFERROR(__xludf.DUMMYFUNCTION("""COMPUTED_VALUE"""),43106.99861111111)</f>
        <v>43106.99861</v>
      </c>
      <c r="B472" s="433">
        <f>IFERROR(__xludf.DUMMYFUNCTION("""COMPUTED_VALUE"""),17003.21)</f>
        <v>17003.21</v>
      </c>
      <c r="C472" s="434">
        <f>IFERROR(__xludf.DUMMYFUNCTION("""COMPUTED_VALUE"""),42693.99861111111)</f>
        <v>42693.99861</v>
      </c>
      <c r="D472" s="433">
        <f>IFERROR(__xludf.DUMMYFUNCTION("""COMPUTED_VALUE"""),9.4828)</f>
        <v>9.4828</v>
      </c>
      <c r="F472" s="434">
        <f>IFERROR(__xludf.DUMMYFUNCTION("""COMPUTED_VALUE"""),45396.99861111111)</f>
        <v>45396.99861</v>
      </c>
      <c r="G472" s="433">
        <f>IFERROR(__xludf.DUMMYFUNCTION("""COMPUTED_VALUE"""),65779.36)</f>
        <v>65779.36</v>
      </c>
      <c r="H472" s="434">
        <f>IFERROR(__xludf.DUMMYFUNCTION("""COMPUTED_VALUE"""),45396.99861111111)</f>
        <v>45396.99861</v>
      </c>
      <c r="I472" s="433">
        <f>IFERROR(__xludf.DUMMYFUNCTION("""COMPUTED_VALUE"""),3012.0561)</f>
        <v>3012.0561</v>
      </c>
    </row>
    <row r="473">
      <c r="A473" s="434">
        <f>IFERROR(__xludf.DUMMYFUNCTION("""COMPUTED_VALUE"""),43107.99861111111)</f>
        <v>43107.99861</v>
      </c>
      <c r="B473" s="433">
        <f>IFERROR(__xludf.DUMMYFUNCTION("""COMPUTED_VALUE"""),16035.62)</f>
        <v>16035.62</v>
      </c>
      <c r="C473" s="434">
        <f>IFERROR(__xludf.DUMMYFUNCTION("""COMPUTED_VALUE"""),42694.99861111111)</f>
        <v>42694.99861</v>
      </c>
      <c r="D473" s="433">
        <f>IFERROR(__xludf.DUMMYFUNCTION("""COMPUTED_VALUE"""),9.6612)</f>
        <v>9.6612</v>
      </c>
      <c r="F473" s="434">
        <f>IFERROR(__xludf.DUMMYFUNCTION("""COMPUTED_VALUE"""),45397.99861111111)</f>
        <v>45397.99861</v>
      </c>
      <c r="G473" s="433">
        <f>IFERROR(__xludf.DUMMYFUNCTION("""COMPUTED_VALUE"""),63431.23)</f>
        <v>63431.23</v>
      </c>
      <c r="H473" s="434">
        <f>IFERROR(__xludf.DUMMYFUNCTION("""COMPUTED_VALUE"""),45397.99861111111)</f>
        <v>45397.99861</v>
      </c>
      <c r="I473" s="433">
        <f>IFERROR(__xludf.DUMMYFUNCTION("""COMPUTED_VALUE"""),3158.9907)</f>
        <v>3158.9907</v>
      </c>
    </row>
    <row r="474">
      <c r="A474" s="434">
        <f>IFERROR(__xludf.DUMMYFUNCTION("""COMPUTED_VALUE"""),43108.99861111111)</f>
        <v>43108.99861</v>
      </c>
      <c r="B474" s="433">
        <f>IFERROR(__xludf.DUMMYFUNCTION("""COMPUTED_VALUE"""),14918.6)</f>
        <v>14918.6</v>
      </c>
      <c r="C474" s="434">
        <f>IFERROR(__xludf.DUMMYFUNCTION("""COMPUTED_VALUE"""),42695.99861111111)</f>
        <v>42695.99861</v>
      </c>
      <c r="D474" s="433">
        <f>IFERROR(__xludf.DUMMYFUNCTION("""COMPUTED_VALUE"""),9.5802)</f>
        <v>9.5802</v>
      </c>
      <c r="F474" s="434">
        <f>IFERROR(__xludf.DUMMYFUNCTION("""COMPUTED_VALUE"""),45398.99861111111)</f>
        <v>45398.99861</v>
      </c>
      <c r="G474" s="433">
        <f>IFERROR(__xludf.DUMMYFUNCTION("""COMPUTED_VALUE"""),63780.76)</f>
        <v>63780.76</v>
      </c>
      <c r="H474" s="434">
        <f>IFERROR(__xludf.DUMMYFUNCTION("""COMPUTED_VALUE"""),45398.99861111111)</f>
        <v>45398.99861</v>
      </c>
      <c r="I474" s="433">
        <f>IFERROR(__xludf.DUMMYFUNCTION("""COMPUTED_VALUE"""),3102.1527)</f>
        <v>3102.1527</v>
      </c>
    </row>
    <row r="475">
      <c r="A475" s="434">
        <f>IFERROR(__xludf.DUMMYFUNCTION("""COMPUTED_VALUE"""),43109.99861111111)</f>
        <v>43109.99861</v>
      </c>
      <c r="B475" s="433">
        <f>IFERROR(__xludf.DUMMYFUNCTION("""COMPUTED_VALUE"""),14542.96)</f>
        <v>14542.96</v>
      </c>
      <c r="C475" s="434">
        <f>IFERROR(__xludf.DUMMYFUNCTION("""COMPUTED_VALUE"""),42696.99861111111)</f>
        <v>42696.99861</v>
      </c>
      <c r="D475" s="433">
        <f>IFERROR(__xludf.DUMMYFUNCTION("""COMPUTED_VALUE"""),9.6258)</f>
        <v>9.6258</v>
      </c>
      <c r="F475" s="434">
        <f>IFERROR(__xludf.DUMMYFUNCTION("""COMPUTED_VALUE"""),45399.99861111111)</f>
        <v>45399.99861</v>
      </c>
      <c r="G475" s="433">
        <f>IFERROR(__xludf.DUMMYFUNCTION("""COMPUTED_VALUE"""),61321.64)</f>
        <v>61321.64</v>
      </c>
      <c r="H475" s="434">
        <f>IFERROR(__xludf.DUMMYFUNCTION("""COMPUTED_VALUE"""),45399.99861111111)</f>
        <v>45399.99861</v>
      </c>
      <c r="I475" s="433">
        <f>IFERROR(__xludf.DUMMYFUNCTION("""COMPUTED_VALUE"""),3085.4712)</f>
        <v>3085.4712</v>
      </c>
    </row>
    <row r="476">
      <c r="A476" s="434">
        <f>IFERROR(__xludf.DUMMYFUNCTION("""COMPUTED_VALUE"""),43110.99861111111)</f>
        <v>43110.99861</v>
      </c>
      <c r="B476" s="433">
        <f>IFERROR(__xludf.DUMMYFUNCTION("""COMPUTED_VALUE"""),14493.9)</f>
        <v>14493.9</v>
      </c>
      <c r="C476" s="434">
        <f>IFERROR(__xludf.DUMMYFUNCTION("""COMPUTED_VALUE"""),42697.99861111111)</f>
        <v>42697.99861</v>
      </c>
      <c r="D476" s="433">
        <f>IFERROR(__xludf.DUMMYFUNCTION("""COMPUTED_VALUE"""),9.9198)</f>
        <v>9.9198</v>
      </c>
      <c r="F476" s="434">
        <f>IFERROR(__xludf.DUMMYFUNCTION("""COMPUTED_VALUE"""),45400.99861111111)</f>
        <v>45400.99861</v>
      </c>
      <c r="G476" s="433">
        <f>IFERROR(__xludf.DUMMYFUNCTION("""COMPUTED_VALUE"""),63509.67)</f>
        <v>63509.67</v>
      </c>
      <c r="H476" s="434">
        <f>IFERROR(__xludf.DUMMYFUNCTION("""COMPUTED_VALUE"""),45400.99861111111)</f>
        <v>45400.99861</v>
      </c>
      <c r="I476" s="433">
        <f>IFERROR(__xludf.DUMMYFUNCTION("""COMPUTED_VALUE"""),2985.4325)</f>
        <v>2985.4325</v>
      </c>
    </row>
    <row r="477">
      <c r="A477" s="434">
        <f>IFERROR(__xludf.DUMMYFUNCTION("""COMPUTED_VALUE"""),43111.99861111111)</f>
        <v>43111.99861</v>
      </c>
      <c r="B477" s="433">
        <f>IFERROR(__xludf.DUMMYFUNCTION("""COMPUTED_VALUE"""),13472.77)</f>
        <v>13472.77</v>
      </c>
      <c r="C477" s="434">
        <f>IFERROR(__xludf.DUMMYFUNCTION("""COMPUTED_VALUE"""),42698.99861111111)</f>
        <v>42698.99861</v>
      </c>
      <c r="D477" s="433">
        <f>IFERROR(__xludf.DUMMYFUNCTION("""COMPUTED_VALUE"""),9.846)</f>
        <v>9.846</v>
      </c>
      <c r="F477" s="434">
        <f>IFERROR(__xludf.DUMMYFUNCTION("""COMPUTED_VALUE"""),45401.99861111111)</f>
        <v>45401.99861</v>
      </c>
      <c r="G477" s="433">
        <f>IFERROR(__xludf.DUMMYFUNCTION("""COMPUTED_VALUE"""),63803.57)</f>
        <v>63803.57</v>
      </c>
      <c r="H477" s="434">
        <f>IFERROR(__xludf.DUMMYFUNCTION("""COMPUTED_VALUE"""),45401.99861111111)</f>
        <v>45401.99861</v>
      </c>
      <c r="I477" s="433">
        <f>IFERROR(__xludf.DUMMYFUNCTION("""COMPUTED_VALUE"""),3066.0287)</f>
        <v>3066.0287</v>
      </c>
    </row>
    <row r="478">
      <c r="A478" s="434">
        <f>IFERROR(__xludf.DUMMYFUNCTION("""COMPUTED_VALUE"""),43112.99861111111)</f>
        <v>43112.99861</v>
      </c>
      <c r="B478" s="433">
        <f>IFERROR(__xludf.DUMMYFUNCTION("""COMPUTED_VALUE"""),13723.09)</f>
        <v>13723.09</v>
      </c>
      <c r="C478" s="434">
        <f>IFERROR(__xludf.DUMMYFUNCTION("""COMPUTED_VALUE"""),42699.99861111111)</f>
        <v>42699.99861</v>
      </c>
      <c r="D478" s="433">
        <f>IFERROR(__xludf.DUMMYFUNCTION("""COMPUTED_VALUE"""),9.2285)</f>
        <v>9.2285</v>
      </c>
      <c r="F478" s="434">
        <f>IFERROR(__xludf.DUMMYFUNCTION("""COMPUTED_VALUE"""),45402.99861111111)</f>
        <v>45402.99861</v>
      </c>
      <c r="G478" s="433">
        <f>IFERROR(__xludf.DUMMYFUNCTION("""COMPUTED_VALUE"""),64958.39)</f>
        <v>64958.39</v>
      </c>
      <c r="H478" s="434">
        <f>IFERROR(__xludf.DUMMYFUNCTION("""COMPUTED_VALUE"""),45402.99861111111)</f>
        <v>45402.99861</v>
      </c>
      <c r="I478" s="433">
        <f>IFERROR(__xludf.DUMMYFUNCTION("""COMPUTED_VALUE"""),3058.7674)</f>
        <v>3058.7674</v>
      </c>
    </row>
    <row r="479">
      <c r="A479" s="434">
        <f>IFERROR(__xludf.DUMMYFUNCTION("""COMPUTED_VALUE"""),43113.99861111111)</f>
        <v>43113.99861</v>
      </c>
      <c r="B479" s="433">
        <f>IFERROR(__xludf.DUMMYFUNCTION("""COMPUTED_VALUE"""),14264.42)</f>
        <v>14264.42</v>
      </c>
      <c r="C479" s="434">
        <f>IFERROR(__xludf.DUMMYFUNCTION("""COMPUTED_VALUE"""),42700.99861111111)</f>
        <v>42700.99861</v>
      </c>
      <c r="D479" s="433">
        <f>IFERROR(__xludf.DUMMYFUNCTION("""COMPUTED_VALUE"""),9.4164)</f>
        <v>9.4164</v>
      </c>
      <c r="F479" s="434">
        <f>IFERROR(__xludf.DUMMYFUNCTION("""COMPUTED_VALUE"""),45403.99861111111)</f>
        <v>45403.99861</v>
      </c>
      <c r="G479" s="433">
        <f>IFERROR(__xludf.DUMMYFUNCTION("""COMPUTED_VALUE"""),64946.52)</f>
        <v>64946.52</v>
      </c>
      <c r="H479" s="434">
        <f>IFERROR(__xludf.DUMMYFUNCTION("""COMPUTED_VALUE"""),45403.99861111111)</f>
        <v>45403.99861</v>
      </c>
      <c r="I479" s="433">
        <f>IFERROR(__xludf.DUMMYFUNCTION("""COMPUTED_VALUE"""),3157.4529)</f>
        <v>3157.4529</v>
      </c>
    </row>
    <row r="480">
      <c r="A480" s="434">
        <f>IFERROR(__xludf.DUMMYFUNCTION("""COMPUTED_VALUE"""),43114.99861111111)</f>
        <v>43114.99861</v>
      </c>
      <c r="B480" s="433">
        <f>IFERROR(__xludf.DUMMYFUNCTION("""COMPUTED_VALUE"""),13719.8)</f>
        <v>13719.8</v>
      </c>
      <c r="C480" s="434">
        <f>IFERROR(__xludf.DUMMYFUNCTION("""COMPUTED_VALUE"""),42701.99861111111)</f>
        <v>42701.99861</v>
      </c>
      <c r="D480" s="433">
        <f>IFERROR(__xludf.DUMMYFUNCTION("""COMPUTED_VALUE"""),9.312)</f>
        <v>9.312</v>
      </c>
      <c r="F480" s="434">
        <f>IFERROR(__xludf.DUMMYFUNCTION("""COMPUTED_VALUE"""),45404.99861111111)</f>
        <v>45404.99861</v>
      </c>
      <c r="G480" s="433">
        <f>IFERROR(__xludf.DUMMYFUNCTION("""COMPUTED_VALUE"""),66840.57)</f>
        <v>66840.57</v>
      </c>
      <c r="H480" s="434">
        <f>IFERROR(__xludf.DUMMYFUNCTION("""COMPUTED_VALUE"""),45404.99861111111)</f>
        <v>45404.99861</v>
      </c>
      <c r="I480" s="433">
        <f>IFERROR(__xludf.DUMMYFUNCTION("""COMPUTED_VALUE"""),3148.1222)</f>
        <v>3148.1222</v>
      </c>
    </row>
    <row r="481">
      <c r="A481" s="434">
        <f>IFERROR(__xludf.DUMMYFUNCTION("""COMPUTED_VALUE"""),43115.99861111111)</f>
        <v>43115.99861</v>
      </c>
      <c r="B481" s="433">
        <f>IFERROR(__xludf.DUMMYFUNCTION("""COMPUTED_VALUE"""),13907.34)</f>
        <v>13907.34</v>
      </c>
      <c r="C481" s="434">
        <f>IFERROR(__xludf.DUMMYFUNCTION("""COMPUTED_VALUE"""),42702.99861111111)</f>
        <v>42702.99861</v>
      </c>
      <c r="D481" s="433">
        <f>IFERROR(__xludf.DUMMYFUNCTION("""COMPUTED_VALUE"""),8.9984)</f>
        <v>8.9984</v>
      </c>
      <c r="F481" s="434">
        <f>IFERROR(__xludf.DUMMYFUNCTION("""COMPUTED_VALUE"""),45405.99861111111)</f>
        <v>45405.99861</v>
      </c>
      <c r="G481" s="433">
        <f>IFERROR(__xludf.DUMMYFUNCTION("""COMPUTED_VALUE"""),66402.03)</f>
        <v>66402.03</v>
      </c>
      <c r="H481" s="434">
        <f>IFERROR(__xludf.DUMMYFUNCTION("""COMPUTED_VALUE"""),45405.99861111111)</f>
        <v>45405.99861</v>
      </c>
      <c r="I481" s="433">
        <f>IFERROR(__xludf.DUMMYFUNCTION("""COMPUTED_VALUE"""),3201.6548)</f>
        <v>3201.6548</v>
      </c>
    </row>
    <row r="482">
      <c r="A482" s="434">
        <f>IFERROR(__xludf.DUMMYFUNCTION("""COMPUTED_VALUE"""),43116.99861111111)</f>
        <v>43116.99861</v>
      </c>
      <c r="B482" s="433">
        <f>IFERROR(__xludf.DUMMYFUNCTION("""COMPUTED_VALUE"""),10635.83)</f>
        <v>10635.83</v>
      </c>
      <c r="C482" s="434">
        <f>IFERROR(__xludf.DUMMYFUNCTION("""COMPUTED_VALUE"""),42703.99861111111)</f>
        <v>42703.99861</v>
      </c>
      <c r="D482" s="433">
        <f>IFERROR(__xludf.DUMMYFUNCTION("""COMPUTED_VALUE"""),8.7287)</f>
        <v>8.7287</v>
      </c>
      <c r="F482" s="434">
        <f>IFERROR(__xludf.DUMMYFUNCTION("""COMPUTED_VALUE"""),45406.99861111111)</f>
        <v>45406.99861</v>
      </c>
      <c r="G482" s="433">
        <f>IFERROR(__xludf.DUMMYFUNCTION("""COMPUTED_VALUE"""),64270.73)</f>
        <v>64270.73</v>
      </c>
      <c r="H482" s="434">
        <f>IFERROR(__xludf.DUMMYFUNCTION("""COMPUTED_VALUE"""),45406.99861111111)</f>
        <v>45406.99861</v>
      </c>
      <c r="I482" s="433">
        <f>IFERROR(__xludf.DUMMYFUNCTION("""COMPUTED_VALUE"""),3219.7123)</f>
        <v>3219.7123</v>
      </c>
    </row>
    <row r="483">
      <c r="A483" s="434">
        <f>IFERROR(__xludf.DUMMYFUNCTION("""COMPUTED_VALUE"""),43117.99861111111)</f>
        <v>43117.99861</v>
      </c>
      <c r="B483" s="433">
        <f>IFERROR(__xludf.DUMMYFUNCTION("""COMPUTED_VALUE"""),11361.94)</f>
        <v>11361.94</v>
      </c>
      <c r="C483" s="434">
        <f>IFERROR(__xludf.DUMMYFUNCTION("""COMPUTED_VALUE"""),42704.99861111111)</f>
        <v>42704.99861</v>
      </c>
      <c r="D483" s="433">
        <f>IFERROR(__xludf.DUMMYFUNCTION("""COMPUTED_VALUE"""),8.1555)</f>
        <v>8.1555</v>
      </c>
      <c r="F483" s="434">
        <f>IFERROR(__xludf.DUMMYFUNCTION("""COMPUTED_VALUE"""),45407.99861111111)</f>
        <v>45407.99861</v>
      </c>
      <c r="G483" s="433">
        <f>IFERROR(__xludf.DUMMYFUNCTION("""COMPUTED_VALUE"""),64506.1)</f>
        <v>64506.1</v>
      </c>
      <c r="H483" s="434">
        <f>IFERROR(__xludf.DUMMYFUNCTION("""COMPUTED_VALUE"""),45407.99861111111)</f>
        <v>45407.99861</v>
      </c>
      <c r="I483" s="433">
        <f>IFERROR(__xludf.DUMMYFUNCTION("""COMPUTED_VALUE"""),3139.6273)</f>
        <v>3139.6273</v>
      </c>
    </row>
    <row r="484">
      <c r="A484" s="434">
        <f>IFERROR(__xludf.DUMMYFUNCTION("""COMPUTED_VALUE"""),43118.99861111111)</f>
        <v>43118.99861</v>
      </c>
      <c r="B484" s="433">
        <f>IFERROR(__xludf.DUMMYFUNCTION("""COMPUTED_VALUE"""),11503.82)</f>
        <v>11503.82</v>
      </c>
      <c r="C484" s="434">
        <f>IFERROR(__xludf.DUMMYFUNCTION("""COMPUTED_VALUE"""),42705.99861111111)</f>
        <v>42705.99861</v>
      </c>
      <c r="D484" s="433">
        <f>IFERROR(__xludf.DUMMYFUNCTION("""COMPUTED_VALUE"""),8.6016)</f>
        <v>8.6016</v>
      </c>
      <c r="F484" s="434">
        <f>IFERROR(__xludf.DUMMYFUNCTION("""COMPUTED_VALUE"""),45408.99861111111)</f>
        <v>45408.99861</v>
      </c>
      <c r="G484" s="433">
        <f>IFERROR(__xludf.DUMMYFUNCTION("""COMPUTED_VALUE"""),63782.04)</f>
        <v>63782.04</v>
      </c>
      <c r="H484" s="434">
        <f>IFERROR(__xludf.DUMMYFUNCTION("""COMPUTED_VALUE"""),45408.99861111111)</f>
        <v>45408.99861</v>
      </c>
      <c r="I484" s="433">
        <f>IFERROR(__xludf.DUMMYFUNCTION("""COMPUTED_VALUE"""),3155.9337)</f>
        <v>3155.9337</v>
      </c>
    </row>
    <row r="485">
      <c r="A485" s="434">
        <f>IFERROR(__xludf.DUMMYFUNCTION("""COMPUTED_VALUE"""),43119.99861111111)</f>
        <v>43119.99861</v>
      </c>
      <c r="B485" s="433">
        <f>IFERROR(__xludf.DUMMYFUNCTION("""COMPUTED_VALUE"""),11326.22)</f>
        <v>11326.22</v>
      </c>
      <c r="C485" s="434">
        <f>IFERROR(__xludf.DUMMYFUNCTION("""COMPUTED_VALUE"""),42706.99861111111)</f>
        <v>42706.99861</v>
      </c>
      <c r="D485" s="433">
        <f>IFERROR(__xludf.DUMMYFUNCTION("""COMPUTED_VALUE"""),8.4525)</f>
        <v>8.4525</v>
      </c>
      <c r="F485" s="434">
        <f>IFERROR(__xludf.DUMMYFUNCTION("""COMPUTED_VALUE"""),45409.99861111111)</f>
        <v>45409.99861</v>
      </c>
      <c r="G485" s="433">
        <f>IFERROR(__xludf.DUMMYFUNCTION("""COMPUTED_VALUE"""),63452.65)</f>
        <v>63452.65</v>
      </c>
      <c r="H485" s="434">
        <f>IFERROR(__xludf.DUMMYFUNCTION("""COMPUTED_VALUE"""),45409.99861111111)</f>
        <v>45409.99861</v>
      </c>
      <c r="I485" s="433">
        <f>IFERROR(__xludf.DUMMYFUNCTION("""COMPUTED_VALUE"""),3129.9816)</f>
        <v>3129.9816</v>
      </c>
    </row>
    <row r="486">
      <c r="A486" s="434">
        <f>IFERROR(__xludf.DUMMYFUNCTION("""COMPUTED_VALUE"""),43120.99861111111)</f>
        <v>43120.99861</v>
      </c>
      <c r="B486" s="433">
        <f>IFERROR(__xludf.DUMMYFUNCTION("""COMPUTED_VALUE"""),12359.81)</f>
        <v>12359.81</v>
      </c>
      <c r="C486" s="434">
        <f>IFERROR(__xludf.DUMMYFUNCTION("""COMPUTED_VALUE"""),42707.99861111111)</f>
        <v>42707.99861</v>
      </c>
      <c r="D486" s="433">
        <f>IFERROR(__xludf.DUMMYFUNCTION("""COMPUTED_VALUE"""),7.7663)</f>
        <v>7.7663</v>
      </c>
      <c r="F486" s="434">
        <f>IFERROR(__xludf.DUMMYFUNCTION("""COMPUTED_VALUE"""),45410.99861111111)</f>
        <v>45410.99861</v>
      </c>
      <c r="G486" s="433">
        <f>IFERROR(__xludf.DUMMYFUNCTION("""COMPUTED_VALUE"""),62987.93)</f>
        <v>62987.93</v>
      </c>
      <c r="H486" s="434">
        <f>IFERROR(__xludf.DUMMYFUNCTION("""COMPUTED_VALUE"""),45410.99861111111)</f>
        <v>45410.99861</v>
      </c>
      <c r="I486" s="433">
        <f>IFERROR(__xludf.DUMMYFUNCTION("""COMPUTED_VALUE"""),3252.9324)</f>
        <v>3252.9324</v>
      </c>
    </row>
    <row r="487">
      <c r="A487" s="434">
        <f>IFERROR(__xludf.DUMMYFUNCTION("""COMPUTED_VALUE"""),43121.99861111111)</f>
        <v>43121.99861</v>
      </c>
      <c r="B487" s="433">
        <f>IFERROR(__xludf.DUMMYFUNCTION("""COMPUTED_VALUE"""),11701.95)</f>
        <v>11701.95</v>
      </c>
      <c r="C487" s="434">
        <f>IFERROR(__xludf.DUMMYFUNCTION("""COMPUTED_VALUE"""),42708.99861111111)</f>
        <v>42708.99861</v>
      </c>
      <c r="D487" s="433">
        <f>IFERROR(__xludf.DUMMYFUNCTION("""COMPUTED_VALUE"""),7.9034)</f>
        <v>7.9034</v>
      </c>
      <c r="F487" s="434">
        <f>IFERROR(__xludf.DUMMYFUNCTION("""COMPUTED_VALUE"""),45411.99861111111)</f>
        <v>45411.99861</v>
      </c>
      <c r="G487" s="433">
        <f>IFERROR(__xludf.DUMMYFUNCTION("""COMPUTED_VALUE"""),63869.59)</f>
        <v>63869.59</v>
      </c>
      <c r="H487" s="434">
        <f>IFERROR(__xludf.DUMMYFUNCTION("""COMPUTED_VALUE"""),45411.99861111111)</f>
        <v>45411.99861</v>
      </c>
      <c r="I487" s="433">
        <f>IFERROR(__xludf.DUMMYFUNCTION("""COMPUTED_VALUE"""),3262.4635)</f>
        <v>3262.4635</v>
      </c>
    </row>
    <row r="488">
      <c r="A488" s="434">
        <f>IFERROR(__xludf.DUMMYFUNCTION("""COMPUTED_VALUE"""),43122.99861111111)</f>
        <v>43122.99861</v>
      </c>
      <c r="B488" s="433">
        <f>IFERROR(__xludf.DUMMYFUNCTION("""COMPUTED_VALUE"""),10337.14)</f>
        <v>10337.14</v>
      </c>
      <c r="C488" s="434">
        <f>IFERROR(__xludf.DUMMYFUNCTION("""COMPUTED_VALUE"""),42709.99861111111)</f>
        <v>42709.99861</v>
      </c>
      <c r="D488" s="433">
        <f>IFERROR(__xludf.DUMMYFUNCTION("""COMPUTED_VALUE"""),7.4106)</f>
        <v>7.4106</v>
      </c>
      <c r="F488" s="434">
        <f>IFERROR(__xludf.DUMMYFUNCTION("""COMPUTED_VALUE"""),45412.99861111111)</f>
        <v>45412.99861</v>
      </c>
      <c r="G488" s="433">
        <f>IFERROR(__xludf.DUMMYFUNCTION("""COMPUTED_VALUE"""),60751.65)</f>
        <v>60751.65</v>
      </c>
      <c r="H488" s="434">
        <f>IFERROR(__xludf.DUMMYFUNCTION("""COMPUTED_VALUE"""),45412.99861111111)</f>
        <v>45412.99861</v>
      </c>
      <c r="I488" s="433">
        <f>IFERROR(__xludf.DUMMYFUNCTION("""COMPUTED_VALUE"""),3215.3173)</f>
        <v>3215.3173</v>
      </c>
    </row>
    <row r="489">
      <c r="A489" s="434">
        <f>IFERROR(__xludf.DUMMYFUNCTION("""COMPUTED_VALUE"""),43123.99861111111)</f>
        <v>43123.99861</v>
      </c>
      <c r="B489" s="433">
        <f>IFERROR(__xludf.DUMMYFUNCTION("""COMPUTED_VALUE"""),10996.54)</f>
        <v>10996.54</v>
      </c>
      <c r="C489" s="434">
        <f>IFERROR(__xludf.DUMMYFUNCTION("""COMPUTED_VALUE"""),42710.99861111111)</f>
        <v>42710.99861</v>
      </c>
      <c r="D489" s="433">
        <f>IFERROR(__xludf.DUMMYFUNCTION("""COMPUTED_VALUE"""),6.8046)</f>
        <v>6.8046</v>
      </c>
      <c r="F489" s="434">
        <f>IFERROR(__xludf.DUMMYFUNCTION("""COMPUTED_VALUE"""),45413.99861111111)</f>
        <v>45413.99861</v>
      </c>
      <c r="G489" s="433">
        <f>IFERROR(__xludf.DUMMYFUNCTION("""COMPUTED_VALUE"""),58311.26)</f>
        <v>58311.26</v>
      </c>
      <c r="H489" s="434">
        <f>IFERROR(__xludf.DUMMYFUNCTION("""COMPUTED_VALUE"""),45413.99861111111)</f>
        <v>45413.99861</v>
      </c>
      <c r="I489" s="433">
        <f>IFERROR(__xludf.DUMMYFUNCTION("""COMPUTED_VALUE"""),3011.2922)</f>
        <v>3011.2922</v>
      </c>
    </row>
    <row r="490">
      <c r="A490" s="434">
        <f>IFERROR(__xludf.DUMMYFUNCTION("""COMPUTED_VALUE"""),43124.99861111111)</f>
        <v>43124.99861</v>
      </c>
      <c r="B490" s="433">
        <f>IFERROR(__xludf.DUMMYFUNCTION("""COMPUTED_VALUE"""),11219.58)</f>
        <v>11219.58</v>
      </c>
      <c r="C490" s="434">
        <f>IFERROR(__xludf.DUMMYFUNCTION("""COMPUTED_VALUE"""),42711.99861111111)</f>
        <v>42711.99861</v>
      </c>
      <c r="D490" s="433">
        <f>IFERROR(__xludf.DUMMYFUNCTION("""COMPUTED_VALUE"""),7.8948)</f>
        <v>7.8948</v>
      </c>
      <c r="F490" s="434">
        <f>IFERROR(__xludf.DUMMYFUNCTION("""COMPUTED_VALUE"""),45414.99861111111)</f>
        <v>45414.99861</v>
      </c>
      <c r="G490" s="433">
        <f>IFERROR(__xludf.DUMMYFUNCTION("""COMPUTED_VALUE"""),59146.74)</f>
        <v>59146.74</v>
      </c>
      <c r="H490" s="434">
        <f>IFERROR(__xludf.DUMMYFUNCTION("""COMPUTED_VALUE"""),45414.99861111111)</f>
        <v>45414.99861</v>
      </c>
      <c r="I490" s="433">
        <f>IFERROR(__xludf.DUMMYFUNCTION("""COMPUTED_VALUE"""),2968.9366)</f>
        <v>2968.9366</v>
      </c>
    </row>
    <row r="491">
      <c r="A491" s="434">
        <f>IFERROR(__xludf.DUMMYFUNCTION("""COMPUTED_VALUE"""),43125.99861111111)</f>
        <v>43125.99861</v>
      </c>
      <c r="B491" s="433">
        <f>IFERROR(__xludf.DUMMYFUNCTION("""COMPUTED_VALUE"""),11249.85)</f>
        <v>11249.85</v>
      </c>
      <c r="C491" s="434">
        <f>IFERROR(__xludf.DUMMYFUNCTION("""COMPUTED_VALUE"""),42712.99861111111)</f>
        <v>42712.99861</v>
      </c>
      <c r="D491" s="433">
        <f>IFERROR(__xludf.DUMMYFUNCTION("""COMPUTED_VALUE"""),8.3835)</f>
        <v>8.3835</v>
      </c>
      <c r="F491" s="434">
        <f>IFERROR(__xludf.DUMMYFUNCTION("""COMPUTED_VALUE"""),45415.99861111111)</f>
        <v>45415.99861</v>
      </c>
      <c r="G491" s="433">
        <f>IFERROR(__xludf.DUMMYFUNCTION("""COMPUTED_VALUE"""),62914.16)</f>
        <v>62914.16</v>
      </c>
      <c r="H491" s="434">
        <f>IFERROR(__xludf.DUMMYFUNCTION("""COMPUTED_VALUE"""),45415.99861111111)</f>
        <v>45415.99861</v>
      </c>
      <c r="I491" s="433">
        <f>IFERROR(__xludf.DUMMYFUNCTION("""COMPUTED_VALUE"""),2987.1464)</f>
        <v>2987.1464</v>
      </c>
    </row>
    <row r="492">
      <c r="A492" s="434">
        <f>IFERROR(__xludf.DUMMYFUNCTION("""COMPUTED_VALUE"""),43126.99861111111)</f>
        <v>43126.99861</v>
      </c>
      <c r="B492" s="433">
        <f>IFERROR(__xludf.DUMMYFUNCTION("""COMPUTED_VALUE"""),10880.7)</f>
        <v>10880.7</v>
      </c>
      <c r="C492" s="434">
        <f>IFERROR(__xludf.DUMMYFUNCTION("""COMPUTED_VALUE"""),42713.99861111111)</f>
        <v>42713.99861</v>
      </c>
      <c r="D492" s="433">
        <f>IFERROR(__xludf.DUMMYFUNCTION("""COMPUTED_VALUE"""),8.1681)</f>
        <v>8.1681</v>
      </c>
      <c r="F492" s="434">
        <f>IFERROR(__xludf.DUMMYFUNCTION("""COMPUTED_VALUE"""),45416.99861111111)</f>
        <v>45416.99861</v>
      </c>
      <c r="G492" s="433">
        <f>IFERROR(__xludf.DUMMYFUNCTION("""COMPUTED_VALUE"""),63866.37)</f>
        <v>63866.37</v>
      </c>
      <c r="H492" s="434">
        <f>IFERROR(__xludf.DUMMYFUNCTION("""COMPUTED_VALUE"""),45416.99861111111)</f>
        <v>45416.99861</v>
      </c>
      <c r="I492" s="433">
        <f>IFERROR(__xludf.DUMMYFUNCTION("""COMPUTED_VALUE"""),3104.5155)</f>
        <v>3104.5155</v>
      </c>
    </row>
    <row r="493">
      <c r="A493" s="434">
        <f>IFERROR(__xludf.DUMMYFUNCTION("""COMPUTED_VALUE"""),43127.99861111111)</f>
        <v>43127.99861</v>
      </c>
      <c r="B493" s="433">
        <f>IFERROR(__xludf.DUMMYFUNCTION("""COMPUTED_VALUE"""),11470.12)</f>
        <v>11470.12</v>
      </c>
      <c r="C493" s="434">
        <f>IFERROR(__xludf.DUMMYFUNCTION("""COMPUTED_VALUE"""),42714.99861111111)</f>
        <v>42714.99861</v>
      </c>
      <c r="D493" s="433">
        <f>IFERROR(__xludf.DUMMYFUNCTION("""COMPUTED_VALUE"""),8.4384)</f>
        <v>8.4384</v>
      </c>
      <c r="F493" s="434">
        <f>IFERROR(__xludf.DUMMYFUNCTION("""COMPUTED_VALUE"""),45417.99861111111)</f>
        <v>45417.99861</v>
      </c>
      <c r="G493" s="433">
        <f>IFERROR(__xludf.DUMMYFUNCTION("""COMPUTED_VALUE"""),63928.8)</f>
        <v>63928.8</v>
      </c>
      <c r="H493" s="434">
        <f>IFERROR(__xludf.DUMMYFUNCTION("""COMPUTED_VALUE"""),45417.99861111111)</f>
        <v>45417.99861</v>
      </c>
      <c r="I493" s="433">
        <f>IFERROR(__xludf.DUMMYFUNCTION("""COMPUTED_VALUE"""),3117.5411)</f>
        <v>3117.5411</v>
      </c>
    </row>
    <row r="494">
      <c r="A494" s="434">
        <f>IFERROR(__xludf.DUMMYFUNCTION("""COMPUTED_VALUE"""),43128.99861111111)</f>
        <v>43128.99861</v>
      </c>
      <c r="B494" s="433">
        <f>IFERROR(__xludf.DUMMYFUNCTION("""COMPUTED_VALUE"""),11755.98)</f>
        <v>11755.98</v>
      </c>
      <c r="C494" s="434">
        <f>IFERROR(__xludf.DUMMYFUNCTION("""COMPUTED_VALUE"""),42715.99861111111)</f>
        <v>42715.99861</v>
      </c>
      <c r="D494" s="433">
        <f>IFERROR(__xludf.DUMMYFUNCTION("""COMPUTED_VALUE"""),8.1264)</f>
        <v>8.1264</v>
      </c>
      <c r="F494" s="434">
        <f>IFERROR(__xludf.DUMMYFUNCTION("""COMPUTED_VALUE"""),45418.99861111111)</f>
        <v>45418.99861</v>
      </c>
      <c r="G494" s="433">
        <f>IFERROR(__xludf.DUMMYFUNCTION("""COMPUTED_VALUE"""),63193.37)</f>
        <v>63193.37</v>
      </c>
      <c r="H494" s="434">
        <f>IFERROR(__xludf.DUMMYFUNCTION("""COMPUTED_VALUE"""),45418.99861111111)</f>
        <v>45418.99861</v>
      </c>
      <c r="I494" s="433">
        <f>IFERROR(__xludf.DUMMYFUNCTION("""COMPUTED_VALUE"""),3137.3617)</f>
        <v>3137.3617</v>
      </c>
    </row>
    <row r="495">
      <c r="A495" s="434">
        <f>IFERROR(__xludf.DUMMYFUNCTION("""COMPUTED_VALUE"""),43129.99861111111)</f>
        <v>43129.99861</v>
      </c>
      <c r="B495" s="433">
        <f>IFERROR(__xludf.DUMMYFUNCTION("""COMPUTED_VALUE"""),11261.01)</f>
        <v>11261.01</v>
      </c>
      <c r="C495" s="434">
        <f>IFERROR(__xludf.DUMMYFUNCTION("""COMPUTED_VALUE"""),42716.99861111111)</f>
        <v>42716.99861</v>
      </c>
      <c r="D495" s="433">
        <f>IFERROR(__xludf.DUMMYFUNCTION("""COMPUTED_VALUE"""),8.1924)</f>
        <v>8.1924</v>
      </c>
      <c r="F495" s="434">
        <f>IFERROR(__xludf.DUMMYFUNCTION("""COMPUTED_VALUE"""),45419.99861111111)</f>
        <v>45419.99861</v>
      </c>
      <c r="G495" s="433">
        <f>IFERROR(__xludf.DUMMYFUNCTION("""COMPUTED_VALUE"""),62382.92)</f>
        <v>62382.92</v>
      </c>
      <c r="H495" s="434">
        <f>IFERROR(__xludf.DUMMYFUNCTION("""COMPUTED_VALUE"""),45419.99861111111)</f>
        <v>45419.99861</v>
      </c>
      <c r="I495" s="433">
        <f>IFERROR(__xludf.DUMMYFUNCTION("""COMPUTED_VALUE"""),3062.584)</f>
        <v>3062.584</v>
      </c>
    </row>
    <row r="496">
      <c r="A496" s="434">
        <f>IFERROR(__xludf.DUMMYFUNCTION("""COMPUTED_VALUE"""),43130.99861111111)</f>
        <v>43130.99861</v>
      </c>
      <c r="B496" s="433">
        <f>IFERROR(__xludf.DUMMYFUNCTION("""COMPUTED_VALUE"""),10161.86)</f>
        <v>10161.86</v>
      </c>
      <c r="C496" s="434">
        <f>IFERROR(__xludf.DUMMYFUNCTION("""COMPUTED_VALUE"""),42717.99861111111)</f>
        <v>42717.99861</v>
      </c>
      <c r="D496" s="433">
        <f>IFERROR(__xludf.DUMMYFUNCTION("""COMPUTED_VALUE"""),8.5204)</f>
        <v>8.5204</v>
      </c>
      <c r="F496" s="434">
        <f>IFERROR(__xludf.DUMMYFUNCTION("""COMPUTED_VALUE"""),45420.99861111111)</f>
        <v>45420.99861</v>
      </c>
      <c r="G496" s="433">
        <f>IFERROR(__xludf.DUMMYFUNCTION("""COMPUTED_VALUE"""),61105.57)</f>
        <v>61105.57</v>
      </c>
      <c r="H496" s="434">
        <f>IFERROR(__xludf.DUMMYFUNCTION("""COMPUTED_VALUE"""),45420.99861111111)</f>
        <v>45420.99861</v>
      </c>
      <c r="I496" s="433">
        <f>IFERROR(__xludf.DUMMYFUNCTION("""COMPUTED_VALUE"""),3005.8389)</f>
        <v>3005.8389</v>
      </c>
    </row>
    <row r="497">
      <c r="A497" s="434">
        <f>IFERROR(__xludf.DUMMYFUNCTION("""COMPUTED_VALUE"""),43131.99861111111)</f>
        <v>43131.99861</v>
      </c>
      <c r="B497" s="433">
        <f>IFERROR(__xludf.DUMMYFUNCTION("""COMPUTED_VALUE"""),10022.51)</f>
        <v>10022.51</v>
      </c>
      <c r="C497" s="434">
        <f>IFERROR(__xludf.DUMMYFUNCTION("""COMPUTED_VALUE"""),42718.99861111111)</f>
        <v>42718.99861</v>
      </c>
      <c r="D497" s="433">
        <f>IFERROR(__xludf.DUMMYFUNCTION("""COMPUTED_VALUE"""),8.4515)</f>
        <v>8.4515</v>
      </c>
      <c r="F497" s="434">
        <f>IFERROR(__xludf.DUMMYFUNCTION("""COMPUTED_VALUE"""),45421.99861111111)</f>
        <v>45421.99861</v>
      </c>
      <c r="G497" s="433">
        <f>IFERROR(__xludf.DUMMYFUNCTION("""COMPUTED_VALUE"""),63025.2)</f>
        <v>63025.2</v>
      </c>
      <c r="H497" s="434">
        <f>IFERROR(__xludf.DUMMYFUNCTION("""COMPUTED_VALUE"""),45421.99861111111)</f>
        <v>45421.99861</v>
      </c>
      <c r="I497" s="433">
        <f>IFERROR(__xludf.DUMMYFUNCTION("""COMPUTED_VALUE"""),2972.9654)</f>
        <v>2972.9654</v>
      </c>
    </row>
    <row r="498">
      <c r="A498" s="434">
        <f>IFERROR(__xludf.DUMMYFUNCTION("""COMPUTED_VALUE"""),43132.99861111111)</f>
        <v>43132.99861</v>
      </c>
      <c r="B498" s="433">
        <f>IFERROR(__xludf.DUMMYFUNCTION("""COMPUTED_VALUE"""),9192.56)</f>
        <v>9192.56</v>
      </c>
      <c r="C498" s="434">
        <f>IFERROR(__xludf.DUMMYFUNCTION("""COMPUTED_VALUE"""),42719.99861111111)</f>
        <v>42719.99861</v>
      </c>
      <c r="D498" s="433">
        <f>IFERROR(__xludf.DUMMYFUNCTION("""COMPUTED_VALUE"""),8.2353)</f>
        <v>8.2353</v>
      </c>
      <c r="F498" s="434">
        <f>IFERROR(__xludf.DUMMYFUNCTION("""COMPUTED_VALUE"""),45422.99861111111)</f>
        <v>45422.99861</v>
      </c>
      <c r="G498" s="433">
        <f>IFERROR(__xludf.DUMMYFUNCTION("""COMPUTED_VALUE"""),60863.24)</f>
        <v>60863.24</v>
      </c>
      <c r="H498" s="434">
        <f>IFERROR(__xludf.DUMMYFUNCTION("""COMPUTED_VALUE"""),45422.99861111111)</f>
        <v>45422.99861</v>
      </c>
      <c r="I498" s="433">
        <f>IFERROR(__xludf.DUMMYFUNCTION("""COMPUTED_VALUE"""),3035.8416)</f>
        <v>3035.8416</v>
      </c>
    </row>
    <row r="499">
      <c r="A499" s="434">
        <f>IFERROR(__xludf.DUMMYFUNCTION("""COMPUTED_VALUE"""),43133.99861111111)</f>
        <v>43133.99861</v>
      </c>
      <c r="B499" s="433">
        <f>IFERROR(__xludf.DUMMYFUNCTION("""COMPUTED_VALUE"""),8595.03)</f>
        <v>8595.03</v>
      </c>
      <c r="C499" s="434">
        <f>IFERROR(__xludf.DUMMYFUNCTION("""COMPUTED_VALUE"""),42720.99861111111)</f>
        <v>42720.99861</v>
      </c>
      <c r="D499" s="433">
        <f>IFERROR(__xludf.DUMMYFUNCTION("""COMPUTED_VALUE"""),7.859)</f>
        <v>7.859</v>
      </c>
      <c r="F499" s="434">
        <f>IFERROR(__xludf.DUMMYFUNCTION("""COMPUTED_VALUE"""),45424.99861111111)</f>
        <v>45424.99861</v>
      </c>
      <c r="G499" s="433">
        <f>IFERROR(__xludf.DUMMYFUNCTION("""COMPUTED_VALUE"""),60914.79)</f>
        <v>60914.79</v>
      </c>
      <c r="H499" s="434">
        <f>IFERROR(__xludf.DUMMYFUNCTION("""COMPUTED_VALUE"""),45423.99861111111)</f>
        <v>45423.99861</v>
      </c>
      <c r="I499" s="433">
        <f>IFERROR(__xludf.DUMMYFUNCTION("""COMPUTED_VALUE"""),2909.6147)</f>
        <v>2909.6147</v>
      </c>
    </row>
    <row r="500">
      <c r="A500" s="434">
        <f>IFERROR(__xludf.DUMMYFUNCTION("""COMPUTED_VALUE"""),43134.99861111111)</f>
        <v>43134.99861</v>
      </c>
      <c r="B500" s="433">
        <f>IFERROR(__xludf.DUMMYFUNCTION("""COMPUTED_VALUE"""),9085.82)</f>
        <v>9085.82</v>
      </c>
      <c r="C500" s="434">
        <f>IFERROR(__xludf.DUMMYFUNCTION("""COMPUTED_VALUE"""),42721.99861111111)</f>
        <v>42721.99861</v>
      </c>
      <c r="D500" s="433">
        <f>IFERROR(__xludf.DUMMYFUNCTION("""COMPUTED_VALUE"""),7.8557)</f>
        <v>7.8557</v>
      </c>
      <c r="F500" s="434">
        <f>IFERROR(__xludf.DUMMYFUNCTION("""COMPUTED_VALUE"""),45425.99861111111)</f>
        <v>45425.99861</v>
      </c>
      <c r="G500" s="433">
        <f>IFERROR(__xludf.DUMMYFUNCTION("""COMPUTED_VALUE"""),61151.16)</f>
        <v>61151.16</v>
      </c>
      <c r="H500" s="434">
        <f>IFERROR(__xludf.DUMMYFUNCTION("""COMPUTED_VALUE"""),45424.99861111111)</f>
        <v>45424.99861</v>
      </c>
      <c r="I500" s="433">
        <f>IFERROR(__xludf.DUMMYFUNCTION("""COMPUTED_VALUE"""),2911.7218)</f>
        <v>2911.7218</v>
      </c>
    </row>
    <row r="501">
      <c r="A501" s="434">
        <f>IFERROR(__xludf.DUMMYFUNCTION("""COMPUTED_VALUE"""),43135.99861111111)</f>
        <v>43135.99861</v>
      </c>
      <c r="B501" s="433">
        <f>IFERROR(__xludf.DUMMYFUNCTION("""COMPUTED_VALUE"""),8250.71)</f>
        <v>8250.71</v>
      </c>
      <c r="C501" s="434">
        <f>IFERROR(__xludf.DUMMYFUNCTION("""COMPUTED_VALUE"""),42722.99861111111)</f>
        <v>42722.99861</v>
      </c>
      <c r="D501" s="433">
        <f>IFERROR(__xludf.DUMMYFUNCTION("""COMPUTED_VALUE"""),7.8605)</f>
        <v>7.8605</v>
      </c>
      <c r="F501" s="434">
        <f>IFERROR(__xludf.DUMMYFUNCTION("""COMPUTED_VALUE"""),45426.99861111111)</f>
        <v>45426.99861</v>
      </c>
      <c r="G501" s="433">
        <f>IFERROR(__xludf.DUMMYFUNCTION("""COMPUTED_VALUE"""),62425.72)</f>
        <v>62425.72</v>
      </c>
      <c r="H501" s="434">
        <f>IFERROR(__xludf.DUMMYFUNCTION("""COMPUTED_VALUE"""),45425.99861111111)</f>
        <v>45425.99861</v>
      </c>
      <c r="I501" s="433">
        <f>IFERROR(__xludf.DUMMYFUNCTION("""COMPUTED_VALUE"""),2928.413)</f>
        <v>2928.413</v>
      </c>
    </row>
    <row r="502">
      <c r="A502" s="434">
        <f>IFERROR(__xludf.DUMMYFUNCTION("""COMPUTED_VALUE"""),43136.99861111111)</f>
        <v>43136.99861</v>
      </c>
      <c r="B502" s="433">
        <f>IFERROR(__xludf.DUMMYFUNCTION("""COMPUTED_VALUE"""),7164.72)</f>
        <v>7164.72</v>
      </c>
      <c r="C502" s="434">
        <f>IFERROR(__xludf.DUMMYFUNCTION("""COMPUTED_VALUE"""),42723.99861111111)</f>
        <v>42723.99861</v>
      </c>
      <c r="D502" s="433">
        <f>IFERROR(__xludf.DUMMYFUNCTION("""COMPUTED_VALUE"""),7.8694)</f>
        <v>7.8694</v>
      </c>
      <c r="F502" s="434">
        <f>IFERROR(__xludf.DUMMYFUNCTION("""COMPUTED_VALUE"""),45427.99861111111)</f>
        <v>45427.99861</v>
      </c>
      <c r="G502" s="433">
        <f>IFERROR(__xludf.DUMMYFUNCTION("""COMPUTED_VALUE"""),61854.5)</f>
        <v>61854.5</v>
      </c>
      <c r="H502" s="434">
        <f>IFERROR(__xludf.DUMMYFUNCTION("""COMPUTED_VALUE"""),45426.99861111111)</f>
        <v>45426.99861</v>
      </c>
      <c r="I502" s="433">
        <f>IFERROR(__xludf.DUMMYFUNCTION("""COMPUTED_VALUE"""),2950.2969)</f>
        <v>2950.2969</v>
      </c>
    </row>
    <row r="503">
      <c r="A503" s="434">
        <f>IFERROR(__xludf.DUMMYFUNCTION("""COMPUTED_VALUE"""),43137.99861111111)</f>
        <v>43137.99861</v>
      </c>
      <c r="B503" s="433">
        <f>IFERROR(__xludf.DUMMYFUNCTION("""COMPUTED_VALUE"""),7773.81)</f>
        <v>7773.81</v>
      </c>
      <c r="C503" s="434">
        <f>IFERROR(__xludf.DUMMYFUNCTION("""COMPUTED_VALUE"""),42724.99861111111)</f>
        <v>42724.99861</v>
      </c>
      <c r="D503" s="433">
        <f>IFERROR(__xludf.DUMMYFUNCTION("""COMPUTED_VALUE"""),7.6337)</f>
        <v>7.6337</v>
      </c>
      <c r="F503" s="434">
        <f>IFERROR(__xludf.DUMMYFUNCTION("""COMPUTED_VALUE"""),45428.99861111111)</f>
        <v>45428.99861</v>
      </c>
      <c r="G503" s="433">
        <f>IFERROR(__xludf.DUMMYFUNCTION("""COMPUTED_VALUE"""),66077.67)</f>
        <v>66077.67</v>
      </c>
      <c r="H503" s="434">
        <f>IFERROR(__xludf.DUMMYFUNCTION("""COMPUTED_VALUE"""),45427.99861111111)</f>
        <v>45427.99861</v>
      </c>
      <c r="I503" s="433">
        <f>IFERROR(__xludf.DUMMYFUNCTION("""COMPUTED_VALUE"""),2881.0143)</f>
        <v>2881.0143</v>
      </c>
    </row>
    <row r="504">
      <c r="A504" s="434">
        <f>IFERROR(__xludf.DUMMYFUNCTION("""COMPUTED_VALUE"""),43138.99861111111)</f>
        <v>43138.99861</v>
      </c>
      <c r="B504" s="433">
        <f>IFERROR(__xludf.DUMMYFUNCTION("""COMPUTED_VALUE"""),8093.58)</f>
        <v>8093.58</v>
      </c>
      <c r="C504" s="434">
        <f>IFERROR(__xludf.DUMMYFUNCTION("""COMPUTED_VALUE"""),42725.99861111111)</f>
        <v>42725.99861</v>
      </c>
      <c r="D504" s="433">
        <f>IFERROR(__xludf.DUMMYFUNCTION("""COMPUTED_VALUE"""),7.6637)</f>
        <v>7.6637</v>
      </c>
      <c r="F504" s="434">
        <f>IFERROR(__xludf.DUMMYFUNCTION("""COMPUTED_VALUE"""),45429.99861111111)</f>
        <v>45429.99861</v>
      </c>
      <c r="G504" s="433">
        <f>IFERROR(__xludf.DUMMYFUNCTION("""COMPUTED_VALUE"""),65647.21)</f>
        <v>65647.21</v>
      </c>
      <c r="H504" s="434">
        <f>IFERROR(__xludf.DUMMYFUNCTION("""COMPUTED_VALUE"""),45428.99861111111)</f>
        <v>45428.99861</v>
      </c>
      <c r="I504" s="433">
        <f>IFERROR(__xludf.DUMMYFUNCTION("""COMPUTED_VALUE"""),3035.4736)</f>
        <v>3035.4736</v>
      </c>
    </row>
    <row r="505">
      <c r="A505" s="434">
        <f>IFERROR(__xludf.DUMMYFUNCTION("""COMPUTED_VALUE"""),43139.99861111111)</f>
        <v>43139.99861</v>
      </c>
      <c r="B505" s="433">
        <f>IFERROR(__xludf.DUMMYFUNCTION("""COMPUTED_VALUE"""),8188.0)</f>
        <v>8188</v>
      </c>
      <c r="C505" s="434">
        <f>IFERROR(__xludf.DUMMYFUNCTION("""COMPUTED_VALUE"""),42726.99861111111)</f>
        <v>42726.99861</v>
      </c>
      <c r="D505" s="433">
        <f>IFERROR(__xludf.DUMMYFUNCTION("""COMPUTED_VALUE"""),7.899)</f>
        <v>7.899</v>
      </c>
      <c r="F505" s="434">
        <f>IFERROR(__xludf.DUMMYFUNCTION("""COMPUTED_VALUE"""),45430.99861111111)</f>
        <v>45430.99861</v>
      </c>
      <c r="G505" s="433">
        <f>IFERROR(__xludf.DUMMYFUNCTION("""COMPUTED_VALUE"""),66964.48)</f>
        <v>66964.48</v>
      </c>
      <c r="H505" s="434">
        <f>IFERROR(__xludf.DUMMYFUNCTION("""COMPUTED_VALUE"""),45429.99861111111)</f>
        <v>45429.99861</v>
      </c>
      <c r="I505" s="433">
        <f>IFERROR(__xludf.DUMMYFUNCTION("""COMPUTED_VALUE"""),2944.9908)</f>
        <v>2944.9908</v>
      </c>
    </row>
    <row r="506">
      <c r="A506" s="434">
        <f>IFERROR(__xludf.DUMMYFUNCTION("""COMPUTED_VALUE"""),43140.99861111111)</f>
        <v>43140.99861</v>
      </c>
      <c r="B506" s="433">
        <f>IFERROR(__xludf.DUMMYFUNCTION("""COMPUTED_VALUE"""),8549.94)</f>
        <v>8549.94</v>
      </c>
      <c r="C506" s="434">
        <f>IFERROR(__xludf.DUMMYFUNCTION("""COMPUTED_VALUE"""),42727.99861111111)</f>
        <v>42727.99861</v>
      </c>
      <c r="D506" s="433">
        <f>IFERROR(__xludf.DUMMYFUNCTION("""COMPUTED_VALUE"""),7.577)</f>
        <v>7.577</v>
      </c>
      <c r="F506" s="434">
        <f>IFERROR(__xludf.DUMMYFUNCTION("""COMPUTED_VALUE"""),45431.99861111111)</f>
        <v>45431.99861</v>
      </c>
      <c r="G506" s="433">
        <f>IFERROR(__xludf.DUMMYFUNCTION("""COMPUTED_VALUE"""),67052.87)</f>
        <v>67052.87</v>
      </c>
      <c r="H506" s="434">
        <f>IFERROR(__xludf.DUMMYFUNCTION("""COMPUTED_VALUE"""),45430.99861111111)</f>
        <v>45430.99861</v>
      </c>
      <c r="I506" s="433">
        <f>IFERROR(__xludf.DUMMYFUNCTION("""COMPUTED_VALUE"""),3093.712)</f>
        <v>3093.712</v>
      </c>
    </row>
    <row r="507">
      <c r="A507" s="434">
        <f>IFERROR(__xludf.DUMMYFUNCTION("""COMPUTED_VALUE"""),43141.99861111111)</f>
        <v>43141.99861</v>
      </c>
      <c r="B507" s="433">
        <f>IFERROR(__xludf.DUMMYFUNCTION("""COMPUTED_VALUE"""),8410.13)</f>
        <v>8410.13</v>
      </c>
      <c r="C507" s="434">
        <f>IFERROR(__xludf.DUMMYFUNCTION("""COMPUTED_VALUE"""),42728.99861111111)</f>
        <v>42728.99861</v>
      </c>
      <c r="D507" s="433">
        <f>IFERROR(__xludf.DUMMYFUNCTION("""COMPUTED_VALUE"""),7.1524)</f>
        <v>7.1524</v>
      </c>
      <c r="F507" s="434">
        <f>IFERROR(__xludf.DUMMYFUNCTION("""COMPUTED_VALUE"""),45432.99861111111)</f>
        <v>45432.99861</v>
      </c>
      <c r="G507" s="433">
        <f>IFERROR(__xludf.DUMMYFUNCTION("""COMPUTED_VALUE"""),66680.9)</f>
        <v>66680.9</v>
      </c>
      <c r="H507" s="434">
        <f>IFERROR(__xludf.DUMMYFUNCTION("""COMPUTED_VALUE"""),45431.99861111111)</f>
        <v>45431.99861</v>
      </c>
      <c r="I507" s="433">
        <f>IFERROR(__xludf.DUMMYFUNCTION("""COMPUTED_VALUE"""),3123.2781)</f>
        <v>3123.2781</v>
      </c>
    </row>
    <row r="508">
      <c r="A508" s="434">
        <f>IFERROR(__xludf.DUMMYFUNCTION("""COMPUTED_VALUE"""),43142.99861111111)</f>
        <v>43142.99861</v>
      </c>
      <c r="B508" s="433">
        <f>IFERROR(__xludf.DUMMYFUNCTION("""COMPUTED_VALUE"""),8224.54)</f>
        <v>8224.54</v>
      </c>
      <c r="C508" s="434">
        <f>IFERROR(__xludf.DUMMYFUNCTION("""COMPUTED_VALUE"""),42729.99861111111)</f>
        <v>42729.99861</v>
      </c>
      <c r="D508" s="433">
        <f>IFERROR(__xludf.DUMMYFUNCTION("""COMPUTED_VALUE"""),7.2649)</f>
        <v>7.2649</v>
      </c>
      <c r="F508" s="434">
        <f>IFERROR(__xludf.DUMMYFUNCTION("""COMPUTED_VALUE"""),45433.99861111111)</f>
        <v>45433.99861</v>
      </c>
      <c r="G508" s="433">
        <f>IFERROR(__xludf.DUMMYFUNCTION("""COMPUTED_VALUE"""),71227.18)</f>
        <v>71227.18</v>
      </c>
      <c r="H508" s="434">
        <f>IFERROR(__xludf.DUMMYFUNCTION("""COMPUTED_VALUE"""),45432.99861111111)</f>
        <v>45432.99861</v>
      </c>
      <c r="I508" s="433">
        <f>IFERROR(__xludf.DUMMYFUNCTION("""COMPUTED_VALUE"""),3071.0783)</f>
        <v>3071.0783</v>
      </c>
    </row>
    <row r="509">
      <c r="A509" s="434">
        <f>IFERROR(__xludf.DUMMYFUNCTION("""COMPUTED_VALUE"""),43143.99861111111)</f>
        <v>43143.99861</v>
      </c>
      <c r="B509" s="433">
        <f>IFERROR(__xludf.DUMMYFUNCTION("""COMPUTED_VALUE"""),8835.65)</f>
        <v>8835.65</v>
      </c>
      <c r="C509" s="434">
        <f>IFERROR(__xludf.DUMMYFUNCTION("""COMPUTED_VALUE"""),42730.99861111111)</f>
        <v>42730.99861</v>
      </c>
      <c r="D509" s="433">
        <f>IFERROR(__xludf.DUMMYFUNCTION("""COMPUTED_VALUE"""),7.1321)</f>
        <v>7.1321</v>
      </c>
      <c r="F509" s="434">
        <f>IFERROR(__xludf.DUMMYFUNCTION("""COMPUTED_VALUE"""),45434.99861111111)</f>
        <v>45434.99861</v>
      </c>
      <c r="G509" s="433">
        <f>IFERROR(__xludf.DUMMYFUNCTION("""COMPUTED_VALUE"""),69901.25)</f>
        <v>69901.25</v>
      </c>
      <c r="H509" s="434">
        <f>IFERROR(__xludf.DUMMYFUNCTION("""COMPUTED_VALUE"""),45433.99861111111)</f>
        <v>45433.99861</v>
      </c>
      <c r="I509" s="433">
        <f>IFERROR(__xludf.DUMMYFUNCTION("""COMPUTED_VALUE"""),3661.6125)</f>
        <v>3661.6125</v>
      </c>
    </row>
    <row r="510">
      <c r="A510" s="434">
        <f>IFERROR(__xludf.DUMMYFUNCTION("""COMPUTED_VALUE"""),43144.99861111111)</f>
        <v>43144.99861</v>
      </c>
      <c r="B510" s="433">
        <f>IFERROR(__xludf.DUMMYFUNCTION("""COMPUTED_VALUE"""),8557.84)</f>
        <v>8557.84</v>
      </c>
      <c r="C510" s="434">
        <f>IFERROR(__xludf.DUMMYFUNCTION("""COMPUTED_VALUE"""),42731.99861111111)</f>
        <v>42731.99861</v>
      </c>
      <c r="D510" s="433">
        <f>IFERROR(__xludf.DUMMYFUNCTION("""COMPUTED_VALUE"""),7.2764)</f>
        <v>7.2764</v>
      </c>
      <c r="F510" s="434">
        <f>IFERROR(__xludf.DUMMYFUNCTION("""COMPUTED_VALUE"""),45435.99861111111)</f>
        <v>45435.99861</v>
      </c>
      <c r="G510" s="433">
        <f>IFERROR(__xludf.DUMMYFUNCTION("""COMPUTED_VALUE"""),69334.23)</f>
        <v>69334.23</v>
      </c>
      <c r="H510" s="434">
        <f>IFERROR(__xludf.DUMMYFUNCTION("""COMPUTED_VALUE"""),45434.99861111111)</f>
        <v>45434.99861</v>
      </c>
      <c r="I510" s="433">
        <f>IFERROR(__xludf.DUMMYFUNCTION("""COMPUTED_VALUE"""),3789.3347)</f>
        <v>3789.3347</v>
      </c>
    </row>
    <row r="511">
      <c r="A511" s="434">
        <f>IFERROR(__xludf.DUMMYFUNCTION("""COMPUTED_VALUE"""),43145.99861111111)</f>
        <v>43145.99861</v>
      </c>
      <c r="B511" s="433">
        <f>IFERROR(__xludf.DUMMYFUNCTION("""COMPUTED_VALUE"""),9285.3)</f>
        <v>9285.3</v>
      </c>
      <c r="C511" s="434">
        <f>IFERROR(__xludf.DUMMYFUNCTION("""COMPUTED_VALUE"""),42732.99861111111)</f>
        <v>42732.99861</v>
      </c>
      <c r="D511" s="433">
        <f>IFERROR(__xludf.DUMMYFUNCTION("""COMPUTED_VALUE"""),7.149)</f>
        <v>7.149</v>
      </c>
      <c r="F511" s="434">
        <f>IFERROR(__xludf.DUMMYFUNCTION("""COMPUTED_VALUE"""),45436.99861111111)</f>
        <v>45436.99861</v>
      </c>
      <c r="G511" s="433">
        <f>IFERROR(__xludf.DUMMYFUNCTION("""COMPUTED_VALUE"""),67851.91)</f>
        <v>67851.91</v>
      </c>
      <c r="H511" s="434">
        <f>IFERROR(__xludf.DUMMYFUNCTION("""COMPUTED_VALUE"""),45435.99861111111)</f>
        <v>45435.99861</v>
      </c>
      <c r="I511" s="433">
        <f>IFERROR(__xludf.DUMMYFUNCTION("""COMPUTED_VALUE"""),3736.8933)</f>
        <v>3736.8933</v>
      </c>
    </row>
    <row r="512">
      <c r="A512" s="434">
        <f>IFERROR(__xludf.DUMMYFUNCTION("""COMPUTED_VALUE"""),43146.99861111111)</f>
        <v>43146.99861</v>
      </c>
      <c r="B512" s="433">
        <f>IFERROR(__xludf.DUMMYFUNCTION("""COMPUTED_VALUE"""),9875.07)</f>
        <v>9875.07</v>
      </c>
      <c r="C512" s="434">
        <f>IFERROR(__xludf.DUMMYFUNCTION("""COMPUTED_VALUE"""),42733.99861111111)</f>
        <v>42733.99861</v>
      </c>
      <c r="D512" s="433">
        <f>IFERROR(__xludf.DUMMYFUNCTION("""COMPUTED_VALUE"""),7.5391)</f>
        <v>7.5391</v>
      </c>
      <c r="F512" s="434">
        <f>IFERROR(__xludf.DUMMYFUNCTION("""COMPUTED_VALUE"""),45437.99861111111)</f>
        <v>45437.99861</v>
      </c>
      <c r="G512" s="433">
        <f>IFERROR(__xludf.DUMMYFUNCTION("""COMPUTED_VALUE"""),68747.1)</f>
        <v>68747.1</v>
      </c>
      <c r="H512" s="434">
        <f>IFERROR(__xludf.DUMMYFUNCTION("""COMPUTED_VALUE"""),45436.99861111111)</f>
        <v>45436.99861</v>
      </c>
      <c r="I512" s="433">
        <f>IFERROR(__xludf.DUMMYFUNCTION("""COMPUTED_VALUE"""),3782.6663)</f>
        <v>3782.6663</v>
      </c>
    </row>
    <row r="513">
      <c r="A513" s="434">
        <f>IFERROR(__xludf.DUMMYFUNCTION("""COMPUTED_VALUE"""),43147.99861111111)</f>
        <v>43147.99861</v>
      </c>
      <c r="B513" s="433">
        <f>IFERROR(__xludf.DUMMYFUNCTION("""COMPUTED_VALUE"""),10081.91)</f>
        <v>10081.91</v>
      </c>
      <c r="C513" s="434">
        <f>IFERROR(__xludf.DUMMYFUNCTION("""COMPUTED_VALUE"""),42734.99861111111)</f>
        <v>42734.99861</v>
      </c>
      <c r="D513" s="433">
        <f>IFERROR(__xludf.DUMMYFUNCTION("""COMPUTED_VALUE"""),8.2899)</f>
        <v>8.2899</v>
      </c>
      <c r="F513" s="434">
        <f>IFERROR(__xludf.DUMMYFUNCTION("""COMPUTED_VALUE"""),45438.99861111111)</f>
        <v>45438.99861</v>
      </c>
      <c r="G513" s="433">
        <f>IFERROR(__xludf.DUMMYFUNCTION("""COMPUTED_VALUE"""),69076.61)</f>
        <v>69076.61</v>
      </c>
      <c r="H513" s="434">
        <f>IFERROR(__xludf.DUMMYFUNCTION("""COMPUTED_VALUE"""),45437.99861111111)</f>
        <v>45437.99861</v>
      </c>
      <c r="I513" s="433">
        <f>IFERROR(__xludf.DUMMYFUNCTION("""COMPUTED_VALUE"""),3726.9975)</f>
        <v>3726.9975</v>
      </c>
    </row>
    <row r="514">
      <c r="A514" s="434">
        <f>IFERROR(__xludf.DUMMYFUNCTION("""COMPUTED_VALUE"""),43148.99861111111)</f>
        <v>43148.99861</v>
      </c>
      <c r="B514" s="433">
        <f>IFERROR(__xludf.DUMMYFUNCTION("""COMPUTED_VALUE"""),11128.61)</f>
        <v>11128.61</v>
      </c>
      <c r="C514" s="434">
        <f>IFERROR(__xludf.DUMMYFUNCTION("""COMPUTED_VALUE"""),42735.99861111111)</f>
        <v>42735.99861</v>
      </c>
      <c r="D514" s="433">
        <f>IFERROR(__xludf.DUMMYFUNCTION("""COMPUTED_VALUE"""),8.1511)</f>
        <v>8.1511</v>
      </c>
      <c r="F514" s="434">
        <f>IFERROR(__xludf.DUMMYFUNCTION("""COMPUTED_VALUE"""),45439.99861111111)</f>
        <v>45439.99861</v>
      </c>
      <c r="G514" s="433">
        <f>IFERROR(__xludf.DUMMYFUNCTION("""COMPUTED_VALUE"""),68914.83)</f>
        <v>68914.83</v>
      </c>
      <c r="H514" s="434">
        <f>IFERROR(__xludf.DUMMYFUNCTION("""COMPUTED_VALUE"""),45438.99861111111)</f>
        <v>45438.99861</v>
      </c>
      <c r="I514" s="433">
        <f>IFERROR(__xludf.DUMMYFUNCTION("""COMPUTED_VALUE"""),3749.2711)</f>
        <v>3749.2711</v>
      </c>
    </row>
    <row r="515">
      <c r="A515" s="434">
        <f>IFERROR(__xludf.DUMMYFUNCTION("""COMPUTED_VALUE"""),43149.99861111111)</f>
        <v>43149.99861</v>
      </c>
      <c r="B515" s="433">
        <f>IFERROR(__xludf.DUMMYFUNCTION("""COMPUTED_VALUE"""),10445.96)</f>
        <v>10445.96</v>
      </c>
      <c r="C515" s="434">
        <f>IFERROR(__xludf.DUMMYFUNCTION("""COMPUTED_VALUE"""),42736.99861111111)</f>
        <v>42736.99861</v>
      </c>
      <c r="D515" s="433">
        <f>IFERROR(__xludf.DUMMYFUNCTION("""COMPUTED_VALUE"""),7.9823)</f>
        <v>7.9823</v>
      </c>
      <c r="F515" s="434">
        <f>IFERROR(__xludf.DUMMYFUNCTION("""COMPUTED_VALUE"""),45440.99861111111)</f>
        <v>45440.99861</v>
      </c>
      <c r="G515" s="433">
        <f>IFERROR(__xludf.DUMMYFUNCTION("""COMPUTED_VALUE"""),68102.04)</f>
        <v>68102.04</v>
      </c>
      <c r="H515" s="434">
        <f>IFERROR(__xludf.DUMMYFUNCTION("""COMPUTED_VALUE"""),45439.99861111111)</f>
        <v>45439.99861</v>
      </c>
      <c r="I515" s="433">
        <f>IFERROR(__xludf.DUMMYFUNCTION("""COMPUTED_VALUE"""),3824.4652)</f>
        <v>3824.4652</v>
      </c>
    </row>
    <row r="516">
      <c r="A516" s="434">
        <f>IFERROR(__xludf.DUMMYFUNCTION("""COMPUTED_VALUE"""),43150.99861111111)</f>
        <v>43150.99861</v>
      </c>
      <c r="B516" s="433">
        <f>IFERROR(__xludf.DUMMYFUNCTION("""COMPUTED_VALUE"""),11432.59)</f>
        <v>11432.59</v>
      </c>
      <c r="C516" s="434">
        <f>IFERROR(__xludf.DUMMYFUNCTION("""COMPUTED_VALUE"""),42737.99861111111)</f>
        <v>42737.99861</v>
      </c>
      <c r="D516" s="433">
        <f>IFERROR(__xludf.DUMMYFUNCTION("""COMPUTED_VALUE"""),8.1709)</f>
        <v>8.1709</v>
      </c>
      <c r="F516" s="434">
        <f>IFERROR(__xludf.DUMMYFUNCTION("""COMPUTED_VALUE"""),45441.99861111111)</f>
        <v>45441.99861</v>
      </c>
      <c r="G516" s="433">
        <f>IFERROR(__xludf.DUMMYFUNCTION("""COMPUTED_VALUE"""),68713.48)</f>
        <v>68713.48</v>
      </c>
      <c r="H516" s="434">
        <f>IFERROR(__xludf.DUMMYFUNCTION("""COMPUTED_VALUE"""),45440.99861111111)</f>
        <v>45440.99861</v>
      </c>
      <c r="I516" s="433">
        <f>IFERROR(__xludf.DUMMYFUNCTION("""COMPUTED_VALUE"""),3891.4692)</f>
        <v>3891.4692</v>
      </c>
    </row>
    <row r="517">
      <c r="A517" s="434">
        <f>IFERROR(__xludf.DUMMYFUNCTION("""COMPUTED_VALUE"""),43151.99861111111)</f>
        <v>43151.99861</v>
      </c>
      <c r="B517" s="433">
        <f>IFERROR(__xludf.DUMMYFUNCTION("""COMPUTED_VALUE"""),11698.86)</f>
        <v>11698.86</v>
      </c>
      <c r="C517" s="434">
        <f>IFERROR(__xludf.DUMMYFUNCTION("""COMPUTED_VALUE"""),42738.99861111111)</f>
        <v>42738.99861</v>
      </c>
      <c r="D517" s="433">
        <f>IFERROR(__xludf.DUMMYFUNCTION("""COMPUTED_VALUE"""),8.3746)</f>
        <v>8.3746</v>
      </c>
      <c r="F517" s="434">
        <f>IFERROR(__xludf.DUMMYFUNCTION("""COMPUTED_VALUE"""),45442.99861111111)</f>
        <v>45442.99861</v>
      </c>
      <c r="G517" s="433">
        <f>IFERROR(__xludf.DUMMYFUNCTION("""COMPUTED_VALUE"""),68038.64)</f>
        <v>68038.64</v>
      </c>
      <c r="H517" s="434">
        <f>IFERROR(__xludf.DUMMYFUNCTION("""COMPUTED_VALUE"""),45441.99861111111)</f>
        <v>45441.99861</v>
      </c>
      <c r="I517" s="433">
        <f>IFERROR(__xludf.DUMMYFUNCTION("""COMPUTED_VALUE"""),3840.3211)</f>
        <v>3840.3211</v>
      </c>
    </row>
    <row r="518">
      <c r="A518" s="434">
        <f>IFERROR(__xludf.DUMMYFUNCTION("""COMPUTED_VALUE"""),43152.99861111111)</f>
        <v>43152.99861</v>
      </c>
      <c r="B518" s="433">
        <f>IFERROR(__xludf.DUMMYFUNCTION("""COMPUTED_VALUE"""),10281.63)</f>
        <v>10281.63</v>
      </c>
      <c r="C518" s="434">
        <f>IFERROR(__xludf.DUMMYFUNCTION("""COMPUTED_VALUE"""),42739.99861111111)</f>
        <v>42739.99861</v>
      </c>
      <c r="D518" s="433">
        <f>IFERROR(__xludf.DUMMYFUNCTION("""COMPUTED_VALUE"""),9.7093)</f>
        <v>9.7093</v>
      </c>
      <c r="F518" s="434">
        <f>IFERROR(__xludf.DUMMYFUNCTION("""COMPUTED_VALUE"""),45443.99861111111)</f>
        <v>45443.99861</v>
      </c>
      <c r="G518" s="433">
        <f>IFERROR(__xludf.DUMMYFUNCTION("""COMPUTED_VALUE"""),68571.17)</f>
        <v>68571.17</v>
      </c>
      <c r="H518" s="434">
        <f>IFERROR(__xludf.DUMMYFUNCTION("""COMPUTED_VALUE"""),45442.99861111111)</f>
        <v>45442.99861</v>
      </c>
      <c r="I518" s="433">
        <f>IFERROR(__xludf.DUMMYFUNCTION("""COMPUTED_VALUE"""),3762.9554)</f>
        <v>3762.9554</v>
      </c>
    </row>
    <row r="519">
      <c r="A519" s="434">
        <f>IFERROR(__xludf.DUMMYFUNCTION("""COMPUTED_VALUE"""),43153.99861111111)</f>
        <v>43153.99861</v>
      </c>
      <c r="B519" s="433">
        <f>IFERROR(__xludf.DUMMYFUNCTION("""COMPUTED_VALUE"""),9909.06)</f>
        <v>9909.06</v>
      </c>
      <c r="C519" s="434">
        <f>IFERROR(__xludf.DUMMYFUNCTION("""COMPUTED_VALUE"""),42740.99861111111)</f>
        <v>42740.99861</v>
      </c>
      <c r="D519" s="433">
        <f>IFERROR(__xludf.DUMMYFUNCTION("""COMPUTED_VALUE"""),11.2868)</f>
        <v>11.2868</v>
      </c>
      <c r="F519" s="434">
        <f>IFERROR(__xludf.DUMMYFUNCTION("""COMPUTED_VALUE"""),45444.99861111111)</f>
        <v>45444.99861</v>
      </c>
      <c r="G519" s="433">
        <f>IFERROR(__xludf.DUMMYFUNCTION("""COMPUTED_VALUE"""),67659.3)</f>
        <v>67659.3</v>
      </c>
      <c r="H519" s="434">
        <f>IFERROR(__xludf.DUMMYFUNCTION("""COMPUTED_VALUE"""),45443.99861111111)</f>
        <v>45443.99861</v>
      </c>
      <c r="I519" s="433">
        <f>IFERROR(__xludf.DUMMYFUNCTION("""COMPUTED_VALUE"""),3746.7648)</f>
        <v>3746.7648</v>
      </c>
    </row>
    <row r="520">
      <c r="A520" s="434">
        <f>IFERROR(__xludf.DUMMYFUNCTION("""COMPUTED_VALUE"""),43154.99861111111)</f>
        <v>43154.99861</v>
      </c>
      <c r="B520" s="433">
        <f>IFERROR(__xludf.DUMMYFUNCTION("""COMPUTED_VALUE"""),10046.8)</f>
        <v>10046.8</v>
      </c>
      <c r="C520" s="434">
        <f>IFERROR(__xludf.DUMMYFUNCTION("""COMPUTED_VALUE"""),42741.99861111111)</f>
        <v>42741.99861</v>
      </c>
      <c r="D520" s="433">
        <f>IFERROR(__xludf.DUMMYFUNCTION("""COMPUTED_VALUE"""),10.2858)</f>
        <v>10.2858</v>
      </c>
      <c r="F520" s="434">
        <f>IFERROR(__xludf.DUMMYFUNCTION("""COMPUTED_VALUE"""),45445.99861111111)</f>
        <v>45445.99861</v>
      </c>
      <c r="G520" s="433">
        <f>IFERROR(__xludf.DUMMYFUNCTION("""COMPUTED_VALUE"""),67737.81)</f>
        <v>67737.81</v>
      </c>
      <c r="H520" s="434">
        <f>IFERROR(__xludf.DUMMYFUNCTION("""COMPUTED_VALUE"""),45444.99861111111)</f>
        <v>45444.99861</v>
      </c>
      <c r="I520" s="433">
        <f>IFERROR(__xludf.DUMMYFUNCTION("""COMPUTED_VALUE"""),3759.1812)</f>
        <v>3759.1812</v>
      </c>
    </row>
    <row r="521">
      <c r="A521" s="434">
        <f>IFERROR(__xludf.DUMMYFUNCTION("""COMPUTED_VALUE"""),43155.99861111111)</f>
        <v>43155.99861</v>
      </c>
      <c r="B521" s="433">
        <f>IFERROR(__xludf.DUMMYFUNCTION("""COMPUTED_VALUE"""),9971.015)</f>
        <v>9971.015</v>
      </c>
      <c r="C521" s="434">
        <f>IFERROR(__xludf.DUMMYFUNCTION("""COMPUTED_VALUE"""),42742.99861111111)</f>
        <v>42742.99861</v>
      </c>
      <c r="D521" s="433">
        <f>IFERROR(__xludf.DUMMYFUNCTION("""COMPUTED_VALUE"""),10.2409)</f>
        <v>10.2409</v>
      </c>
      <c r="F521" s="434">
        <f>IFERROR(__xludf.DUMMYFUNCTION("""COMPUTED_VALUE"""),45446.99861111111)</f>
        <v>45446.99861</v>
      </c>
      <c r="G521" s="433">
        <f>IFERROR(__xludf.DUMMYFUNCTION("""COMPUTED_VALUE"""),68358.28)</f>
        <v>68358.28</v>
      </c>
      <c r="H521" s="434">
        <f>IFERROR(__xludf.DUMMYFUNCTION("""COMPUTED_VALUE"""),45445.99861111111)</f>
        <v>45445.99861</v>
      </c>
      <c r="I521" s="433">
        <f>IFERROR(__xludf.DUMMYFUNCTION("""COMPUTED_VALUE"""),3813.3147)</f>
        <v>3813.3147</v>
      </c>
    </row>
    <row r="522">
      <c r="A522" s="434">
        <f>IFERROR(__xludf.DUMMYFUNCTION("""COMPUTED_VALUE"""),43156.99861111111)</f>
        <v>43156.99861</v>
      </c>
      <c r="B522" s="433">
        <f>IFERROR(__xludf.DUMMYFUNCTION("""COMPUTED_VALUE"""),9585.58)</f>
        <v>9585.58</v>
      </c>
      <c r="C522" s="434">
        <f>IFERROR(__xludf.DUMMYFUNCTION("""COMPUTED_VALUE"""),42743.99861111111)</f>
        <v>42743.99861</v>
      </c>
      <c r="D522" s="433">
        <f>IFERROR(__xludf.DUMMYFUNCTION("""COMPUTED_VALUE"""),9.8726)</f>
        <v>9.8726</v>
      </c>
      <c r="F522" s="434">
        <f>IFERROR(__xludf.DUMMYFUNCTION("""COMPUTED_VALUE"""),45447.99861111111)</f>
        <v>45447.99861</v>
      </c>
      <c r="G522" s="433">
        <f>IFERROR(__xludf.DUMMYFUNCTION("""COMPUTED_VALUE"""),69155.55)</f>
        <v>69155.55</v>
      </c>
      <c r="H522" s="434">
        <f>IFERROR(__xludf.DUMMYFUNCTION("""COMPUTED_VALUE"""),45446.99861111111)</f>
        <v>45446.99861</v>
      </c>
      <c r="I522" s="433">
        <f>IFERROR(__xludf.DUMMYFUNCTION("""COMPUTED_VALUE"""),3779.2961)</f>
        <v>3779.2961</v>
      </c>
    </row>
    <row r="523">
      <c r="A523" s="434">
        <f>IFERROR(__xludf.DUMMYFUNCTION("""COMPUTED_VALUE"""),43157.99861111111)</f>
        <v>43157.99861</v>
      </c>
      <c r="B523" s="433">
        <f>IFERROR(__xludf.DUMMYFUNCTION("""COMPUTED_VALUE"""),10380.65)</f>
        <v>10380.65</v>
      </c>
      <c r="C523" s="434">
        <f>IFERROR(__xludf.DUMMYFUNCTION("""COMPUTED_VALUE"""),42744.99861111111)</f>
        <v>42744.99861</v>
      </c>
      <c r="D523" s="433">
        <f>IFERROR(__xludf.DUMMYFUNCTION("""COMPUTED_VALUE"""),10.3138)</f>
        <v>10.3138</v>
      </c>
      <c r="F523" s="434">
        <f>IFERROR(__xludf.DUMMYFUNCTION("""COMPUTED_VALUE"""),45448.99861111111)</f>
        <v>45448.99861</v>
      </c>
      <c r="G523" s="433">
        <f>IFERROR(__xludf.DUMMYFUNCTION("""COMPUTED_VALUE"""),70883.12)</f>
        <v>70883.12</v>
      </c>
      <c r="H523" s="434">
        <f>IFERROR(__xludf.DUMMYFUNCTION("""COMPUTED_VALUE"""),45447.99861111111)</f>
        <v>45447.99861</v>
      </c>
      <c r="I523" s="433">
        <f>IFERROR(__xludf.DUMMYFUNCTION("""COMPUTED_VALUE"""),3766.2462)</f>
        <v>3766.2462</v>
      </c>
    </row>
    <row r="524">
      <c r="A524" s="434">
        <f>IFERROR(__xludf.DUMMYFUNCTION("""COMPUTED_VALUE"""),43158.99861111111)</f>
        <v>43158.99861</v>
      </c>
      <c r="B524" s="433">
        <f>IFERROR(__xludf.DUMMYFUNCTION("""COMPUTED_VALUE"""),10763.49)</f>
        <v>10763.49</v>
      </c>
      <c r="C524" s="434">
        <f>IFERROR(__xludf.DUMMYFUNCTION("""COMPUTED_VALUE"""),42745.99861111111)</f>
        <v>42745.99861</v>
      </c>
      <c r="D524" s="433">
        <f>IFERROR(__xludf.DUMMYFUNCTION("""COMPUTED_VALUE"""),10.3695)</f>
        <v>10.3695</v>
      </c>
      <c r="F524" s="434">
        <f>IFERROR(__xludf.DUMMYFUNCTION("""COMPUTED_VALUE"""),45449.99861111111)</f>
        <v>45449.99861</v>
      </c>
      <c r="G524" s="433">
        <f>IFERROR(__xludf.DUMMYFUNCTION("""COMPUTED_VALUE"""),71103.14)</f>
        <v>71103.14</v>
      </c>
      <c r="H524" s="434">
        <f>IFERROR(__xludf.DUMMYFUNCTION("""COMPUTED_VALUE"""),45448.99861111111)</f>
        <v>45448.99861</v>
      </c>
      <c r="I524" s="433">
        <f>IFERROR(__xludf.DUMMYFUNCTION("""COMPUTED_VALUE"""),3811.5379)</f>
        <v>3811.5379</v>
      </c>
    </row>
    <row r="525">
      <c r="A525" s="434">
        <f>IFERROR(__xludf.DUMMYFUNCTION("""COMPUTED_VALUE"""),43159.99861111111)</f>
        <v>43159.99861</v>
      </c>
      <c r="B525" s="433">
        <f>IFERROR(__xludf.DUMMYFUNCTION("""COMPUTED_VALUE"""),10542.55)</f>
        <v>10542.55</v>
      </c>
      <c r="C525" s="434">
        <f>IFERROR(__xludf.DUMMYFUNCTION("""COMPUTED_VALUE"""),42746.99861111111)</f>
        <v>42746.99861</v>
      </c>
      <c r="D525" s="433">
        <f>IFERROR(__xludf.DUMMYFUNCTION("""COMPUTED_VALUE"""),10.5415)</f>
        <v>10.5415</v>
      </c>
      <c r="F525" s="434">
        <f>IFERROR(__xludf.DUMMYFUNCTION("""COMPUTED_VALUE"""),45450.99861111111)</f>
        <v>45450.99861</v>
      </c>
      <c r="G525" s="433">
        <f>IFERROR(__xludf.DUMMYFUNCTION("""COMPUTED_VALUE"""),70959.8)</f>
        <v>70959.8</v>
      </c>
      <c r="H525" s="434">
        <f>IFERROR(__xludf.DUMMYFUNCTION("""COMPUTED_VALUE"""),45449.99861111111)</f>
        <v>45449.99861</v>
      </c>
      <c r="I525" s="433">
        <f>IFERROR(__xludf.DUMMYFUNCTION("""COMPUTED_VALUE"""),3865.7226)</f>
        <v>3865.7226</v>
      </c>
    </row>
    <row r="526">
      <c r="A526" s="434">
        <f>IFERROR(__xludf.DUMMYFUNCTION("""COMPUTED_VALUE"""),43160.99861111111)</f>
        <v>43160.99861</v>
      </c>
      <c r="B526" s="433">
        <f>IFERROR(__xludf.DUMMYFUNCTION("""COMPUTED_VALUE"""),10940.69)</f>
        <v>10940.69</v>
      </c>
      <c r="C526" s="434">
        <f>IFERROR(__xludf.DUMMYFUNCTION("""COMPUTED_VALUE"""),42747.99861111111)</f>
        <v>42747.99861</v>
      </c>
      <c r="D526" s="433">
        <f>IFERROR(__xludf.DUMMYFUNCTION("""COMPUTED_VALUE"""),9.7214)</f>
        <v>9.7214</v>
      </c>
      <c r="F526" s="434">
        <f>IFERROR(__xludf.DUMMYFUNCTION("""COMPUTED_VALUE"""),45451.99861111111)</f>
        <v>45451.99861</v>
      </c>
      <c r="G526" s="433">
        <f>IFERROR(__xludf.DUMMYFUNCTION("""COMPUTED_VALUE"""),69445.59)</f>
        <v>69445.59</v>
      </c>
      <c r="H526" s="434">
        <f>IFERROR(__xludf.DUMMYFUNCTION("""COMPUTED_VALUE"""),45450.99861111111)</f>
        <v>45450.99861</v>
      </c>
      <c r="I526" s="433">
        <f>IFERROR(__xludf.DUMMYFUNCTION("""COMPUTED_VALUE"""),3812.0931)</f>
        <v>3812.0931</v>
      </c>
    </row>
    <row r="527">
      <c r="A527" s="434">
        <f>IFERROR(__xludf.DUMMYFUNCTION("""COMPUTED_VALUE"""),43161.99861111111)</f>
        <v>43161.99861</v>
      </c>
      <c r="B527" s="433">
        <f>IFERROR(__xludf.DUMMYFUNCTION("""COMPUTED_VALUE"""),11038.1)</f>
        <v>11038.1</v>
      </c>
      <c r="C527" s="434">
        <f>IFERROR(__xludf.DUMMYFUNCTION("""COMPUTED_VALUE"""),42748.99861111111)</f>
        <v>42748.99861</v>
      </c>
      <c r="D527" s="433">
        <f>IFERROR(__xludf.DUMMYFUNCTION("""COMPUTED_VALUE"""),9.8272)</f>
        <v>9.8272</v>
      </c>
      <c r="F527" s="434">
        <f>IFERROR(__xludf.DUMMYFUNCTION("""COMPUTED_VALUE"""),45452.99861111111)</f>
        <v>45452.99861</v>
      </c>
      <c r="G527" s="433">
        <f>IFERROR(__xludf.DUMMYFUNCTION("""COMPUTED_VALUE"""),69277.68)</f>
        <v>69277.68</v>
      </c>
      <c r="H527" s="434">
        <f>IFERROR(__xludf.DUMMYFUNCTION("""COMPUTED_VALUE"""),45451.99861111111)</f>
        <v>45451.99861</v>
      </c>
      <c r="I527" s="433">
        <f>IFERROR(__xludf.DUMMYFUNCTION("""COMPUTED_VALUE"""),3677.4003)</f>
        <v>3677.4003</v>
      </c>
    </row>
    <row r="528">
      <c r="A528" s="434">
        <f>IFERROR(__xludf.DUMMYFUNCTION("""COMPUTED_VALUE"""),43162.99861111111)</f>
        <v>43162.99861</v>
      </c>
      <c r="B528" s="433">
        <f>IFERROR(__xludf.DUMMYFUNCTION("""COMPUTED_VALUE"""),11360.78)</f>
        <v>11360.78</v>
      </c>
      <c r="C528" s="434">
        <f>IFERROR(__xludf.DUMMYFUNCTION("""COMPUTED_VALUE"""),42749.99861111111)</f>
        <v>42749.99861</v>
      </c>
      <c r="D528" s="433">
        <f>IFERROR(__xludf.DUMMYFUNCTION("""COMPUTED_VALUE"""),9.7865)</f>
        <v>9.7865</v>
      </c>
      <c r="F528" s="434">
        <f>IFERROR(__xludf.DUMMYFUNCTION("""COMPUTED_VALUE"""),45453.99861111111)</f>
        <v>45453.99861</v>
      </c>
      <c r="G528" s="433">
        <f>IFERROR(__xludf.DUMMYFUNCTION("""COMPUTED_VALUE"""),69633.42)</f>
        <v>69633.42</v>
      </c>
      <c r="H528" s="434">
        <f>IFERROR(__xludf.DUMMYFUNCTION("""COMPUTED_VALUE"""),45452.99861111111)</f>
        <v>45452.99861</v>
      </c>
      <c r="I528" s="433">
        <f>IFERROR(__xludf.DUMMYFUNCTION("""COMPUTED_VALUE"""),3680.936)</f>
        <v>3680.936</v>
      </c>
    </row>
    <row r="529">
      <c r="A529" s="434">
        <f>IFERROR(__xludf.DUMMYFUNCTION("""COMPUTED_VALUE"""),43163.99861111111)</f>
        <v>43163.99861</v>
      </c>
      <c r="B529" s="433">
        <f>IFERROR(__xludf.DUMMYFUNCTION("""COMPUTED_VALUE"""),11470.49)</f>
        <v>11470.49</v>
      </c>
      <c r="C529" s="434">
        <f>IFERROR(__xludf.DUMMYFUNCTION("""COMPUTED_VALUE"""),42750.99861111111)</f>
        <v>42750.99861</v>
      </c>
      <c r="D529" s="433">
        <f>IFERROR(__xludf.DUMMYFUNCTION("""COMPUTED_VALUE"""),9.8292)</f>
        <v>9.8292</v>
      </c>
      <c r="F529" s="434">
        <f>IFERROR(__xludf.DUMMYFUNCTION("""COMPUTED_VALUE"""),45454.99861111111)</f>
        <v>45454.99861</v>
      </c>
      <c r="G529" s="433">
        <f>IFERROR(__xludf.DUMMYFUNCTION("""COMPUTED_VALUE"""),68405.53)</f>
        <v>68405.53</v>
      </c>
      <c r="H529" s="434">
        <f>IFERROR(__xludf.DUMMYFUNCTION("""COMPUTED_VALUE"""),45453.99861111111)</f>
        <v>45453.99861</v>
      </c>
      <c r="I529" s="433">
        <f>IFERROR(__xludf.DUMMYFUNCTION("""COMPUTED_VALUE"""),3705.8773)</f>
        <v>3705.8773</v>
      </c>
    </row>
    <row r="530">
      <c r="A530" s="434">
        <f>IFERROR(__xludf.DUMMYFUNCTION("""COMPUTED_VALUE"""),43164.99861111111)</f>
        <v>43164.99861</v>
      </c>
      <c r="B530" s="433">
        <f>IFERROR(__xludf.DUMMYFUNCTION("""COMPUTED_VALUE"""),11569.98)</f>
        <v>11569.98</v>
      </c>
      <c r="C530" s="434">
        <f>IFERROR(__xludf.DUMMYFUNCTION("""COMPUTED_VALUE"""),42751.99861111111)</f>
        <v>42751.99861</v>
      </c>
      <c r="D530" s="433">
        <f>IFERROR(__xludf.DUMMYFUNCTION("""COMPUTED_VALUE"""),9.8835)</f>
        <v>9.8835</v>
      </c>
      <c r="F530" s="434">
        <f>IFERROR(__xludf.DUMMYFUNCTION("""COMPUTED_VALUE"""),45455.99861111111)</f>
        <v>45455.99861</v>
      </c>
      <c r="G530" s="433">
        <f>IFERROR(__xludf.DUMMYFUNCTION("""COMPUTED_VALUE"""),67369.51)</f>
        <v>67369.51</v>
      </c>
      <c r="H530" s="434">
        <f>IFERROR(__xludf.DUMMYFUNCTION("""COMPUTED_VALUE"""),45454.99861111111)</f>
        <v>45454.99861</v>
      </c>
      <c r="I530" s="433">
        <f>IFERROR(__xludf.DUMMYFUNCTION("""COMPUTED_VALUE"""),3666.3588)</f>
        <v>3666.3588</v>
      </c>
    </row>
    <row r="531">
      <c r="A531" s="434">
        <f>IFERROR(__xludf.DUMMYFUNCTION("""COMPUTED_VALUE"""),43165.99861111111)</f>
        <v>43165.99861</v>
      </c>
      <c r="B531" s="433">
        <f>IFERROR(__xludf.DUMMYFUNCTION("""COMPUTED_VALUE"""),10787.04)</f>
        <v>10787.04</v>
      </c>
      <c r="C531" s="434">
        <f>IFERROR(__xludf.DUMMYFUNCTION("""COMPUTED_VALUE"""),42752.99861111111)</f>
        <v>42752.99861</v>
      </c>
      <c r="D531" s="433">
        <f>IFERROR(__xludf.DUMMYFUNCTION("""COMPUTED_VALUE"""),9.6396)</f>
        <v>9.6396</v>
      </c>
      <c r="F531" s="434">
        <f>IFERROR(__xludf.DUMMYFUNCTION("""COMPUTED_VALUE"""),45456.99861111111)</f>
        <v>45456.99861</v>
      </c>
      <c r="G531" s="433">
        <f>IFERROR(__xludf.DUMMYFUNCTION("""COMPUTED_VALUE"""),67363.84)</f>
        <v>67363.84</v>
      </c>
      <c r="H531" s="434">
        <f>IFERROR(__xludf.DUMMYFUNCTION("""COMPUTED_VALUE"""),45455.99861111111)</f>
        <v>45455.99861</v>
      </c>
      <c r="I531" s="433">
        <f>IFERROR(__xludf.DUMMYFUNCTION("""COMPUTED_VALUE"""),3497.8969)</f>
        <v>3497.8969</v>
      </c>
    </row>
    <row r="532">
      <c r="A532" s="434">
        <f>IFERROR(__xludf.DUMMYFUNCTION("""COMPUTED_VALUE"""),43166.99861111111)</f>
        <v>43166.99861</v>
      </c>
      <c r="B532" s="433">
        <f>IFERROR(__xludf.DUMMYFUNCTION("""COMPUTED_VALUE"""),9946.18)</f>
        <v>9946.18</v>
      </c>
      <c r="C532" s="434">
        <f>IFERROR(__xludf.DUMMYFUNCTION("""COMPUTED_VALUE"""),42753.99861111111)</f>
        <v>42753.99861</v>
      </c>
      <c r="D532" s="433">
        <f>IFERROR(__xludf.DUMMYFUNCTION("""COMPUTED_VALUE"""),10.2964)</f>
        <v>10.2964</v>
      </c>
      <c r="F532" s="434">
        <f>IFERROR(__xludf.DUMMYFUNCTION("""COMPUTED_VALUE"""),45457.99861111111)</f>
        <v>45457.99861</v>
      </c>
      <c r="G532" s="433">
        <f>IFERROR(__xludf.DUMMYFUNCTION("""COMPUTED_VALUE"""),66718.27)</f>
        <v>66718.27</v>
      </c>
      <c r="H532" s="434">
        <f>IFERROR(__xludf.DUMMYFUNCTION("""COMPUTED_VALUE"""),45456.99861111111)</f>
        <v>45456.99861</v>
      </c>
      <c r="I532" s="433">
        <f>IFERROR(__xludf.DUMMYFUNCTION("""COMPUTED_VALUE"""),3559.7253)</f>
        <v>3559.7253</v>
      </c>
    </row>
    <row r="533">
      <c r="A533" s="434">
        <f>IFERROR(__xludf.DUMMYFUNCTION("""COMPUTED_VALUE"""),43167.99861111111)</f>
        <v>43167.99861</v>
      </c>
      <c r="B533" s="433">
        <f>IFERROR(__xludf.DUMMYFUNCTION("""COMPUTED_VALUE"""),9333.84)</f>
        <v>9333.84</v>
      </c>
      <c r="C533" s="434">
        <f>IFERROR(__xludf.DUMMYFUNCTION("""COMPUTED_VALUE"""),42754.99861111111)</f>
        <v>42754.99861</v>
      </c>
      <c r="D533" s="433">
        <f>IFERROR(__xludf.DUMMYFUNCTION("""COMPUTED_VALUE"""),10.2405)</f>
        <v>10.2405</v>
      </c>
      <c r="F533" s="434">
        <f>IFERROR(__xludf.DUMMYFUNCTION("""COMPUTED_VALUE"""),45458.99861111111)</f>
        <v>45458.99861</v>
      </c>
      <c r="G533" s="433">
        <f>IFERROR(__xludf.DUMMYFUNCTION("""COMPUTED_VALUE"""),66138.7)</f>
        <v>66138.7</v>
      </c>
      <c r="H533" s="434">
        <f>IFERROR(__xludf.DUMMYFUNCTION("""COMPUTED_VALUE"""),45457.99861111111)</f>
        <v>45457.99861</v>
      </c>
      <c r="I533" s="433">
        <f>IFERROR(__xludf.DUMMYFUNCTION("""COMPUTED_VALUE"""),3467.9701)</f>
        <v>3467.9701</v>
      </c>
    </row>
    <row r="534">
      <c r="A534" s="434">
        <f>IFERROR(__xludf.DUMMYFUNCTION("""COMPUTED_VALUE"""),43168.99861111111)</f>
        <v>43168.99861</v>
      </c>
      <c r="B534" s="433">
        <f>IFERROR(__xludf.DUMMYFUNCTION("""COMPUTED_VALUE"""),9006.66)</f>
        <v>9006.66</v>
      </c>
      <c r="C534" s="434">
        <f>IFERROR(__xludf.DUMMYFUNCTION("""COMPUTED_VALUE"""),42755.99861111111)</f>
        <v>42755.99861</v>
      </c>
      <c r="D534" s="433">
        <f>IFERROR(__xludf.DUMMYFUNCTION("""COMPUTED_VALUE"""),10.3868)</f>
        <v>10.3868</v>
      </c>
      <c r="F534" s="434">
        <f>IFERROR(__xludf.DUMMYFUNCTION("""COMPUTED_VALUE"""),45459.99861111111)</f>
        <v>45459.99861</v>
      </c>
      <c r="G534" s="433">
        <f>IFERROR(__xludf.DUMMYFUNCTION("""COMPUTED_VALUE"""),66111.79)</f>
        <v>66111.79</v>
      </c>
      <c r="H534" s="434">
        <f>IFERROR(__xludf.DUMMYFUNCTION("""COMPUTED_VALUE"""),45458.99861111111)</f>
        <v>45458.99861</v>
      </c>
      <c r="I534" s="433">
        <f>IFERROR(__xludf.DUMMYFUNCTION("""COMPUTED_VALUE"""),3479.7856)</f>
        <v>3479.7856</v>
      </c>
    </row>
    <row r="535">
      <c r="A535" s="434">
        <f>IFERROR(__xludf.DUMMYFUNCTION("""COMPUTED_VALUE"""),43169.99861111111)</f>
        <v>43169.99861</v>
      </c>
      <c r="B535" s="433">
        <f>IFERROR(__xludf.DUMMYFUNCTION("""COMPUTED_VALUE"""),8515.73)</f>
        <v>8515.73</v>
      </c>
      <c r="C535" s="434">
        <f>IFERROR(__xludf.DUMMYFUNCTION("""COMPUTED_VALUE"""),42756.99861111111)</f>
        <v>42756.99861</v>
      </c>
      <c r="D535" s="433">
        <f>IFERROR(__xludf.DUMMYFUNCTION("""COMPUTED_VALUE"""),10.5955)</f>
        <v>10.5955</v>
      </c>
      <c r="F535" s="434">
        <f>IFERROR(__xludf.DUMMYFUNCTION("""COMPUTED_VALUE"""),45460.99861111111)</f>
        <v>45460.99861</v>
      </c>
      <c r="G535" s="433">
        <f>IFERROR(__xludf.DUMMYFUNCTION("""COMPUTED_VALUE"""),66229.78)</f>
        <v>66229.78</v>
      </c>
      <c r="H535" s="434">
        <f>IFERROR(__xludf.DUMMYFUNCTION("""COMPUTED_VALUE"""),45459.99861111111)</f>
        <v>45459.99861</v>
      </c>
      <c r="I535" s="433">
        <f>IFERROR(__xludf.DUMMYFUNCTION("""COMPUTED_VALUE"""),3566.7619)</f>
        <v>3566.7619</v>
      </c>
    </row>
    <row r="536">
      <c r="A536" s="434">
        <f>IFERROR(__xludf.DUMMYFUNCTION("""COMPUTED_VALUE"""),43170.99861111111)</f>
        <v>43170.99861</v>
      </c>
      <c r="B536" s="433">
        <f>IFERROR(__xludf.DUMMYFUNCTION("""COMPUTED_VALUE"""),9519.76)</f>
        <v>9519.76</v>
      </c>
      <c r="C536" s="434">
        <f>IFERROR(__xludf.DUMMYFUNCTION("""COMPUTED_VALUE"""),42757.99861111111)</f>
        <v>42757.99861</v>
      </c>
      <c r="D536" s="433">
        <f>IFERROR(__xludf.DUMMYFUNCTION("""COMPUTED_VALUE"""),10.9101)</f>
        <v>10.9101</v>
      </c>
      <c r="F536" s="434">
        <f>IFERROR(__xludf.DUMMYFUNCTION("""COMPUTED_VALUE"""),45461.99861111111)</f>
        <v>45461.99861</v>
      </c>
      <c r="G536" s="433">
        <f>IFERROR(__xludf.DUMMYFUNCTION("""COMPUTED_VALUE"""),65507.87)</f>
        <v>65507.87</v>
      </c>
      <c r="H536" s="434">
        <f>IFERROR(__xludf.DUMMYFUNCTION("""COMPUTED_VALUE"""),45460.99861111111)</f>
        <v>45460.99861</v>
      </c>
      <c r="I536" s="433">
        <f>IFERROR(__xludf.DUMMYFUNCTION("""COMPUTED_VALUE"""),3622.3836)</f>
        <v>3622.3836</v>
      </c>
    </row>
    <row r="537">
      <c r="A537" s="434">
        <f>IFERROR(__xludf.DUMMYFUNCTION("""COMPUTED_VALUE"""),43171.99861111111)</f>
        <v>43171.99861</v>
      </c>
      <c r="B537" s="433">
        <f>IFERROR(__xludf.DUMMYFUNCTION("""COMPUTED_VALUE"""),9009.62)</f>
        <v>9009.62</v>
      </c>
      <c r="C537" s="434">
        <f>IFERROR(__xludf.DUMMYFUNCTION("""COMPUTED_VALUE"""),42758.99861111111)</f>
        <v>42758.99861</v>
      </c>
      <c r="D537" s="433">
        <f>IFERROR(__xludf.DUMMYFUNCTION("""COMPUTED_VALUE"""),10.7099)</f>
        <v>10.7099</v>
      </c>
      <c r="F537" s="434">
        <f>IFERROR(__xludf.DUMMYFUNCTION("""COMPUTED_VALUE"""),45462.99861111111)</f>
        <v>45462.99861</v>
      </c>
      <c r="G537" s="433">
        <f>IFERROR(__xludf.DUMMYFUNCTION("""COMPUTED_VALUE"""),65411.28)</f>
        <v>65411.28</v>
      </c>
      <c r="H537" s="434">
        <f>IFERROR(__xludf.DUMMYFUNCTION("""COMPUTED_VALUE"""),45461.99861111111)</f>
        <v>45461.99861</v>
      </c>
      <c r="I537" s="433">
        <f>IFERROR(__xludf.DUMMYFUNCTION("""COMPUTED_VALUE"""),3510.5652)</f>
        <v>3510.5652</v>
      </c>
    </row>
    <row r="538">
      <c r="A538" s="434">
        <f>IFERROR(__xludf.DUMMYFUNCTION("""COMPUTED_VALUE"""),43172.99861111111)</f>
        <v>43172.99861</v>
      </c>
      <c r="B538" s="433">
        <f>IFERROR(__xludf.DUMMYFUNCTION("""COMPUTED_VALUE"""),9059.03)</f>
        <v>9059.03</v>
      </c>
      <c r="C538" s="434">
        <f>IFERROR(__xludf.DUMMYFUNCTION("""COMPUTED_VALUE"""),42759.99861111111)</f>
        <v>42759.99861</v>
      </c>
      <c r="D538" s="433">
        <f>IFERROR(__xludf.DUMMYFUNCTION("""COMPUTED_VALUE"""),10.818)</f>
        <v>10.818</v>
      </c>
      <c r="F538" s="434">
        <f>IFERROR(__xludf.DUMMYFUNCTION("""COMPUTED_VALUE"""),45463.99861111111)</f>
        <v>45463.99861</v>
      </c>
      <c r="G538" s="433">
        <f>IFERROR(__xludf.DUMMYFUNCTION("""COMPUTED_VALUE"""),65171.54)</f>
        <v>65171.54</v>
      </c>
      <c r="H538" s="434">
        <f>IFERROR(__xludf.DUMMYFUNCTION("""COMPUTED_VALUE"""),45462.99861111111)</f>
        <v>45462.99861</v>
      </c>
      <c r="I538" s="433">
        <f>IFERROR(__xludf.DUMMYFUNCTION("""COMPUTED_VALUE"""),3482.3507)</f>
        <v>3482.3507</v>
      </c>
    </row>
    <row r="539">
      <c r="A539" s="434">
        <f>IFERROR(__xludf.DUMMYFUNCTION("""COMPUTED_VALUE"""),43173.99861111111)</f>
        <v>43173.99861</v>
      </c>
      <c r="B539" s="433">
        <f>IFERROR(__xludf.DUMMYFUNCTION("""COMPUTED_VALUE"""),8299.89)</f>
        <v>8299.89</v>
      </c>
      <c r="C539" s="434">
        <f>IFERROR(__xludf.DUMMYFUNCTION("""COMPUTED_VALUE"""),42760.99861111111)</f>
        <v>42760.99861</v>
      </c>
      <c r="D539" s="433">
        <f>IFERROR(__xludf.DUMMYFUNCTION("""COMPUTED_VALUE"""),10.6185)</f>
        <v>10.6185</v>
      </c>
      <c r="F539" s="434">
        <f>IFERROR(__xludf.DUMMYFUNCTION("""COMPUTED_VALUE"""),45464.99861111111)</f>
        <v>45464.99861</v>
      </c>
      <c r="G539" s="433">
        <f>IFERROR(__xludf.DUMMYFUNCTION("""COMPUTED_VALUE"""),64652.56)</f>
        <v>64652.56</v>
      </c>
      <c r="H539" s="434">
        <f>IFERROR(__xludf.DUMMYFUNCTION("""COMPUTED_VALUE"""),45463.99861111111)</f>
        <v>45463.99861</v>
      </c>
      <c r="I539" s="433">
        <f>IFERROR(__xludf.DUMMYFUNCTION("""COMPUTED_VALUE"""),3559.3473)</f>
        <v>3559.3473</v>
      </c>
    </row>
    <row r="540">
      <c r="A540" s="434">
        <f>IFERROR(__xludf.DUMMYFUNCTION("""COMPUTED_VALUE"""),43174.99861111111)</f>
        <v>43174.99861</v>
      </c>
      <c r="B540" s="433">
        <f>IFERROR(__xludf.DUMMYFUNCTION("""COMPUTED_VALUE"""),8263.65)</f>
        <v>8263.65</v>
      </c>
      <c r="C540" s="434">
        <f>IFERROR(__xludf.DUMMYFUNCTION("""COMPUTED_VALUE"""),42761.99861111111)</f>
        <v>42761.99861</v>
      </c>
      <c r="D540" s="433">
        <f>IFERROR(__xludf.DUMMYFUNCTION("""COMPUTED_VALUE"""),10.5705)</f>
        <v>10.5705</v>
      </c>
      <c r="F540" s="434">
        <f>IFERROR(__xludf.DUMMYFUNCTION("""COMPUTED_VALUE"""),45465.99861111111)</f>
        <v>45465.99861</v>
      </c>
      <c r="G540" s="433">
        <f>IFERROR(__xludf.DUMMYFUNCTION("""COMPUTED_VALUE"""),64283.77)</f>
        <v>64283.77</v>
      </c>
      <c r="H540" s="434">
        <f>IFERROR(__xludf.DUMMYFUNCTION("""COMPUTED_VALUE"""),45464.99861111111)</f>
        <v>45464.99861</v>
      </c>
      <c r="I540" s="433">
        <f>IFERROR(__xludf.DUMMYFUNCTION("""COMPUTED_VALUE"""),3511.2684)</f>
        <v>3511.2684</v>
      </c>
    </row>
    <row r="541">
      <c r="A541" s="434">
        <f>IFERROR(__xludf.DUMMYFUNCTION("""COMPUTED_VALUE"""),43175.99861111111)</f>
        <v>43175.99861</v>
      </c>
      <c r="B541" s="433">
        <f>IFERROR(__xludf.DUMMYFUNCTION("""COMPUTED_VALUE"""),8526.98)</f>
        <v>8526.98</v>
      </c>
      <c r="C541" s="434">
        <f>IFERROR(__xludf.DUMMYFUNCTION("""COMPUTED_VALUE"""),42762.99861111111)</f>
        <v>42762.99861</v>
      </c>
      <c r="D541" s="433">
        <f>IFERROR(__xludf.DUMMYFUNCTION("""COMPUTED_VALUE"""),10.5841)</f>
        <v>10.5841</v>
      </c>
      <c r="F541" s="434">
        <f>IFERROR(__xludf.DUMMYFUNCTION("""COMPUTED_VALUE"""),45466.99861111111)</f>
        <v>45466.99861</v>
      </c>
      <c r="G541" s="433">
        <f>IFERROR(__xludf.DUMMYFUNCTION("""COMPUTED_VALUE"""),64407.0)</f>
        <v>64407</v>
      </c>
      <c r="H541" s="434">
        <f>IFERROR(__xludf.DUMMYFUNCTION("""COMPUTED_VALUE"""),45465.99861111111)</f>
        <v>45465.99861</v>
      </c>
      <c r="I541" s="433">
        <f>IFERROR(__xludf.DUMMYFUNCTION("""COMPUTED_VALUE"""),3516.5512)</f>
        <v>3516.5512</v>
      </c>
    </row>
    <row r="542">
      <c r="A542" s="434">
        <f>IFERROR(__xludf.DUMMYFUNCTION("""COMPUTED_VALUE"""),43176.99861111111)</f>
        <v>43176.99861</v>
      </c>
      <c r="B542" s="433">
        <f>IFERROR(__xludf.DUMMYFUNCTION("""COMPUTED_VALUE"""),7880.77)</f>
        <v>7880.77</v>
      </c>
      <c r="C542" s="434">
        <f>IFERROR(__xludf.DUMMYFUNCTION("""COMPUTED_VALUE"""),42763.99861111111)</f>
        <v>42763.99861</v>
      </c>
      <c r="D542" s="433">
        <f>IFERROR(__xludf.DUMMYFUNCTION("""COMPUTED_VALUE"""),10.5383)</f>
        <v>10.5383</v>
      </c>
      <c r="F542" s="434">
        <f>IFERROR(__xludf.DUMMYFUNCTION("""COMPUTED_VALUE"""),45467.99861111111)</f>
        <v>45467.99861</v>
      </c>
      <c r="G542" s="433">
        <f>IFERROR(__xludf.DUMMYFUNCTION("""COMPUTED_VALUE"""),62860.14)</f>
        <v>62860.14</v>
      </c>
      <c r="H542" s="434">
        <f>IFERROR(__xludf.DUMMYFUNCTION("""COMPUTED_VALUE"""),45466.99861111111)</f>
        <v>45466.99861</v>
      </c>
      <c r="I542" s="433">
        <f>IFERROR(__xludf.DUMMYFUNCTION("""COMPUTED_VALUE"""),3494.9539)</f>
        <v>3494.9539</v>
      </c>
    </row>
    <row r="543">
      <c r="A543" s="434">
        <f>IFERROR(__xludf.DUMMYFUNCTION("""COMPUTED_VALUE"""),43177.99861111111)</f>
        <v>43177.99861</v>
      </c>
      <c r="B543" s="433">
        <f>IFERROR(__xludf.DUMMYFUNCTION("""COMPUTED_VALUE"""),8206.42)</f>
        <v>8206.42</v>
      </c>
      <c r="C543" s="434">
        <f>IFERROR(__xludf.DUMMYFUNCTION("""COMPUTED_VALUE"""),42764.99861111111)</f>
        <v>42764.99861</v>
      </c>
      <c r="D543" s="433">
        <f>IFERROR(__xludf.DUMMYFUNCTION("""COMPUTED_VALUE"""),10.5617)</f>
        <v>10.5617</v>
      </c>
      <c r="F543" s="434">
        <f>IFERROR(__xludf.DUMMYFUNCTION("""COMPUTED_VALUE"""),45468.99861111111)</f>
        <v>45468.99861</v>
      </c>
      <c r="G543" s="433">
        <f>IFERROR(__xludf.DUMMYFUNCTION("""COMPUTED_VALUE"""),61352.41)</f>
        <v>61352.41</v>
      </c>
      <c r="H543" s="434">
        <f>IFERROR(__xludf.DUMMYFUNCTION("""COMPUTED_VALUE"""),45467.99861111111)</f>
        <v>45467.99861</v>
      </c>
      <c r="I543" s="433">
        <f>IFERROR(__xludf.DUMMYFUNCTION("""COMPUTED_VALUE"""),3418.7831)</f>
        <v>3418.7831</v>
      </c>
    </row>
    <row r="544">
      <c r="A544" s="434">
        <f>IFERROR(__xludf.DUMMYFUNCTION("""COMPUTED_VALUE"""),43178.99861111111)</f>
        <v>43178.99861</v>
      </c>
      <c r="B544" s="433">
        <f>IFERROR(__xludf.DUMMYFUNCTION("""COMPUTED_VALUE"""),8422.27)</f>
        <v>8422.27</v>
      </c>
      <c r="C544" s="434">
        <f>IFERROR(__xludf.DUMMYFUNCTION("""COMPUTED_VALUE"""),42765.99861111111)</f>
        <v>42765.99861</v>
      </c>
      <c r="D544" s="433">
        <f>IFERROR(__xludf.DUMMYFUNCTION("""COMPUTED_VALUE"""),10.4938)</f>
        <v>10.4938</v>
      </c>
      <c r="F544" s="434">
        <f>IFERROR(__xludf.DUMMYFUNCTION("""COMPUTED_VALUE"""),45469.99861111111)</f>
        <v>45469.99861</v>
      </c>
      <c r="G544" s="433">
        <f>IFERROR(__xludf.DUMMYFUNCTION("""COMPUTED_VALUE"""),61958.77)</f>
        <v>61958.77</v>
      </c>
      <c r="H544" s="434">
        <f>IFERROR(__xludf.DUMMYFUNCTION("""COMPUTED_VALUE"""),45468.99861111111)</f>
        <v>45468.99861</v>
      </c>
      <c r="I544" s="433">
        <f>IFERROR(__xludf.DUMMYFUNCTION("""COMPUTED_VALUE"""),3350.5556)</f>
        <v>3350.5556</v>
      </c>
    </row>
    <row r="545">
      <c r="A545" s="434">
        <f>IFERROR(__xludf.DUMMYFUNCTION("""COMPUTED_VALUE"""),43179.99861111111)</f>
        <v>43179.99861</v>
      </c>
      <c r="B545" s="433">
        <f>IFERROR(__xludf.DUMMYFUNCTION("""COMPUTED_VALUE"""),8917.49)</f>
        <v>8917.49</v>
      </c>
      <c r="C545" s="434">
        <f>IFERROR(__xludf.DUMMYFUNCTION("""COMPUTED_VALUE"""),42766.99861111111)</f>
        <v>42766.99861</v>
      </c>
      <c r="D545" s="433">
        <f>IFERROR(__xludf.DUMMYFUNCTION("""COMPUTED_VALUE"""),10.5642)</f>
        <v>10.5642</v>
      </c>
      <c r="F545" s="434">
        <f>IFERROR(__xludf.DUMMYFUNCTION("""COMPUTED_VALUE"""),45470.99861111111)</f>
        <v>45470.99861</v>
      </c>
      <c r="G545" s="433">
        <f>IFERROR(__xludf.DUMMYFUNCTION("""COMPUTED_VALUE"""),61006.5)</f>
        <v>61006.5</v>
      </c>
      <c r="H545" s="434">
        <f>IFERROR(__xludf.DUMMYFUNCTION("""COMPUTED_VALUE"""),45469.99861111111)</f>
        <v>45469.99861</v>
      </c>
      <c r="I545" s="433">
        <f>IFERROR(__xludf.DUMMYFUNCTION("""COMPUTED_VALUE"""),3394.3734)</f>
        <v>3394.3734</v>
      </c>
    </row>
    <row r="546">
      <c r="A546" s="434">
        <f>IFERROR(__xludf.DUMMYFUNCTION("""COMPUTED_VALUE"""),43180.99861111111)</f>
        <v>43180.99861</v>
      </c>
      <c r="B546" s="433">
        <f>IFERROR(__xludf.DUMMYFUNCTION("""COMPUTED_VALUE"""),8885.57)</f>
        <v>8885.57</v>
      </c>
      <c r="C546" s="434">
        <f>IFERROR(__xludf.DUMMYFUNCTION("""COMPUTED_VALUE"""),42767.99861111111)</f>
        <v>42767.99861</v>
      </c>
      <c r="D546" s="433">
        <f>IFERROR(__xludf.DUMMYFUNCTION("""COMPUTED_VALUE"""),10.7413)</f>
        <v>10.7413</v>
      </c>
      <c r="F546" s="434">
        <f>IFERROR(__xludf.DUMMYFUNCTION("""COMPUTED_VALUE"""),45471.99861111111)</f>
        <v>45471.99861</v>
      </c>
      <c r="G546" s="433">
        <f>IFERROR(__xludf.DUMMYFUNCTION("""COMPUTED_VALUE"""),61814.18)</f>
        <v>61814.18</v>
      </c>
      <c r="H546" s="434">
        <f>IFERROR(__xludf.DUMMYFUNCTION("""COMPUTED_VALUE"""),45470.99861111111)</f>
        <v>45470.99861</v>
      </c>
      <c r="I546" s="433">
        <f>IFERROR(__xludf.DUMMYFUNCTION("""COMPUTED_VALUE"""),3368.8861)</f>
        <v>3368.8861</v>
      </c>
    </row>
    <row r="547">
      <c r="A547" s="434">
        <f>IFERROR(__xludf.DUMMYFUNCTION("""COMPUTED_VALUE"""),43181.99861111111)</f>
        <v>43181.99861</v>
      </c>
      <c r="B547" s="433">
        <f>IFERROR(__xludf.DUMMYFUNCTION("""COMPUTED_VALUE"""),8599.33)</f>
        <v>8599.33</v>
      </c>
      <c r="C547" s="434">
        <f>IFERROR(__xludf.DUMMYFUNCTION("""COMPUTED_VALUE"""),42768.99861111111)</f>
        <v>42768.99861</v>
      </c>
      <c r="D547" s="433">
        <f>IFERROR(__xludf.DUMMYFUNCTION("""COMPUTED_VALUE"""),10.7355)</f>
        <v>10.7355</v>
      </c>
      <c r="F547" s="434">
        <f>IFERROR(__xludf.DUMMYFUNCTION("""COMPUTED_VALUE"""),45472.99861111111)</f>
        <v>45472.99861</v>
      </c>
      <c r="G547" s="433">
        <f>IFERROR(__xludf.DUMMYFUNCTION("""COMPUTED_VALUE"""),60684.36)</f>
        <v>60684.36</v>
      </c>
      <c r="H547" s="434">
        <f>IFERROR(__xludf.DUMMYFUNCTION("""COMPUTED_VALUE"""),45471.99861111111)</f>
        <v>45471.99861</v>
      </c>
      <c r="I547" s="433">
        <f>IFERROR(__xludf.DUMMYFUNCTION("""COMPUTED_VALUE"""),3445.4988)</f>
        <v>3445.4988</v>
      </c>
    </row>
    <row r="548">
      <c r="A548" s="434">
        <f>IFERROR(__xludf.DUMMYFUNCTION("""COMPUTED_VALUE"""),43182.99861111111)</f>
        <v>43182.99861</v>
      </c>
      <c r="B548" s="433">
        <f>IFERROR(__xludf.DUMMYFUNCTION("""COMPUTED_VALUE"""),8618.66)</f>
        <v>8618.66</v>
      </c>
      <c r="C548" s="434">
        <f>IFERROR(__xludf.DUMMYFUNCTION("""COMPUTED_VALUE"""),42769.99861111111)</f>
        <v>42769.99861</v>
      </c>
      <c r="D548" s="433">
        <f>IFERROR(__xludf.DUMMYFUNCTION("""COMPUTED_VALUE"""),10.8125)</f>
        <v>10.8125</v>
      </c>
      <c r="F548" s="434">
        <f>IFERROR(__xludf.DUMMYFUNCTION("""COMPUTED_VALUE"""),45473.99861111111)</f>
        <v>45473.99861</v>
      </c>
      <c r="G548" s="433">
        <f>IFERROR(__xludf.DUMMYFUNCTION("""COMPUTED_VALUE"""),60860.1)</f>
        <v>60860.1</v>
      </c>
      <c r="H548" s="434">
        <f>IFERROR(__xludf.DUMMYFUNCTION("""COMPUTED_VALUE"""),45472.99861111111)</f>
        <v>45472.99861</v>
      </c>
      <c r="I548" s="433">
        <f>IFERROR(__xludf.DUMMYFUNCTION("""COMPUTED_VALUE"""),3373.69)</f>
        <v>3373.69</v>
      </c>
    </row>
    <row r="549">
      <c r="A549" s="434">
        <f>IFERROR(__xludf.DUMMYFUNCTION("""COMPUTED_VALUE"""),43183.99861111111)</f>
        <v>43183.99861</v>
      </c>
      <c r="B549" s="433">
        <f>IFERROR(__xludf.DUMMYFUNCTION("""COMPUTED_VALUE"""),8524.72)</f>
        <v>8524.72</v>
      </c>
      <c r="C549" s="434">
        <f>IFERROR(__xludf.DUMMYFUNCTION("""COMPUTED_VALUE"""),42770.99861111111)</f>
        <v>42770.99861</v>
      </c>
      <c r="D549" s="433">
        <f>IFERROR(__xludf.DUMMYFUNCTION("""COMPUTED_VALUE"""),11.1287)</f>
        <v>11.1287</v>
      </c>
      <c r="F549" s="434">
        <f>IFERROR(__xludf.DUMMYFUNCTION("""COMPUTED_VALUE"""),45474.99861111111)</f>
        <v>45474.99861</v>
      </c>
      <c r="G549" s="433">
        <f>IFERROR(__xludf.DUMMYFUNCTION("""COMPUTED_VALUE"""),63352.62)</f>
        <v>63352.62</v>
      </c>
      <c r="H549" s="434">
        <f>IFERROR(__xludf.DUMMYFUNCTION("""COMPUTED_VALUE"""),45473.99861111111)</f>
        <v>45473.99861</v>
      </c>
      <c r="I549" s="433">
        <f>IFERROR(__xludf.DUMMYFUNCTION("""COMPUTED_VALUE"""),3373.0756)</f>
        <v>3373.0756</v>
      </c>
    </row>
    <row r="550">
      <c r="A550" s="434">
        <f>IFERROR(__xludf.DUMMYFUNCTION("""COMPUTED_VALUE"""),43184.99861111111)</f>
        <v>43184.99861</v>
      </c>
      <c r="B550" s="433">
        <f>IFERROR(__xludf.DUMMYFUNCTION("""COMPUTED_VALUE"""),8454.28)</f>
        <v>8454.28</v>
      </c>
      <c r="C550" s="434">
        <f>IFERROR(__xludf.DUMMYFUNCTION("""COMPUTED_VALUE"""),42771.99861111111)</f>
        <v>42771.99861</v>
      </c>
      <c r="D550" s="433">
        <f>IFERROR(__xludf.DUMMYFUNCTION("""COMPUTED_VALUE"""),11.4422)</f>
        <v>11.4422</v>
      </c>
      <c r="F550" s="434">
        <f>IFERROR(__xludf.DUMMYFUNCTION("""COMPUTED_VALUE"""),45475.99861111111)</f>
        <v>45475.99861</v>
      </c>
      <c r="G550" s="433">
        <f>IFERROR(__xludf.DUMMYFUNCTION("""COMPUTED_VALUE"""),63112.1)</f>
        <v>63112.1</v>
      </c>
      <c r="H550" s="434">
        <f>IFERROR(__xludf.DUMMYFUNCTION("""COMPUTED_VALUE"""),45474.99861111111)</f>
        <v>45474.99861</v>
      </c>
      <c r="I550" s="433">
        <f>IFERROR(__xludf.DUMMYFUNCTION("""COMPUTED_VALUE"""),3432.6075)</f>
        <v>3432.6075</v>
      </c>
    </row>
    <row r="551">
      <c r="A551" s="434">
        <f>IFERROR(__xludf.DUMMYFUNCTION("""COMPUTED_VALUE"""),43185.99861111111)</f>
        <v>43185.99861</v>
      </c>
      <c r="B551" s="433">
        <f>IFERROR(__xludf.DUMMYFUNCTION("""COMPUTED_VALUE"""),7897.76)</f>
        <v>7897.76</v>
      </c>
      <c r="C551" s="434">
        <f>IFERROR(__xludf.DUMMYFUNCTION("""COMPUTED_VALUE"""),42772.99861111111)</f>
        <v>42772.99861</v>
      </c>
      <c r="D551" s="433">
        <f>IFERROR(__xludf.DUMMYFUNCTION("""COMPUTED_VALUE"""),11.3539)</f>
        <v>11.3539</v>
      </c>
      <c r="F551" s="434">
        <f>IFERROR(__xludf.DUMMYFUNCTION("""COMPUTED_VALUE"""),45476.99861111111)</f>
        <v>45476.99861</v>
      </c>
      <c r="G551" s="433">
        <f>IFERROR(__xludf.DUMMYFUNCTION("""COMPUTED_VALUE"""),60889.5)</f>
        <v>60889.5</v>
      </c>
      <c r="H551" s="434">
        <f>IFERROR(__xludf.DUMMYFUNCTION("""COMPUTED_VALUE"""),45475.99861111111)</f>
        <v>45475.99861</v>
      </c>
      <c r="I551" s="433">
        <f>IFERROR(__xludf.DUMMYFUNCTION("""COMPUTED_VALUE"""),3439.3814)</f>
        <v>3439.3814</v>
      </c>
    </row>
    <row r="552">
      <c r="A552" s="434">
        <f>IFERROR(__xludf.DUMMYFUNCTION("""COMPUTED_VALUE"""),43186.99861111111)</f>
        <v>43186.99861</v>
      </c>
      <c r="B552" s="433">
        <f>IFERROR(__xludf.DUMMYFUNCTION("""COMPUTED_VALUE"""),7994.12)</f>
        <v>7994.12</v>
      </c>
      <c r="C552" s="434">
        <f>IFERROR(__xludf.DUMMYFUNCTION("""COMPUTED_VALUE"""),42773.99861111111)</f>
        <v>42773.99861</v>
      </c>
      <c r="D552" s="433">
        <f>IFERROR(__xludf.DUMMYFUNCTION("""COMPUTED_VALUE"""),11.4253)</f>
        <v>11.4253</v>
      </c>
      <c r="F552" s="434">
        <f>IFERROR(__xludf.DUMMYFUNCTION("""COMPUTED_VALUE"""),45477.99861111111)</f>
        <v>45477.99861</v>
      </c>
      <c r="G552" s="433">
        <f>IFERROR(__xludf.DUMMYFUNCTION("""COMPUTED_VALUE"""),58973.24)</f>
        <v>58973.24</v>
      </c>
      <c r="H552" s="434">
        <f>IFERROR(__xludf.DUMMYFUNCTION("""COMPUTED_VALUE"""),45476.99861111111)</f>
        <v>45476.99861</v>
      </c>
      <c r="I552" s="433">
        <f>IFERROR(__xludf.DUMMYFUNCTION("""COMPUTED_VALUE"""),3416.2549)</f>
        <v>3416.2549</v>
      </c>
    </row>
    <row r="553">
      <c r="A553" s="434">
        <f>IFERROR(__xludf.DUMMYFUNCTION("""COMPUTED_VALUE"""),43187.99861111111)</f>
        <v>43187.99861</v>
      </c>
      <c r="B553" s="433">
        <f>IFERROR(__xludf.DUMMYFUNCTION("""COMPUTED_VALUE"""),7908.79)</f>
        <v>7908.79</v>
      </c>
      <c r="C553" s="434">
        <f>IFERROR(__xludf.DUMMYFUNCTION("""COMPUTED_VALUE"""),42774.99861111111)</f>
        <v>42774.99861</v>
      </c>
      <c r="D553" s="433">
        <f>IFERROR(__xludf.DUMMYFUNCTION("""COMPUTED_VALUE"""),11.5402)</f>
        <v>11.5402</v>
      </c>
      <c r="F553" s="434">
        <f>IFERROR(__xludf.DUMMYFUNCTION("""COMPUTED_VALUE"""),45478.99861111111)</f>
        <v>45478.99861</v>
      </c>
      <c r="G553" s="433">
        <f>IFERROR(__xludf.DUMMYFUNCTION("""COMPUTED_VALUE"""),55244.81)</f>
        <v>55244.81</v>
      </c>
      <c r="H553" s="434">
        <f>IFERROR(__xludf.DUMMYFUNCTION("""COMPUTED_VALUE"""),45477.99861111111)</f>
        <v>45477.99861</v>
      </c>
      <c r="I553" s="433">
        <f>IFERROR(__xludf.DUMMYFUNCTION("""COMPUTED_VALUE"""),3291.8178)</f>
        <v>3291.8178</v>
      </c>
    </row>
    <row r="554">
      <c r="A554" s="434">
        <f>IFERROR(__xludf.DUMMYFUNCTION("""COMPUTED_VALUE"""),43188.99861111111)</f>
        <v>43188.99861</v>
      </c>
      <c r="B554" s="433">
        <f>IFERROR(__xludf.DUMMYFUNCTION("""COMPUTED_VALUE"""),7130.79)</f>
        <v>7130.79</v>
      </c>
      <c r="C554" s="434">
        <f>IFERROR(__xludf.DUMMYFUNCTION("""COMPUTED_VALUE"""),42775.99861111111)</f>
        <v>42775.99861</v>
      </c>
      <c r="D554" s="433">
        <f>IFERROR(__xludf.DUMMYFUNCTION("""COMPUTED_VALUE"""),11.4359)</f>
        <v>11.4359</v>
      </c>
      <c r="F554" s="434">
        <f>IFERROR(__xludf.DUMMYFUNCTION("""COMPUTED_VALUE"""),45479.99861111111)</f>
        <v>45479.99861</v>
      </c>
      <c r="G554" s="433">
        <f>IFERROR(__xludf.DUMMYFUNCTION("""COMPUTED_VALUE"""),56420.53)</f>
        <v>56420.53</v>
      </c>
      <c r="H554" s="434">
        <f>IFERROR(__xludf.DUMMYFUNCTION("""COMPUTED_VALUE"""),45478.99861111111)</f>
        <v>45478.99861</v>
      </c>
      <c r="I554" s="433">
        <f>IFERROR(__xludf.DUMMYFUNCTION("""COMPUTED_VALUE"""),3057.8332)</f>
        <v>3057.8332</v>
      </c>
    </row>
    <row r="555">
      <c r="A555" s="434">
        <f>IFERROR(__xludf.DUMMYFUNCTION("""COMPUTED_VALUE"""),43189.99861111111)</f>
        <v>43189.99861</v>
      </c>
      <c r="B555" s="433">
        <f>IFERROR(__xludf.DUMMYFUNCTION("""COMPUTED_VALUE"""),6854.0)</f>
        <v>6854</v>
      </c>
      <c r="C555" s="434">
        <f>IFERROR(__xludf.DUMMYFUNCTION("""COMPUTED_VALUE"""),42776.99861111111)</f>
        <v>42776.99861</v>
      </c>
      <c r="D555" s="433">
        <f>IFERROR(__xludf.DUMMYFUNCTION("""COMPUTED_VALUE"""),11.045)</f>
        <v>11.045</v>
      </c>
      <c r="F555" s="434">
        <f>IFERROR(__xludf.DUMMYFUNCTION("""COMPUTED_VALUE"""),45480.99861111111)</f>
        <v>45480.99861</v>
      </c>
      <c r="G555" s="433">
        <f>IFERROR(__xludf.DUMMYFUNCTION("""COMPUTED_VALUE"""),58088.72)</f>
        <v>58088.72</v>
      </c>
      <c r="H555" s="434">
        <f>IFERROR(__xludf.DUMMYFUNCTION("""COMPUTED_VALUE"""),45479.99861111111)</f>
        <v>45479.99861</v>
      </c>
      <c r="I555" s="433">
        <f>IFERROR(__xludf.DUMMYFUNCTION("""COMPUTED_VALUE"""),2981.9881)</f>
        <v>2981.9881</v>
      </c>
    </row>
    <row r="556">
      <c r="A556" s="434">
        <f>IFERROR(__xludf.DUMMYFUNCTION("""COMPUTED_VALUE"""),43190.99861111111)</f>
        <v>43190.99861</v>
      </c>
      <c r="B556" s="433">
        <f>IFERROR(__xludf.DUMMYFUNCTION("""COMPUTED_VALUE"""),6927.08)</f>
        <v>6927.08</v>
      </c>
      <c r="C556" s="434">
        <f>IFERROR(__xludf.DUMMYFUNCTION("""COMPUTED_VALUE"""),42777.99861111111)</f>
        <v>42777.99861</v>
      </c>
      <c r="D556" s="433">
        <f>IFERROR(__xludf.DUMMYFUNCTION("""COMPUTED_VALUE"""),11.2908)</f>
        <v>11.2908</v>
      </c>
      <c r="F556" s="434">
        <f>IFERROR(__xludf.DUMMYFUNCTION("""COMPUTED_VALUE"""),45481.99861111111)</f>
        <v>45481.99861</v>
      </c>
      <c r="G556" s="433">
        <f>IFERROR(__xludf.DUMMYFUNCTION("""COMPUTED_VALUE"""),55184.9)</f>
        <v>55184.9</v>
      </c>
      <c r="H556" s="434">
        <f>IFERROR(__xludf.DUMMYFUNCTION("""COMPUTED_VALUE"""),45480.99861111111)</f>
        <v>45480.99861</v>
      </c>
      <c r="I556" s="433">
        <f>IFERROR(__xludf.DUMMYFUNCTION("""COMPUTED_VALUE"""),3067.4051)</f>
        <v>3067.4051</v>
      </c>
    </row>
    <row r="557">
      <c r="A557" s="434">
        <f>IFERROR(__xludf.DUMMYFUNCTION("""COMPUTED_VALUE"""),43191.99861111111)</f>
        <v>43191.99861</v>
      </c>
      <c r="B557" s="433">
        <f>IFERROR(__xludf.DUMMYFUNCTION("""COMPUTED_VALUE"""),6940.61)</f>
        <v>6940.61</v>
      </c>
      <c r="C557" s="434">
        <f>IFERROR(__xludf.DUMMYFUNCTION("""COMPUTED_VALUE"""),42778.99861111111)</f>
        <v>42778.99861</v>
      </c>
      <c r="D557" s="433">
        <f>IFERROR(__xludf.DUMMYFUNCTION("""COMPUTED_VALUE"""),11.3533)</f>
        <v>11.3533</v>
      </c>
      <c r="F557" s="434">
        <f>IFERROR(__xludf.DUMMYFUNCTION("""COMPUTED_VALUE"""),45482.99861111111)</f>
        <v>45482.99861</v>
      </c>
      <c r="G557" s="433">
        <f>IFERROR(__xludf.DUMMYFUNCTION("""COMPUTED_VALUE"""),57109.26)</f>
        <v>57109.26</v>
      </c>
      <c r="H557" s="434">
        <f>IFERROR(__xludf.DUMMYFUNCTION("""COMPUTED_VALUE"""),45481.99861111111)</f>
        <v>45481.99861</v>
      </c>
      <c r="I557" s="433">
        <f>IFERROR(__xludf.DUMMYFUNCTION("""COMPUTED_VALUE"""),2929.8616)</f>
        <v>2929.8616</v>
      </c>
    </row>
    <row r="558">
      <c r="A558" s="434">
        <f>IFERROR(__xludf.DUMMYFUNCTION("""COMPUTED_VALUE"""),43192.99861111111)</f>
        <v>43192.99861</v>
      </c>
      <c r="B558" s="433">
        <f>IFERROR(__xludf.DUMMYFUNCTION("""COMPUTED_VALUE"""),6933.58)</f>
        <v>6933.58</v>
      </c>
      <c r="C558" s="434">
        <f>IFERROR(__xludf.DUMMYFUNCTION("""COMPUTED_VALUE"""),42779.99861111111)</f>
        <v>42779.99861</v>
      </c>
      <c r="D558" s="433">
        <f>IFERROR(__xludf.DUMMYFUNCTION("""COMPUTED_VALUE"""),11.3836)</f>
        <v>11.3836</v>
      </c>
      <c r="F558" s="434">
        <f>IFERROR(__xludf.DUMMYFUNCTION("""COMPUTED_VALUE"""),45483.99861111111)</f>
        <v>45483.99861</v>
      </c>
      <c r="G558" s="433">
        <f>IFERROR(__xludf.DUMMYFUNCTION("""COMPUTED_VALUE"""),58045.79)</f>
        <v>58045.79</v>
      </c>
      <c r="H558" s="434">
        <f>IFERROR(__xludf.DUMMYFUNCTION("""COMPUTED_VALUE"""),45482.99861111111)</f>
        <v>45482.99861</v>
      </c>
      <c r="I558" s="433">
        <f>IFERROR(__xludf.DUMMYFUNCTION("""COMPUTED_VALUE"""),3018.8033)</f>
        <v>3018.8033</v>
      </c>
    </row>
    <row r="559">
      <c r="A559" s="434">
        <f>IFERROR(__xludf.DUMMYFUNCTION("""COMPUTED_VALUE"""),43193.99861111111)</f>
        <v>43193.99861</v>
      </c>
      <c r="B559" s="433">
        <f>IFERROR(__xludf.DUMMYFUNCTION("""COMPUTED_VALUE"""),7409.52)</f>
        <v>7409.52</v>
      </c>
      <c r="C559" s="434">
        <f>IFERROR(__xludf.DUMMYFUNCTION("""COMPUTED_VALUE"""),42780.99861111111)</f>
        <v>42780.99861</v>
      </c>
      <c r="D559" s="433">
        <f>IFERROR(__xludf.DUMMYFUNCTION("""COMPUTED_VALUE"""),11.2864)</f>
        <v>11.2864</v>
      </c>
      <c r="F559" s="434">
        <f>IFERROR(__xludf.DUMMYFUNCTION("""COMPUTED_VALUE"""),45484.99861111111)</f>
        <v>45484.99861</v>
      </c>
      <c r="G559" s="433">
        <f>IFERROR(__xludf.DUMMYFUNCTION("""COMPUTED_VALUE"""),57602.57)</f>
        <v>57602.57</v>
      </c>
      <c r="H559" s="434">
        <f>IFERROR(__xludf.DUMMYFUNCTION("""COMPUTED_VALUE"""),45483.99861111111)</f>
        <v>45483.99861</v>
      </c>
      <c r="I559" s="433">
        <f>IFERROR(__xludf.DUMMYFUNCTION("""COMPUTED_VALUE"""),3066.1373)</f>
        <v>3066.1373</v>
      </c>
    </row>
    <row r="560">
      <c r="A560" s="434">
        <f>IFERROR(__xludf.DUMMYFUNCTION("""COMPUTED_VALUE"""),43194.99861111111)</f>
        <v>43194.99861</v>
      </c>
      <c r="B560" s="433">
        <f>IFERROR(__xludf.DUMMYFUNCTION("""COMPUTED_VALUE"""),6836.74)</f>
        <v>6836.74</v>
      </c>
      <c r="C560" s="434">
        <f>IFERROR(__xludf.DUMMYFUNCTION("""COMPUTED_VALUE"""),42781.99861111111)</f>
        <v>42781.99861</v>
      </c>
      <c r="D560" s="433">
        <f>IFERROR(__xludf.DUMMYFUNCTION("""COMPUTED_VALUE"""),13.0397)</f>
        <v>13.0397</v>
      </c>
      <c r="F560" s="434">
        <f>IFERROR(__xludf.DUMMYFUNCTION("""COMPUTED_VALUE"""),45485.99861111111)</f>
        <v>45485.99861</v>
      </c>
      <c r="G560" s="433">
        <f>IFERROR(__xludf.DUMMYFUNCTION("""COMPUTED_VALUE"""),56940.31)</f>
        <v>56940.31</v>
      </c>
      <c r="H560" s="434">
        <f>IFERROR(__xludf.DUMMYFUNCTION("""COMPUTED_VALUE"""),45484.99861111111)</f>
        <v>45484.99861</v>
      </c>
      <c r="I560" s="433">
        <f>IFERROR(__xludf.DUMMYFUNCTION("""COMPUTED_VALUE"""),3101.3353)</f>
        <v>3101.3353</v>
      </c>
    </row>
    <row r="561">
      <c r="A561" s="434">
        <f>IFERROR(__xludf.DUMMYFUNCTION("""COMPUTED_VALUE"""),43195.99861111111)</f>
        <v>43195.99861</v>
      </c>
      <c r="B561" s="433">
        <f>IFERROR(__xludf.DUMMYFUNCTION("""COMPUTED_VALUE"""),6818.54)</f>
        <v>6818.54</v>
      </c>
      <c r="C561" s="434">
        <f>IFERROR(__xludf.DUMMYFUNCTION("""COMPUTED_VALUE"""),42782.99861111111)</f>
        <v>42782.99861</v>
      </c>
      <c r="D561" s="433">
        <f>IFERROR(__xludf.DUMMYFUNCTION("""COMPUTED_VALUE"""),12.921)</f>
        <v>12.921</v>
      </c>
      <c r="F561" s="434">
        <f>IFERROR(__xludf.DUMMYFUNCTION("""COMPUTED_VALUE"""),45486.99861111111)</f>
        <v>45486.99861</v>
      </c>
      <c r="G561" s="433">
        <f>IFERROR(__xludf.DUMMYFUNCTION("""COMPUTED_VALUE"""),57935.24)</f>
        <v>57935.24</v>
      </c>
      <c r="H561" s="434">
        <f>IFERROR(__xludf.DUMMYFUNCTION("""COMPUTED_VALUE"""),45485.99861111111)</f>
        <v>45485.99861</v>
      </c>
      <c r="I561" s="433">
        <f>IFERROR(__xludf.DUMMYFUNCTION("""COMPUTED_VALUE"""),3099.99)</f>
        <v>3099.99</v>
      </c>
    </row>
    <row r="562">
      <c r="A562" s="434">
        <f>IFERROR(__xludf.DUMMYFUNCTION("""COMPUTED_VALUE"""),43196.99861111111)</f>
        <v>43196.99861</v>
      </c>
      <c r="B562" s="433">
        <f>IFERROR(__xludf.DUMMYFUNCTION("""COMPUTED_VALUE"""),6613.62)</f>
        <v>6613.62</v>
      </c>
      <c r="C562" s="434">
        <f>IFERROR(__xludf.DUMMYFUNCTION("""COMPUTED_VALUE"""),42783.99861111111)</f>
        <v>42783.99861</v>
      </c>
      <c r="D562" s="433">
        <f>IFERROR(__xludf.DUMMYFUNCTION("""COMPUTED_VALUE"""),12.8985)</f>
        <v>12.8985</v>
      </c>
      <c r="F562" s="434">
        <f>IFERROR(__xludf.DUMMYFUNCTION("""COMPUTED_VALUE"""),45487.99861111111)</f>
        <v>45487.99861</v>
      </c>
      <c r="G562" s="433">
        <f>IFERROR(__xludf.DUMMYFUNCTION("""COMPUTED_VALUE"""),59477.68)</f>
        <v>59477.68</v>
      </c>
      <c r="H562" s="434">
        <f>IFERROR(__xludf.DUMMYFUNCTION("""COMPUTED_VALUE"""),45486.99861111111)</f>
        <v>45486.99861</v>
      </c>
      <c r="I562" s="433">
        <f>IFERROR(__xludf.DUMMYFUNCTION("""COMPUTED_VALUE"""),3134.5506)</f>
        <v>3134.5506</v>
      </c>
    </row>
    <row r="563">
      <c r="A563" s="434">
        <f>IFERROR(__xludf.DUMMYFUNCTION("""COMPUTED_VALUE"""),43197.99861111111)</f>
        <v>43197.99861</v>
      </c>
      <c r="B563" s="433">
        <f>IFERROR(__xludf.DUMMYFUNCTION("""COMPUTED_VALUE"""),6895.41)</f>
        <v>6895.41</v>
      </c>
      <c r="C563" s="434">
        <f>IFERROR(__xludf.DUMMYFUNCTION("""COMPUTED_VALUE"""),42784.99861111111)</f>
        <v>42784.99861</v>
      </c>
      <c r="D563" s="433">
        <f>IFERROR(__xludf.DUMMYFUNCTION("""COMPUTED_VALUE"""),12.7084)</f>
        <v>12.7084</v>
      </c>
      <c r="F563" s="434">
        <f>IFERROR(__xludf.DUMMYFUNCTION("""COMPUTED_VALUE"""),45488.99861111111)</f>
        <v>45488.99861</v>
      </c>
      <c r="G563" s="433">
        <f>IFERROR(__xludf.DUMMYFUNCTION("""COMPUTED_VALUE"""),62609.86)</f>
        <v>62609.86</v>
      </c>
      <c r="H563" s="434">
        <f>IFERROR(__xludf.DUMMYFUNCTION("""COMPUTED_VALUE"""),45487.99861111111)</f>
        <v>45487.99861</v>
      </c>
      <c r="I563" s="433">
        <f>IFERROR(__xludf.DUMMYFUNCTION("""COMPUTED_VALUE"""),3176.7415)</f>
        <v>3176.7415</v>
      </c>
    </row>
    <row r="564">
      <c r="A564" s="434">
        <f>IFERROR(__xludf.DUMMYFUNCTION("""COMPUTED_VALUE"""),43198.99861111111)</f>
        <v>43198.99861</v>
      </c>
      <c r="B564" s="433">
        <f>IFERROR(__xludf.DUMMYFUNCTION("""COMPUTED_VALUE"""),7025.52)</f>
        <v>7025.52</v>
      </c>
      <c r="C564" s="434">
        <f>IFERROR(__xludf.DUMMYFUNCTION("""COMPUTED_VALUE"""),42785.99861111111)</f>
        <v>42785.99861</v>
      </c>
      <c r="D564" s="433">
        <f>IFERROR(__xludf.DUMMYFUNCTION("""COMPUTED_VALUE"""),12.8176)</f>
        <v>12.8176</v>
      </c>
      <c r="F564" s="434">
        <f>IFERROR(__xludf.DUMMYFUNCTION("""COMPUTED_VALUE"""),45489.99861111111)</f>
        <v>45489.99861</v>
      </c>
      <c r="G564" s="433">
        <f>IFERROR(__xludf.DUMMYFUNCTION("""COMPUTED_VALUE"""),64779.16)</f>
        <v>64779.16</v>
      </c>
      <c r="H564" s="434">
        <f>IFERROR(__xludf.DUMMYFUNCTION("""COMPUTED_VALUE"""),45488.99861111111)</f>
        <v>45488.99861</v>
      </c>
      <c r="I564" s="433">
        <f>IFERROR(__xludf.DUMMYFUNCTION("""COMPUTED_VALUE"""),3246.1317)</f>
        <v>3246.1317</v>
      </c>
    </row>
    <row r="565">
      <c r="A565" s="434">
        <f>IFERROR(__xludf.DUMMYFUNCTION("""COMPUTED_VALUE"""),43199.99861111111)</f>
        <v>43199.99861</v>
      </c>
      <c r="B565" s="433">
        <f>IFERROR(__xludf.DUMMYFUNCTION("""COMPUTED_VALUE"""),6775.13)</f>
        <v>6775.13</v>
      </c>
      <c r="C565" s="434">
        <f>IFERROR(__xludf.DUMMYFUNCTION("""COMPUTED_VALUE"""),42786.99861111111)</f>
        <v>42786.99861</v>
      </c>
      <c r="D565" s="433">
        <f>IFERROR(__xludf.DUMMYFUNCTION("""COMPUTED_VALUE"""),12.7652)</f>
        <v>12.7652</v>
      </c>
      <c r="F565" s="434">
        <f>IFERROR(__xludf.DUMMYFUNCTION("""COMPUTED_VALUE"""),45490.99861111111)</f>
        <v>45490.99861</v>
      </c>
      <c r="G565" s="433">
        <f>IFERROR(__xludf.DUMMYFUNCTION("""COMPUTED_VALUE"""),65735.7)</f>
        <v>65735.7</v>
      </c>
      <c r="H565" s="434">
        <f>IFERROR(__xludf.DUMMYFUNCTION("""COMPUTED_VALUE"""),45489.99861111111)</f>
        <v>45489.99861</v>
      </c>
      <c r="I565" s="433">
        <f>IFERROR(__xludf.DUMMYFUNCTION("""COMPUTED_VALUE"""),3486.1441)</f>
        <v>3486.1441</v>
      </c>
    </row>
    <row r="566">
      <c r="A566" s="434">
        <f>IFERROR(__xludf.DUMMYFUNCTION("""COMPUTED_VALUE"""),43200.99861111111)</f>
        <v>43200.99861</v>
      </c>
      <c r="B566" s="433">
        <f>IFERROR(__xludf.DUMMYFUNCTION("""COMPUTED_VALUE"""),6839.91)</f>
        <v>6839.91</v>
      </c>
      <c r="C566" s="434">
        <f>IFERROR(__xludf.DUMMYFUNCTION("""COMPUTED_VALUE"""),42787.99861111111)</f>
        <v>42787.99861</v>
      </c>
      <c r="D566" s="433">
        <f>IFERROR(__xludf.DUMMYFUNCTION("""COMPUTED_VALUE"""),12.3422)</f>
        <v>12.3422</v>
      </c>
      <c r="F566" s="434">
        <f>IFERROR(__xludf.DUMMYFUNCTION("""COMPUTED_VALUE"""),45491.99861111111)</f>
        <v>45491.99861</v>
      </c>
      <c r="G566" s="433">
        <f>IFERROR(__xludf.DUMMYFUNCTION("""COMPUTED_VALUE"""),64883.35)</f>
        <v>64883.35</v>
      </c>
      <c r="H566" s="434">
        <f>IFERROR(__xludf.DUMMYFUNCTION("""COMPUTED_VALUE"""),45490.99861111111)</f>
        <v>45490.99861</v>
      </c>
      <c r="I566" s="433">
        <f>IFERROR(__xludf.DUMMYFUNCTION("""COMPUTED_VALUE"""),3446.7367)</f>
        <v>3446.7367</v>
      </c>
    </row>
    <row r="567">
      <c r="A567" s="434">
        <f>IFERROR(__xludf.DUMMYFUNCTION("""COMPUTED_VALUE"""),43201.99861111111)</f>
        <v>43201.99861</v>
      </c>
      <c r="B567" s="433">
        <f>IFERROR(__xludf.DUMMYFUNCTION("""COMPUTED_VALUE"""),6943.74)</f>
        <v>6943.74</v>
      </c>
      <c r="C567" s="434">
        <f>IFERROR(__xludf.DUMMYFUNCTION("""COMPUTED_VALUE"""),42788.99861111111)</f>
        <v>42788.99861</v>
      </c>
      <c r="D567" s="433">
        <f>IFERROR(__xludf.DUMMYFUNCTION("""COMPUTED_VALUE"""),12.6872)</f>
        <v>12.6872</v>
      </c>
      <c r="F567" s="434">
        <f>IFERROR(__xludf.DUMMYFUNCTION("""COMPUTED_VALUE"""),45492.99861111111)</f>
        <v>45492.99861</v>
      </c>
      <c r="G567" s="433">
        <f>IFERROR(__xludf.DUMMYFUNCTION("""COMPUTED_VALUE"""),64186.21)</f>
        <v>64186.21</v>
      </c>
      <c r="H567" s="434">
        <f>IFERROR(__xludf.DUMMYFUNCTION("""COMPUTED_VALUE"""),45491.99861111111)</f>
        <v>45491.99861</v>
      </c>
      <c r="I567" s="433">
        <f>IFERROR(__xludf.DUMMYFUNCTION("""COMPUTED_VALUE"""),3388.0301)</f>
        <v>3388.0301</v>
      </c>
    </row>
    <row r="568">
      <c r="A568" s="434">
        <f>IFERROR(__xludf.DUMMYFUNCTION("""COMPUTED_VALUE"""),43202.99861111111)</f>
        <v>43202.99861</v>
      </c>
      <c r="B568" s="433">
        <f>IFERROR(__xludf.DUMMYFUNCTION("""COMPUTED_VALUE"""),7916.86)</f>
        <v>7916.86</v>
      </c>
      <c r="C568" s="434">
        <f>IFERROR(__xludf.DUMMYFUNCTION("""COMPUTED_VALUE"""),42789.99861111111)</f>
        <v>42789.99861</v>
      </c>
      <c r="D568" s="433">
        <f>IFERROR(__xludf.DUMMYFUNCTION("""COMPUTED_VALUE"""),12.5981)</f>
        <v>12.5981</v>
      </c>
      <c r="F568" s="434">
        <f>IFERROR(__xludf.DUMMYFUNCTION("""COMPUTED_VALUE"""),45493.99861111111)</f>
        <v>45493.99861</v>
      </c>
      <c r="G568" s="433">
        <f>IFERROR(__xludf.DUMMYFUNCTION("""COMPUTED_VALUE"""),66693.2)</f>
        <v>66693.2</v>
      </c>
      <c r="H568" s="434">
        <f>IFERROR(__xludf.DUMMYFUNCTION("""COMPUTED_VALUE"""),45492.99861111111)</f>
        <v>45492.99861</v>
      </c>
      <c r="I568" s="433">
        <f>IFERROR(__xludf.DUMMYFUNCTION("""COMPUTED_VALUE"""),3425.9088)</f>
        <v>3425.9088</v>
      </c>
    </row>
    <row r="569">
      <c r="A569" s="434">
        <f>IFERROR(__xludf.DUMMYFUNCTION("""COMPUTED_VALUE"""),43203.99861111111)</f>
        <v>43203.99861</v>
      </c>
      <c r="B569" s="433">
        <f>IFERROR(__xludf.DUMMYFUNCTION("""COMPUTED_VALUE"""),7881.24)</f>
        <v>7881.24</v>
      </c>
      <c r="C569" s="434">
        <f>IFERROR(__xludf.DUMMYFUNCTION("""COMPUTED_VALUE"""),42790.99861111111)</f>
        <v>42790.99861</v>
      </c>
      <c r="D569" s="433">
        <f>IFERROR(__xludf.DUMMYFUNCTION("""COMPUTED_VALUE"""),13.1343)</f>
        <v>13.1343</v>
      </c>
      <c r="F569" s="434">
        <f>IFERROR(__xludf.DUMMYFUNCTION("""COMPUTED_VALUE"""),45494.99861111111)</f>
        <v>45494.99861</v>
      </c>
      <c r="G569" s="433">
        <f>IFERROR(__xludf.DUMMYFUNCTION("""COMPUTED_VALUE"""),67156.72)</f>
        <v>67156.72</v>
      </c>
      <c r="H569" s="434">
        <f>IFERROR(__xludf.DUMMYFUNCTION("""COMPUTED_VALUE"""),45493.99861111111)</f>
        <v>45493.99861</v>
      </c>
      <c r="I569" s="433">
        <f>IFERROR(__xludf.DUMMYFUNCTION("""COMPUTED_VALUE"""),3505.6558)</f>
        <v>3505.6558</v>
      </c>
    </row>
    <row r="570">
      <c r="A570" s="434">
        <f>IFERROR(__xludf.DUMMYFUNCTION("""COMPUTED_VALUE"""),43204.99861111111)</f>
        <v>43204.99861</v>
      </c>
      <c r="B570" s="433">
        <f>IFERROR(__xludf.DUMMYFUNCTION("""COMPUTED_VALUE"""),8001.8)</f>
        <v>8001.8</v>
      </c>
      <c r="C570" s="434">
        <f>IFERROR(__xludf.DUMMYFUNCTION("""COMPUTED_VALUE"""),42791.99861111111)</f>
        <v>42791.99861</v>
      </c>
      <c r="D570" s="433">
        <f>IFERROR(__xludf.DUMMYFUNCTION("""COMPUTED_VALUE"""),13.0638)</f>
        <v>13.0638</v>
      </c>
      <c r="F570" s="434">
        <f>IFERROR(__xludf.DUMMYFUNCTION("""COMPUTED_VALUE"""),45495.99861111111)</f>
        <v>45495.99861</v>
      </c>
      <c r="G570" s="433">
        <f>IFERROR(__xludf.DUMMYFUNCTION("""COMPUTED_VALUE"""),67951.34)</f>
        <v>67951.34</v>
      </c>
      <c r="H570" s="434">
        <f>IFERROR(__xludf.DUMMYFUNCTION("""COMPUTED_VALUE"""),45494.99861111111)</f>
        <v>45494.99861</v>
      </c>
      <c r="I570" s="433">
        <f>IFERROR(__xludf.DUMMYFUNCTION("""COMPUTED_VALUE"""),3518.92)</f>
        <v>3518.92</v>
      </c>
    </row>
    <row r="571">
      <c r="A571" s="434">
        <f>IFERROR(__xludf.DUMMYFUNCTION("""COMPUTED_VALUE"""),43205.99861111111)</f>
        <v>43205.99861</v>
      </c>
      <c r="B571" s="433">
        <f>IFERROR(__xludf.DUMMYFUNCTION("""COMPUTED_VALUE"""),8355.6)</f>
        <v>8355.6</v>
      </c>
      <c r="C571" s="434">
        <f>IFERROR(__xludf.DUMMYFUNCTION("""COMPUTED_VALUE"""),42792.99861111111)</f>
        <v>42792.99861</v>
      </c>
      <c r="D571" s="433">
        <f>IFERROR(__xludf.DUMMYFUNCTION("""COMPUTED_VALUE"""),13.5177)</f>
        <v>13.5177</v>
      </c>
      <c r="F571" s="434">
        <f>IFERROR(__xludf.DUMMYFUNCTION("""COMPUTED_VALUE"""),45496.99861111111)</f>
        <v>45496.99861</v>
      </c>
      <c r="G571" s="433">
        <f>IFERROR(__xludf.DUMMYFUNCTION("""COMPUTED_VALUE"""),67566.87)</f>
        <v>67566.87</v>
      </c>
      <c r="H571" s="434">
        <f>IFERROR(__xludf.DUMMYFUNCTION("""COMPUTED_VALUE"""),45495.99861111111)</f>
        <v>45495.99861</v>
      </c>
      <c r="I571" s="433">
        <f>IFERROR(__xludf.DUMMYFUNCTION("""COMPUTED_VALUE"""),3536.0123)</f>
        <v>3536.0123</v>
      </c>
    </row>
    <row r="572">
      <c r="A572" s="434">
        <f>IFERROR(__xludf.DUMMYFUNCTION("""COMPUTED_VALUE"""),43206.99861111111)</f>
        <v>43206.99861</v>
      </c>
      <c r="B572" s="433">
        <f>IFERROR(__xludf.DUMMYFUNCTION("""COMPUTED_VALUE"""),8055.49)</f>
        <v>8055.49</v>
      </c>
      <c r="C572" s="434">
        <f>IFERROR(__xludf.DUMMYFUNCTION("""COMPUTED_VALUE"""),42793.99861111111)</f>
        <v>42793.99861</v>
      </c>
      <c r="D572" s="433">
        <f>IFERROR(__xludf.DUMMYFUNCTION("""COMPUTED_VALUE"""),14.5058)</f>
        <v>14.5058</v>
      </c>
      <c r="F572" s="434">
        <f>IFERROR(__xludf.DUMMYFUNCTION("""COMPUTED_VALUE"""),45497.99861111111)</f>
        <v>45497.99861</v>
      </c>
      <c r="G572" s="433">
        <f>IFERROR(__xludf.DUMMYFUNCTION("""COMPUTED_VALUE"""),66041.17)</f>
        <v>66041.17</v>
      </c>
      <c r="H572" s="434">
        <f>IFERROR(__xludf.DUMMYFUNCTION("""COMPUTED_VALUE"""),45496.99861111111)</f>
        <v>45496.99861</v>
      </c>
      <c r="I572" s="433">
        <f>IFERROR(__xludf.DUMMYFUNCTION("""COMPUTED_VALUE"""),3440.708)</f>
        <v>3440.708</v>
      </c>
    </row>
    <row r="573">
      <c r="A573" s="434">
        <f>IFERROR(__xludf.DUMMYFUNCTION("""COMPUTED_VALUE"""),43207.99861111111)</f>
        <v>43207.99861</v>
      </c>
      <c r="B573" s="433">
        <f>IFERROR(__xludf.DUMMYFUNCTION("""COMPUTED_VALUE"""),7891.81)</f>
        <v>7891.81</v>
      </c>
      <c r="C573" s="434">
        <f>IFERROR(__xludf.DUMMYFUNCTION("""COMPUTED_VALUE"""),42794.99861111111)</f>
        <v>42794.99861</v>
      </c>
      <c r="D573" s="433">
        <f>IFERROR(__xludf.DUMMYFUNCTION("""COMPUTED_VALUE"""),15.4507)</f>
        <v>15.4507</v>
      </c>
      <c r="F573" s="434">
        <f>IFERROR(__xludf.DUMMYFUNCTION("""COMPUTED_VALUE"""),45498.99861111111)</f>
        <v>45498.99861</v>
      </c>
      <c r="G573" s="433">
        <f>IFERROR(__xludf.DUMMYFUNCTION("""COMPUTED_VALUE"""),64125.9)</f>
        <v>64125.9</v>
      </c>
      <c r="H573" s="434">
        <f>IFERROR(__xludf.DUMMYFUNCTION("""COMPUTED_VALUE"""),45497.99861111111)</f>
        <v>45497.99861</v>
      </c>
      <c r="I573" s="433">
        <f>IFERROR(__xludf.DUMMYFUNCTION("""COMPUTED_VALUE"""),3483.1921)</f>
        <v>3483.1921</v>
      </c>
    </row>
    <row r="574">
      <c r="A574" s="434">
        <f>IFERROR(__xludf.DUMMYFUNCTION("""COMPUTED_VALUE"""),43208.99861111111)</f>
        <v>43208.99861</v>
      </c>
      <c r="B574" s="433">
        <f>IFERROR(__xludf.DUMMYFUNCTION("""COMPUTED_VALUE"""),8165.8)</f>
        <v>8165.8</v>
      </c>
      <c r="C574" s="434">
        <f>IFERROR(__xludf.DUMMYFUNCTION("""COMPUTED_VALUE"""),42795.99861111111)</f>
        <v>42795.99861</v>
      </c>
      <c r="D574" s="433">
        <f>IFERROR(__xludf.DUMMYFUNCTION("""COMPUTED_VALUE"""),15.8472)</f>
        <v>15.8472</v>
      </c>
      <c r="F574" s="434">
        <f>IFERROR(__xludf.DUMMYFUNCTION("""COMPUTED_VALUE"""),45499.99861111111)</f>
        <v>45499.99861</v>
      </c>
      <c r="G574" s="433">
        <f>IFERROR(__xludf.DUMMYFUNCTION("""COMPUTED_VALUE"""),66948.46)</f>
        <v>66948.46</v>
      </c>
      <c r="H574" s="434">
        <f>IFERROR(__xludf.DUMMYFUNCTION("""COMPUTED_VALUE"""),45498.99861111111)</f>
        <v>45498.99861</v>
      </c>
      <c r="I574" s="433">
        <f>IFERROR(__xludf.DUMMYFUNCTION("""COMPUTED_VALUE"""),3335.4218)</f>
        <v>3335.4218</v>
      </c>
    </row>
    <row r="575">
      <c r="A575" s="434">
        <f>IFERROR(__xludf.DUMMYFUNCTION("""COMPUTED_VALUE"""),43209.99861111111)</f>
        <v>43209.99861</v>
      </c>
      <c r="B575" s="433">
        <f>IFERROR(__xludf.DUMMYFUNCTION("""COMPUTED_VALUE"""),8273.97)</f>
        <v>8273.97</v>
      </c>
      <c r="C575" s="434">
        <f>IFERROR(__xludf.DUMMYFUNCTION("""COMPUTED_VALUE"""),42796.99861111111)</f>
        <v>42796.99861</v>
      </c>
      <c r="D575" s="433">
        <f>IFERROR(__xludf.DUMMYFUNCTION("""COMPUTED_VALUE"""),17.3553)</f>
        <v>17.3553</v>
      </c>
      <c r="F575" s="434">
        <f>IFERROR(__xludf.DUMMYFUNCTION("""COMPUTED_VALUE"""),45500.99861111111)</f>
        <v>45500.99861</v>
      </c>
      <c r="G575" s="433">
        <f>IFERROR(__xludf.DUMMYFUNCTION("""COMPUTED_VALUE"""),67845.7)</f>
        <v>67845.7</v>
      </c>
      <c r="H575" s="434">
        <f>IFERROR(__xludf.DUMMYFUNCTION("""COMPUTED_VALUE"""),45499.99861111111)</f>
        <v>45499.99861</v>
      </c>
      <c r="I575" s="433">
        <f>IFERROR(__xludf.DUMMYFUNCTION("""COMPUTED_VALUE"""),3174.4928)</f>
        <v>3174.4928</v>
      </c>
    </row>
    <row r="576">
      <c r="A576" s="434">
        <f>IFERROR(__xludf.DUMMYFUNCTION("""COMPUTED_VALUE"""),43210.99861111111)</f>
        <v>43210.99861</v>
      </c>
      <c r="B576" s="433">
        <f>IFERROR(__xludf.DUMMYFUNCTION("""COMPUTED_VALUE"""),8866.23)</f>
        <v>8866.23</v>
      </c>
      <c r="C576" s="434">
        <f>IFERROR(__xludf.DUMMYFUNCTION("""COMPUTED_VALUE"""),42797.99861111111)</f>
        <v>42797.99861</v>
      </c>
      <c r="D576" s="433">
        <f>IFERROR(__xludf.DUMMYFUNCTION("""COMPUTED_VALUE"""),19.0428)</f>
        <v>19.0428</v>
      </c>
      <c r="F576" s="434">
        <f>IFERROR(__xludf.DUMMYFUNCTION("""COMPUTED_VALUE"""),45501.99861111111)</f>
        <v>45501.99861</v>
      </c>
      <c r="G576" s="433">
        <f>IFERROR(__xludf.DUMMYFUNCTION("""COMPUTED_VALUE"""),68017.18)</f>
        <v>68017.18</v>
      </c>
      <c r="H576" s="434">
        <f>IFERROR(__xludf.DUMMYFUNCTION("""COMPUTED_VALUE"""),45500.99861111111)</f>
        <v>45500.99861</v>
      </c>
      <c r="I576" s="433">
        <f>IFERROR(__xludf.DUMMYFUNCTION("""COMPUTED_VALUE"""),3275.6951)</f>
        <v>3275.6951</v>
      </c>
    </row>
    <row r="577">
      <c r="A577" s="434">
        <f>IFERROR(__xludf.DUMMYFUNCTION("""COMPUTED_VALUE"""),43211.99861111111)</f>
        <v>43211.99861</v>
      </c>
      <c r="B577" s="433">
        <f>IFERROR(__xludf.DUMMYFUNCTION("""COMPUTED_VALUE"""),8914.97)</f>
        <v>8914.97</v>
      </c>
      <c r="C577" s="434">
        <f>IFERROR(__xludf.DUMMYFUNCTION("""COMPUTED_VALUE"""),42798.99861111111)</f>
        <v>42798.99861</v>
      </c>
      <c r="D577" s="433">
        <f>IFERROR(__xludf.DUMMYFUNCTION("""COMPUTED_VALUE"""),19.5171)</f>
        <v>19.5171</v>
      </c>
      <c r="F577" s="434">
        <f>IFERROR(__xludf.DUMMYFUNCTION("""COMPUTED_VALUE"""),45502.99861111111)</f>
        <v>45502.99861</v>
      </c>
      <c r="G577" s="433">
        <f>IFERROR(__xludf.DUMMYFUNCTION("""COMPUTED_VALUE"""),69351.13)</f>
        <v>69351.13</v>
      </c>
      <c r="H577" s="434">
        <f>IFERROR(__xludf.DUMMYFUNCTION("""COMPUTED_VALUE"""),45501.99861111111)</f>
        <v>45501.99861</v>
      </c>
      <c r="I577" s="433">
        <f>IFERROR(__xludf.DUMMYFUNCTION("""COMPUTED_VALUE"""),3249.0919)</f>
        <v>3249.0919</v>
      </c>
    </row>
    <row r="578">
      <c r="A578" s="434">
        <f>IFERROR(__xludf.DUMMYFUNCTION("""COMPUTED_VALUE"""),43212.99861111111)</f>
        <v>43212.99861</v>
      </c>
      <c r="B578" s="433">
        <f>IFERROR(__xludf.DUMMYFUNCTION("""COMPUTED_VALUE"""),8797.15)</f>
        <v>8797.15</v>
      </c>
      <c r="C578" s="434">
        <f>IFERROR(__xludf.DUMMYFUNCTION("""COMPUTED_VALUE"""),42799.99861111111)</f>
        <v>42799.99861</v>
      </c>
      <c r="D578" s="433">
        <f>IFERROR(__xludf.DUMMYFUNCTION("""COMPUTED_VALUE"""),18.5028)</f>
        <v>18.5028</v>
      </c>
      <c r="F578" s="434">
        <f>IFERROR(__xludf.DUMMYFUNCTION("""COMPUTED_VALUE"""),45503.99861111111)</f>
        <v>45503.99861</v>
      </c>
      <c r="G578" s="433">
        <f>IFERROR(__xludf.DUMMYFUNCTION("""COMPUTED_VALUE"""),66416.08)</f>
        <v>66416.08</v>
      </c>
      <c r="H578" s="434">
        <f>IFERROR(__xludf.DUMMYFUNCTION("""COMPUTED_VALUE"""),45502.99861111111)</f>
        <v>45502.99861</v>
      </c>
      <c r="I578" s="433">
        <f>IFERROR(__xludf.DUMMYFUNCTION("""COMPUTED_VALUE"""),3270.6515)</f>
        <v>3270.6515</v>
      </c>
    </row>
    <row r="579">
      <c r="A579" s="434">
        <f>IFERROR(__xludf.DUMMYFUNCTION("""COMPUTED_VALUE"""),43213.99861111111)</f>
        <v>43213.99861</v>
      </c>
      <c r="B579" s="433">
        <f>IFERROR(__xludf.DUMMYFUNCTION("""COMPUTED_VALUE"""),8942.15)</f>
        <v>8942.15</v>
      </c>
      <c r="C579" s="434">
        <f>IFERROR(__xludf.DUMMYFUNCTION("""COMPUTED_VALUE"""),42800.99861111111)</f>
        <v>42800.99861</v>
      </c>
      <c r="D579" s="433">
        <f>IFERROR(__xludf.DUMMYFUNCTION("""COMPUTED_VALUE"""),19.2823)</f>
        <v>19.2823</v>
      </c>
      <c r="F579" s="434">
        <f>IFERROR(__xludf.DUMMYFUNCTION("""COMPUTED_VALUE"""),45504.99861111111)</f>
        <v>45504.99861</v>
      </c>
      <c r="G579" s="433">
        <f>IFERROR(__xludf.DUMMYFUNCTION("""COMPUTED_VALUE"""),66110.05)</f>
        <v>66110.05</v>
      </c>
      <c r="H579" s="434">
        <f>IFERROR(__xludf.DUMMYFUNCTION("""COMPUTED_VALUE"""),45503.99861111111)</f>
        <v>45503.99861</v>
      </c>
      <c r="I579" s="433">
        <f>IFERROR(__xludf.DUMMYFUNCTION("""COMPUTED_VALUE"""),3318.239)</f>
        <v>3318.239</v>
      </c>
    </row>
    <row r="580">
      <c r="A580" s="434">
        <f>IFERROR(__xludf.DUMMYFUNCTION("""COMPUTED_VALUE"""),43214.99861111111)</f>
        <v>43214.99861</v>
      </c>
      <c r="B580" s="433">
        <f>IFERROR(__xludf.DUMMYFUNCTION("""COMPUTED_VALUE"""),9648.33)</f>
        <v>9648.33</v>
      </c>
      <c r="C580" s="434">
        <f>IFERROR(__xludf.DUMMYFUNCTION("""COMPUTED_VALUE"""),42801.99861111111)</f>
        <v>42801.99861</v>
      </c>
      <c r="D580" s="433">
        <f>IFERROR(__xludf.DUMMYFUNCTION("""COMPUTED_VALUE"""),19.5791)</f>
        <v>19.5791</v>
      </c>
      <c r="F580" s="434">
        <f>IFERROR(__xludf.DUMMYFUNCTION("""COMPUTED_VALUE"""),45505.99861111111)</f>
        <v>45505.99861</v>
      </c>
      <c r="G580" s="433">
        <f>IFERROR(__xludf.DUMMYFUNCTION("""COMPUTED_VALUE"""),63925.74)</f>
        <v>63925.74</v>
      </c>
      <c r="H580" s="434">
        <f>IFERROR(__xludf.DUMMYFUNCTION("""COMPUTED_VALUE"""),45504.99861111111)</f>
        <v>45504.99861</v>
      </c>
      <c r="I580" s="433">
        <f>IFERROR(__xludf.DUMMYFUNCTION("""COMPUTED_VALUE"""),3278.0418)</f>
        <v>3278.0418</v>
      </c>
    </row>
    <row r="581">
      <c r="A581" s="434">
        <f>IFERROR(__xludf.DUMMYFUNCTION("""COMPUTED_VALUE"""),43215.99861111111)</f>
        <v>43215.99861</v>
      </c>
      <c r="B581" s="433">
        <f>IFERROR(__xludf.DUMMYFUNCTION("""COMPUTED_VALUE"""),8838.23)</f>
        <v>8838.23</v>
      </c>
      <c r="C581" s="434">
        <f>IFERROR(__xludf.DUMMYFUNCTION("""COMPUTED_VALUE"""),42802.99861111111)</f>
        <v>42802.99861</v>
      </c>
      <c r="D581" s="433">
        <f>IFERROR(__xludf.DUMMYFUNCTION("""COMPUTED_VALUE"""),18.8825)</f>
        <v>18.8825</v>
      </c>
      <c r="F581" s="434">
        <f>IFERROR(__xludf.DUMMYFUNCTION("""COMPUTED_VALUE"""),45506.99861111111)</f>
        <v>45506.99861</v>
      </c>
      <c r="G581" s="433">
        <f>IFERROR(__xludf.DUMMYFUNCTION("""COMPUTED_VALUE"""),64529.93)</f>
        <v>64529.93</v>
      </c>
      <c r="H581" s="434">
        <f>IFERROR(__xludf.DUMMYFUNCTION("""COMPUTED_VALUE"""),45505.99861111111)</f>
        <v>45505.99861</v>
      </c>
      <c r="I581" s="433">
        <f>IFERROR(__xludf.DUMMYFUNCTION("""COMPUTED_VALUE"""),3231.9719)</f>
        <v>3231.9719</v>
      </c>
    </row>
    <row r="582">
      <c r="A582" s="434">
        <f>IFERROR(__xludf.DUMMYFUNCTION("""COMPUTED_VALUE"""),43216.99861111111)</f>
        <v>43216.99861</v>
      </c>
      <c r="B582" s="433">
        <f>IFERROR(__xludf.DUMMYFUNCTION("""COMPUTED_VALUE"""),9288.43)</f>
        <v>9288.43</v>
      </c>
      <c r="C582" s="434">
        <f>IFERROR(__xludf.DUMMYFUNCTION("""COMPUTED_VALUE"""),42803.99861111111)</f>
        <v>42803.99861</v>
      </c>
      <c r="D582" s="433">
        <f>IFERROR(__xludf.DUMMYFUNCTION("""COMPUTED_VALUE"""),16.6401)</f>
        <v>16.6401</v>
      </c>
      <c r="F582" s="434">
        <f>IFERROR(__xludf.DUMMYFUNCTION("""COMPUTED_VALUE"""),45507.99861111111)</f>
        <v>45507.99861</v>
      </c>
      <c r="G582" s="433">
        <f>IFERROR(__xludf.DUMMYFUNCTION("""COMPUTED_VALUE"""),61732.31)</f>
        <v>61732.31</v>
      </c>
      <c r="H582" s="434">
        <f>IFERROR(__xludf.DUMMYFUNCTION("""COMPUTED_VALUE"""),45506.99861111111)</f>
        <v>45506.99861</v>
      </c>
      <c r="I582" s="433">
        <f>IFERROR(__xludf.DUMMYFUNCTION("""COMPUTED_VALUE"""),3201.3592)</f>
        <v>3201.3592</v>
      </c>
    </row>
    <row r="583">
      <c r="A583" s="434">
        <f>IFERROR(__xludf.DUMMYFUNCTION("""COMPUTED_VALUE"""),43217.99861111111)</f>
        <v>43217.99861</v>
      </c>
      <c r="B583" s="433">
        <f>IFERROR(__xludf.DUMMYFUNCTION("""COMPUTED_VALUE"""),8924.75)</f>
        <v>8924.75</v>
      </c>
      <c r="C583" s="434">
        <f>IFERROR(__xludf.DUMMYFUNCTION("""COMPUTED_VALUE"""),42804.99861111111)</f>
        <v>42804.99861</v>
      </c>
      <c r="D583" s="433">
        <f>IFERROR(__xludf.DUMMYFUNCTION("""COMPUTED_VALUE"""),17.7409)</f>
        <v>17.7409</v>
      </c>
      <c r="F583" s="434">
        <f>IFERROR(__xludf.DUMMYFUNCTION("""COMPUTED_VALUE"""),45508.99861111111)</f>
        <v>45508.99861</v>
      </c>
      <c r="G583" s="433">
        <f>IFERROR(__xludf.DUMMYFUNCTION("""COMPUTED_VALUE"""),60761.09)</f>
        <v>60761.09</v>
      </c>
      <c r="H583" s="434">
        <f>IFERROR(__xludf.DUMMYFUNCTION("""COMPUTED_VALUE"""),45507.99861111111)</f>
        <v>45507.99861</v>
      </c>
      <c r="I583" s="433">
        <f>IFERROR(__xludf.DUMMYFUNCTION("""COMPUTED_VALUE"""),2985.9395)</f>
        <v>2985.9395</v>
      </c>
    </row>
    <row r="584">
      <c r="A584" s="434">
        <f>IFERROR(__xludf.DUMMYFUNCTION("""COMPUTED_VALUE"""),43218.99861111111)</f>
        <v>43218.99861</v>
      </c>
      <c r="B584" s="433">
        <f>IFERROR(__xludf.DUMMYFUNCTION("""COMPUTED_VALUE"""),9339.01)</f>
        <v>9339.01</v>
      </c>
      <c r="C584" s="434">
        <f>IFERROR(__xludf.DUMMYFUNCTION("""COMPUTED_VALUE"""),42805.99861111111)</f>
        <v>42805.99861</v>
      </c>
      <c r="D584" s="433">
        <f>IFERROR(__xludf.DUMMYFUNCTION("""COMPUTED_VALUE"""),19.3746)</f>
        <v>19.3746</v>
      </c>
      <c r="F584" s="434">
        <f>IFERROR(__xludf.DUMMYFUNCTION("""COMPUTED_VALUE"""),45509.99861111111)</f>
        <v>45509.99861</v>
      </c>
      <c r="G584" s="433">
        <f>IFERROR(__xludf.DUMMYFUNCTION("""COMPUTED_VALUE"""),54237.53)</f>
        <v>54237.53</v>
      </c>
      <c r="H584" s="434">
        <f>IFERROR(__xludf.DUMMYFUNCTION("""COMPUTED_VALUE"""),45508.99861111111)</f>
        <v>45508.99861</v>
      </c>
      <c r="I584" s="433">
        <f>IFERROR(__xludf.DUMMYFUNCTION("""COMPUTED_VALUE"""),2902.1078)</f>
        <v>2902.1078</v>
      </c>
    </row>
    <row r="585">
      <c r="A585" s="434">
        <f>IFERROR(__xludf.DUMMYFUNCTION("""COMPUTED_VALUE"""),43219.99861111111)</f>
        <v>43219.99861</v>
      </c>
      <c r="B585" s="433">
        <f>IFERROR(__xludf.DUMMYFUNCTION("""COMPUTED_VALUE"""),9398.09)</f>
        <v>9398.09</v>
      </c>
      <c r="C585" s="434">
        <f>IFERROR(__xludf.DUMMYFUNCTION("""COMPUTED_VALUE"""),42806.99861111111)</f>
        <v>42806.99861</v>
      </c>
      <c r="D585" s="433">
        <f>IFERROR(__xludf.DUMMYFUNCTION("""COMPUTED_VALUE"""),21.4649)</f>
        <v>21.4649</v>
      </c>
      <c r="F585" s="434">
        <f>IFERROR(__xludf.DUMMYFUNCTION("""COMPUTED_VALUE"""),45510.99861111111)</f>
        <v>45510.99861</v>
      </c>
      <c r="G585" s="433">
        <f>IFERROR(__xludf.DUMMYFUNCTION("""COMPUTED_VALUE"""),55764.82)</f>
        <v>55764.82</v>
      </c>
      <c r="H585" s="434">
        <f>IFERROR(__xludf.DUMMYFUNCTION("""COMPUTED_VALUE"""),45509.99861111111)</f>
        <v>45509.99861</v>
      </c>
      <c r="I585" s="433">
        <f>IFERROR(__xludf.DUMMYFUNCTION("""COMPUTED_VALUE"""),2688.0363)</f>
        <v>2688.0363</v>
      </c>
    </row>
    <row r="586">
      <c r="A586" s="434">
        <f>IFERROR(__xludf.DUMMYFUNCTION("""COMPUTED_VALUE"""),43220.99861111111)</f>
        <v>43220.99861</v>
      </c>
      <c r="B586" s="433">
        <f>IFERROR(__xludf.DUMMYFUNCTION("""COMPUTED_VALUE"""),9231.28)</f>
        <v>9231.28</v>
      </c>
      <c r="C586" s="434">
        <f>IFERROR(__xludf.DUMMYFUNCTION("""COMPUTED_VALUE"""),42807.99861111111)</f>
        <v>42807.99861</v>
      </c>
      <c r="D586" s="433">
        <f>IFERROR(__xludf.DUMMYFUNCTION("""COMPUTED_VALUE"""),23.5049)</f>
        <v>23.5049</v>
      </c>
      <c r="F586" s="434">
        <f>IFERROR(__xludf.DUMMYFUNCTION("""COMPUTED_VALUE"""),45511.99861111111)</f>
        <v>45511.99861</v>
      </c>
      <c r="G586" s="433">
        <f>IFERROR(__xludf.DUMMYFUNCTION("""COMPUTED_VALUE"""),56886.8)</f>
        <v>56886.8</v>
      </c>
      <c r="H586" s="434">
        <f>IFERROR(__xludf.DUMMYFUNCTION("""COMPUTED_VALUE"""),45510.99861111111)</f>
        <v>45510.99861</v>
      </c>
      <c r="I586" s="433">
        <f>IFERROR(__xludf.DUMMYFUNCTION("""COMPUTED_VALUE"""),2418.8706)</f>
        <v>2418.8706</v>
      </c>
    </row>
    <row r="587">
      <c r="A587" s="434">
        <f>IFERROR(__xludf.DUMMYFUNCTION("""COMPUTED_VALUE"""),43221.99861111111)</f>
        <v>43221.99861</v>
      </c>
      <c r="B587" s="433">
        <f>IFERROR(__xludf.DUMMYFUNCTION("""COMPUTED_VALUE"""),9077.25)</f>
        <v>9077.25</v>
      </c>
      <c r="C587" s="434">
        <f>IFERROR(__xludf.DUMMYFUNCTION("""COMPUTED_VALUE"""),42808.99861111111)</f>
        <v>42808.99861</v>
      </c>
      <c r="D587" s="433">
        <f>IFERROR(__xludf.DUMMYFUNCTION("""COMPUTED_VALUE"""),28.5719)</f>
        <v>28.5719</v>
      </c>
      <c r="F587" s="434">
        <f>IFERROR(__xludf.DUMMYFUNCTION("""COMPUTED_VALUE"""),45512.99861111111)</f>
        <v>45512.99861</v>
      </c>
      <c r="G587" s="433">
        <f>IFERROR(__xludf.DUMMYFUNCTION("""COMPUTED_VALUE"""),57157.95)</f>
        <v>57157.95</v>
      </c>
      <c r="H587" s="434">
        <f>IFERROR(__xludf.DUMMYFUNCTION("""COMPUTED_VALUE"""),45511.99861111111)</f>
        <v>45511.99861</v>
      </c>
      <c r="I587" s="433">
        <f>IFERROR(__xludf.DUMMYFUNCTION("""COMPUTED_VALUE"""),2462.6498)</f>
        <v>2462.6498</v>
      </c>
    </row>
    <row r="588">
      <c r="A588" s="434">
        <f>IFERROR(__xludf.DUMMYFUNCTION("""COMPUTED_VALUE"""),43222.99861111111)</f>
        <v>43222.99861</v>
      </c>
      <c r="B588" s="433">
        <f>IFERROR(__xludf.DUMMYFUNCTION("""COMPUTED_VALUE"""),9219.47)</f>
        <v>9219.47</v>
      </c>
      <c r="C588" s="434">
        <f>IFERROR(__xludf.DUMMYFUNCTION("""COMPUTED_VALUE"""),42809.99861111111)</f>
        <v>42809.99861</v>
      </c>
      <c r="D588" s="433">
        <f>IFERROR(__xludf.DUMMYFUNCTION("""COMPUTED_VALUE"""),28.6451)</f>
        <v>28.6451</v>
      </c>
      <c r="F588" s="434">
        <f>IFERROR(__xludf.DUMMYFUNCTION("""COMPUTED_VALUE"""),45513.99861111111)</f>
        <v>45513.99861</v>
      </c>
      <c r="G588" s="433">
        <f>IFERROR(__xludf.DUMMYFUNCTION("""COMPUTED_VALUE"""),61347.45)</f>
        <v>61347.45</v>
      </c>
      <c r="H588" s="434">
        <f>IFERROR(__xludf.DUMMYFUNCTION("""COMPUTED_VALUE"""),45512.99861111111)</f>
        <v>45512.99861</v>
      </c>
      <c r="I588" s="433">
        <f>IFERROR(__xludf.DUMMYFUNCTION("""COMPUTED_VALUE"""),2343.3149)</f>
        <v>2343.3149</v>
      </c>
    </row>
    <row r="589">
      <c r="A589" s="434">
        <f>IFERROR(__xludf.DUMMYFUNCTION("""COMPUTED_VALUE"""),43223.99861111111)</f>
        <v>43223.99861</v>
      </c>
      <c r="B589" s="433">
        <f>IFERROR(__xludf.DUMMYFUNCTION("""COMPUTED_VALUE"""),9745.23)</f>
        <v>9745.23</v>
      </c>
      <c r="C589" s="434">
        <f>IFERROR(__xludf.DUMMYFUNCTION("""COMPUTED_VALUE"""),42810.99861111111)</f>
        <v>42810.99861</v>
      </c>
      <c r="D589" s="433">
        <f>IFERROR(__xludf.DUMMYFUNCTION("""COMPUTED_VALUE"""),35.3573)</f>
        <v>35.3573</v>
      </c>
      <c r="F589" s="434">
        <f>IFERROR(__xludf.DUMMYFUNCTION("""COMPUTED_VALUE"""),45514.99861111111)</f>
        <v>45514.99861</v>
      </c>
      <c r="G589" s="433">
        <f>IFERROR(__xludf.DUMMYFUNCTION("""COMPUTED_VALUE"""),60463.2)</f>
        <v>60463.2</v>
      </c>
      <c r="H589" s="434">
        <f>IFERROR(__xludf.DUMMYFUNCTION("""COMPUTED_VALUE"""),45513.99861111111)</f>
        <v>45513.99861</v>
      </c>
      <c r="I589" s="433">
        <f>IFERROR(__xludf.DUMMYFUNCTION("""COMPUTED_VALUE"""),2684.593)</f>
        <v>2684.593</v>
      </c>
    </row>
    <row r="590">
      <c r="A590" s="434">
        <f>IFERROR(__xludf.DUMMYFUNCTION("""COMPUTED_VALUE"""),43224.99861111111)</f>
        <v>43224.99861</v>
      </c>
      <c r="B590" s="433">
        <f>IFERROR(__xludf.DUMMYFUNCTION("""COMPUTED_VALUE"""),9696.43)</f>
        <v>9696.43</v>
      </c>
      <c r="C590" s="434">
        <f>IFERROR(__xludf.DUMMYFUNCTION("""COMPUTED_VALUE"""),42811.99861111111)</f>
        <v>42811.99861</v>
      </c>
      <c r="D590" s="433">
        <f>IFERROR(__xludf.DUMMYFUNCTION("""COMPUTED_VALUE"""),45.9295)</f>
        <v>45.9295</v>
      </c>
      <c r="F590" s="434">
        <f>IFERROR(__xludf.DUMMYFUNCTION("""COMPUTED_VALUE"""),45515.99861111111)</f>
        <v>45515.99861</v>
      </c>
      <c r="G590" s="433">
        <f>IFERROR(__xludf.DUMMYFUNCTION("""COMPUTED_VALUE"""),61144.88)</f>
        <v>61144.88</v>
      </c>
      <c r="H590" s="434">
        <f>IFERROR(__xludf.DUMMYFUNCTION("""COMPUTED_VALUE"""),45514.99861111111)</f>
        <v>45514.99861</v>
      </c>
      <c r="I590" s="433">
        <f>IFERROR(__xludf.DUMMYFUNCTION("""COMPUTED_VALUE"""),2599.7805)</f>
        <v>2599.7805</v>
      </c>
    </row>
    <row r="591">
      <c r="A591" s="434">
        <f>IFERROR(__xludf.DUMMYFUNCTION("""COMPUTED_VALUE"""),43225.99861111111)</f>
        <v>43225.99861</v>
      </c>
      <c r="B591" s="433">
        <f>IFERROR(__xludf.DUMMYFUNCTION("""COMPUTED_VALUE"""),9818.85)</f>
        <v>9818.85</v>
      </c>
      <c r="C591" s="434">
        <f>IFERROR(__xludf.DUMMYFUNCTION("""COMPUTED_VALUE"""),42812.99861111111)</f>
        <v>42812.99861</v>
      </c>
      <c r="D591" s="433">
        <f>IFERROR(__xludf.DUMMYFUNCTION("""COMPUTED_VALUE"""),46.8742)</f>
        <v>46.8742</v>
      </c>
      <c r="F591" s="434">
        <f>IFERROR(__xludf.DUMMYFUNCTION("""COMPUTED_VALUE"""),45516.99861111111)</f>
        <v>45516.99861</v>
      </c>
      <c r="G591" s="433">
        <f>IFERROR(__xludf.DUMMYFUNCTION("""COMPUTED_VALUE"""),58614.72)</f>
        <v>58614.72</v>
      </c>
      <c r="H591" s="434">
        <f>IFERROR(__xludf.DUMMYFUNCTION("""COMPUTED_VALUE"""),45515.99861111111)</f>
        <v>45515.99861</v>
      </c>
      <c r="I591" s="433">
        <f>IFERROR(__xludf.DUMMYFUNCTION("""COMPUTED_VALUE"""),2610.394)</f>
        <v>2610.394</v>
      </c>
    </row>
    <row r="592">
      <c r="A592" s="434">
        <f>IFERROR(__xludf.DUMMYFUNCTION("""COMPUTED_VALUE"""),43226.99861111111)</f>
        <v>43226.99861</v>
      </c>
      <c r="B592" s="433">
        <f>IFERROR(__xludf.DUMMYFUNCTION("""COMPUTED_VALUE"""),9634.63)</f>
        <v>9634.63</v>
      </c>
      <c r="C592" s="434">
        <f>IFERROR(__xludf.DUMMYFUNCTION("""COMPUTED_VALUE"""),42813.99861111111)</f>
        <v>42813.99861</v>
      </c>
      <c r="D592" s="433">
        <f>IFERROR(__xludf.DUMMYFUNCTION("""COMPUTED_VALUE"""),35.5297)</f>
        <v>35.5297</v>
      </c>
      <c r="F592" s="434">
        <f>IFERROR(__xludf.DUMMYFUNCTION("""COMPUTED_VALUE"""),45517.99861111111)</f>
        <v>45517.99861</v>
      </c>
      <c r="G592" s="433">
        <f>IFERROR(__xludf.DUMMYFUNCTION("""COMPUTED_VALUE"""),59135.62)</f>
        <v>59135.62</v>
      </c>
      <c r="H592" s="434">
        <f>IFERROR(__xludf.DUMMYFUNCTION("""COMPUTED_VALUE"""),45516.99861111111)</f>
        <v>45516.99861</v>
      </c>
      <c r="I592" s="433">
        <f>IFERROR(__xludf.DUMMYFUNCTION("""COMPUTED_VALUE"""),2555.1791)</f>
        <v>2555.1791</v>
      </c>
    </row>
    <row r="593">
      <c r="A593" s="434">
        <f>IFERROR(__xludf.DUMMYFUNCTION("""COMPUTED_VALUE"""),43227.99861111111)</f>
        <v>43227.99861</v>
      </c>
      <c r="B593" s="433">
        <f>IFERROR(__xludf.DUMMYFUNCTION("""COMPUTED_VALUE"""),9366.63)</f>
        <v>9366.63</v>
      </c>
      <c r="C593" s="434">
        <f>IFERROR(__xludf.DUMMYFUNCTION("""COMPUTED_VALUE"""),42814.99861111111)</f>
        <v>42814.99861</v>
      </c>
      <c r="D593" s="433">
        <f>IFERROR(__xludf.DUMMYFUNCTION("""COMPUTED_VALUE"""),44.8336)</f>
        <v>44.8336</v>
      </c>
      <c r="F593" s="434">
        <f>IFERROR(__xludf.DUMMYFUNCTION("""COMPUTED_VALUE"""),45518.99861111111)</f>
        <v>45518.99861</v>
      </c>
      <c r="G593" s="433">
        <f>IFERROR(__xludf.DUMMYFUNCTION("""COMPUTED_VALUE"""),61051.58)</f>
        <v>61051.58</v>
      </c>
      <c r="H593" s="434">
        <f>IFERROR(__xludf.DUMMYFUNCTION("""COMPUTED_VALUE"""),45517.99861111111)</f>
        <v>45517.99861</v>
      </c>
      <c r="I593" s="433">
        <f>IFERROR(__xludf.DUMMYFUNCTION("""COMPUTED_VALUE"""),2723.5757)</f>
        <v>2723.5757</v>
      </c>
    </row>
    <row r="594">
      <c r="A594" s="434">
        <f>IFERROR(__xludf.DUMMYFUNCTION("""COMPUTED_VALUE"""),43228.99861111111)</f>
        <v>43228.99861</v>
      </c>
      <c r="B594" s="433">
        <f>IFERROR(__xludf.DUMMYFUNCTION("""COMPUTED_VALUE"""),9185.23)</f>
        <v>9185.23</v>
      </c>
      <c r="C594" s="434">
        <f>IFERROR(__xludf.DUMMYFUNCTION("""COMPUTED_VALUE"""),42815.99861111111)</f>
        <v>42815.99861</v>
      </c>
      <c r="D594" s="433">
        <f>IFERROR(__xludf.DUMMYFUNCTION("""COMPUTED_VALUE"""),43.5098)</f>
        <v>43.5098</v>
      </c>
      <c r="F594" s="434">
        <f>IFERROR(__xludf.DUMMYFUNCTION("""COMPUTED_VALUE"""),45519.99861111111)</f>
        <v>45519.99861</v>
      </c>
      <c r="G594" s="433">
        <f>IFERROR(__xludf.DUMMYFUNCTION("""COMPUTED_VALUE"""),58418.11)</f>
        <v>58418.11</v>
      </c>
      <c r="H594" s="434">
        <f>IFERROR(__xludf.DUMMYFUNCTION("""COMPUTED_VALUE"""),45518.99861111111)</f>
        <v>45518.99861</v>
      </c>
      <c r="I594" s="433">
        <f>IFERROR(__xludf.DUMMYFUNCTION("""COMPUTED_VALUE"""),2703.2071)</f>
        <v>2703.2071</v>
      </c>
    </row>
    <row r="595">
      <c r="A595" s="434">
        <f>IFERROR(__xludf.DUMMYFUNCTION("""COMPUTED_VALUE"""),43229.99861111111)</f>
        <v>43229.99861</v>
      </c>
      <c r="B595" s="433">
        <f>IFERROR(__xludf.DUMMYFUNCTION("""COMPUTED_VALUE"""),9308.04)</f>
        <v>9308.04</v>
      </c>
      <c r="C595" s="434">
        <f>IFERROR(__xludf.DUMMYFUNCTION("""COMPUTED_VALUE"""),42816.99861111111)</f>
        <v>42816.99861</v>
      </c>
      <c r="D595" s="433">
        <f>IFERROR(__xludf.DUMMYFUNCTION("""COMPUTED_VALUE"""),43.1225)</f>
        <v>43.1225</v>
      </c>
      <c r="F595" s="434">
        <f>IFERROR(__xludf.DUMMYFUNCTION("""COMPUTED_VALUE"""),45520.99861111111)</f>
        <v>45520.99861</v>
      </c>
      <c r="G595" s="433">
        <f>IFERROR(__xludf.DUMMYFUNCTION("""COMPUTED_VALUE"""),57976.19)</f>
        <v>57976.19</v>
      </c>
      <c r="H595" s="434">
        <f>IFERROR(__xludf.DUMMYFUNCTION("""COMPUTED_VALUE"""),45519.99861111111)</f>
        <v>45519.99861</v>
      </c>
      <c r="I595" s="433">
        <f>IFERROR(__xludf.DUMMYFUNCTION("""COMPUTED_VALUE"""),2662.8264)</f>
        <v>2662.8264</v>
      </c>
    </row>
    <row r="596">
      <c r="A596" s="434">
        <f>IFERROR(__xludf.DUMMYFUNCTION("""COMPUTED_VALUE"""),43230.99861111111)</f>
        <v>43230.99861</v>
      </c>
      <c r="B596" s="433">
        <f>IFERROR(__xludf.DUMMYFUNCTION("""COMPUTED_VALUE"""),9017.48)</f>
        <v>9017.48</v>
      </c>
      <c r="C596" s="434">
        <f>IFERROR(__xludf.DUMMYFUNCTION("""COMPUTED_VALUE"""),42817.99861111111)</f>
        <v>42817.99861</v>
      </c>
      <c r="D596" s="433">
        <f>IFERROR(__xludf.DUMMYFUNCTION("""COMPUTED_VALUE"""),42.5652)</f>
        <v>42.5652</v>
      </c>
      <c r="F596" s="434">
        <f>IFERROR(__xludf.DUMMYFUNCTION("""COMPUTED_VALUE"""),45521.99861111111)</f>
        <v>45521.99861</v>
      </c>
      <c r="G596" s="433">
        <f>IFERROR(__xludf.DUMMYFUNCTION("""COMPUTED_VALUE"""),59131.83)</f>
        <v>59131.83</v>
      </c>
      <c r="H596" s="434">
        <f>IFERROR(__xludf.DUMMYFUNCTION("""COMPUTED_VALUE"""),45520.99861111111)</f>
        <v>45520.99861</v>
      </c>
      <c r="I596" s="433">
        <f>IFERROR(__xludf.DUMMYFUNCTION("""COMPUTED_VALUE"""),2570.0959)</f>
        <v>2570.0959</v>
      </c>
    </row>
    <row r="597">
      <c r="A597" s="434">
        <f>IFERROR(__xludf.DUMMYFUNCTION("""COMPUTED_VALUE"""),43231.99861111111)</f>
        <v>43231.99861</v>
      </c>
      <c r="B597" s="433">
        <f>IFERROR(__xludf.DUMMYFUNCTION("""COMPUTED_VALUE"""),8406.04)</f>
        <v>8406.04</v>
      </c>
      <c r="C597" s="434">
        <f>IFERROR(__xludf.DUMMYFUNCTION("""COMPUTED_VALUE"""),42818.99861111111)</f>
        <v>42818.99861</v>
      </c>
      <c r="D597" s="433">
        <f>IFERROR(__xludf.DUMMYFUNCTION("""COMPUTED_VALUE"""),43.638)</f>
        <v>43.638</v>
      </c>
      <c r="F597" s="434">
        <f>IFERROR(__xludf.DUMMYFUNCTION("""COMPUTED_VALUE"""),45522.99861111111)</f>
        <v>45522.99861</v>
      </c>
      <c r="G597" s="433">
        <f>IFERROR(__xludf.DUMMYFUNCTION("""COMPUTED_VALUE"""),59435.34)</f>
        <v>59435.34</v>
      </c>
      <c r="H597" s="434">
        <f>IFERROR(__xludf.DUMMYFUNCTION("""COMPUTED_VALUE"""),45521.99861111111)</f>
        <v>45521.99861</v>
      </c>
      <c r="I597" s="433">
        <f>IFERROR(__xludf.DUMMYFUNCTION("""COMPUTED_VALUE"""),2593.3166)</f>
        <v>2593.3166</v>
      </c>
    </row>
    <row r="598">
      <c r="A598" s="434">
        <f>IFERROR(__xludf.DUMMYFUNCTION("""COMPUTED_VALUE"""),43232.99861111111)</f>
        <v>43232.99861</v>
      </c>
      <c r="B598" s="433">
        <f>IFERROR(__xludf.DUMMYFUNCTION("""COMPUTED_VALUE"""),8467.44)</f>
        <v>8467.44</v>
      </c>
      <c r="C598" s="434">
        <f>IFERROR(__xludf.DUMMYFUNCTION("""COMPUTED_VALUE"""),42819.99861111111)</f>
        <v>42819.99861</v>
      </c>
      <c r="D598" s="433">
        <f>IFERROR(__xludf.DUMMYFUNCTION("""COMPUTED_VALUE"""),53.5759)</f>
        <v>53.5759</v>
      </c>
      <c r="F598" s="434">
        <f>IFERROR(__xludf.DUMMYFUNCTION("""COMPUTED_VALUE"""),45523.99861111111)</f>
        <v>45523.99861</v>
      </c>
      <c r="G598" s="433">
        <f>IFERROR(__xludf.DUMMYFUNCTION("""COMPUTED_VALUE"""),58708.96)</f>
        <v>58708.96</v>
      </c>
      <c r="H598" s="434">
        <f>IFERROR(__xludf.DUMMYFUNCTION("""COMPUTED_VALUE"""),45522.99861111111)</f>
        <v>45522.99861</v>
      </c>
      <c r="I598" s="433">
        <f>IFERROR(__xludf.DUMMYFUNCTION("""COMPUTED_VALUE"""),2614.4815)</f>
        <v>2614.4815</v>
      </c>
    </row>
    <row r="599">
      <c r="A599" s="434">
        <f>IFERROR(__xludf.DUMMYFUNCTION("""COMPUTED_VALUE"""),43233.99861111111)</f>
        <v>43233.99861</v>
      </c>
      <c r="B599" s="433">
        <f>IFERROR(__xludf.DUMMYFUNCTION("""COMPUTED_VALUE"""),8687.51)</f>
        <v>8687.51</v>
      </c>
      <c r="C599" s="434">
        <f>IFERROR(__xludf.DUMMYFUNCTION("""COMPUTED_VALUE"""),42820.99861111111)</f>
        <v>42820.99861</v>
      </c>
      <c r="D599" s="433">
        <f>IFERROR(__xludf.DUMMYFUNCTION("""COMPUTED_VALUE"""),50.7699)</f>
        <v>50.7699</v>
      </c>
      <c r="F599" s="434">
        <f>IFERROR(__xludf.DUMMYFUNCTION("""COMPUTED_VALUE"""),45524.99861111111)</f>
        <v>45524.99861</v>
      </c>
      <c r="G599" s="433">
        <f>IFERROR(__xludf.DUMMYFUNCTION("""COMPUTED_VALUE"""),60549.66)</f>
        <v>60549.66</v>
      </c>
      <c r="H599" s="434">
        <f>IFERROR(__xludf.DUMMYFUNCTION("""COMPUTED_VALUE"""),45523.99861111111)</f>
        <v>45523.99861</v>
      </c>
      <c r="I599" s="433">
        <f>IFERROR(__xludf.DUMMYFUNCTION("""COMPUTED_VALUE"""),2612.8511)</f>
        <v>2612.8511</v>
      </c>
    </row>
    <row r="600">
      <c r="A600" s="434">
        <f>IFERROR(__xludf.DUMMYFUNCTION("""COMPUTED_VALUE"""),43234.99861111111)</f>
        <v>43234.99861</v>
      </c>
      <c r="B600" s="433">
        <f>IFERROR(__xludf.DUMMYFUNCTION("""COMPUTED_VALUE"""),8671.69)</f>
        <v>8671.69</v>
      </c>
      <c r="C600" s="434">
        <f>IFERROR(__xludf.DUMMYFUNCTION("""COMPUTED_VALUE"""),42821.99861111111)</f>
        <v>42821.99861</v>
      </c>
      <c r="D600" s="433">
        <f>IFERROR(__xludf.DUMMYFUNCTION("""COMPUTED_VALUE"""),51.3121)</f>
        <v>51.3121</v>
      </c>
      <c r="F600" s="434">
        <f>IFERROR(__xludf.DUMMYFUNCTION("""COMPUTED_VALUE"""),45525.99861111111)</f>
        <v>45525.99861</v>
      </c>
      <c r="G600" s="433">
        <f>IFERROR(__xludf.DUMMYFUNCTION("""COMPUTED_VALUE"""),59291.03)</f>
        <v>59291.03</v>
      </c>
      <c r="H600" s="434">
        <f>IFERROR(__xludf.DUMMYFUNCTION("""COMPUTED_VALUE"""),45524.99861111111)</f>
        <v>45524.99861</v>
      </c>
      <c r="I600" s="433">
        <f>IFERROR(__xludf.DUMMYFUNCTION("""COMPUTED_VALUE"""),2637.4154)</f>
        <v>2637.4154</v>
      </c>
    </row>
    <row r="601">
      <c r="A601" s="434">
        <f>IFERROR(__xludf.DUMMYFUNCTION("""COMPUTED_VALUE"""),43235.99861111111)</f>
        <v>43235.99861</v>
      </c>
      <c r="B601" s="433">
        <f>IFERROR(__xludf.DUMMYFUNCTION("""COMPUTED_VALUE"""),8474.59)</f>
        <v>8474.59</v>
      </c>
      <c r="C601" s="434">
        <f>IFERROR(__xludf.DUMMYFUNCTION("""COMPUTED_VALUE"""),42822.99861111111)</f>
        <v>42822.99861</v>
      </c>
      <c r="D601" s="433">
        <f>IFERROR(__xludf.DUMMYFUNCTION("""COMPUTED_VALUE"""),49.7104)</f>
        <v>49.7104</v>
      </c>
      <c r="F601" s="434">
        <f>IFERROR(__xludf.DUMMYFUNCTION("""COMPUTED_VALUE"""),45526.99861111111)</f>
        <v>45526.99861</v>
      </c>
      <c r="G601" s="433">
        <f>IFERROR(__xludf.DUMMYFUNCTION("""COMPUTED_VALUE"""),60554.25)</f>
        <v>60554.25</v>
      </c>
      <c r="H601" s="434">
        <f>IFERROR(__xludf.DUMMYFUNCTION("""COMPUTED_VALUE"""),45525.99861111111)</f>
        <v>45525.99861</v>
      </c>
      <c r="I601" s="433">
        <f>IFERROR(__xludf.DUMMYFUNCTION("""COMPUTED_VALUE"""),2573.3144)</f>
        <v>2573.3144</v>
      </c>
    </row>
    <row r="602">
      <c r="A602" s="434">
        <f>IFERROR(__xludf.DUMMYFUNCTION("""COMPUTED_VALUE"""),43236.99861111111)</f>
        <v>43236.99861</v>
      </c>
      <c r="B602" s="433">
        <f>IFERROR(__xludf.DUMMYFUNCTION("""COMPUTED_VALUE"""),8337.6)</f>
        <v>8337.6</v>
      </c>
      <c r="C602" s="434">
        <f>IFERROR(__xludf.DUMMYFUNCTION("""COMPUTED_VALUE"""),42823.99861111111)</f>
        <v>42823.99861</v>
      </c>
      <c r="D602" s="433">
        <f>IFERROR(__xludf.DUMMYFUNCTION("""COMPUTED_VALUE"""),50.5693)</f>
        <v>50.5693</v>
      </c>
      <c r="F602" s="434">
        <f>IFERROR(__xludf.DUMMYFUNCTION("""COMPUTED_VALUE"""),45527.99861111111)</f>
        <v>45527.99861</v>
      </c>
      <c r="G602" s="433">
        <f>IFERROR(__xludf.DUMMYFUNCTION("""COMPUTED_VALUE"""),60625.02)</f>
        <v>60625.02</v>
      </c>
      <c r="H602" s="434">
        <f>IFERROR(__xludf.DUMMYFUNCTION("""COMPUTED_VALUE"""),45526.99861111111)</f>
        <v>45526.99861</v>
      </c>
      <c r="I602" s="433">
        <f>IFERROR(__xludf.DUMMYFUNCTION("""COMPUTED_VALUE"""),2631.1528)</f>
        <v>2631.1528</v>
      </c>
    </row>
    <row r="603">
      <c r="A603" s="434">
        <f>IFERROR(__xludf.DUMMYFUNCTION("""COMPUTED_VALUE"""),43237.99861111111)</f>
        <v>43237.99861</v>
      </c>
      <c r="B603" s="433">
        <f>IFERROR(__xludf.DUMMYFUNCTION("""COMPUTED_VALUE"""),8045.84)</f>
        <v>8045.84</v>
      </c>
      <c r="C603" s="434">
        <f>IFERROR(__xludf.DUMMYFUNCTION("""COMPUTED_VALUE"""),42824.99861111111)</f>
        <v>42824.99861</v>
      </c>
      <c r="D603" s="433">
        <f>IFERROR(__xludf.DUMMYFUNCTION("""COMPUTED_VALUE"""),53.1245)</f>
        <v>53.1245</v>
      </c>
      <c r="F603" s="434">
        <f>IFERROR(__xludf.DUMMYFUNCTION("""COMPUTED_VALUE"""),45528.99861111111)</f>
        <v>45528.99861</v>
      </c>
      <c r="G603" s="433">
        <f>IFERROR(__xludf.DUMMYFUNCTION("""COMPUTED_VALUE"""),63975.61)</f>
        <v>63975.61</v>
      </c>
      <c r="H603" s="434">
        <f>IFERROR(__xludf.DUMMYFUNCTION("""COMPUTED_VALUE"""),45527.99861111111)</f>
        <v>45527.99861</v>
      </c>
      <c r="I603" s="433">
        <f>IFERROR(__xludf.DUMMYFUNCTION("""COMPUTED_VALUE"""),2623.2467)</f>
        <v>2623.2467</v>
      </c>
    </row>
    <row r="604">
      <c r="A604" s="434">
        <f>IFERROR(__xludf.DUMMYFUNCTION("""COMPUTED_VALUE"""),43238.99861111111)</f>
        <v>43238.99861</v>
      </c>
      <c r="B604" s="433">
        <f>IFERROR(__xludf.DUMMYFUNCTION("""COMPUTED_VALUE"""),8237.08)</f>
        <v>8237.08</v>
      </c>
      <c r="C604" s="434">
        <f>IFERROR(__xludf.DUMMYFUNCTION("""COMPUTED_VALUE"""),42825.99861111111)</f>
        <v>42825.99861</v>
      </c>
      <c r="D604" s="433">
        <f>IFERROR(__xludf.DUMMYFUNCTION("""COMPUTED_VALUE"""),51.7537)</f>
        <v>51.7537</v>
      </c>
      <c r="F604" s="434">
        <f>IFERROR(__xludf.DUMMYFUNCTION("""COMPUTED_VALUE"""),45529.99861111111)</f>
        <v>45529.99861</v>
      </c>
      <c r="G604" s="433">
        <f>IFERROR(__xludf.DUMMYFUNCTION("""COMPUTED_VALUE"""),64153.97)</f>
        <v>64153.97</v>
      </c>
      <c r="H604" s="434">
        <f>IFERROR(__xludf.DUMMYFUNCTION("""COMPUTED_VALUE"""),45528.99861111111)</f>
        <v>45528.99861</v>
      </c>
      <c r="I604" s="433">
        <f>IFERROR(__xludf.DUMMYFUNCTION("""COMPUTED_VALUE"""),2764.4867)</f>
        <v>2764.4867</v>
      </c>
    </row>
    <row r="605">
      <c r="A605" s="434">
        <f>IFERROR(__xludf.DUMMYFUNCTION("""COMPUTED_VALUE"""),43240.99861111111)</f>
        <v>43240.99861</v>
      </c>
      <c r="B605" s="433">
        <f>IFERROR(__xludf.DUMMYFUNCTION("""COMPUTED_VALUE"""),8516.83)</f>
        <v>8516.83</v>
      </c>
      <c r="C605" s="434">
        <f>IFERROR(__xludf.DUMMYFUNCTION("""COMPUTED_VALUE"""),42826.99861111111)</f>
        <v>42826.99861</v>
      </c>
      <c r="D605" s="433">
        <f>IFERROR(__xludf.DUMMYFUNCTION("""COMPUTED_VALUE"""),50.0337)</f>
        <v>50.0337</v>
      </c>
      <c r="F605" s="434">
        <f>IFERROR(__xludf.DUMMYFUNCTION("""COMPUTED_VALUE"""),45530.99861111111)</f>
        <v>45530.99861</v>
      </c>
      <c r="G605" s="433">
        <f>IFERROR(__xludf.DUMMYFUNCTION("""COMPUTED_VALUE"""),64134.76)</f>
        <v>64134.76</v>
      </c>
      <c r="H605" s="434">
        <f>IFERROR(__xludf.DUMMYFUNCTION("""COMPUTED_VALUE"""),45529.99861111111)</f>
        <v>45529.99861</v>
      </c>
      <c r="I605" s="433">
        <f>IFERROR(__xludf.DUMMYFUNCTION("""COMPUTED_VALUE"""),2769.9179)</f>
        <v>2769.9179</v>
      </c>
    </row>
    <row r="606">
      <c r="A606" s="434">
        <f>IFERROR(__xludf.DUMMYFUNCTION("""COMPUTED_VALUE"""),43241.99861111111)</f>
        <v>43241.99861</v>
      </c>
      <c r="B606" s="433">
        <f>IFERROR(__xludf.DUMMYFUNCTION("""COMPUTED_VALUE"""),8396.5)</f>
        <v>8396.5</v>
      </c>
      <c r="C606" s="434">
        <f>IFERROR(__xludf.DUMMYFUNCTION("""COMPUTED_VALUE"""),42827.99861111111)</f>
        <v>42827.99861</v>
      </c>
      <c r="D606" s="433">
        <f>IFERROR(__xludf.DUMMYFUNCTION("""COMPUTED_VALUE"""),50.7384)</f>
        <v>50.7384</v>
      </c>
      <c r="F606" s="434">
        <f>IFERROR(__xludf.DUMMYFUNCTION("""COMPUTED_VALUE"""),45531.99861111111)</f>
        <v>45531.99861</v>
      </c>
      <c r="G606" s="433">
        <f>IFERROR(__xludf.DUMMYFUNCTION("""COMPUTED_VALUE"""),62976.04)</f>
        <v>62976.04</v>
      </c>
      <c r="H606" s="434">
        <f>IFERROR(__xludf.DUMMYFUNCTION("""COMPUTED_VALUE"""),45530.99861111111)</f>
        <v>45530.99861</v>
      </c>
      <c r="I606" s="433">
        <f>IFERROR(__xludf.DUMMYFUNCTION("""COMPUTED_VALUE"""),2748.2981)</f>
        <v>2748.2981</v>
      </c>
    </row>
    <row r="607">
      <c r="A607" s="434">
        <f>IFERROR(__xludf.DUMMYFUNCTION("""COMPUTED_VALUE"""),43242.99861111111)</f>
        <v>43242.99861</v>
      </c>
      <c r="B607" s="433">
        <f>IFERROR(__xludf.DUMMYFUNCTION("""COMPUTED_VALUE"""),7996.57)</f>
        <v>7996.57</v>
      </c>
      <c r="C607" s="434">
        <f>IFERROR(__xludf.DUMMYFUNCTION("""COMPUTED_VALUE"""),42828.99861111111)</f>
        <v>42828.99861</v>
      </c>
      <c r="D607" s="433">
        <f>IFERROR(__xludf.DUMMYFUNCTION("""COMPUTED_VALUE"""),48.8212)</f>
        <v>48.8212</v>
      </c>
      <c r="F607" s="434">
        <f>IFERROR(__xludf.DUMMYFUNCTION("""COMPUTED_VALUE"""),45532.99861111111)</f>
        <v>45532.99861</v>
      </c>
      <c r="G607" s="433">
        <f>IFERROR(__xludf.DUMMYFUNCTION("""COMPUTED_VALUE"""),59536.44)</f>
        <v>59536.44</v>
      </c>
      <c r="H607" s="434">
        <f>IFERROR(__xludf.DUMMYFUNCTION("""COMPUTED_VALUE"""),45531.99861111111)</f>
        <v>45531.99861</v>
      </c>
      <c r="I607" s="433">
        <f>IFERROR(__xludf.DUMMYFUNCTION("""COMPUTED_VALUE"""),2681.0339)</f>
        <v>2681.0339</v>
      </c>
    </row>
    <row r="608">
      <c r="A608" s="434">
        <f>IFERROR(__xludf.DUMMYFUNCTION("""COMPUTED_VALUE"""),43243.99861111111)</f>
        <v>43243.99861</v>
      </c>
      <c r="B608" s="433">
        <f>IFERROR(__xludf.DUMMYFUNCTION("""COMPUTED_VALUE"""),7503.63)</f>
        <v>7503.63</v>
      </c>
      <c r="C608" s="434">
        <f>IFERROR(__xludf.DUMMYFUNCTION("""COMPUTED_VALUE"""),42829.99861111111)</f>
        <v>42829.99861</v>
      </c>
      <c r="D608" s="433">
        <f>IFERROR(__xludf.DUMMYFUNCTION("""COMPUTED_VALUE"""),43.9218)</f>
        <v>43.9218</v>
      </c>
      <c r="F608" s="434">
        <f>IFERROR(__xludf.DUMMYFUNCTION("""COMPUTED_VALUE"""),45533.99861111111)</f>
        <v>45533.99861</v>
      </c>
      <c r="G608" s="433">
        <f>IFERROR(__xludf.DUMMYFUNCTION("""COMPUTED_VALUE"""),59114.96)</f>
        <v>59114.96</v>
      </c>
      <c r="H608" s="434">
        <f>IFERROR(__xludf.DUMMYFUNCTION("""COMPUTED_VALUE"""),45532.99861111111)</f>
        <v>45532.99861</v>
      </c>
      <c r="I608" s="433">
        <f>IFERROR(__xludf.DUMMYFUNCTION("""COMPUTED_VALUE"""),2458.806)</f>
        <v>2458.806</v>
      </c>
    </row>
    <row r="609">
      <c r="A609" s="434">
        <f>IFERROR(__xludf.DUMMYFUNCTION("""COMPUTED_VALUE"""),43244.99861111111)</f>
        <v>43244.99861</v>
      </c>
      <c r="B609" s="433">
        <f>IFERROR(__xludf.DUMMYFUNCTION("""COMPUTED_VALUE"""),7574.36)</f>
        <v>7574.36</v>
      </c>
      <c r="C609" s="434">
        <f>IFERROR(__xludf.DUMMYFUNCTION("""COMPUTED_VALUE"""),42830.99861111111)</f>
        <v>42830.99861</v>
      </c>
      <c r="D609" s="433">
        <f>IFERROR(__xludf.DUMMYFUNCTION("""COMPUTED_VALUE"""),44.6611)</f>
        <v>44.6611</v>
      </c>
      <c r="F609" s="434">
        <f>IFERROR(__xludf.DUMMYFUNCTION("""COMPUTED_VALUE"""),45534.99861111111)</f>
        <v>45534.99861</v>
      </c>
      <c r="G609" s="433">
        <f>IFERROR(__xludf.DUMMYFUNCTION("""COMPUTED_VALUE"""),59061.49)</f>
        <v>59061.49</v>
      </c>
      <c r="H609" s="434">
        <f>IFERROR(__xludf.DUMMYFUNCTION("""COMPUTED_VALUE"""),45533.99861111111)</f>
        <v>45533.99861</v>
      </c>
      <c r="I609" s="433">
        <f>IFERROR(__xludf.DUMMYFUNCTION("""COMPUTED_VALUE"""),2528.3738)</f>
        <v>2528.3738</v>
      </c>
    </row>
    <row r="610">
      <c r="A610" s="434">
        <f>IFERROR(__xludf.DUMMYFUNCTION("""COMPUTED_VALUE"""),43245.99861111111)</f>
        <v>43245.99861</v>
      </c>
      <c r="B610" s="433">
        <f>IFERROR(__xludf.DUMMYFUNCTION("""COMPUTED_VALUE"""),7467.57)</f>
        <v>7467.57</v>
      </c>
      <c r="C610" s="434">
        <f>IFERROR(__xludf.DUMMYFUNCTION("""COMPUTED_VALUE"""),42831.99861111111)</f>
        <v>42831.99861</v>
      </c>
      <c r="D610" s="433">
        <f>IFERROR(__xludf.DUMMYFUNCTION("""COMPUTED_VALUE"""),45.2205)</f>
        <v>45.2205</v>
      </c>
      <c r="F610" s="434">
        <f>IFERROR(__xludf.DUMMYFUNCTION("""COMPUTED_VALUE"""),45535.99861111111)</f>
        <v>45535.99861</v>
      </c>
      <c r="G610" s="433">
        <f>IFERROR(__xludf.DUMMYFUNCTION("""COMPUTED_VALUE"""),59244.12)</f>
        <v>59244.12</v>
      </c>
      <c r="H610" s="434">
        <f>IFERROR(__xludf.DUMMYFUNCTION("""COMPUTED_VALUE"""),45534.99861111111)</f>
        <v>45534.99861</v>
      </c>
      <c r="I610" s="433">
        <f>IFERROR(__xludf.DUMMYFUNCTION("""COMPUTED_VALUE"""),2528.3425)</f>
        <v>2528.3425</v>
      </c>
    </row>
    <row r="611">
      <c r="A611" s="434">
        <f>IFERROR(__xludf.DUMMYFUNCTION("""COMPUTED_VALUE"""),43246.99861111111)</f>
        <v>43246.99861</v>
      </c>
      <c r="B611" s="433">
        <f>IFERROR(__xludf.DUMMYFUNCTION("""COMPUTED_VALUE"""),7335.78)</f>
        <v>7335.78</v>
      </c>
      <c r="C611" s="434">
        <f>IFERROR(__xludf.DUMMYFUNCTION("""COMPUTED_VALUE"""),42832.99861111111)</f>
        <v>42832.99861</v>
      </c>
      <c r="D611" s="433">
        <f>IFERROR(__xludf.DUMMYFUNCTION("""COMPUTED_VALUE"""),42.8651)</f>
        <v>42.8651</v>
      </c>
      <c r="F611" s="434">
        <f>IFERROR(__xludf.DUMMYFUNCTION("""COMPUTED_VALUE"""),45536.99861111111)</f>
        <v>45536.99861</v>
      </c>
      <c r="G611" s="433">
        <f>IFERROR(__xludf.DUMMYFUNCTION("""COMPUTED_VALUE"""),58563.01)</f>
        <v>58563.01</v>
      </c>
      <c r="H611" s="434">
        <f>IFERROR(__xludf.DUMMYFUNCTION("""COMPUTED_VALUE"""),45535.99861111111)</f>
        <v>45535.99861</v>
      </c>
      <c r="I611" s="433">
        <f>IFERROR(__xludf.DUMMYFUNCTION("""COMPUTED_VALUE"""),2526.0084)</f>
        <v>2526.0084</v>
      </c>
    </row>
    <row r="612">
      <c r="A612" s="434">
        <f>IFERROR(__xludf.DUMMYFUNCTION("""COMPUTED_VALUE"""),43247.99861111111)</f>
        <v>43247.99861</v>
      </c>
      <c r="B612" s="433">
        <f>IFERROR(__xludf.DUMMYFUNCTION("""COMPUTED_VALUE"""),7353.38)</f>
        <v>7353.38</v>
      </c>
      <c r="C612" s="434">
        <f>IFERROR(__xludf.DUMMYFUNCTION("""COMPUTED_VALUE"""),42833.99861111111)</f>
        <v>42833.99861</v>
      </c>
      <c r="D612" s="433">
        <f>IFERROR(__xludf.DUMMYFUNCTION("""COMPUTED_VALUE"""),41.7984)</f>
        <v>41.7984</v>
      </c>
      <c r="F612" s="434">
        <f>IFERROR(__xludf.DUMMYFUNCTION("""COMPUTED_VALUE"""),45537.99861111111)</f>
        <v>45537.99861</v>
      </c>
      <c r="G612" s="433">
        <f>IFERROR(__xludf.DUMMYFUNCTION("""COMPUTED_VALUE"""),57724.56)</f>
        <v>57724.56</v>
      </c>
      <c r="H612" s="434">
        <f>IFERROR(__xludf.DUMMYFUNCTION("""COMPUTED_VALUE"""),45536.99861111111)</f>
        <v>45536.99861</v>
      </c>
      <c r="I612" s="433">
        <f>IFERROR(__xludf.DUMMYFUNCTION("""COMPUTED_VALUE"""),2513.0728)</f>
        <v>2513.0728</v>
      </c>
    </row>
    <row r="613">
      <c r="A613" s="434">
        <f>IFERROR(__xludf.DUMMYFUNCTION("""COMPUTED_VALUE"""),43248.99861111111)</f>
        <v>43248.99861</v>
      </c>
      <c r="B613" s="433">
        <f>IFERROR(__xludf.DUMMYFUNCTION("""COMPUTED_VALUE"""),7102.26)</f>
        <v>7102.26</v>
      </c>
      <c r="C613" s="434">
        <f>IFERROR(__xludf.DUMMYFUNCTION("""COMPUTED_VALUE"""),42834.99861111111)</f>
        <v>42834.99861</v>
      </c>
      <c r="D613" s="433">
        <f>IFERROR(__xludf.DUMMYFUNCTION("""COMPUTED_VALUE"""),44.2804)</f>
        <v>44.2804</v>
      </c>
      <c r="F613" s="434">
        <f>IFERROR(__xludf.DUMMYFUNCTION("""COMPUTED_VALUE"""),45538.99861111111)</f>
        <v>45538.99861</v>
      </c>
      <c r="G613" s="433">
        <f>IFERROR(__xludf.DUMMYFUNCTION("""COMPUTED_VALUE"""),59123.2)</f>
        <v>59123.2</v>
      </c>
      <c r="H613" s="434">
        <f>IFERROR(__xludf.DUMMYFUNCTION("""COMPUTED_VALUE"""),45537.99861111111)</f>
        <v>45537.99861</v>
      </c>
      <c r="I613" s="433">
        <f>IFERROR(__xludf.DUMMYFUNCTION("""COMPUTED_VALUE"""),2427.2151)</f>
        <v>2427.2151</v>
      </c>
    </row>
    <row r="614">
      <c r="A614" s="434">
        <f>IFERROR(__xludf.DUMMYFUNCTION("""COMPUTED_VALUE"""),43249.99861111111)</f>
        <v>43249.99861</v>
      </c>
      <c r="B614" s="433">
        <f>IFERROR(__xludf.DUMMYFUNCTION("""COMPUTED_VALUE"""),7454.05)</f>
        <v>7454.05</v>
      </c>
      <c r="C614" s="434">
        <f>IFERROR(__xludf.DUMMYFUNCTION("""COMPUTED_VALUE"""),42835.99861111111)</f>
        <v>42835.99861</v>
      </c>
      <c r="D614" s="433">
        <f>IFERROR(__xludf.DUMMYFUNCTION("""COMPUTED_VALUE"""),43.2776)</f>
        <v>43.2776</v>
      </c>
      <c r="F614" s="434">
        <f>IFERROR(__xludf.DUMMYFUNCTION("""COMPUTED_VALUE"""),45539.99861111111)</f>
        <v>45539.99861</v>
      </c>
      <c r="G614" s="433">
        <f>IFERROR(__xludf.DUMMYFUNCTION("""COMPUTED_VALUE"""),56729.19)</f>
        <v>56729.19</v>
      </c>
      <c r="H614" s="434">
        <f>IFERROR(__xludf.DUMMYFUNCTION("""COMPUTED_VALUE"""),45538.99861111111)</f>
        <v>45538.99861</v>
      </c>
      <c r="I614" s="433">
        <f>IFERROR(__xludf.DUMMYFUNCTION("""COMPUTED_VALUE"""),2538.3102)</f>
        <v>2538.3102</v>
      </c>
    </row>
    <row r="615">
      <c r="A615" s="434">
        <f>IFERROR(__xludf.DUMMYFUNCTION("""COMPUTED_VALUE"""),43250.99861111111)</f>
        <v>43250.99861</v>
      </c>
      <c r="B615" s="433">
        <f>IFERROR(__xludf.DUMMYFUNCTION("""COMPUTED_VALUE"""),7374.4)</f>
        <v>7374.4</v>
      </c>
      <c r="C615" s="434">
        <f>IFERROR(__xludf.DUMMYFUNCTION("""COMPUTED_VALUE"""),42836.99861111111)</f>
        <v>42836.99861</v>
      </c>
      <c r="D615" s="433">
        <f>IFERROR(__xludf.DUMMYFUNCTION("""COMPUTED_VALUE"""),43.5014)</f>
        <v>43.5014</v>
      </c>
      <c r="F615" s="434">
        <f>IFERROR(__xludf.DUMMYFUNCTION("""COMPUTED_VALUE"""),45540.99861111111)</f>
        <v>45540.99861</v>
      </c>
      <c r="G615" s="433">
        <f>IFERROR(__xludf.DUMMYFUNCTION("""COMPUTED_VALUE"""),57202.56)</f>
        <v>57202.56</v>
      </c>
      <c r="H615" s="434">
        <f>IFERROR(__xludf.DUMMYFUNCTION("""COMPUTED_VALUE"""),45539.99861111111)</f>
        <v>45539.99861</v>
      </c>
      <c r="I615" s="433">
        <f>IFERROR(__xludf.DUMMYFUNCTION("""COMPUTED_VALUE"""),2424.6162)</f>
        <v>2424.6162</v>
      </c>
    </row>
    <row r="616">
      <c r="A616" s="434">
        <f>IFERROR(__xludf.DUMMYFUNCTION("""COMPUTED_VALUE"""),43251.99861111111)</f>
        <v>43251.99861</v>
      </c>
      <c r="B616" s="433">
        <f>IFERROR(__xludf.DUMMYFUNCTION("""COMPUTED_VALUE"""),7318.37)</f>
        <v>7318.37</v>
      </c>
      <c r="C616" s="434">
        <f>IFERROR(__xludf.DUMMYFUNCTION("""COMPUTED_VALUE"""),42837.99861111111)</f>
        <v>42837.99861</v>
      </c>
      <c r="D616" s="433">
        <f>IFERROR(__xludf.DUMMYFUNCTION("""COMPUTED_VALUE"""),43.4628)</f>
        <v>43.4628</v>
      </c>
      <c r="F616" s="434">
        <f>IFERROR(__xludf.DUMMYFUNCTION("""COMPUTED_VALUE"""),45541.99861111111)</f>
        <v>45541.99861</v>
      </c>
      <c r="G616" s="433">
        <f>IFERROR(__xludf.DUMMYFUNCTION("""COMPUTED_VALUE"""),56604.56)</f>
        <v>56604.56</v>
      </c>
      <c r="H616" s="434">
        <f>IFERROR(__xludf.DUMMYFUNCTION("""COMPUTED_VALUE"""),45540.99861111111)</f>
        <v>45540.99861</v>
      </c>
      <c r="I616" s="433">
        <f>IFERROR(__xludf.DUMMYFUNCTION("""COMPUTED_VALUE"""),2450.2081)</f>
        <v>2450.2081</v>
      </c>
    </row>
    <row r="617">
      <c r="A617" s="434">
        <f>IFERROR(__xludf.DUMMYFUNCTION("""COMPUTED_VALUE"""),43252.99861111111)</f>
        <v>43252.99861</v>
      </c>
      <c r="B617" s="433">
        <f>IFERROR(__xludf.DUMMYFUNCTION("""COMPUTED_VALUE"""),7520.2)</f>
        <v>7520.2</v>
      </c>
      <c r="C617" s="434">
        <f>IFERROR(__xludf.DUMMYFUNCTION("""COMPUTED_VALUE"""),42838.99861111111)</f>
        <v>42838.99861</v>
      </c>
      <c r="D617" s="433">
        <f>IFERROR(__xludf.DUMMYFUNCTION("""COMPUTED_VALUE"""),46.3106)</f>
        <v>46.3106</v>
      </c>
      <c r="F617" s="434">
        <f>IFERROR(__xludf.DUMMYFUNCTION("""COMPUTED_VALUE"""),45542.99861111111)</f>
        <v>45542.99861</v>
      </c>
      <c r="G617" s="433">
        <f>IFERROR(__xludf.DUMMYFUNCTION("""COMPUTED_VALUE"""),53857.56)</f>
        <v>53857.56</v>
      </c>
      <c r="H617" s="434">
        <f>IFERROR(__xludf.DUMMYFUNCTION("""COMPUTED_VALUE"""),45541.99861111111)</f>
        <v>45541.99861</v>
      </c>
      <c r="I617" s="433">
        <f>IFERROR(__xludf.DUMMYFUNCTION("""COMPUTED_VALUE"""),2367.7747)</f>
        <v>2367.7747</v>
      </c>
    </row>
    <row r="618">
      <c r="A618" s="434">
        <f>IFERROR(__xludf.DUMMYFUNCTION("""COMPUTED_VALUE"""),43253.99861111111)</f>
        <v>43253.99861</v>
      </c>
      <c r="B618" s="433">
        <f>IFERROR(__xludf.DUMMYFUNCTION("""COMPUTED_VALUE"""),7634.31)</f>
        <v>7634.31</v>
      </c>
      <c r="C618" s="434">
        <f>IFERROR(__xludf.DUMMYFUNCTION("""COMPUTED_VALUE"""),42839.99861111111)</f>
        <v>42839.99861</v>
      </c>
      <c r="D618" s="433">
        <f>IFERROR(__xludf.DUMMYFUNCTION("""COMPUTED_VALUE"""),49.9714)</f>
        <v>49.9714</v>
      </c>
      <c r="F618" s="434">
        <f>IFERROR(__xludf.DUMMYFUNCTION("""COMPUTED_VALUE"""),45543.99861111111)</f>
        <v>45543.99861</v>
      </c>
      <c r="G618" s="433">
        <f>IFERROR(__xludf.DUMMYFUNCTION("""COMPUTED_VALUE"""),54382.0)</f>
        <v>54382</v>
      </c>
      <c r="H618" s="434">
        <f>IFERROR(__xludf.DUMMYFUNCTION("""COMPUTED_VALUE"""),45542.99861111111)</f>
        <v>45542.99861</v>
      </c>
      <c r="I618" s="433">
        <f>IFERROR(__xludf.DUMMYFUNCTION("""COMPUTED_VALUE"""),2224.5687)</f>
        <v>2224.5687</v>
      </c>
    </row>
    <row r="619">
      <c r="A619" s="434">
        <f>IFERROR(__xludf.DUMMYFUNCTION("""COMPUTED_VALUE"""),43254.99861111111)</f>
        <v>43254.99861</v>
      </c>
      <c r="B619" s="433">
        <f>IFERROR(__xludf.DUMMYFUNCTION("""COMPUTED_VALUE"""),7713.28)</f>
        <v>7713.28</v>
      </c>
      <c r="C619" s="434">
        <f>IFERROR(__xludf.DUMMYFUNCTION("""COMPUTED_VALUE"""),42840.99861111111)</f>
        <v>42840.99861</v>
      </c>
      <c r="D619" s="433">
        <f>IFERROR(__xludf.DUMMYFUNCTION("""COMPUTED_VALUE"""),47.6537)</f>
        <v>47.6537</v>
      </c>
      <c r="F619" s="434">
        <f>IFERROR(__xludf.DUMMYFUNCTION("""COMPUTED_VALUE"""),45544.99861111111)</f>
        <v>45544.99861</v>
      </c>
      <c r="G619" s="433">
        <f>IFERROR(__xludf.DUMMYFUNCTION("""COMPUTED_VALUE"""),55073.68)</f>
        <v>55073.68</v>
      </c>
      <c r="H619" s="434">
        <f>IFERROR(__xludf.DUMMYFUNCTION("""COMPUTED_VALUE"""),45543.99861111111)</f>
        <v>45543.99861</v>
      </c>
      <c r="I619" s="433">
        <f>IFERROR(__xludf.DUMMYFUNCTION("""COMPUTED_VALUE"""),2273.6698)</f>
        <v>2273.6698</v>
      </c>
    </row>
    <row r="620">
      <c r="A620" s="434">
        <f>IFERROR(__xludf.DUMMYFUNCTION("""COMPUTED_VALUE"""),43255.99861111111)</f>
        <v>43255.99861</v>
      </c>
      <c r="B620" s="433">
        <f>IFERROR(__xludf.DUMMYFUNCTION("""COMPUTED_VALUE"""),7491.05)</f>
        <v>7491.05</v>
      </c>
      <c r="C620" s="434">
        <f>IFERROR(__xludf.DUMMYFUNCTION("""COMPUTED_VALUE"""),42841.99861111111)</f>
        <v>42841.99861</v>
      </c>
      <c r="D620" s="433">
        <f>IFERROR(__xludf.DUMMYFUNCTION("""COMPUTED_VALUE"""),49.0378)</f>
        <v>49.0378</v>
      </c>
      <c r="F620" s="434">
        <f>IFERROR(__xludf.DUMMYFUNCTION("""COMPUTED_VALUE"""),45545.99861111111)</f>
        <v>45545.99861</v>
      </c>
      <c r="G620" s="433">
        <f>IFERROR(__xludf.DUMMYFUNCTION("""COMPUTED_VALUE"""),56568.94)</f>
        <v>56568.94</v>
      </c>
      <c r="H620" s="434">
        <f>IFERROR(__xludf.DUMMYFUNCTION("""COMPUTED_VALUE"""),45544.99861111111)</f>
        <v>45544.99861</v>
      </c>
      <c r="I620" s="433">
        <f>IFERROR(__xludf.DUMMYFUNCTION("""COMPUTED_VALUE"""),2297.2448)</f>
        <v>2297.2448</v>
      </c>
    </row>
    <row r="621">
      <c r="A621" s="434">
        <f>IFERROR(__xludf.DUMMYFUNCTION("""COMPUTED_VALUE"""),43256.99861111111)</f>
        <v>43256.99861</v>
      </c>
      <c r="B621" s="433">
        <f>IFERROR(__xludf.DUMMYFUNCTION("""COMPUTED_VALUE"""),7619.61)</f>
        <v>7619.61</v>
      </c>
      <c r="C621" s="434">
        <f>IFERROR(__xludf.DUMMYFUNCTION("""COMPUTED_VALUE"""),42842.99861111111)</f>
        <v>42842.99861</v>
      </c>
      <c r="D621" s="433">
        <f>IFERROR(__xludf.DUMMYFUNCTION("""COMPUTED_VALUE"""),48.6597)</f>
        <v>48.6597</v>
      </c>
      <c r="F621" s="434">
        <f>IFERROR(__xludf.DUMMYFUNCTION("""COMPUTED_VALUE"""),45546.99861111111)</f>
        <v>45546.99861</v>
      </c>
      <c r="G621" s="433">
        <f>IFERROR(__xludf.DUMMYFUNCTION("""COMPUTED_VALUE"""),56778.54)</f>
        <v>56778.54</v>
      </c>
      <c r="H621" s="434">
        <f>IFERROR(__xludf.DUMMYFUNCTION("""COMPUTED_VALUE"""),45545.99861111111)</f>
        <v>45545.99861</v>
      </c>
      <c r="I621" s="433">
        <f>IFERROR(__xludf.DUMMYFUNCTION("""COMPUTED_VALUE"""),2359.8337)</f>
        <v>2359.8337</v>
      </c>
    </row>
    <row r="622">
      <c r="A622" s="434">
        <f>IFERROR(__xludf.DUMMYFUNCTION("""COMPUTED_VALUE"""),43257.99861111111)</f>
        <v>43257.99861</v>
      </c>
      <c r="B622" s="433">
        <f>IFERROR(__xludf.DUMMYFUNCTION("""COMPUTED_VALUE"""),7654.93)</f>
        <v>7654.93</v>
      </c>
      <c r="C622" s="434">
        <f>IFERROR(__xludf.DUMMYFUNCTION("""COMPUTED_VALUE"""),42843.99861111111)</f>
        <v>42843.99861</v>
      </c>
      <c r="D622" s="433">
        <f>IFERROR(__xludf.DUMMYFUNCTION("""COMPUTED_VALUE"""),48.319)</f>
        <v>48.319</v>
      </c>
      <c r="F622" s="434">
        <f>IFERROR(__xludf.DUMMYFUNCTION("""COMPUTED_VALUE"""),45547.99861111111)</f>
        <v>45547.99861</v>
      </c>
      <c r="G622" s="433">
        <f>IFERROR(__xludf.DUMMYFUNCTION("""COMPUTED_VALUE"""),58084.02)</f>
        <v>58084.02</v>
      </c>
      <c r="H622" s="434">
        <f>IFERROR(__xludf.DUMMYFUNCTION("""COMPUTED_VALUE"""),45546.99861111111)</f>
        <v>45546.99861</v>
      </c>
      <c r="I622" s="433">
        <f>IFERROR(__xludf.DUMMYFUNCTION("""COMPUTED_VALUE"""),2388.4566)</f>
        <v>2388.4566</v>
      </c>
    </row>
    <row r="623">
      <c r="A623" s="434">
        <f>IFERROR(__xludf.DUMMYFUNCTION("""COMPUTED_VALUE"""),43258.99861111111)</f>
        <v>43258.99861</v>
      </c>
      <c r="B623" s="433">
        <f>IFERROR(__xludf.DUMMYFUNCTION("""COMPUTED_VALUE"""),7687.9)</f>
        <v>7687.9</v>
      </c>
      <c r="C623" s="434">
        <f>IFERROR(__xludf.DUMMYFUNCTION("""COMPUTED_VALUE"""),42844.99861111111)</f>
        <v>42844.99861</v>
      </c>
      <c r="D623" s="433">
        <f>IFERROR(__xludf.DUMMYFUNCTION("""COMPUTED_VALUE"""),50.729)</f>
        <v>50.729</v>
      </c>
      <c r="F623" s="434">
        <f>IFERROR(__xludf.DUMMYFUNCTION("""COMPUTED_VALUE"""),45548.99861111111)</f>
        <v>45548.99861</v>
      </c>
      <c r="G623" s="433">
        <f>IFERROR(__xludf.DUMMYFUNCTION("""COMPUTED_VALUE"""),57886.09)</f>
        <v>57886.09</v>
      </c>
      <c r="H623" s="434">
        <f>IFERROR(__xludf.DUMMYFUNCTION("""COMPUTED_VALUE"""),45547.99861111111)</f>
        <v>45547.99861</v>
      </c>
      <c r="I623" s="433">
        <f>IFERROR(__xludf.DUMMYFUNCTION("""COMPUTED_VALUE"""),2340.7501)</f>
        <v>2340.7501</v>
      </c>
    </row>
    <row r="624">
      <c r="A624" s="434">
        <f>IFERROR(__xludf.DUMMYFUNCTION("""COMPUTED_VALUE"""),43259.99861111111)</f>
        <v>43259.99861</v>
      </c>
      <c r="B624" s="433">
        <f>IFERROR(__xludf.DUMMYFUNCTION("""COMPUTED_VALUE"""),7617.21)</f>
        <v>7617.21</v>
      </c>
      <c r="C624" s="434">
        <f>IFERROR(__xludf.DUMMYFUNCTION("""COMPUTED_VALUE"""),42845.99861111111)</f>
        <v>42845.99861</v>
      </c>
      <c r="D624" s="433">
        <f>IFERROR(__xludf.DUMMYFUNCTION("""COMPUTED_VALUE"""),48.1323)</f>
        <v>48.1323</v>
      </c>
      <c r="F624" s="434">
        <f>IFERROR(__xludf.DUMMYFUNCTION("""COMPUTED_VALUE"""),45549.99861111111)</f>
        <v>45549.99861</v>
      </c>
      <c r="G624" s="433">
        <f>IFERROR(__xludf.DUMMYFUNCTION("""COMPUTED_VALUE"""),60382.43)</f>
        <v>60382.43</v>
      </c>
      <c r="H624" s="434">
        <f>IFERROR(__xludf.DUMMYFUNCTION("""COMPUTED_VALUE"""),45548.99861111111)</f>
        <v>45548.99861</v>
      </c>
      <c r="I624" s="433">
        <f>IFERROR(__xludf.DUMMYFUNCTION("""COMPUTED_VALUE"""),2361.7359)</f>
        <v>2361.7359</v>
      </c>
    </row>
    <row r="625">
      <c r="A625" s="434">
        <f>IFERROR(__xludf.DUMMYFUNCTION("""COMPUTED_VALUE"""),43260.99861111111)</f>
        <v>43260.99861</v>
      </c>
      <c r="B625" s="433">
        <f>IFERROR(__xludf.DUMMYFUNCTION("""COMPUTED_VALUE"""),7493.39)</f>
        <v>7493.39</v>
      </c>
      <c r="C625" s="434">
        <f>IFERROR(__xludf.DUMMYFUNCTION("""COMPUTED_VALUE"""),42846.99861111111)</f>
        <v>42846.99861</v>
      </c>
      <c r="D625" s="433">
        <f>IFERROR(__xludf.DUMMYFUNCTION("""COMPUTED_VALUE"""),49.6433)</f>
        <v>49.6433</v>
      </c>
      <c r="F625" s="434">
        <f>IFERROR(__xludf.DUMMYFUNCTION("""COMPUTED_VALUE"""),45550.99861111111)</f>
        <v>45550.99861</v>
      </c>
      <c r="G625" s="433">
        <f>IFERROR(__xludf.DUMMYFUNCTION("""COMPUTED_VALUE"""),60186.94)</f>
        <v>60186.94</v>
      </c>
      <c r="H625" s="434">
        <f>IFERROR(__xludf.DUMMYFUNCTION("""COMPUTED_VALUE"""),45549.99861111111)</f>
        <v>45549.99861</v>
      </c>
      <c r="I625" s="433">
        <f>IFERROR(__xludf.DUMMYFUNCTION("""COMPUTED_VALUE"""),2441.1237)</f>
        <v>2441.1237</v>
      </c>
    </row>
    <row r="626">
      <c r="A626" s="434">
        <f>IFERROR(__xludf.DUMMYFUNCTION("""COMPUTED_VALUE"""),43261.99861111111)</f>
        <v>43261.99861</v>
      </c>
      <c r="B626" s="433">
        <f>IFERROR(__xludf.DUMMYFUNCTION("""COMPUTED_VALUE"""),6754.26)</f>
        <v>6754.26</v>
      </c>
      <c r="C626" s="434">
        <f>IFERROR(__xludf.DUMMYFUNCTION("""COMPUTED_VALUE"""),42847.99861111111)</f>
        <v>42847.99861</v>
      </c>
      <c r="D626" s="433">
        <f>IFERROR(__xludf.DUMMYFUNCTION("""COMPUTED_VALUE"""),48.1824)</f>
        <v>48.1824</v>
      </c>
      <c r="F626" s="434">
        <f>IFERROR(__xludf.DUMMYFUNCTION("""COMPUTED_VALUE"""),45551.99861111111)</f>
        <v>45551.99861</v>
      </c>
      <c r="G626" s="433">
        <f>IFERROR(__xludf.DUMMYFUNCTION("""COMPUTED_VALUE"""),58582.38)</f>
        <v>58582.38</v>
      </c>
      <c r="H626" s="434">
        <f>IFERROR(__xludf.DUMMYFUNCTION("""COMPUTED_VALUE"""),45550.99861111111)</f>
        <v>45550.99861</v>
      </c>
      <c r="I626" s="433">
        <f>IFERROR(__xludf.DUMMYFUNCTION("""COMPUTED_VALUE"""),2418.4503)</f>
        <v>2418.4503</v>
      </c>
    </row>
    <row r="627">
      <c r="A627" s="434">
        <f>IFERROR(__xludf.DUMMYFUNCTION("""COMPUTED_VALUE"""),43262.99861111111)</f>
        <v>43262.99861</v>
      </c>
      <c r="B627" s="433">
        <f>IFERROR(__xludf.DUMMYFUNCTION("""COMPUTED_VALUE"""),6883.47)</f>
        <v>6883.47</v>
      </c>
      <c r="C627" s="434">
        <f>IFERROR(__xludf.DUMMYFUNCTION("""COMPUTED_VALUE"""),42848.99861111111)</f>
        <v>42848.99861</v>
      </c>
      <c r="D627" s="433">
        <f>IFERROR(__xludf.DUMMYFUNCTION("""COMPUTED_VALUE"""),48.5925)</f>
        <v>48.5925</v>
      </c>
      <c r="F627" s="434">
        <f>IFERROR(__xludf.DUMMYFUNCTION("""COMPUTED_VALUE"""),45552.99861111111)</f>
        <v>45552.99861</v>
      </c>
      <c r="G627" s="433">
        <f>IFERROR(__xludf.DUMMYFUNCTION("""COMPUTED_VALUE"""),58073.78)</f>
        <v>58073.78</v>
      </c>
      <c r="H627" s="434">
        <f>IFERROR(__xludf.DUMMYFUNCTION("""COMPUTED_VALUE"""),45551.99861111111)</f>
        <v>45551.99861</v>
      </c>
      <c r="I627" s="433">
        <f>IFERROR(__xludf.DUMMYFUNCTION("""COMPUTED_VALUE"""),2317.0989)</f>
        <v>2317.0989</v>
      </c>
    </row>
    <row r="628">
      <c r="A628" s="434">
        <f>IFERROR(__xludf.DUMMYFUNCTION("""COMPUTED_VALUE"""),43263.99861111111)</f>
        <v>43263.99861</v>
      </c>
      <c r="B628" s="433">
        <f>IFERROR(__xludf.DUMMYFUNCTION("""COMPUTED_VALUE"""),6555.48)</f>
        <v>6555.48</v>
      </c>
      <c r="C628" s="434">
        <f>IFERROR(__xludf.DUMMYFUNCTION("""COMPUTED_VALUE"""),42849.99861111111)</f>
        <v>42849.99861</v>
      </c>
      <c r="D628" s="433">
        <f>IFERROR(__xludf.DUMMYFUNCTION("""COMPUTED_VALUE"""),48.8667)</f>
        <v>48.8667</v>
      </c>
      <c r="F628" s="434">
        <f>IFERROR(__xludf.DUMMYFUNCTION("""COMPUTED_VALUE"""),45553.99861111111)</f>
        <v>45553.99861</v>
      </c>
      <c r="G628" s="433">
        <f>IFERROR(__xludf.DUMMYFUNCTION("""COMPUTED_VALUE"""),60545.42)</f>
        <v>60545.42</v>
      </c>
      <c r="H628" s="434">
        <f>IFERROR(__xludf.DUMMYFUNCTION("""COMPUTED_VALUE"""),45552.99861111111)</f>
        <v>45552.99861</v>
      </c>
      <c r="I628" s="433">
        <f>IFERROR(__xludf.DUMMYFUNCTION("""COMPUTED_VALUE"""),2295.2957)</f>
        <v>2295.2957</v>
      </c>
    </row>
    <row r="629">
      <c r="A629" s="434">
        <f>IFERROR(__xludf.DUMMYFUNCTION("""COMPUTED_VALUE"""),43264.99861111111)</f>
        <v>43264.99861</v>
      </c>
      <c r="B629" s="433">
        <f>IFERROR(__xludf.DUMMYFUNCTION("""COMPUTED_VALUE"""),6300.96)</f>
        <v>6300.96</v>
      </c>
      <c r="C629" s="434">
        <f>IFERROR(__xludf.DUMMYFUNCTION("""COMPUTED_VALUE"""),42850.99861111111)</f>
        <v>42850.99861</v>
      </c>
      <c r="D629" s="433">
        <f>IFERROR(__xludf.DUMMYFUNCTION("""COMPUTED_VALUE"""),50.0746)</f>
        <v>50.0746</v>
      </c>
      <c r="F629" s="434">
        <f>IFERROR(__xludf.DUMMYFUNCTION("""COMPUTED_VALUE"""),45554.99861111111)</f>
        <v>45554.99861</v>
      </c>
      <c r="G629" s="433">
        <f>IFERROR(__xludf.DUMMYFUNCTION("""COMPUTED_VALUE"""),62095.62)</f>
        <v>62095.62</v>
      </c>
      <c r="H629" s="434">
        <f>IFERROR(__xludf.DUMMYFUNCTION("""COMPUTED_VALUE"""),45553.99861111111)</f>
        <v>45553.99861</v>
      </c>
      <c r="I629" s="433">
        <f>IFERROR(__xludf.DUMMYFUNCTION("""COMPUTED_VALUE"""),2341.9032)</f>
        <v>2341.9032</v>
      </c>
    </row>
    <row r="630">
      <c r="A630" s="434">
        <f>IFERROR(__xludf.DUMMYFUNCTION("""COMPUTED_VALUE"""),43265.99861111111)</f>
        <v>43265.99861</v>
      </c>
      <c r="B630" s="433">
        <f>IFERROR(__xludf.DUMMYFUNCTION("""COMPUTED_VALUE"""),6636.37)</f>
        <v>6636.37</v>
      </c>
      <c r="C630" s="434">
        <f>IFERROR(__xludf.DUMMYFUNCTION("""COMPUTED_VALUE"""),42851.99861111111)</f>
        <v>42851.99861</v>
      </c>
      <c r="D630" s="433">
        <f>IFERROR(__xludf.DUMMYFUNCTION("""COMPUTED_VALUE"""),49.9094)</f>
        <v>49.9094</v>
      </c>
      <c r="F630" s="434">
        <f>IFERROR(__xludf.DUMMYFUNCTION("""COMPUTED_VALUE"""),45555.99861111111)</f>
        <v>45555.99861</v>
      </c>
      <c r="G630" s="433">
        <f>IFERROR(__xludf.DUMMYFUNCTION("""COMPUTED_VALUE"""),63671.56)</f>
        <v>63671.56</v>
      </c>
      <c r="H630" s="434">
        <f>IFERROR(__xludf.DUMMYFUNCTION("""COMPUTED_VALUE"""),45554.99861111111)</f>
        <v>45554.99861</v>
      </c>
      <c r="I630" s="433">
        <f>IFERROR(__xludf.DUMMYFUNCTION("""COMPUTED_VALUE"""),2374.578)</f>
        <v>2374.578</v>
      </c>
    </row>
    <row r="631">
      <c r="A631" s="434">
        <f>IFERROR(__xludf.DUMMYFUNCTION("""COMPUTED_VALUE"""),43266.99861111111)</f>
        <v>43266.99861</v>
      </c>
      <c r="B631" s="433">
        <f>IFERROR(__xludf.DUMMYFUNCTION("""COMPUTED_VALUE"""),6392.43)</f>
        <v>6392.43</v>
      </c>
      <c r="C631" s="434">
        <f>IFERROR(__xludf.DUMMYFUNCTION("""COMPUTED_VALUE"""),42852.99861111111)</f>
        <v>42852.99861</v>
      </c>
      <c r="D631" s="433">
        <f>IFERROR(__xludf.DUMMYFUNCTION("""COMPUTED_VALUE"""),52.8057)</f>
        <v>52.8057</v>
      </c>
      <c r="F631" s="434">
        <f>IFERROR(__xludf.DUMMYFUNCTION("""COMPUTED_VALUE"""),45556.99861111111)</f>
        <v>45556.99861</v>
      </c>
      <c r="G631" s="433">
        <f>IFERROR(__xludf.DUMMYFUNCTION("""COMPUTED_VALUE"""),62922.14)</f>
        <v>62922.14</v>
      </c>
      <c r="H631" s="434">
        <f>IFERROR(__xludf.DUMMYFUNCTION("""COMPUTED_VALUE"""),45555.99861111111)</f>
        <v>45555.99861</v>
      </c>
      <c r="I631" s="433">
        <f>IFERROR(__xludf.DUMMYFUNCTION("""COMPUTED_VALUE"""),2465.7371)</f>
        <v>2465.7371</v>
      </c>
    </row>
    <row r="632">
      <c r="A632" s="434">
        <f>IFERROR(__xludf.DUMMYFUNCTION("""COMPUTED_VALUE"""),43267.99861111111)</f>
        <v>43267.99861</v>
      </c>
      <c r="B632" s="433">
        <f>IFERROR(__xludf.DUMMYFUNCTION("""COMPUTED_VALUE"""),6491.74)</f>
        <v>6491.74</v>
      </c>
      <c r="C632" s="434">
        <f>IFERROR(__xludf.DUMMYFUNCTION("""COMPUTED_VALUE"""),42853.99861111111)</f>
        <v>42853.99861</v>
      </c>
      <c r="D632" s="433">
        <f>IFERROR(__xludf.DUMMYFUNCTION("""COMPUTED_VALUE"""),62.2269)</f>
        <v>62.2269</v>
      </c>
      <c r="F632" s="434">
        <f>IFERROR(__xludf.DUMMYFUNCTION("""COMPUTED_VALUE"""),45557.99861111111)</f>
        <v>45557.99861</v>
      </c>
      <c r="G632" s="433">
        <f>IFERROR(__xludf.DUMMYFUNCTION("""COMPUTED_VALUE"""),63140.06)</f>
        <v>63140.06</v>
      </c>
      <c r="H632" s="434">
        <f>IFERROR(__xludf.DUMMYFUNCTION("""COMPUTED_VALUE"""),45556.99861111111)</f>
        <v>45556.99861</v>
      </c>
      <c r="I632" s="433">
        <f>IFERROR(__xludf.DUMMYFUNCTION("""COMPUTED_VALUE"""),2561.1957)</f>
        <v>2561.1957</v>
      </c>
    </row>
    <row r="633">
      <c r="A633" s="434">
        <f>IFERROR(__xludf.DUMMYFUNCTION("""COMPUTED_VALUE"""),43268.99861111111)</f>
        <v>43268.99861</v>
      </c>
      <c r="B633" s="433">
        <f>IFERROR(__xludf.DUMMYFUNCTION("""COMPUTED_VALUE"""),6460.24)</f>
        <v>6460.24</v>
      </c>
      <c r="C633" s="434">
        <f>IFERROR(__xludf.DUMMYFUNCTION("""COMPUTED_VALUE"""),42854.99861111111)</f>
        <v>42854.99861</v>
      </c>
      <c r="D633" s="433">
        <f>IFERROR(__xludf.DUMMYFUNCTION("""COMPUTED_VALUE"""),71.3896)</f>
        <v>71.3896</v>
      </c>
      <c r="F633" s="434">
        <f>IFERROR(__xludf.DUMMYFUNCTION("""COMPUTED_VALUE"""),45558.99861111111)</f>
        <v>45558.99861</v>
      </c>
      <c r="G633" s="433">
        <f>IFERROR(__xludf.DUMMYFUNCTION("""COMPUTED_VALUE"""),64343.49)</f>
        <v>64343.49</v>
      </c>
      <c r="H633" s="434">
        <f>IFERROR(__xludf.DUMMYFUNCTION("""COMPUTED_VALUE"""),45557.99861111111)</f>
        <v>45557.99861</v>
      </c>
      <c r="I633" s="433">
        <f>IFERROR(__xludf.DUMMYFUNCTION("""COMPUTED_VALUE"""),2614.2467)</f>
        <v>2614.2467</v>
      </c>
    </row>
    <row r="634">
      <c r="A634" s="434">
        <f>IFERROR(__xludf.DUMMYFUNCTION("""COMPUTED_VALUE"""),43269.99861111111)</f>
        <v>43269.99861</v>
      </c>
      <c r="B634" s="433">
        <f>IFERROR(__xludf.DUMMYFUNCTION("""COMPUTED_VALUE"""),6711.79)</f>
        <v>6711.79</v>
      </c>
      <c r="C634" s="434">
        <f>IFERROR(__xludf.DUMMYFUNCTION("""COMPUTED_VALUE"""),42855.99861111111)</f>
        <v>42855.99861</v>
      </c>
      <c r="D634" s="433">
        <f>IFERROR(__xludf.DUMMYFUNCTION("""COMPUTED_VALUE"""),68.5406)</f>
        <v>68.5406</v>
      </c>
      <c r="F634" s="434">
        <f>IFERROR(__xludf.DUMMYFUNCTION("""COMPUTED_VALUE"""),45559.99861111111)</f>
        <v>45559.99861</v>
      </c>
      <c r="G634" s="433">
        <f>IFERROR(__xludf.DUMMYFUNCTION("""COMPUTED_VALUE"""),63130.39)</f>
        <v>63130.39</v>
      </c>
      <c r="H634" s="434">
        <f>IFERROR(__xludf.DUMMYFUNCTION("""COMPUTED_VALUE"""),45558.99861111111)</f>
        <v>45558.99861</v>
      </c>
      <c r="I634" s="433">
        <f>IFERROR(__xludf.DUMMYFUNCTION("""COMPUTED_VALUE"""),2582.1808)</f>
        <v>2582.1808</v>
      </c>
    </row>
    <row r="635">
      <c r="A635" s="434">
        <f>IFERROR(__xludf.DUMMYFUNCTION("""COMPUTED_VALUE"""),43270.99861111111)</f>
        <v>43270.99861</v>
      </c>
      <c r="B635" s="433">
        <f>IFERROR(__xludf.DUMMYFUNCTION("""COMPUTED_VALUE"""),6735.74)</f>
        <v>6735.74</v>
      </c>
      <c r="C635" s="434">
        <f>IFERROR(__xludf.DUMMYFUNCTION("""COMPUTED_VALUE"""),42856.99861111111)</f>
        <v>42856.99861</v>
      </c>
      <c r="D635" s="433">
        <f>IFERROR(__xludf.DUMMYFUNCTION("""COMPUTED_VALUE"""),79.3216)</f>
        <v>79.3216</v>
      </c>
      <c r="F635" s="434">
        <f>IFERROR(__xludf.DUMMYFUNCTION("""COMPUTED_VALUE"""),45560.99861111111)</f>
        <v>45560.99861</v>
      </c>
      <c r="G635" s="433">
        <f>IFERROR(__xludf.DUMMYFUNCTION("""COMPUTED_VALUE"""),64450.64)</f>
        <v>64450.64</v>
      </c>
      <c r="H635" s="434">
        <f>IFERROR(__xludf.DUMMYFUNCTION("""COMPUTED_VALUE"""),45559.99861111111)</f>
        <v>45559.99861</v>
      </c>
      <c r="I635" s="433">
        <f>IFERROR(__xludf.DUMMYFUNCTION("""COMPUTED_VALUE"""),2647.9102)</f>
        <v>2647.9102</v>
      </c>
    </row>
    <row r="636">
      <c r="A636" s="434">
        <f>IFERROR(__xludf.DUMMYFUNCTION("""COMPUTED_VALUE"""),43271.99861111111)</f>
        <v>43271.99861</v>
      </c>
      <c r="B636" s="433">
        <f>IFERROR(__xludf.DUMMYFUNCTION("""COMPUTED_VALUE"""),6759.87)</f>
        <v>6759.87</v>
      </c>
      <c r="C636" s="434">
        <f>IFERROR(__xludf.DUMMYFUNCTION("""COMPUTED_VALUE"""),42857.99861111111)</f>
        <v>42857.99861</v>
      </c>
      <c r="D636" s="433">
        <f>IFERROR(__xludf.DUMMYFUNCTION("""COMPUTED_VALUE"""),76.6534)</f>
        <v>76.6534</v>
      </c>
      <c r="F636" s="434">
        <f>IFERROR(__xludf.DUMMYFUNCTION("""COMPUTED_VALUE"""),45561.99861111111)</f>
        <v>45561.99861</v>
      </c>
      <c r="G636" s="433">
        <f>IFERROR(__xludf.DUMMYFUNCTION("""COMPUTED_VALUE"""),63495.91)</f>
        <v>63495.91</v>
      </c>
      <c r="H636" s="434">
        <f>IFERROR(__xludf.DUMMYFUNCTION("""COMPUTED_VALUE"""),45560.99861111111)</f>
        <v>45560.99861</v>
      </c>
      <c r="I636" s="433">
        <f>IFERROR(__xludf.DUMMYFUNCTION("""COMPUTED_VALUE"""),2653.4733)</f>
        <v>2653.4733</v>
      </c>
    </row>
    <row r="637">
      <c r="A637" s="434">
        <f>IFERROR(__xludf.DUMMYFUNCTION("""COMPUTED_VALUE"""),43272.99861111111)</f>
        <v>43272.99861</v>
      </c>
      <c r="B637" s="433">
        <f>IFERROR(__xludf.DUMMYFUNCTION("""COMPUTED_VALUE"""),6720.37)</f>
        <v>6720.37</v>
      </c>
      <c r="C637" s="434">
        <f>IFERROR(__xludf.DUMMYFUNCTION("""COMPUTED_VALUE"""),42858.99861111111)</f>
        <v>42858.99861</v>
      </c>
      <c r="D637" s="433">
        <f>IFERROR(__xludf.DUMMYFUNCTION("""COMPUTED_VALUE"""),77.254)</f>
        <v>77.254</v>
      </c>
      <c r="F637" s="434">
        <f>IFERROR(__xludf.DUMMYFUNCTION("""COMPUTED_VALUE"""),45562.99861111111)</f>
        <v>45562.99861</v>
      </c>
      <c r="G637" s="433">
        <f>IFERROR(__xludf.DUMMYFUNCTION("""COMPUTED_VALUE"""),65390.85)</f>
        <v>65390.85</v>
      </c>
      <c r="H637" s="434">
        <f>IFERROR(__xludf.DUMMYFUNCTION("""COMPUTED_VALUE"""),45561.99861111111)</f>
        <v>45561.99861</v>
      </c>
      <c r="I637" s="433">
        <f>IFERROR(__xludf.DUMMYFUNCTION("""COMPUTED_VALUE"""),2579.4156)</f>
        <v>2579.4156</v>
      </c>
    </row>
    <row r="638">
      <c r="A638" s="434">
        <f>IFERROR(__xludf.DUMMYFUNCTION("""COMPUTED_VALUE"""),43273.99861111111)</f>
        <v>43273.99861</v>
      </c>
      <c r="B638" s="433">
        <f>IFERROR(__xludf.DUMMYFUNCTION("""COMPUTED_VALUE"""),6044.73)</f>
        <v>6044.73</v>
      </c>
      <c r="C638" s="434">
        <f>IFERROR(__xludf.DUMMYFUNCTION("""COMPUTED_VALUE"""),42859.99861111111)</f>
        <v>42859.99861</v>
      </c>
      <c r="D638" s="433">
        <f>IFERROR(__xludf.DUMMYFUNCTION("""COMPUTED_VALUE"""),79.7204)</f>
        <v>79.7204</v>
      </c>
      <c r="F638" s="434">
        <f>IFERROR(__xludf.DUMMYFUNCTION("""COMPUTED_VALUE"""),45563.99861111111)</f>
        <v>45563.99861</v>
      </c>
      <c r="G638" s="433">
        <f>IFERROR(__xludf.DUMMYFUNCTION("""COMPUTED_VALUE"""),66096.32)</f>
        <v>66096.32</v>
      </c>
      <c r="H638" s="434">
        <f>IFERROR(__xludf.DUMMYFUNCTION("""COMPUTED_VALUE"""),45562.99861111111)</f>
        <v>45562.99861</v>
      </c>
      <c r="I638" s="433">
        <f>IFERROR(__xludf.DUMMYFUNCTION("""COMPUTED_VALUE"""),2632.4732)</f>
        <v>2632.4732</v>
      </c>
    </row>
    <row r="639">
      <c r="A639" s="434">
        <f>IFERROR(__xludf.DUMMYFUNCTION("""COMPUTED_VALUE"""),43274.99861111111)</f>
        <v>43274.99861</v>
      </c>
      <c r="B639" s="433">
        <f>IFERROR(__xludf.DUMMYFUNCTION("""COMPUTED_VALUE"""),6177.48)</f>
        <v>6177.48</v>
      </c>
      <c r="C639" s="434">
        <f>IFERROR(__xludf.DUMMYFUNCTION("""COMPUTED_VALUE"""),42860.99861111111)</f>
        <v>42860.99861</v>
      </c>
      <c r="D639" s="433">
        <f>IFERROR(__xludf.DUMMYFUNCTION("""COMPUTED_VALUE"""),96.7347)</f>
        <v>96.7347</v>
      </c>
      <c r="F639" s="434">
        <f>IFERROR(__xludf.DUMMYFUNCTION("""COMPUTED_VALUE"""),45564.99861111111)</f>
        <v>45564.99861</v>
      </c>
      <c r="G639" s="433">
        <f>IFERROR(__xludf.DUMMYFUNCTION("""COMPUTED_VALUE"""),65848.43)</f>
        <v>65848.43</v>
      </c>
      <c r="H639" s="434">
        <f>IFERROR(__xludf.DUMMYFUNCTION("""COMPUTED_VALUE"""),45563.99861111111)</f>
        <v>45563.99861</v>
      </c>
      <c r="I639" s="433">
        <f>IFERROR(__xludf.DUMMYFUNCTION("""COMPUTED_VALUE"""),2695.3744)</f>
        <v>2695.3744</v>
      </c>
    </row>
    <row r="640">
      <c r="A640" s="434">
        <f>IFERROR(__xludf.DUMMYFUNCTION("""COMPUTED_VALUE"""),43275.99861111111)</f>
        <v>43275.99861</v>
      </c>
      <c r="B640" s="433">
        <f>IFERROR(__xludf.DUMMYFUNCTION("""COMPUTED_VALUE"""),6148.53)</f>
        <v>6148.53</v>
      </c>
      <c r="C640" s="434">
        <f>IFERROR(__xludf.DUMMYFUNCTION("""COMPUTED_VALUE"""),42861.99861111111)</f>
        <v>42861.99861</v>
      </c>
      <c r="D640" s="433">
        <f>IFERROR(__xludf.DUMMYFUNCTION("""COMPUTED_VALUE"""),94.9121)</f>
        <v>94.9121</v>
      </c>
      <c r="F640" s="434">
        <f>IFERROR(__xludf.DUMMYFUNCTION("""COMPUTED_VALUE"""),45565.99861111111)</f>
        <v>45565.99861</v>
      </c>
      <c r="G640" s="433">
        <f>IFERROR(__xludf.DUMMYFUNCTION("""COMPUTED_VALUE"""),64544.22)</f>
        <v>64544.22</v>
      </c>
      <c r="H640" s="434">
        <f>IFERROR(__xludf.DUMMYFUNCTION("""COMPUTED_VALUE"""),45564.99861111111)</f>
        <v>45564.99861</v>
      </c>
      <c r="I640" s="433">
        <f>IFERROR(__xludf.DUMMYFUNCTION("""COMPUTED_VALUE"""),2676.939)</f>
        <v>2676.939</v>
      </c>
    </row>
    <row r="641">
      <c r="A641" s="434">
        <f>IFERROR(__xludf.DUMMYFUNCTION("""COMPUTED_VALUE"""),43276.99861111111)</f>
        <v>43276.99861</v>
      </c>
      <c r="B641" s="433">
        <f>IFERROR(__xludf.DUMMYFUNCTION("""COMPUTED_VALUE"""),6248.35)</f>
        <v>6248.35</v>
      </c>
      <c r="C641" s="434">
        <f>IFERROR(__xludf.DUMMYFUNCTION("""COMPUTED_VALUE"""),42862.99861111111)</f>
        <v>42862.99861</v>
      </c>
      <c r="D641" s="433">
        <f>IFERROR(__xludf.DUMMYFUNCTION("""COMPUTED_VALUE"""),97.8694)</f>
        <v>97.8694</v>
      </c>
      <c r="F641" s="434">
        <f>IFERROR(__xludf.DUMMYFUNCTION("""COMPUTED_VALUE"""),45566.99861111111)</f>
        <v>45566.99861</v>
      </c>
      <c r="G641" s="433">
        <f>IFERROR(__xludf.DUMMYFUNCTION("""COMPUTED_VALUE"""),63711.69)</f>
        <v>63711.69</v>
      </c>
      <c r="H641" s="434">
        <f>IFERROR(__xludf.DUMMYFUNCTION("""COMPUTED_VALUE"""),45565.99861111111)</f>
        <v>45565.99861</v>
      </c>
      <c r="I641" s="433">
        <f>IFERROR(__xludf.DUMMYFUNCTION("""COMPUTED_VALUE"""),2658.1855)</f>
        <v>2658.1855</v>
      </c>
    </row>
    <row r="642">
      <c r="A642" s="434">
        <f>IFERROR(__xludf.DUMMYFUNCTION("""COMPUTED_VALUE"""),43277.99861111111)</f>
        <v>43277.99861</v>
      </c>
      <c r="B642" s="433">
        <f>IFERROR(__xludf.DUMMYFUNCTION("""COMPUTED_VALUE"""),6082.66)</f>
        <v>6082.66</v>
      </c>
      <c r="C642" s="434">
        <f>IFERROR(__xludf.DUMMYFUNCTION("""COMPUTED_VALUE"""),42863.99861111111)</f>
        <v>42863.99861</v>
      </c>
      <c r="D642" s="433">
        <f>IFERROR(__xludf.DUMMYFUNCTION("""COMPUTED_VALUE"""),93.747)</f>
        <v>93.747</v>
      </c>
      <c r="F642" s="434">
        <f>IFERROR(__xludf.DUMMYFUNCTION("""COMPUTED_VALUE"""),45567.99861111111)</f>
        <v>45567.99861</v>
      </c>
      <c r="G642" s="433">
        <f>IFERROR(__xludf.DUMMYFUNCTION("""COMPUTED_VALUE"""),61781.73)</f>
        <v>61781.73</v>
      </c>
      <c r="H642" s="434">
        <f>IFERROR(__xludf.DUMMYFUNCTION("""COMPUTED_VALUE"""),45566.99861111111)</f>
        <v>45566.99861</v>
      </c>
      <c r="I642" s="433">
        <f>IFERROR(__xludf.DUMMYFUNCTION("""COMPUTED_VALUE"""),2602.0305)</f>
        <v>2602.0305</v>
      </c>
    </row>
    <row r="643">
      <c r="A643" s="434">
        <f>IFERROR(__xludf.DUMMYFUNCTION("""COMPUTED_VALUE"""),43278.99861111111)</f>
        <v>43278.99861</v>
      </c>
      <c r="B643" s="433">
        <f>IFERROR(__xludf.DUMMYFUNCTION("""COMPUTED_VALUE"""),6131.76)</f>
        <v>6131.76</v>
      </c>
      <c r="C643" s="434">
        <f>IFERROR(__xludf.DUMMYFUNCTION("""COMPUTED_VALUE"""),42864.99861111111)</f>
        <v>42864.99861</v>
      </c>
      <c r="D643" s="433">
        <f>IFERROR(__xludf.DUMMYFUNCTION("""COMPUTED_VALUE"""),91.228)</f>
        <v>91.228</v>
      </c>
      <c r="F643" s="434">
        <f>IFERROR(__xludf.DUMMYFUNCTION("""COMPUTED_VALUE"""),45568.99861111111)</f>
        <v>45568.99861</v>
      </c>
      <c r="G643" s="433">
        <f>IFERROR(__xludf.DUMMYFUNCTION("""COMPUTED_VALUE"""),61441.14)</f>
        <v>61441.14</v>
      </c>
      <c r="H643" s="434">
        <f>IFERROR(__xludf.DUMMYFUNCTION("""COMPUTED_VALUE"""),45567.99861111111)</f>
        <v>45567.99861</v>
      </c>
      <c r="I643" s="433">
        <f>IFERROR(__xludf.DUMMYFUNCTION("""COMPUTED_VALUE"""),2448.5495)</f>
        <v>2448.5495</v>
      </c>
    </row>
    <row r="644">
      <c r="A644" s="434">
        <f>IFERROR(__xludf.DUMMYFUNCTION("""COMPUTED_VALUE"""),43279.99861111111)</f>
        <v>43279.99861</v>
      </c>
      <c r="B644" s="433">
        <f>IFERROR(__xludf.DUMMYFUNCTION("""COMPUTED_VALUE"""),5883.21)</f>
        <v>5883.21</v>
      </c>
      <c r="C644" s="434">
        <f>IFERROR(__xludf.DUMMYFUNCTION("""COMPUTED_VALUE"""),42865.99861111111)</f>
        <v>42865.99861</v>
      </c>
      <c r="D644" s="433">
        <f>IFERROR(__xludf.DUMMYFUNCTION("""COMPUTED_VALUE"""),91.1511)</f>
        <v>91.1511</v>
      </c>
      <c r="F644" s="434">
        <f>IFERROR(__xludf.DUMMYFUNCTION("""COMPUTED_VALUE"""),45569.99861111111)</f>
        <v>45569.99861</v>
      </c>
      <c r="G644" s="433">
        <f>IFERROR(__xludf.DUMMYFUNCTION("""COMPUTED_VALUE"""),60953.97)</f>
        <v>60953.97</v>
      </c>
      <c r="H644" s="434">
        <f>IFERROR(__xludf.DUMMYFUNCTION("""COMPUTED_VALUE"""),45568.99861111111)</f>
        <v>45568.99861</v>
      </c>
      <c r="I644" s="433">
        <f>IFERROR(__xludf.DUMMYFUNCTION("""COMPUTED_VALUE"""),2363.9549)</f>
        <v>2363.9549</v>
      </c>
    </row>
    <row r="645">
      <c r="A645" s="434">
        <f>IFERROR(__xludf.DUMMYFUNCTION("""COMPUTED_VALUE"""),43280.99861111111)</f>
        <v>43280.99861</v>
      </c>
      <c r="B645" s="433">
        <f>IFERROR(__xludf.DUMMYFUNCTION("""COMPUTED_VALUE"""),6208.42)</f>
        <v>6208.42</v>
      </c>
      <c r="C645" s="434">
        <f>IFERROR(__xludf.DUMMYFUNCTION("""COMPUTED_VALUE"""),42866.99861111111)</f>
        <v>42866.99861</v>
      </c>
      <c r="D645" s="433">
        <f>IFERROR(__xludf.DUMMYFUNCTION("""COMPUTED_VALUE"""),89.7707)</f>
        <v>89.7707</v>
      </c>
      <c r="F645" s="434">
        <f>IFERROR(__xludf.DUMMYFUNCTION("""COMPUTED_VALUE"""),45570.99861111111)</f>
        <v>45570.99861</v>
      </c>
      <c r="G645" s="433">
        <f>IFERROR(__xludf.DUMMYFUNCTION("""COMPUTED_VALUE"""),61897.85)</f>
        <v>61897.85</v>
      </c>
      <c r="H645" s="434">
        <f>IFERROR(__xludf.DUMMYFUNCTION("""COMPUTED_VALUE"""),45569.99861111111)</f>
        <v>45569.99861</v>
      </c>
      <c r="I645" s="433">
        <f>IFERROR(__xludf.DUMMYFUNCTION("""COMPUTED_VALUE"""),2349.5753)</f>
        <v>2349.5753</v>
      </c>
    </row>
    <row r="646">
      <c r="A646" s="434">
        <f>IFERROR(__xludf.DUMMYFUNCTION("""COMPUTED_VALUE"""),43281.99861111111)</f>
        <v>43281.99861</v>
      </c>
      <c r="B646" s="433">
        <f>IFERROR(__xludf.DUMMYFUNCTION("""COMPUTED_VALUE"""),6387.27)</f>
        <v>6387.27</v>
      </c>
      <c r="C646" s="434">
        <f>IFERROR(__xludf.DUMMYFUNCTION("""COMPUTED_VALUE"""),42867.99861111111)</f>
        <v>42867.99861</v>
      </c>
      <c r="D646" s="433">
        <f>IFERROR(__xludf.DUMMYFUNCTION("""COMPUTED_VALUE"""),89.4286)</f>
        <v>89.4286</v>
      </c>
      <c r="F646" s="434">
        <f>IFERROR(__xludf.DUMMYFUNCTION("""COMPUTED_VALUE"""),45571.99861111111)</f>
        <v>45571.99861</v>
      </c>
      <c r="G646" s="433">
        <f>IFERROR(__xludf.DUMMYFUNCTION("""COMPUTED_VALUE"""),61906.66)</f>
        <v>61906.66</v>
      </c>
      <c r="H646" s="434">
        <f>IFERROR(__xludf.DUMMYFUNCTION("""COMPUTED_VALUE"""),45570.99861111111)</f>
        <v>45570.99861</v>
      </c>
      <c r="I646" s="433">
        <f>IFERROR(__xludf.DUMMYFUNCTION("""COMPUTED_VALUE"""),2414.4668)</f>
        <v>2414.4668</v>
      </c>
    </row>
    <row r="647">
      <c r="A647" s="434">
        <f>IFERROR(__xludf.DUMMYFUNCTION("""COMPUTED_VALUE"""),43282.99861111111)</f>
        <v>43282.99861</v>
      </c>
      <c r="B647" s="433">
        <f>IFERROR(__xludf.DUMMYFUNCTION("""COMPUTED_VALUE"""),6347.94)</f>
        <v>6347.94</v>
      </c>
      <c r="C647" s="434">
        <f>IFERROR(__xludf.DUMMYFUNCTION("""COMPUTED_VALUE"""),42868.99861111111)</f>
        <v>42868.99861</v>
      </c>
      <c r="D647" s="433">
        <f>IFERROR(__xludf.DUMMYFUNCTION("""COMPUTED_VALUE"""),88.6944)</f>
        <v>88.6944</v>
      </c>
      <c r="F647" s="434">
        <f>IFERROR(__xludf.DUMMYFUNCTION("""COMPUTED_VALUE"""),45572.99861111111)</f>
        <v>45572.99861</v>
      </c>
      <c r="G647" s="433">
        <f>IFERROR(__xludf.DUMMYFUNCTION("""COMPUTED_VALUE"""),63514.6)</f>
        <v>63514.6</v>
      </c>
      <c r="H647" s="434">
        <f>IFERROR(__xludf.DUMMYFUNCTION("""COMPUTED_VALUE"""),45571.99861111111)</f>
        <v>45571.99861</v>
      </c>
      <c r="I647" s="433">
        <f>IFERROR(__xludf.DUMMYFUNCTION("""COMPUTED_VALUE"""),2414.7628)</f>
        <v>2414.7628</v>
      </c>
    </row>
    <row r="648">
      <c r="A648" s="434">
        <f>IFERROR(__xludf.DUMMYFUNCTION("""COMPUTED_VALUE"""),43283.99861111111)</f>
        <v>43283.99861</v>
      </c>
      <c r="B648" s="433">
        <f>IFERROR(__xludf.DUMMYFUNCTION("""COMPUTED_VALUE"""),6621.06)</f>
        <v>6621.06</v>
      </c>
      <c r="C648" s="434">
        <f>IFERROR(__xludf.DUMMYFUNCTION("""COMPUTED_VALUE"""),42869.99861111111)</f>
        <v>42869.99861</v>
      </c>
      <c r="D648" s="433">
        <f>IFERROR(__xludf.DUMMYFUNCTION("""COMPUTED_VALUE"""),90.8716)</f>
        <v>90.8716</v>
      </c>
      <c r="F648" s="434">
        <f>IFERROR(__xludf.DUMMYFUNCTION("""COMPUTED_VALUE"""),45573.99861111111)</f>
        <v>45573.99861</v>
      </c>
      <c r="G648" s="433">
        <f>IFERROR(__xludf.DUMMYFUNCTION("""COMPUTED_VALUE"""),62609.76)</f>
        <v>62609.76</v>
      </c>
      <c r="H648" s="434">
        <f>IFERROR(__xludf.DUMMYFUNCTION("""COMPUTED_VALUE"""),45572.99861111111)</f>
        <v>45572.99861</v>
      </c>
      <c r="I648" s="433">
        <f>IFERROR(__xludf.DUMMYFUNCTION("""COMPUTED_VALUE"""),2439.8231)</f>
        <v>2439.8231</v>
      </c>
    </row>
    <row r="649">
      <c r="A649" s="434">
        <f>IFERROR(__xludf.DUMMYFUNCTION("""COMPUTED_VALUE"""),43284.99861111111)</f>
        <v>43284.99861</v>
      </c>
      <c r="B649" s="433">
        <f>IFERROR(__xludf.DUMMYFUNCTION("""COMPUTED_VALUE"""),6505.57)</f>
        <v>6505.57</v>
      </c>
      <c r="C649" s="434">
        <f>IFERROR(__xludf.DUMMYFUNCTION("""COMPUTED_VALUE"""),42870.99861111111)</f>
        <v>42870.99861</v>
      </c>
      <c r="D649" s="433">
        <f>IFERROR(__xludf.DUMMYFUNCTION("""COMPUTED_VALUE"""),90.7841)</f>
        <v>90.7841</v>
      </c>
      <c r="F649" s="434">
        <f>IFERROR(__xludf.DUMMYFUNCTION("""COMPUTED_VALUE"""),45574.99861111111)</f>
        <v>45574.99861</v>
      </c>
      <c r="G649" s="433">
        <f>IFERROR(__xludf.DUMMYFUNCTION("""COMPUTED_VALUE"""),62359.38)</f>
        <v>62359.38</v>
      </c>
      <c r="H649" s="434">
        <f>IFERROR(__xludf.DUMMYFUNCTION("""COMPUTED_VALUE"""),45573.99861111111)</f>
        <v>45573.99861</v>
      </c>
      <c r="I649" s="433">
        <f>IFERROR(__xludf.DUMMYFUNCTION("""COMPUTED_VALUE"""),2422.3408)</f>
        <v>2422.3408</v>
      </c>
    </row>
    <row r="650">
      <c r="A650" s="434">
        <f>IFERROR(__xludf.DUMMYFUNCTION("""COMPUTED_VALUE"""),43285.99861111111)</f>
        <v>43285.99861</v>
      </c>
      <c r="B650" s="433">
        <f>IFERROR(__xludf.DUMMYFUNCTION("""COMPUTED_VALUE"""),6592.63)</f>
        <v>6592.63</v>
      </c>
      <c r="C650" s="434">
        <f>IFERROR(__xludf.DUMMYFUNCTION("""COMPUTED_VALUE"""),42871.99861111111)</f>
        <v>42871.99861</v>
      </c>
      <c r="D650" s="433">
        <f>IFERROR(__xludf.DUMMYFUNCTION("""COMPUTED_VALUE"""),92.3877)</f>
        <v>92.3877</v>
      </c>
      <c r="F650" s="434">
        <f>IFERROR(__xludf.DUMMYFUNCTION("""COMPUTED_VALUE"""),45575.99861111111)</f>
        <v>45575.99861</v>
      </c>
      <c r="G650" s="433">
        <f>IFERROR(__xludf.DUMMYFUNCTION("""COMPUTED_VALUE"""),60833.65)</f>
        <v>60833.65</v>
      </c>
      <c r="H650" s="434">
        <f>IFERROR(__xludf.DUMMYFUNCTION("""COMPUTED_VALUE"""),45574.99861111111)</f>
        <v>45574.99861</v>
      </c>
      <c r="I650" s="433">
        <f>IFERROR(__xludf.DUMMYFUNCTION("""COMPUTED_VALUE"""),2439.5758)</f>
        <v>2439.5758</v>
      </c>
    </row>
    <row r="651">
      <c r="A651" s="434">
        <f>IFERROR(__xludf.DUMMYFUNCTION("""COMPUTED_VALUE"""),43286.99861111111)</f>
        <v>43286.99861</v>
      </c>
      <c r="B651" s="433">
        <f>IFERROR(__xludf.DUMMYFUNCTION("""COMPUTED_VALUE"""),6536.4)</f>
        <v>6536.4</v>
      </c>
      <c r="C651" s="434">
        <f>IFERROR(__xludf.DUMMYFUNCTION("""COMPUTED_VALUE"""),42872.99861111111)</f>
        <v>42872.99861</v>
      </c>
      <c r="D651" s="433">
        <f>IFERROR(__xludf.DUMMYFUNCTION("""COMPUTED_VALUE"""),89.2503)</f>
        <v>89.2503</v>
      </c>
      <c r="F651" s="434">
        <f>IFERROR(__xludf.DUMMYFUNCTION("""COMPUTED_VALUE"""),45576.99861111111)</f>
        <v>45576.99861</v>
      </c>
      <c r="G651" s="433">
        <f>IFERROR(__xludf.DUMMYFUNCTION("""COMPUTED_VALUE"""),60607.19)</f>
        <v>60607.19</v>
      </c>
      <c r="H651" s="434">
        <f>IFERROR(__xludf.DUMMYFUNCTION("""COMPUTED_VALUE"""),45575.99861111111)</f>
        <v>45575.99861</v>
      </c>
      <c r="I651" s="433">
        <f>IFERROR(__xludf.DUMMYFUNCTION("""COMPUTED_VALUE"""),2368.0631)</f>
        <v>2368.0631</v>
      </c>
    </row>
    <row r="652">
      <c r="A652" s="434">
        <f>IFERROR(__xludf.DUMMYFUNCTION("""COMPUTED_VALUE"""),43287.99861111111)</f>
        <v>43287.99861</v>
      </c>
      <c r="B652" s="433">
        <f>IFERROR(__xludf.DUMMYFUNCTION("""COMPUTED_VALUE"""),6617.18)</f>
        <v>6617.18</v>
      </c>
      <c r="C652" s="434">
        <f>IFERROR(__xludf.DUMMYFUNCTION("""COMPUTED_VALUE"""),42873.99861111111)</f>
        <v>42873.99861</v>
      </c>
      <c r="D652" s="433">
        <f>IFERROR(__xludf.DUMMYFUNCTION("""COMPUTED_VALUE"""),89.8404)</f>
        <v>89.8404</v>
      </c>
      <c r="F652" s="434">
        <f>IFERROR(__xludf.DUMMYFUNCTION("""COMPUTED_VALUE"""),45577.99861111111)</f>
        <v>45577.99861</v>
      </c>
      <c r="G652" s="433">
        <f>IFERROR(__xludf.DUMMYFUNCTION("""COMPUTED_VALUE"""),62555.24)</f>
        <v>62555.24</v>
      </c>
      <c r="H652" s="434">
        <f>IFERROR(__xludf.DUMMYFUNCTION("""COMPUTED_VALUE"""),45576.99861111111)</f>
        <v>45576.99861</v>
      </c>
      <c r="I652" s="433">
        <f>IFERROR(__xludf.DUMMYFUNCTION("""COMPUTED_VALUE"""),2384.107)</f>
        <v>2384.107</v>
      </c>
    </row>
    <row r="653">
      <c r="A653" s="434">
        <f>IFERROR(__xludf.DUMMYFUNCTION("""COMPUTED_VALUE"""),43288.99861111111)</f>
        <v>43288.99861</v>
      </c>
      <c r="B653" s="433">
        <f>IFERROR(__xludf.DUMMYFUNCTION("""COMPUTED_VALUE"""),6773.66)</f>
        <v>6773.66</v>
      </c>
      <c r="C653" s="434">
        <f>IFERROR(__xludf.DUMMYFUNCTION("""COMPUTED_VALUE"""),42874.99861111111)</f>
        <v>42874.99861</v>
      </c>
      <c r="D653" s="433">
        <f>IFERROR(__xludf.DUMMYFUNCTION("""COMPUTED_VALUE"""),97.0528)</f>
        <v>97.0528</v>
      </c>
      <c r="F653" s="434">
        <f>IFERROR(__xludf.DUMMYFUNCTION("""COMPUTED_VALUE"""),45578.99861111111)</f>
        <v>45578.99861</v>
      </c>
      <c r="G653" s="433">
        <f>IFERROR(__xludf.DUMMYFUNCTION("""COMPUTED_VALUE"""),62717.15)</f>
        <v>62717.15</v>
      </c>
      <c r="H653" s="434">
        <f>IFERROR(__xludf.DUMMYFUNCTION("""COMPUTED_VALUE"""),45577.99861111111)</f>
        <v>45577.99861</v>
      </c>
      <c r="I653" s="433">
        <f>IFERROR(__xludf.DUMMYFUNCTION("""COMPUTED_VALUE"""),2438.4465)</f>
        <v>2438.4465</v>
      </c>
    </row>
    <row r="654">
      <c r="A654" s="434">
        <f>IFERROR(__xludf.DUMMYFUNCTION("""COMPUTED_VALUE"""),43289.99861111111)</f>
        <v>43289.99861</v>
      </c>
      <c r="B654" s="433">
        <f>IFERROR(__xludf.DUMMYFUNCTION("""COMPUTED_VALUE"""),6708.97)</f>
        <v>6708.97</v>
      </c>
      <c r="C654" s="434">
        <f>IFERROR(__xludf.DUMMYFUNCTION("""COMPUTED_VALUE"""),42875.99861111111)</f>
        <v>42875.99861</v>
      </c>
      <c r="D654" s="433">
        <f>IFERROR(__xludf.DUMMYFUNCTION("""COMPUTED_VALUE"""),129.2215)</f>
        <v>129.2215</v>
      </c>
      <c r="F654" s="434">
        <f>IFERROR(__xludf.DUMMYFUNCTION("""COMPUTED_VALUE"""),45579.99861111111)</f>
        <v>45579.99861</v>
      </c>
      <c r="G654" s="433">
        <f>IFERROR(__xludf.DUMMYFUNCTION("""COMPUTED_VALUE"""),64195.47)</f>
        <v>64195.47</v>
      </c>
      <c r="H654" s="434">
        <f>IFERROR(__xludf.DUMMYFUNCTION("""COMPUTED_VALUE"""),45578.99861111111)</f>
        <v>45578.99861</v>
      </c>
      <c r="I654" s="433">
        <f>IFERROR(__xludf.DUMMYFUNCTION("""COMPUTED_VALUE"""),2475.97)</f>
        <v>2475.97</v>
      </c>
    </row>
    <row r="655">
      <c r="A655" s="434">
        <f>IFERROR(__xludf.DUMMYFUNCTION("""COMPUTED_VALUE"""),43290.99861111111)</f>
        <v>43290.99861</v>
      </c>
      <c r="B655" s="433">
        <f>IFERROR(__xludf.DUMMYFUNCTION("""COMPUTED_VALUE"""),6663.56)</f>
        <v>6663.56</v>
      </c>
      <c r="C655" s="434">
        <f>IFERROR(__xludf.DUMMYFUNCTION("""COMPUTED_VALUE"""),42876.99861111111)</f>
        <v>42876.99861</v>
      </c>
      <c r="D655" s="433">
        <f>IFERROR(__xludf.DUMMYFUNCTION("""COMPUTED_VALUE"""),127.5371)</f>
        <v>127.5371</v>
      </c>
      <c r="F655" s="434">
        <f>IFERROR(__xludf.DUMMYFUNCTION("""COMPUTED_VALUE"""),45580.99861111111)</f>
        <v>45580.99861</v>
      </c>
      <c r="G655" s="433">
        <f>IFERROR(__xludf.DUMMYFUNCTION("""COMPUTED_VALUE"""),65353.81)</f>
        <v>65353.81</v>
      </c>
      <c r="H655" s="434">
        <f>IFERROR(__xludf.DUMMYFUNCTION("""COMPUTED_VALUE"""),45579.99861111111)</f>
        <v>45579.99861</v>
      </c>
      <c r="I655" s="433">
        <f>IFERROR(__xludf.DUMMYFUNCTION("""COMPUTED_VALUE"""),2467.3639)</f>
        <v>2467.3639</v>
      </c>
    </row>
    <row r="656">
      <c r="A656" s="434">
        <f>IFERROR(__xludf.DUMMYFUNCTION("""COMPUTED_VALUE"""),43291.99861111111)</f>
        <v>43291.99861</v>
      </c>
      <c r="B656" s="433">
        <f>IFERROR(__xludf.DUMMYFUNCTION("""COMPUTED_VALUE"""),6304.15)</f>
        <v>6304.15</v>
      </c>
      <c r="C656" s="434">
        <f>IFERROR(__xludf.DUMMYFUNCTION("""COMPUTED_VALUE"""),42877.99861111111)</f>
        <v>42877.99861</v>
      </c>
      <c r="D656" s="433">
        <f>IFERROR(__xludf.DUMMYFUNCTION("""COMPUTED_VALUE"""),158.1732)</f>
        <v>158.1732</v>
      </c>
      <c r="F656" s="434">
        <f>IFERROR(__xludf.DUMMYFUNCTION("""COMPUTED_VALUE"""),45581.99861111111)</f>
        <v>45581.99861</v>
      </c>
      <c r="G656" s="433">
        <f>IFERROR(__xludf.DUMMYFUNCTION("""COMPUTED_VALUE"""),67104.47)</f>
        <v>67104.47</v>
      </c>
      <c r="H656" s="434">
        <f>IFERROR(__xludf.DUMMYFUNCTION("""COMPUTED_VALUE"""),45580.99861111111)</f>
        <v>45580.99861</v>
      </c>
      <c r="I656" s="433">
        <f>IFERROR(__xludf.DUMMYFUNCTION("""COMPUTED_VALUE"""),2629.2153)</f>
        <v>2629.2153</v>
      </c>
    </row>
    <row r="657">
      <c r="A657" s="434">
        <f>IFERROR(__xludf.DUMMYFUNCTION("""COMPUTED_VALUE"""),43292.99861111111)</f>
        <v>43292.99861</v>
      </c>
      <c r="B657" s="433">
        <f>IFERROR(__xludf.DUMMYFUNCTION("""COMPUTED_VALUE"""),6389.39)</f>
        <v>6389.39</v>
      </c>
      <c r="C657" s="434">
        <f>IFERROR(__xludf.DUMMYFUNCTION("""COMPUTED_VALUE"""),42878.99861111111)</f>
        <v>42878.99861</v>
      </c>
      <c r="D657" s="433">
        <f>IFERROR(__xludf.DUMMYFUNCTION("""COMPUTED_VALUE"""),170.818)</f>
        <v>170.818</v>
      </c>
      <c r="F657" s="434">
        <f>IFERROR(__xludf.DUMMYFUNCTION("""COMPUTED_VALUE"""),45582.99861111111)</f>
        <v>45582.99861</v>
      </c>
      <c r="G657" s="433">
        <f>IFERROR(__xludf.DUMMYFUNCTION("""COMPUTED_VALUE"""),67605.86)</f>
        <v>67605.86</v>
      </c>
      <c r="H657" s="434">
        <f>IFERROR(__xludf.DUMMYFUNCTION("""COMPUTED_VALUE"""),45581.99861111111)</f>
        <v>45581.99861</v>
      </c>
      <c r="I657" s="433">
        <f>IFERROR(__xludf.DUMMYFUNCTION("""COMPUTED_VALUE"""),2606.9622)</f>
        <v>2606.9622</v>
      </c>
    </row>
    <row r="658">
      <c r="A658" s="434">
        <f>IFERROR(__xludf.DUMMYFUNCTION("""COMPUTED_VALUE"""),43293.99861111111)</f>
        <v>43293.99861</v>
      </c>
      <c r="B658" s="433">
        <f>IFERROR(__xludf.DUMMYFUNCTION("""COMPUTED_VALUE"""),6238.72)</f>
        <v>6238.72</v>
      </c>
      <c r="C658" s="434">
        <f>IFERROR(__xludf.DUMMYFUNCTION("""COMPUTED_VALUE"""),42879.99861111111)</f>
        <v>42879.99861</v>
      </c>
      <c r="D658" s="433">
        <f>IFERROR(__xludf.DUMMYFUNCTION("""COMPUTED_VALUE"""),182.6492)</f>
        <v>182.6492</v>
      </c>
      <c r="F658" s="434">
        <f>IFERROR(__xludf.DUMMYFUNCTION("""COMPUTED_VALUE"""),45583.99861111111)</f>
        <v>45583.99861</v>
      </c>
      <c r="G658" s="433">
        <f>IFERROR(__xludf.DUMMYFUNCTION("""COMPUTED_VALUE"""),67535.72)</f>
        <v>67535.72</v>
      </c>
      <c r="H658" s="434">
        <f>IFERROR(__xludf.DUMMYFUNCTION("""COMPUTED_VALUE"""),45582.99861111111)</f>
        <v>45582.99861</v>
      </c>
      <c r="I658" s="433">
        <f>IFERROR(__xludf.DUMMYFUNCTION("""COMPUTED_VALUE"""),2610.7418)</f>
        <v>2610.7418</v>
      </c>
    </row>
    <row r="659">
      <c r="A659" s="434">
        <f>IFERROR(__xludf.DUMMYFUNCTION("""COMPUTED_VALUE"""),43294.99861111111)</f>
        <v>43294.99861</v>
      </c>
      <c r="B659" s="433">
        <f>IFERROR(__xludf.DUMMYFUNCTION("""COMPUTED_VALUE"""),6219.4)</f>
        <v>6219.4</v>
      </c>
      <c r="C659" s="434">
        <f>IFERROR(__xludf.DUMMYFUNCTION("""COMPUTED_VALUE"""),42880.99861111111)</f>
        <v>42880.99861</v>
      </c>
      <c r="D659" s="433">
        <f>IFERROR(__xludf.DUMMYFUNCTION("""COMPUTED_VALUE"""),189.8492)</f>
        <v>189.8492</v>
      </c>
      <c r="F659" s="434">
        <f>IFERROR(__xludf.DUMMYFUNCTION("""COMPUTED_VALUE"""),45584.99861111111)</f>
        <v>45584.99861</v>
      </c>
      <c r="G659" s="433">
        <f>IFERROR(__xludf.DUMMYFUNCTION("""COMPUTED_VALUE"""),68456.86)</f>
        <v>68456.86</v>
      </c>
      <c r="H659" s="434">
        <f>IFERROR(__xludf.DUMMYFUNCTION("""COMPUTED_VALUE"""),45583.99861111111)</f>
        <v>45583.99861</v>
      </c>
      <c r="I659" s="433">
        <f>IFERROR(__xludf.DUMMYFUNCTION("""COMPUTED_VALUE"""),2605.2321)</f>
        <v>2605.2321</v>
      </c>
    </row>
    <row r="660">
      <c r="A660" s="434">
        <f>IFERROR(__xludf.DUMMYFUNCTION("""COMPUTED_VALUE"""),43295.99861111111)</f>
        <v>43295.99861</v>
      </c>
      <c r="B660" s="433">
        <f>IFERROR(__xludf.DUMMYFUNCTION("""COMPUTED_VALUE"""),6249.97)</f>
        <v>6249.97</v>
      </c>
      <c r="C660" s="434">
        <f>IFERROR(__xludf.DUMMYFUNCTION("""COMPUTED_VALUE"""),42881.99861111111)</f>
        <v>42881.99861</v>
      </c>
      <c r="D660" s="433">
        <f>IFERROR(__xludf.DUMMYFUNCTION("""COMPUTED_VALUE"""),175.2173)</f>
        <v>175.2173</v>
      </c>
      <c r="F660" s="434">
        <f>IFERROR(__xludf.DUMMYFUNCTION("""COMPUTED_VALUE"""),45585.99861111111)</f>
        <v>45585.99861</v>
      </c>
      <c r="G660" s="433">
        <f>IFERROR(__xludf.DUMMYFUNCTION("""COMPUTED_VALUE"""),68179.25)</f>
        <v>68179.25</v>
      </c>
      <c r="H660" s="434">
        <f>IFERROR(__xludf.DUMMYFUNCTION("""COMPUTED_VALUE"""),45584.99861111111)</f>
        <v>45584.99861</v>
      </c>
      <c r="I660" s="433">
        <f>IFERROR(__xludf.DUMMYFUNCTION("""COMPUTED_VALUE"""),2641.7632)</f>
        <v>2641.7632</v>
      </c>
    </row>
    <row r="661">
      <c r="A661" s="434">
        <f>IFERROR(__xludf.DUMMYFUNCTION("""COMPUTED_VALUE"""),43296.99861111111)</f>
        <v>43296.99861</v>
      </c>
      <c r="B661" s="433">
        <f>IFERROR(__xludf.DUMMYFUNCTION("""COMPUTED_VALUE"""),6348.79)</f>
        <v>6348.79</v>
      </c>
      <c r="C661" s="434">
        <f>IFERROR(__xludf.DUMMYFUNCTION("""COMPUTED_VALUE"""),42882.99861111111)</f>
        <v>42882.99861</v>
      </c>
      <c r="D661" s="433">
        <f>IFERROR(__xludf.DUMMYFUNCTION("""COMPUTED_VALUE"""),159.817)</f>
        <v>159.817</v>
      </c>
      <c r="F661" s="434">
        <f>IFERROR(__xludf.DUMMYFUNCTION("""COMPUTED_VALUE"""),45586.99861111111)</f>
        <v>45586.99861</v>
      </c>
      <c r="G661" s="433">
        <f>IFERROR(__xludf.DUMMYFUNCTION("""COMPUTED_VALUE"""),68890.14)</f>
        <v>68890.14</v>
      </c>
      <c r="H661" s="434">
        <f>IFERROR(__xludf.DUMMYFUNCTION("""COMPUTED_VALUE"""),45585.99861111111)</f>
        <v>45585.99861</v>
      </c>
      <c r="I661" s="433">
        <f>IFERROR(__xludf.DUMMYFUNCTION("""COMPUTED_VALUE"""),2648.7812)</f>
        <v>2648.7812</v>
      </c>
    </row>
    <row r="662">
      <c r="A662" s="434">
        <f>IFERROR(__xludf.DUMMYFUNCTION("""COMPUTED_VALUE"""),43297.99861111111)</f>
        <v>43297.99861</v>
      </c>
      <c r="B662" s="433">
        <f>IFERROR(__xludf.DUMMYFUNCTION("""COMPUTED_VALUE"""),6714.31)</f>
        <v>6714.31</v>
      </c>
      <c r="C662" s="434">
        <f>IFERROR(__xludf.DUMMYFUNCTION("""COMPUTED_VALUE"""),42883.99861111111)</f>
        <v>42883.99861</v>
      </c>
      <c r="D662" s="433">
        <f>IFERROR(__xludf.DUMMYFUNCTION("""COMPUTED_VALUE"""),158.8166)</f>
        <v>158.8166</v>
      </c>
      <c r="F662" s="434">
        <f>IFERROR(__xludf.DUMMYFUNCTION("""COMPUTED_VALUE"""),45587.99861111111)</f>
        <v>45587.99861</v>
      </c>
      <c r="G662" s="433">
        <f>IFERROR(__xludf.DUMMYFUNCTION("""COMPUTED_VALUE"""),67344.48)</f>
        <v>67344.48</v>
      </c>
      <c r="H662" s="434">
        <f>IFERROR(__xludf.DUMMYFUNCTION("""COMPUTED_VALUE"""),45586.99861111111)</f>
        <v>45586.99861</v>
      </c>
      <c r="I662" s="433">
        <f>IFERROR(__xludf.DUMMYFUNCTION("""COMPUTED_VALUE"""),2746.2156)</f>
        <v>2746.2156</v>
      </c>
    </row>
    <row r="663">
      <c r="A663" s="434">
        <f>IFERROR(__xludf.DUMMYFUNCTION("""COMPUTED_VALUE"""),43298.99861111111)</f>
        <v>43298.99861</v>
      </c>
      <c r="B663" s="433">
        <f>IFERROR(__xludf.DUMMYFUNCTION("""COMPUTED_VALUE"""),7317.27)</f>
        <v>7317.27</v>
      </c>
      <c r="C663" s="434">
        <f>IFERROR(__xludf.DUMMYFUNCTION("""COMPUTED_VALUE"""),42884.99861111111)</f>
        <v>42884.99861</v>
      </c>
      <c r="D663" s="433">
        <f>IFERROR(__xludf.DUMMYFUNCTION("""COMPUTED_VALUE"""),170.1355)</f>
        <v>170.1355</v>
      </c>
      <c r="F663" s="434">
        <f>IFERROR(__xludf.DUMMYFUNCTION("""COMPUTED_VALUE"""),45588.99861111111)</f>
        <v>45588.99861</v>
      </c>
      <c r="G663" s="433">
        <f>IFERROR(__xludf.DUMMYFUNCTION("""COMPUTED_VALUE"""),67029.24)</f>
        <v>67029.24</v>
      </c>
      <c r="H663" s="434">
        <f>IFERROR(__xludf.DUMMYFUNCTION("""COMPUTED_VALUE"""),45587.99861111111)</f>
        <v>45587.99861</v>
      </c>
      <c r="I663" s="433">
        <f>IFERROR(__xludf.DUMMYFUNCTION("""COMPUTED_VALUE"""),2665.6262)</f>
        <v>2665.6262</v>
      </c>
    </row>
    <row r="664">
      <c r="A664" s="434">
        <f>IFERROR(__xludf.DUMMYFUNCTION("""COMPUTED_VALUE"""),43299.99861111111)</f>
        <v>43299.99861</v>
      </c>
      <c r="B664" s="433">
        <f>IFERROR(__xludf.DUMMYFUNCTION("""COMPUTED_VALUE"""),7378.37)</f>
        <v>7378.37</v>
      </c>
      <c r="C664" s="434">
        <f>IFERROR(__xludf.DUMMYFUNCTION("""COMPUTED_VALUE"""),42885.99861111111)</f>
        <v>42885.99861</v>
      </c>
      <c r="D664" s="433">
        <f>IFERROR(__xludf.DUMMYFUNCTION("""COMPUTED_VALUE"""),195.6134)</f>
        <v>195.6134</v>
      </c>
      <c r="F664" s="434">
        <f>IFERROR(__xludf.DUMMYFUNCTION("""COMPUTED_VALUE"""),45589.99861111111)</f>
        <v>45589.99861</v>
      </c>
      <c r="G664" s="433">
        <f>IFERROR(__xludf.DUMMYFUNCTION("""COMPUTED_VALUE"""),67189.43)</f>
        <v>67189.43</v>
      </c>
      <c r="H664" s="434">
        <f>IFERROR(__xludf.DUMMYFUNCTION("""COMPUTED_VALUE"""),45588.99861111111)</f>
        <v>45588.99861</v>
      </c>
      <c r="I664" s="433">
        <f>IFERROR(__xludf.DUMMYFUNCTION("""COMPUTED_VALUE"""),2620.6179)</f>
        <v>2620.6179</v>
      </c>
    </row>
    <row r="665">
      <c r="A665" s="434">
        <f>IFERROR(__xludf.DUMMYFUNCTION("""COMPUTED_VALUE"""),43300.99861111111)</f>
        <v>43300.99861</v>
      </c>
      <c r="B665" s="433">
        <f>IFERROR(__xludf.DUMMYFUNCTION("""COMPUTED_VALUE"""),7472.81)</f>
        <v>7472.81</v>
      </c>
      <c r="C665" s="434">
        <f>IFERROR(__xludf.DUMMYFUNCTION("""COMPUTED_VALUE"""),42886.99861111111)</f>
        <v>42886.99861</v>
      </c>
      <c r="D665" s="433">
        <f>IFERROR(__xludf.DUMMYFUNCTION("""COMPUTED_VALUE"""),231.5777)</f>
        <v>231.5777</v>
      </c>
      <c r="F665" s="434">
        <f>IFERROR(__xludf.DUMMYFUNCTION("""COMPUTED_VALUE"""),45590.99861111111)</f>
        <v>45590.99861</v>
      </c>
      <c r="G665" s="433">
        <f>IFERROR(__xludf.DUMMYFUNCTION("""COMPUTED_VALUE"""),67973.21)</f>
        <v>67973.21</v>
      </c>
      <c r="H665" s="434">
        <f>IFERROR(__xludf.DUMMYFUNCTION("""COMPUTED_VALUE"""),45589.99861111111)</f>
        <v>45589.99861</v>
      </c>
      <c r="I665" s="433">
        <f>IFERROR(__xludf.DUMMYFUNCTION("""COMPUTED_VALUE"""),2523.2496)</f>
        <v>2523.2496</v>
      </c>
    </row>
    <row r="666">
      <c r="A666" s="434">
        <f>IFERROR(__xludf.DUMMYFUNCTION("""COMPUTED_VALUE"""),43301.99861111111)</f>
        <v>43301.99861</v>
      </c>
      <c r="B666" s="433">
        <f>IFERROR(__xludf.DUMMYFUNCTION("""COMPUTED_VALUE"""),7334.62)</f>
        <v>7334.62</v>
      </c>
      <c r="C666" s="434">
        <f>IFERROR(__xludf.DUMMYFUNCTION("""COMPUTED_VALUE"""),42887.99861111111)</f>
        <v>42887.99861</v>
      </c>
      <c r="D666" s="433">
        <f>IFERROR(__xludf.DUMMYFUNCTION("""COMPUTED_VALUE"""),230.8864)</f>
        <v>230.8864</v>
      </c>
      <c r="F666" s="434">
        <f>IFERROR(__xludf.DUMMYFUNCTION("""COMPUTED_VALUE"""),45591.99861111111)</f>
        <v>45591.99861</v>
      </c>
      <c r="G666" s="433">
        <f>IFERROR(__xludf.DUMMYFUNCTION("""COMPUTED_VALUE"""),66863.0)</f>
        <v>66863</v>
      </c>
      <c r="H666" s="434">
        <f>IFERROR(__xludf.DUMMYFUNCTION("""COMPUTED_VALUE"""),45590.99861111111)</f>
        <v>45590.99861</v>
      </c>
      <c r="I666" s="433">
        <f>IFERROR(__xludf.DUMMYFUNCTION("""COMPUTED_VALUE"""),2534.5444)</f>
        <v>2534.5444</v>
      </c>
    </row>
    <row r="667">
      <c r="A667" s="434">
        <f>IFERROR(__xludf.DUMMYFUNCTION("""COMPUTED_VALUE"""),43302.99861111111)</f>
        <v>43302.99861</v>
      </c>
      <c r="B667" s="433">
        <f>IFERROR(__xludf.DUMMYFUNCTION("""COMPUTED_VALUE"""),7423.37)</f>
        <v>7423.37</v>
      </c>
      <c r="C667" s="434">
        <f>IFERROR(__xludf.DUMMYFUNCTION("""COMPUTED_VALUE"""),42888.99861111111)</f>
        <v>42888.99861</v>
      </c>
      <c r="D667" s="433">
        <f>IFERROR(__xludf.DUMMYFUNCTION("""COMPUTED_VALUE"""),222.2859)</f>
        <v>222.2859</v>
      </c>
      <c r="F667" s="434">
        <f>IFERROR(__xludf.DUMMYFUNCTION("""COMPUTED_VALUE"""),45592.99861111111)</f>
        <v>45592.99861</v>
      </c>
      <c r="G667" s="433">
        <f>IFERROR(__xludf.DUMMYFUNCTION("""COMPUTED_VALUE"""),67196.3)</f>
        <v>67196.3</v>
      </c>
      <c r="H667" s="434">
        <f>IFERROR(__xludf.DUMMYFUNCTION("""COMPUTED_VALUE"""),45591.99861111111)</f>
        <v>45591.99861</v>
      </c>
      <c r="I667" s="433">
        <f>IFERROR(__xludf.DUMMYFUNCTION("""COMPUTED_VALUE"""),2435.9329)</f>
        <v>2435.9329</v>
      </c>
    </row>
    <row r="668">
      <c r="A668" s="434">
        <f>IFERROR(__xludf.DUMMYFUNCTION("""COMPUTED_VALUE"""),43303.99861111111)</f>
        <v>43303.99861</v>
      </c>
      <c r="B668" s="433">
        <f>IFERROR(__xludf.DUMMYFUNCTION("""COMPUTED_VALUE"""),7398.44)</f>
        <v>7398.44</v>
      </c>
      <c r="C668" s="434">
        <f>IFERROR(__xludf.DUMMYFUNCTION("""COMPUTED_VALUE"""),42889.99861111111)</f>
        <v>42889.99861</v>
      </c>
      <c r="D668" s="433">
        <f>IFERROR(__xludf.DUMMYFUNCTION("""COMPUTED_VALUE"""),223.4638)</f>
        <v>223.4638</v>
      </c>
      <c r="F668" s="434">
        <f>IFERROR(__xludf.DUMMYFUNCTION("""COMPUTED_VALUE"""),45593.99861111111)</f>
        <v>45593.99861</v>
      </c>
      <c r="G668" s="433">
        <f>IFERROR(__xludf.DUMMYFUNCTION("""COMPUTED_VALUE"""),67672.59)</f>
        <v>67672.59</v>
      </c>
      <c r="H668" s="434">
        <f>IFERROR(__xludf.DUMMYFUNCTION("""COMPUTED_VALUE"""),45592.99861111111)</f>
        <v>45592.99861</v>
      </c>
      <c r="I668" s="433">
        <f>IFERROR(__xludf.DUMMYFUNCTION("""COMPUTED_VALUE"""),2479.9491)</f>
        <v>2479.9491</v>
      </c>
    </row>
    <row r="669">
      <c r="A669" s="434">
        <f>IFERROR(__xludf.DUMMYFUNCTION("""COMPUTED_VALUE"""),43304.99861111111)</f>
        <v>43304.99861</v>
      </c>
      <c r="B669" s="433">
        <f>IFERROR(__xludf.DUMMYFUNCTION("""COMPUTED_VALUE"""),7717.55)</f>
        <v>7717.55</v>
      </c>
      <c r="C669" s="434">
        <f>IFERROR(__xludf.DUMMYFUNCTION("""COMPUTED_VALUE"""),42890.99861111111)</f>
        <v>42890.99861</v>
      </c>
      <c r="D669" s="433">
        <f>IFERROR(__xludf.DUMMYFUNCTION("""COMPUTED_VALUE"""),224.1167)</f>
        <v>224.1167</v>
      </c>
      <c r="F669" s="434">
        <f>IFERROR(__xludf.DUMMYFUNCTION("""COMPUTED_VALUE"""),45594.99861111111)</f>
        <v>45594.99861</v>
      </c>
      <c r="G669" s="433">
        <f>IFERROR(__xludf.DUMMYFUNCTION("""COMPUTED_VALUE"""),70889.45)</f>
        <v>70889.45</v>
      </c>
      <c r="H669" s="434">
        <f>IFERROR(__xludf.DUMMYFUNCTION("""COMPUTED_VALUE"""),45593.99861111111)</f>
        <v>45593.99861</v>
      </c>
      <c r="I669" s="433">
        <f>IFERROR(__xludf.DUMMYFUNCTION("""COMPUTED_VALUE"""),2505.7075)</f>
        <v>2505.7075</v>
      </c>
    </row>
    <row r="670">
      <c r="A670" s="434">
        <f>IFERROR(__xludf.DUMMYFUNCTION("""COMPUTED_VALUE"""),43305.99861111111)</f>
        <v>43305.99861</v>
      </c>
      <c r="B670" s="433">
        <f>IFERROR(__xludf.DUMMYFUNCTION("""COMPUTED_VALUE"""),8429.42)</f>
        <v>8429.42</v>
      </c>
      <c r="C670" s="434">
        <f>IFERROR(__xludf.DUMMYFUNCTION("""COMPUTED_VALUE"""),42891.99861111111)</f>
        <v>42891.99861</v>
      </c>
      <c r="D670" s="433">
        <f>IFERROR(__xludf.DUMMYFUNCTION("""COMPUTED_VALUE"""),245.2625)</f>
        <v>245.2625</v>
      </c>
      <c r="F670" s="434">
        <f>IFERROR(__xludf.DUMMYFUNCTION("""COMPUTED_VALUE"""),45595.99861111111)</f>
        <v>45595.99861</v>
      </c>
      <c r="G670" s="433">
        <f>IFERROR(__xludf.DUMMYFUNCTION("""COMPUTED_VALUE"""),72185.68)</f>
        <v>72185.68</v>
      </c>
      <c r="H670" s="434">
        <f>IFERROR(__xludf.DUMMYFUNCTION("""COMPUTED_VALUE"""),45594.99861111111)</f>
        <v>45594.99861</v>
      </c>
      <c r="I670" s="433">
        <f>IFERROR(__xludf.DUMMYFUNCTION("""COMPUTED_VALUE"""),2565.7321)</f>
        <v>2565.7321</v>
      </c>
    </row>
    <row r="671">
      <c r="A671" s="434">
        <f>IFERROR(__xludf.DUMMYFUNCTION("""COMPUTED_VALUE"""),43306.99861111111)</f>
        <v>43306.99861</v>
      </c>
      <c r="B671" s="433">
        <f>IFERROR(__xludf.DUMMYFUNCTION("""COMPUTED_VALUE"""),8176.57)</f>
        <v>8176.57</v>
      </c>
      <c r="C671" s="434">
        <f>IFERROR(__xludf.DUMMYFUNCTION("""COMPUTED_VALUE"""),42892.99861111111)</f>
        <v>42892.99861</v>
      </c>
      <c r="D671" s="433">
        <f>IFERROR(__xludf.DUMMYFUNCTION("""COMPUTED_VALUE"""),248.5992)</f>
        <v>248.5992</v>
      </c>
      <c r="F671" s="434">
        <f>IFERROR(__xludf.DUMMYFUNCTION("""COMPUTED_VALUE"""),45596.99861111111)</f>
        <v>45596.99861</v>
      </c>
      <c r="G671" s="433">
        <f>IFERROR(__xludf.DUMMYFUNCTION("""COMPUTED_VALUE"""),72327.32)</f>
        <v>72327.32</v>
      </c>
      <c r="H671" s="434">
        <f>IFERROR(__xludf.DUMMYFUNCTION("""COMPUTED_VALUE"""),45595.99861111111)</f>
        <v>45595.99861</v>
      </c>
      <c r="I671" s="433">
        <f>IFERROR(__xludf.DUMMYFUNCTION("""COMPUTED_VALUE"""),2637.7712)</f>
        <v>2637.7712</v>
      </c>
    </row>
    <row r="672">
      <c r="A672" s="434">
        <f>IFERROR(__xludf.DUMMYFUNCTION("""COMPUTED_VALUE"""),43307.99861111111)</f>
        <v>43307.99861</v>
      </c>
      <c r="B672" s="433">
        <f>IFERROR(__xludf.DUMMYFUNCTION("""COMPUTED_VALUE"""),7935.84)</f>
        <v>7935.84</v>
      </c>
      <c r="C672" s="434">
        <f>IFERROR(__xludf.DUMMYFUNCTION("""COMPUTED_VALUE"""),42893.99861111111)</f>
        <v>42893.99861</v>
      </c>
      <c r="D672" s="433">
        <f>IFERROR(__xludf.DUMMYFUNCTION("""COMPUTED_VALUE"""),264.2598)</f>
        <v>264.2598</v>
      </c>
      <c r="F672" s="434">
        <f>IFERROR(__xludf.DUMMYFUNCTION("""COMPUTED_VALUE"""),45597.99861111111)</f>
        <v>45597.99861</v>
      </c>
      <c r="G672" s="433">
        <f>IFERROR(__xludf.DUMMYFUNCTION("""COMPUTED_VALUE"""),69310.14)</f>
        <v>69310.14</v>
      </c>
      <c r="H672" s="434">
        <f>IFERROR(__xludf.DUMMYFUNCTION("""COMPUTED_VALUE"""),45596.99861111111)</f>
        <v>45596.99861</v>
      </c>
      <c r="I672" s="433">
        <f>IFERROR(__xludf.DUMMYFUNCTION("""COMPUTED_VALUE"""),2658.2655)</f>
        <v>2658.2655</v>
      </c>
    </row>
    <row r="673">
      <c r="A673" s="434">
        <f>IFERROR(__xludf.DUMMYFUNCTION("""COMPUTED_VALUE"""),43308.99861111111)</f>
        <v>43308.99861</v>
      </c>
      <c r="B673" s="433">
        <f>IFERROR(__xludf.DUMMYFUNCTION("""COMPUTED_VALUE"""),8167.82)</f>
        <v>8167.82</v>
      </c>
      <c r="C673" s="434">
        <f>IFERROR(__xludf.DUMMYFUNCTION("""COMPUTED_VALUE"""),42894.99861111111)</f>
        <v>42894.99861</v>
      </c>
      <c r="D673" s="433">
        <f>IFERROR(__xludf.DUMMYFUNCTION("""COMPUTED_VALUE"""),257.991)</f>
        <v>257.991</v>
      </c>
      <c r="F673" s="434">
        <f>IFERROR(__xludf.DUMMYFUNCTION("""COMPUTED_VALUE"""),45598.99861111111)</f>
        <v>45598.99861</v>
      </c>
      <c r="G673" s="433">
        <f>IFERROR(__xludf.DUMMYFUNCTION("""COMPUTED_VALUE"""),69621.91)</f>
        <v>69621.91</v>
      </c>
      <c r="H673" s="434">
        <f>IFERROR(__xludf.DUMMYFUNCTION("""COMPUTED_VALUE"""),45597.99861111111)</f>
        <v>45597.99861</v>
      </c>
      <c r="I673" s="433">
        <f>IFERROR(__xludf.DUMMYFUNCTION("""COMPUTED_VALUE"""),2515.4143)</f>
        <v>2515.4143</v>
      </c>
    </row>
    <row r="674">
      <c r="A674" s="434">
        <f>IFERROR(__xludf.DUMMYFUNCTION("""COMPUTED_VALUE"""),43309.99861111111)</f>
        <v>43309.99861</v>
      </c>
      <c r="B674" s="433">
        <f>IFERROR(__xludf.DUMMYFUNCTION("""COMPUTED_VALUE"""),8211.04)</f>
        <v>8211.04</v>
      </c>
      <c r="C674" s="434">
        <f>IFERROR(__xludf.DUMMYFUNCTION("""COMPUTED_VALUE"""),42895.99861111111)</f>
        <v>42895.99861</v>
      </c>
      <c r="D674" s="433">
        <f>IFERROR(__xludf.DUMMYFUNCTION("""COMPUTED_VALUE"""),261.7491)</f>
        <v>261.7491</v>
      </c>
      <c r="F674" s="434">
        <f>IFERROR(__xludf.DUMMYFUNCTION("""COMPUTED_VALUE"""),45599.99861111111)</f>
        <v>45599.99861</v>
      </c>
      <c r="G674" s="433">
        <f>IFERROR(__xludf.DUMMYFUNCTION("""COMPUTED_VALUE"""),68434.65)</f>
        <v>68434.65</v>
      </c>
      <c r="H674" s="434">
        <f>IFERROR(__xludf.DUMMYFUNCTION("""COMPUTED_VALUE"""),45598.99861111111)</f>
        <v>45598.99861</v>
      </c>
      <c r="I674" s="433">
        <f>IFERROR(__xludf.DUMMYFUNCTION("""COMPUTED_VALUE"""),2511.5717)</f>
        <v>2511.5717</v>
      </c>
    </row>
    <row r="675">
      <c r="A675" s="434">
        <f>IFERROR(__xludf.DUMMYFUNCTION("""COMPUTED_VALUE"""),43310.99861111111)</f>
        <v>43310.99861</v>
      </c>
      <c r="B675" s="433">
        <f>IFERROR(__xludf.DUMMYFUNCTION("""COMPUTED_VALUE"""),8222.52)</f>
        <v>8222.52</v>
      </c>
      <c r="C675" s="434">
        <f>IFERROR(__xludf.DUMMYFUNCTION("""COMPUTED_VALUE"""),42896.99861111111)</f>
        <v>42896.99861</v>
      </c>
      <c r="D675" s="433">
        <f>IFERROR(__xludf.DUMMYFUNCTION("""COMPUTED_VALUE"""),282.0138)</f>
        <v>282.0138</v>
      </c>
      <c r="F675" s="434">
        <f>IFERROR(__xludf.DUMMYFUNCTION("""COMPUTED_VALUE"""),45600.99861111111)</f>
        <v>45600.99861</v>
      </c>
      <c r="G675" s="433">
        <f>IFERROR(__xludf.DUMMYFUNCTION("""COMPUTED_VALUE"""),69121.93)</f>
        <v>69121.93</v>
      </c>
      <c r="H675" s="434">
        <f>IFERROR(__xludf.DUMMYFUNCTION("""COMPUTED_VALUE"""),45599.99861111111)</f>
        <v>45599.99861</v>
      </c>
      <c r="I675" s="433">
        <f>IFERROR(__xludf.DUMMYFUNCTION("""COMPUTED_VALUE"""),2492.7536)</f>
        <v>2492.7536</v>
      </c>
    </row>
    <row r="676">
      <c r="A676" s="434">
        <f>IFERROR(__xludf.DUMMYFUNCTION("""COMPUTED_VALUE"""),43311.99861111111)</f>
        <v>43311.99861</v>
      </c>
      <c r="B676" s="433">
        <f>IFERROR(__xludf.DUMMYFUNCTION("""COMPUTED_VALUE"""),8173.89)</f>
        <v>8173.89</v>
      </c>
      <c r="C676" s="434">
        <f>IFERROR(__xludf.DUMMYFUNCTION("""COMPUTED_VALUE"""),42897.99861111111)</f>
        <v>42897.99861</v>
      </c>
      <c r="D676" s="433">
        <f>IFERROR(__xludf.DUMMYFUNCTION("""COMPUTED_VALUE"""),338.7942)</f>
        <v>338.7942</v>
      </c>
      <c r="F676" s="434">
        <f>IFERROR(__xludf.DUMMYFUNCTION("""COMPUTED_VALUE"""),45601.99861111111)</f>
        <v>45601.99861</v>
      </c>
      <c r="G676" s="433">
        <f>IFERROR(__xludf.DUMMYFUNCTION("""COMPUTED_VALUE"""),68317.69)</f>
        <v>68317.69</v>
      </c>
      <c r="H676" s="434">
        <f>IFERROR(__xludf.DUMMYFUNCTION("""COMPUTED_VALUE"""),45600.99861111111)</f>
        <v>45600.99861</v>
      </c>
      <c r="I676" s="433">
        <f>IFERROR(__xludf.DUMMYFUNCTION("""COMPUTED_VALUE"""),2456.5264)</f>
        <v>2456.5264</v>
      </c>
    </row>
    <row r="677">
      <c r="A677" s="434">
        <f>IFERROR(__xludf.DUMMYFUNCTION("""COMPUTED_VALUE"""),43312.99861111111)</f>
        <v>43312.99861</v>
      </c>
      <c r="B677" s="433">
        <f>IFERROR(__xludf.DUMMYFUNCTION("""COMPUTED_VALUE"""),7736.32)</f>
        <v>7736.32</v>
      </c>
      <c r="C677" s="434">
        <f>IFERROR(__xludf.DUMMYFUNCTION("""COMPUTED_VALUE"""),42898.99861111111)</f>
        <v>42898.99861</v>
      </c>
      <c r="D677" s="433">
        <f>IFERROR(__xludf.DUMMYFUNCTION("""COMPUTED_VALUE"""),341.1642)</f>
        <v>341.1642</v>
      </c>
      <c r="F677" s="434">
        <f>IFERROR(__xludf.DUMMYFUNCTION("""COMPUTED_VALUE"""),45602.99861111111)</f>
        <v>45602.99861</v>
      </c>
      <c r="G677" s="433">
        <f>IFERROR(__xludf.DUMMYFUNCTION("""COMPUTED_VALUE"""),74445.82)</f>
        <v>74445.82</v>
      </c>
      <c r="H677" s="434">
        <f>IFERROR(__xludf.DUMMYFUNCTION("""COMPUTED_VALUE"""),45601.99861111111)</f>
        <v>45601.99861</v>
      </c>
      <c r="I677" s="433">
        <f>IFERROR(__xludf.DUMMYFUNCTION("""COMPUTED_VALUE"""),2396.2073)</f>
        <v>2396.2073</v>
      </c>
    </row>
    <row r="678">
      <c r="A678" s="434">
        <f>IFERROR(__xludf.DUMMYFUNCTION("""COMPUTED_VALUE"""),43313.99861111111)</f>
        <v>43313.99861</v>
      </c>
      <c r="B678" s="433">
        <f>IFERROR(__xludf.DUMMYFUNCTION("""COMPUTED_VALUE"""),7602.59)</f>
        <v>7602.59</v>
      </c>
      <c r="C678" s="434">
        <f>IFERROR(__xludf.DUMMYFUNCTION("""COMPUTED_VALUE"""),42899.99861111111)</f>
        <v>42899.99861</v>
      </c>
      <c r="D678" s="433">
        <f>IFERROR(__xludf.DUMMYFUNCTION("""COMPUTED_VALUE"""),395.6864)</f>
        <v>395.6864</v>
      </c>
      <c r="F678" s="434">
        <f>IFERROR(__xludf.DUMMYFUNCTION("""COMPUTED_VALUE"""),45603.99861111111)</f>
        <v>45603.99861</v>
      </c>
      <c r="G678" s="433">
        <f>IFERROR(__xludf.DUMMYFUNCTION("""COMPUTED_VALUE"""),74732.36)</f>
        <v>74732.36</v>
      </c>
      <c r="H678" s="434">
        <f>IFERROR(__xludf.DUMMYFUNCTION("""COMPUTED_VALUE"""),45602.99861111111)</f>
        <v>45602.99861</v>
      </c>
      <c r="I678" s="433">
        <f>IFERROR(__xludf.DUMMYFUNCTION("""COMPUTED_VALUE"""),2422.5128)</f>
        <v>2422.5128</v>
      </c>
    </row>
    <row r="679">
      <c r="A679" s="434">
        <f>IFERROR(__xludf.DUMMYFUNCTION("""COMPUTED_VALUE"""),43314.99861111111)</f>
        <v>43314.99861</v>
      </c>
      <c r="B679" s="433">
        <f>IFERROR(__xludf.DUMMYFUNCTION("""COMPUTED_VALUE"""),7534.76)</f>
        <v>7534.76</v>
      </c>
      <c r="C679" s="434">
        <f>IFERROR(__xludf.DUMMYFUNCTION("""COMPUTED_VALUE"""),42900.99861111111)</f>
        <v>42900.99861</v>
      </c>
      <c r="D679" s="433">
        <f>IFERROR(__xludf.DUMMYFUNCTION("""COMPUTED_VALUE"""),397.5892)</f>
        <v>397.5892</v>
      </c>
      <c r="F679" s="434">
        <f>IFERROR(__xludf.DUMMYFUNCTION("""COMPUTED_VALUE"""),45604.99861111111)</f>
        <v>45604.99861</v>
      </c>
      <c r="G679" s="433">
        <f>IFERROR(__xludf.DUMMYFUNCTION("""COMPUTED_VALUE"""),75883.62)</f>
        <v>75883.62</v>
      </c>
      <c r="H679" s="434">
        <f>IFERROR(__xludf.DUMMYFUNCTION("""COMPUTED_VALUE"""),45603.99861111111)</f>
        <v>45603.99861</v>
      </c>
      <c r="I679" s="433">
        <f>IFERROR(__xludf.DUMMYFUNCTION("""COMPUTED_VALUE"""),2724.4221)</f>
        <v>2724.4221</v>
      </c>
    </row>
    <row r="680">
      <c r="A680" s="434">
        <f>IFERROR(__xludf.DUMMYFUNCTION("""COMPUTED_VALUE"""),43315.99861111111)</f>
        <v>43315.99861</v>
      </c>
      <c r="B680" s="433">
        <f>IFERROR(__xludf.DUMMYFUNCTION("""COMPUTED_VALUE"""),7416.9)</f>
        <v>7416.9</v>
      </c>
      <c r="C680" s="434">
        <f>IFERROR(__xludf.DUMMYFUNCTION("""COMPUTED_VALUE"""),42901.99861111111)</f>
        <v>42901.99861</v>
      </c>
      <c r="D680" s="433">
        <f>IFERROR(__xludf.DUMMYFUNCTION("""COMPUTED_VALUE"""),358.5067)</f>
        <v>358.5067</v>
      </c>
      <c r="F680" s="434">
        <f>IFERROR(__xludf.DUMMYFUNCTION("""COMPUTED_VALUE"""),45605.99861111111)</f>
        <v>45605.99861</v>
      </c>
      <c r="G680" s="433">
        <f>IFERROR(__xludf.DUMMYFUNCTION("""COMPUTED_VALUE"""),76413.14)</f>
        <v>76413.14</v>
      </c>
      <c r="H680" s="434">
        <f>IFERROR(__xludf.DUMMYFUNCTION("""COMPUTED_VALUE"""),45604.99861111111)</f>
        <v>45604.99861</v>
      </c>
      <c r="I680" s="433">
        <f>IFERROR(__xludf.DUMMYFUNCTION("""COMPUTED_VALUE"""),2896.0758)</f>
        <v>2896.0758</v>
      </c>
    </row>
    <row r="681">
      <c r="A681" s="434">
        <f>IFERROR(__xludf.DUMMYFUNCTION("""COMPUTED_VALUE"""),43316.99861111111)</f>
        <v>43316.99861</v>
      </c>
      <c r="B681" s="433">
        <f>IFERROR(__xludf.DUMMYFUNCTION("""COMPUTED_VALUE"""),7010.97)</f>
        <v>7010.97</v>
      </c>
      <c r="C681" s="434">
        <f>IFERROR(__xludf.DUMMYFUNCTION("""COMPUTED_VALUE"""),42902.99861111111)</f>
        <v>42902.99861</v>
      </c>
      <c r="D681" s="433">
        <f>IFERROR(__xludf.DUMMYFUNCTION("""COMPUTED_VALUE"""),361.1824)</f>
        <v>361.1824</v>
      </c>
      <c r="F681" s="434">
        <f>IFERROR(__xludf.DUMMYFUNCTION("""COMPUTED_VALUE"""),45606.99861111111)</f>
        <v>45606.99861</v>
      </c>
      <c r="G681" s="433">
        <f>IFERROR(__xludf.DUMMYFUNCTION("""COMPUTED_VALUE"""),78990.8)</f>
        <v>78990.8</v>
      </c>
      <c r="H681" s="434">
        <f>IFERROR(__xludf.DUMMYFUNCTION("""COMPUTED_VALUE"""),45605.99861111111)</f>
        <v>45605.99861</v>
      </c>
      <c r="I681" s="433">
        <f>IFERROR(__xludf.DUMMYFUNCTION("""COMPUTED_VALUE"""),2963.1075)</f>
        <v>2963.1075</v>
      </c>
    </row>
    <row r="682">
      <c r="A682" s="434">
        <f>IFERROR(__xludf.DUMMYFUNCTION("""COMPUTED_VALUE"""),43317.99861111111)</f>
        <v>43317.99861</v>
      </c>
      <c r="B682" s="433">
        <f>IFERROR(__xludf.DUMMYFUNCTION("""COMPUTED_VALUE"""),7027.62)</f>
        <v>7027.62</v>
      </c>
      <c r="C682" s="434">
        <f>IFERROR(__xludf.DUMMYFUNCTION("""COMPUTED_VALUE"""),42903.99861111111)</f>
        <v>42903.99861</v>
      </c>
      <c r="D682" s="433">
        <f>IFERROR(__xludf.DUMMYFUNCTION("""COMPUTED_VALUE"""),369.883)</f>
        <v>369.883</v>
      </c>
      <c r="F682" s="434">
        <f>IFERROR(__xludf.DUMMYFUNCTION("""COMPUTED_VALUE"""),45607.99861111111)</f>
        <v>45607.99861</v>
      </c>
      <c r="G682" s="433">
        <f>IFERROR(__xludf.DUMMYFUNCTION("""COMPUTED_VALUE"""),81483.31)</f>
        <v>81483.31</v>
      </c>
      <c r="H682" s="434">
        <f>IFERROR(__xludf.DUMMYFUNCTION("""COMPUTED_VALUE"""),45606.99861111111)</f>
        <v>45606.99861</v>
      </c>
      <c r="I682" s="433">
        <f>IFERROR(__xludf.DUMMYFUNCTION("""COMPUTED_VALUE"""),3128.8593)</f>
        <v>3128.8593</v>
      </c>
    </row>
    <row r="683">
      <c r="A683" s="434">
        <f>IFERROR(__xludf.DUMMYFUNCTION("""COMPUTED_VALUE"""),43318.99861111111)</f>
        <v>43318.99861</v>
      </c>
      <c r="B683" s="433">
        <f>IFERROR(__xludf.DUMMYFUNCTION("""COMPUTED_VALUE"""),6932.7)</f>
        <v>6932.7</v>
      </c>
      <c r="C683" s="434">
        <f>IFERROR(__xludf.DUMMYFUNCTION("""COMPUTED_VALUE"""),42904.99861111111)</f>
        <v>42904.99861</v>
      </c>
      <c r="D683" s="433">
        <f>IFERROR(__xludf.DUMMYFUNCTION("""COMPUTED_VALUE"""),379.5191)</f>
        <v>379.5191</v>
      </c>
      <c r="F683" s="434">
        <f>IFERROR(__xludf.DUMMYFUNCTION("""COMPUTED_VALUE"""),45608.99861111111)</f>
        <v>45608.99861</v>
      </c>
      <c r="G683" s="433">
        <f>IFERROR(__xludf.DUMMYFUNCTION("""COMPUTED_VALUE"""),88470.49)</f>
        <v>88470.49</v>
      </c>
      <c r="H683" s="434">
        <f>IFERROR(__xludf.DUMMYFUNCTION("""COMPUTED_VALUE"""),45607.99861111111)</f>
        <v>45607.99861</v>
      </c>
      <c r="I683" s="433">
        <f>IFERROR(__xludf.DUMMYFUNCTION("""COMPUTED_VALUE"""),3187.5813)</f>
        <v>3187.5813</v>
      </c>
    </row>
    <row r="684">
      <c r="A684" s="434">
        <f>IFERROR(__xludf.DUMMYFUNCTION("""COMPUTED_VALUE"""),43319.99861111111)</f>
        <v>43319.99861</v>
      </c>
      <c r="B684" s="433">
        <f>IFERROR(__xludf.DUMMYFUNCTION("""COMPUTED_VALUE"""),6717.17)</f>
        <v>6717.17</v>
      </c>
      <c r="C684" s="434">
        <f>IFERROR(__xludf.DUMMYFUNCTION("""COMPUTED_VALUE"""),42905.99861111111)</f>
        <v>42905.99861</v>
      </c>
      <c r="D684" s="433">
        <f>IFERROR(__xludf.DUMMYFUNCTION("""COMPUTED_VALUE"""),371.8641)</f>
        <v>371.8641</v>
      </c>
      <c r="F684" s="434">
        <f>IFERROR(__xludf.DUMMYFUNCTION("""COMPUTED_VALUE"""),45609.99861111111)</f>
        <v>45609.99861</v>
      </c>
      <c r="G684" s="433">
        <f>IFERROR(__xludf.DUMMYFUNCTION("""COMPUTED_VALUE"""),87125.45)</f>
        <v>87125.45</v>
      </c>
      <c r="H684" s="434">
        <f>IFERROR(__xludf.DUMMYFUNCTION("""COMPUTED_VALUE"""),45608.99861111111)</f>
        <v>45608.99861</v>
      </c>
      <c r="I684" s="433">
        <f>IFERROR(__xludf.DUMMYFUNCTION("""COMPUTED_VALUE"""),3376.0885)</f>
        <v>3376.0885</v>
      </c>
    </row>
    <row r="685">
      <c r="A685" s="434">
        <f>IFERROR(__xludf.DUMMYFUNCTION("""COMPUTED_VALUE"""),43320.99861111111)</f>
        <v>43320.99861</v>
      </c>
      <c r="B685" s="433">
        <f>IFERROR(__xludf.DUMMYFUNCTION("""COMPUTED_VALUE"""),6278.07)</f>
        <v>6278.07</v>
      </c>
      <c r="C685" s="434">
        <f>IFERROR(__xludf.DUMMYFUNCTION("""COMPUTED_VALUE"""),42906.99861111111)</f>
        <v>42906.99861</v>
      </c>
      <c r="D685" s="433">
        <f>IFERROR(__xludf.DUMMYFUNCTION("""COMPUTED_VALUE"""),370.3271)</f>
        <v>370.3271</v>
      </c>
      <c r="F685" s="434">
        <f>IFERROR(__xludf.DUMMYFUNCTION("""COMPUTED_VALUE"""),45610.99861111111)</f>
        <v>45610.99861</v>
      </c>
      <c r="G685" s="433">
        <f>IFERROR(__xludf.DUMMYFUNCTION("""COMPUTED_VALUE"""),90107.27)</f>
        <v>90107.27</v>
      </c>
      <c r="H685" s="434">
        <f>IFERROR(__xludf.DUMMYFUNCTION("""COMPUTED_VALUE"""),45609.99861111111)</f>
        <v>45609.99861</v>
      </c>
      <c r="I685" s="433">
        <f>IFERROR(__xludf.DUMMYFUNCTION("""COMPUTED_VALUE"""),3246.9755)</f>
        <v>3246.9755</v>
      </c>
    </row>
    <row r="686">
      <c r="A686" s="434">
        <f>IFERROR(__xludf.DUMMYFUNCTION("""COMPUTED_VALUE"""),43321.99861111111)</f>
        <v>43321.99861</v>
      </c>
      <c r="B686" s="433">
        <f>IFERROR(__xludf.DUMMYFUNCTION("""COMPUTED_VALUE"""),6533.15)</f>
        <v>6533.15</v>
      </c>
      <c r="C686" s="434">
        <f>IFERROR(__xludf.DUMMYFUNCTION("""COMPUTED_VALUE"""),42907.99861111111)</f>
        <v>42907.99861</v>
      </c>
      <c r="D686" s="433">
        <f>IFERROR(__xludf.DUMMYFUNCTION("""COMPUTED_VALUE"""),359.5403)</f>
        <v>359.5403</v>
      </c>
      <c r="F686" s="434">
        <f>IFERROR(__xludf.DUMMYFUNCTION("""COMPUTED_VALUE"""),45611.99861111111)</f>
        <v>45611.99861</v>
      </c>
      <c r="G686" s="433">
        <f>IFERROR(__xludf.DUMMYFUNCTION("""COMPUTED_VALUE"""),87426.22)</f>
        <v>87426.22</v>
      </c>
      <c r="H686" s="434">
        <f>IFERROR(__xludf.DUMMYFUNCTION("""COMPUTED_VALUE"""),45610.99861111111)</f>
        <v>45610.99861</v>
      </c>
      <c r="I686" s="433">
        <f>IFERROR(__xludf.DUMMYFUNCTION("""COMPUTED_VALUE"""),3191.1648)</f>
        <v>3191.1648</v>
      </c>
    </row>
    <row r="687">
      <c r="A687" s="434">
        <f>IFERROR(__xludf.DUMMYFUNCTION("""COMPUTED_VALUE"""),43322.99861111111)</f>
        <v>43322.99861</v>
      </c>
      <c r="B687" s="433">
        <f>IFERROR(__xludf.DUMMYFUNCTION("""COMPUTED_VALUE"""),6141.43)</f>
        <v>6141.43</v>
      </c>
      <c r="C687" s="434">
        <f>IFERROR(__xludf.DUMMYFUNCTION("""COMPUTED_VALUE"""),42908.99861111111)</f>
        <v>42908.99861</v>
      </c>
      <c r="D687" s="433">
        <f>IFERROR(__xludf.DUMMYFUNCTION("""COMPUTED_VALUE"""),337.7329)</f>
        <v>337.7329</v>
      </c>
      <c r="F687" s="434">
        <f>IFERROR(__xludf.DUMMYFUNCTION("""COMPUTED_VALUE"""),45612.99861111111)</f>
        <v>45612.99861</v>
      </c>
      <c r="G687" s="433">
        <f>IFERROR(__xludf.DUMMYFUNCTION("""COMPUTED_VALUE"""),91278.47)</f>
        <v>91278.47</v>
      </c>
      <c r="H687" s="434">
        <f>IFERROR(__xludf.DUMMYFUNCTION("""COMPUTED_VALUE"""),45611.99861111111)</f>
        <v>45611.99861</v>
      </c>
      <c r="I687" s="433">
        <f>IFERROR(__xludf.DUMMYFUNCTION("""COMPUTED_VALUE"""),3058.1918)</f>
        <v>3058.1918</v>
      </c>
    </row>
    <row r="688">
      <c r="A688" s="434">
        <f>IFERROR(__xludf.DUMMYFUNCTION("""COMPUTED_VALUE"""),43323.99861111111)</f>
        <v>43323.99861</v>
      </c>
      <c r="B688" s="433">
        <f>IFERROR(__xludf.DUMMYFUNCTION("""COMPUTED_VALUE"""),6227.78)</f>
        <v>6227.78</v>
      </c>
      <c r="C688" s="434">
        <f>IFERROR(__xludf.DUMMYFUNCTION("""COMPUTED_VALUE"""),42909.99861111111)</f>
        <v>42909.99861</v>
      </c>
      <c r="D688" s="433">
        <f>IFERROR(__xludf.DUMMYFUNCTION("""COMPUTED_VALUE"""),336.4845)</f>
        <v>336.4845</v>
      </c>
      <c r="F688" s="434">
        <f>IFERROR(__xludf.DUMMYFUNCTION("""COMPUTED_VALUE"""),45613.99861111111)</f>
        <v>45613.99861</v>
      </c>
      <c r="G688" s="433">
        <f>IFERROR(__xludf.DUMMYFUNCTION("""COMPUTED_VALUE"""),90318.17)</f>
        <v>90318.17</v>
      </c>
      <c r="H688" s="434">
        <f>IFERROR(__xludf.DUMMYFUNCTION("""COMPUTED_VALUE"""),45612.99861111111)</f>
        <v>45612.99861</v>
      </c>
      <c r="I688" s="433">
        <f>IFERROR(__xludf.DUMMYFUNCTION("""COMPUTED_VALUE"""),3089.5861)</f>
        <v>3089.5861</v>
      </c>
    </row>
    <row r="689">
      <c r="A689" s="434">
        <f>IFERROR(__xludf.DUMMYFUNCTION("""COMPUTED_VALUE"""),43324.99861111111)</f>
        <v>43324.99861</v>
      </c>
      <c r="B689" s="433">
        <f>IFERROR(__xludf.DUMMYFUNCTION("""COMPUTED_VALUE"""),6311.92)</f>
        <v>6311.92</v>
      </c>
      <c r="C689" s="434">
        <f>IFERROR(__xludf.DUMMYFUNCTION("""COMPUTED_VALUE"""),42910.99861111111)</f>
        <v>42910.99861</v>
      </c>
      <c r="D689" s="433">
        <f>IFERROR(__xludf.DUMMYFUNCTION("""COMPUTED_VALUE"""),341.6251)</f>
        <v>341.6251</v>
      </c>
      <c r="F689" s="434">
        <f>IFERROR(__xludf.DUMMYFUNCTION("""COMPUTED_VALUE"""),45614.99861111111)</f>
        <v>45614.99861</v>
      </c>
      <c r="G689" s="433">
        <f>IFERROR(__xludf.DUMMYFUNCTION("""COMPUTED_VALUE"""),90449.91)</f>
        <v>90449.91</v>
      </c>
      <c r="H689" s="434">
        <f>IFERROR(__xludf.DUMMYFUNCTION("""COMPUTED_VALUE"""),45613.99861111111)</f>
        <v>45613.99861</v>
      </c>
      <c r="I689" s="433">
        <f>IFERROR(__xludf.DUMMYFUNCTION("""COMPUTED_VALUE"""),3133.3708)</f>
        <v>3133.3708</v>
      </c>
    </row>
    <row r="690">
      <c r="A690" s="434">
        <f>IFERROR(__xludf.DUMMYFUNCTION("""COMPUTED_VALUE"""),43325.99861111111)</f>
        <v>43325.99861</v>
      </c>
      <c r="B690" s="433">
        <f>IFERROR(__xludf.DUMMYFUNCTION("""COMPUTED_VALUE"""),6251.54)</f>
        <v>6251.54</v>
      </c>
      <c r="C690" s="434">
        <f>IFERROR(__xludf.DUMMYFUNCTION("""COMPUTED_VALUE"""),42911.99861111111)</f>
        <v>42911.99861</v>
      </c>
      <c r="D690" s="433">
        <f>IFERROR(__xludf.DUMMYFUNCTION("""COMPUTED_VALUE"""),323.4662)</f>
        <v>323.4662</v>
      </c>
      <c r="F690" s="434">
        <f>IFERROR(__xludf.DUMMYFUNCTION("""COMPUTED_VALUE"""),45615.99861111111)</f>
        <v>45615.99861</v>
      </c>
      <c r="G690" s="433">
        <f>IFERROR(__xludf.DUMMYFUNCTION("""COMPUTED_VALUE"""),91546.89)</f>
        <v>91546.89</v>
      </c>
      <c r="H690" s="434">
        <f>IFERROR(__xludf.DUMMYFUNCTION("""COMPUTED_VALUE"""),45614.99861111111)</f>
        <v>45614.99861</v>
      </c>
      <c r="I690" s="433">
        <f>IFERROR(__xludf.DUMMYFUNCTION("""COMPUTED_VALUE"""),3075.5863)</f>
        <v>3075.5863</v>
      </c>
    </row>
    <row r="691">
      <c r="A691" s="434">
        <f>IFERROR(__xludf.DUMMYFUNCTION("""COMPUTED_VALUE"""),43326.99861111111)</f>
        <v>43326.99861</v>
      </c>
      <c r="B691" s="433">
        <f>IFERROR(__xludf.DUMMYFUNCTION("""COMPUTED_VALUE"""),6183.14)</f>
        <v>6183.14</v>
      </c>
      <c r="C691" s="434">
        <f>IFERROR(__xludf.DUMMYFUNCTION("""COMPUTED_VALUE"""),42912.99861111111)</f>
        <v>42912.99861</v>
      </c>
      <c r="D691" s="433">
        <f>IFERROR(__xludf.DUMMYFUNCTION("""COMPUTED_VALUE"""),302.9547)</f>
        <v>302.9547</v>
      </c>
      <c r="F691" s="434">
        <f>IFERROR(__xludf.DUMMYFUNCTION("""COMPUTED_VALUE"""),45616.99861111111)</f>
        <v>45616.99861</v>
      </c>
      <c r="G691" s="433">
        <f>IFERROR(__xludf.DUMMYFUNCTION("""COMPUTED_VALUE"""),92217.93)</f>
        <v>92217.93</v>
      </c>
      <c r="H691" s="434">
        <f>IFERROR(__xludf.DUMMYFUNCTION("""COMPUTED_VALUE"""),45615.99861111111)</f>
        <v>45615.99861</v>
      </c>
      <c r="I691" s="433">
        <f>IFERROR(__xludf.DUMMYFUNCTION("""COMPUTED_VALUE"""),3208.2545)</f>
        <v>3208.2545</v>
      </c>
    </row>
    <row r="692">
      <c r="A692" s="434">
        <f>IFERROR(__xludf.DUMMYFUNCTION("""COMPUTED_VALUE"""),43327.99861111111)</f>
        <v>43327.99861</v>
      </c>
      <c r="B692" s="433">
        <f>IFERROR(__xludf.DUMMYFUNCTION("""COMPUTED_VALUE"""),6269.88)</f>
        <v>6269.88</v>
      </c>
      <c r="C692" s="434">
        <f>IFERROR(__xludf.DUMMYFUNCTION("""COMPUTED_VALUE"""),42913.99861111111)</f>
        <v>42913.99861</v>
      </c>
      <c r="D692" s="433">
        <f>IFERROR(__xludf.DUMMYFUNCTION("""COMPUTED_VALUE"""),272.6919)</f>
        <v>272.6919</v>
      </c>
      <c r="F692" s="434">
        <f>IFERROR(__xludf.DUMMYFUNCTION("""COMPUTED_VALUE"""),45617.99861111111)</f>
        <v>45617.99861</v>
      </c>
      <c r="G692" s="433">
        <f>IFERROR(__xludf.DUMMYFUNCTION("""COMPUTED_VALUE"""),97402.66)</f>
        <v>97402.66</v>
      </c>
      <c r="H692" s="434">
        <f>IFERROR(__xludf.DUMMYFUNCTION("""COMPUTED_VALUE"""),45616.99861111111)</f>
        <v>45616.99861</v>
      </c>
      <c r="I692" s="433">
        <f>IFERROR(__xludf.DUMMYFUNCTION("""COMPUTED_VALUE"""),3111.2992)</f>
        <v>3111.2992</v>
      </c>
    </row>
    <row r="693">
      <c r="A693" s="434">
        <f>IFERROR(__xludf.DUMMYFUNCTION("""COMPUTED_VALUE"""),43328.99861111111)</f>
        <v>43328.99861</v>
      </c>
      <c r="B693" s="433">
        <f>IFERROR(__xludf.DUMMYFUNCTION("""COMPUTED_VALUE"""),6312.28)</f>
        <v>6312.28</v>
      </c>
      <c r="C693" s="434">
        <f>IFERROR(__xludf.DUMMYFUNCTION("""COMPUTED_VALUE"""),42914.99861111111)</f>
        <v>42914.99861</v>
      </c>
      <c r="D693" s="433">
        <f>IFERROR(__xludf.DUMMYFUNCTION("""COMPUTED_VALUE"""),290.5006)</f>
        <v>290.5006</v>
      </c>
      <c r="F693" s="434">
        <f>IFERROR(__xludf.DUMMYFUNCTION("""COMPUTED_VALUE"""),45618.99861111111)</f>
        <v>45618.99861</v>
      </c>
      <c r="G693" s="433">
        <f>IFERROR(__xludf.DUMMYFUNCTION("""COMPUTED_VALUE"""),98739.25)</f>
        <v>98739.25</v>
      </c>
      <c r="H693" s="434">
        <f>IFERROR(__xludf.DUMMYFUNCTION("""COMPUTED_VALUE"""),45617.99861111111)</f>
        <v>45617.99861</v>
      </c>
      <c r="I693" s="433">
        <f>IFERROR(__xludf.DUMMYFUNCTION("""COMPUTED_VALUE"""),3071.8721)</f>
        <v>3071.8721</v>
      </c>
    </row>
    <row r="694">
      <c r="A694" s="434">
        <f>IFERROR(__xludf.DUMMYFUNCTION("""COMPUTED_VALUE"""),43329.99861111111)</f>
        <v>43329.99861</v>
      </c>
      <c r="B694" s="433">
        <f>IFERROR(__xludf.DUMMYFUNCTION("""COMPUTED_VALUE"""),6567.87)</f>
        <v>6567.87</v>
      </c>
      <c r="C694" s="434">
        <f>IFERROR(__xludf.DUMMYFUNCTION("""COMPUTED_VALUE"""),42915.99861111111)</f>
        <v>42915.99861</v>
      </c>
      <c r="D694" s="433">
        <f>IFERROR(__xludf.DUMMYFUNCTION("""COMPUTED_VALUE"""),328.3656)</f>
        <v>328.3656</v>
      </c>
      <c r="F694" s="434">
        <f>IFERROR(__xludf.DUMMYFUNCTION("""COMPUTED_VALUE"""),45619.99861111111)</f>
        <v>45619.99861</v>
      </c>
      <c r="G694" s="433">
        <f>IFERROR(__xludf.DUMMYFUNCTION("""COMPUTED_VALUE"""),98496.91)</f>
        <v>98496.91</v>
      </c>
      <c r="H694" s="434">
        <f>IFERROR(__xludf.DUMMYFUNCTION("""COMPUTED_VALUE"""),45618.99861111111)</f>
        <v>45618.99861</v>
      </c>
      <c r="I694" s="433">
        <f>IFERROR(__xludf.DUMMYFUNCTION("""COMPUTED_VALUE"""),3359.4108)</f>
        <v>3359.4108</v>
      </c>
    </row>
    <row r="695">
      <c r="A695" s="434">
        <f>IFERROR(__xludf.DUMMYFUNCTION("""COMPUTED_VALUE"""),43330.99861111111)</f>
        <v>43330.99861</v>
      </c>
      <c r="B695" s="433">
        <f>IFERROR(__xludf.DUMMYFUNCTION("""COMPUTED_VALUE"""),6392.53)</f>
        <v>6392.53</v>
      </c>
      <c r="C695" s="434">
        <f>IFERROR(__xludf.DUMMYFUNCTION("""COMPUTED_VALUE"""),42916.99861111111)</f>
        <v>42916.99861</v>
      </c>
      <c r="D695" s="433">
        <f>IFERROR(__xludf.DUMMYFUNCTION("""COMPUTED_VALUE"""),303.1516)</f>
        <v>303.1516</v>
      </c>
      <c r="F695" s="434">
        <f>IFERROR(__xludf.DUMMYFUNCTION("""COMPUTED_VALUE"""),45620.99861111111)</f>
        <v>45620.99861</v>
      </c>
      <c r="G695" s="433">
        <f>IFERROR(__xludf.DUMMYFUNCTION("""COMPUTED_VALUE"""),98110.87)</f>
        <v>98110.87</v>
      </c>
      <c r="H695" s="434">
        <f>IFERROR(__xludf.DUMMYFUNCTION("""COMPUTED_VALUE"""),45619.99861111111)</f>
        <v>45619.99861</v>
      </c>
      <c r="I695" s="433">
        <f>IFERROR(__xludf.DUMMYFUNCTION("""COMPUTED_VALUE"""),3331.6148)</f>
        <v>3331.6148</v>
      </c>
    </row>
    <row r="696">
      <c r="A696" s="434">
        <f>IFERROR(__xludf.DUMMYFUNCTION("""COMPUTED_VALUE"""),43331.99861111111)</f>
        <v>43331.99861</v>
      </c>
      <c r="B696" s="433">
        <f>IFERROR(__xludf.DUMMYFUNCTION("""COMPUTED_VALUE"""),6487.48)</f>
        <v>6487.48</v>
      </c>
      <c r="C696" s="434">
        <f>IFERROR(__xludf.DUMMYFUNCTION("""COMPUTED_VALUE"""),42917.99861111111)</f>
        <v>42917.99861</v>
      </c>
      <c r="D696" s="433">
        <f>IFERROR(__xludf.DUMMYFUNCTION("""COMPUTED_VALUE"""),293.3525)</f>
        <v>293.3525</v>
      </c>
      <c r="F696" s="434">
        <f>IFERROR(__xludf.DUMMYFUNCTION("""COMPUTED_VALUE"""),45621.99861111111)</f>
        <v>45621.99861</v>
      </c>
      <c r="G696" s="433">
        <f>IFERROR(__xludf.DUMMYFUNCTION("""COMPUTED_VALUE"""),97811.99)</f>
        <v>97811.99</v>
      </c>
      <c r="H696" s="434">
        <f>IFERROR(__xludf.DUMMYFUNCTION("""COMPUTED_VALUE"""),45620.99861111111)</f>
        <v>45620.99861</v>
      </c>
      <c r="I696" s="433">
        <f>IFERROR(__xludf.DUMMYFUNCTION("""COMPUTED_VALUE"""),3397.0864)</f>
        <v>3397.0864</v>
      </c>
    </row>
    <row r="697">
      <c r="A697" s="434">
        <f>IFERROR(__xludf.DUMMYFUNCTION("""COMPUTED_VALUE"""),43332.99861111111)</f>
        <v>43332.99861</v>
      </c>
      <c r="B697" s="433">
        <f>IFERROR(__xludf.DUMMYFUNCTION("""COMPUTED_VALUE"""),6264.64)</f>
        <v>6264.64</v>
      </c>
      <c r="C697" s="434">
        <f>IFERROR(__xludf.DUMMYFUNCTION("""COMPUTED_VALUE"""),42918.99861111111)</f>
        <v>42918.99861</v>
      </c>
      <c r="D697" s="433">
        <f>IFERROR(__xludf.DUMMYFUNCTION("""COMPUTED_VALUE"""),275.1226)</f>
        <v>275.1226</v>
      </c>
      <c r="F697" s="434">
        <f>IFERROR(__xludf.DUMMYFUNCTION("""COMPUTED_VALUE"""),45622.99861111111)</f>
        <v>45622.99861</v>
      </c>
      <c r="G697" s="433">
        <f>IFERROR(__xludf.DUMMYFUNCTION("""COMPUTED_VALUE"""),94322.14)</f>
        <v>94322.14</v>
      </c>
      <c r="H697" s="434">
        <f>IFERROR(__xludf.DUMMYFUNCTION("""COMPUTED_VALUE"""),45621.99861111111)</f>
        <v>45621.99861</v>
      </c>
      <c r="I697" s="433">
        <f>IFERROR(__xludf.DUMMYFUNCTION("""COMPUTED_VALUE"""),3363.3149)</f>
        <v>3363.3149</v>
      </c>
    </row>
    <row r="698">
      <c r="A698" s="434">
        <f>IFERROR(__xludf.DUMMYFUNCTION("""COMPUTED_VALUE"""),43333.99861111111)</f>
        <v>43333.99861</v>
      </c>
      <c r="B698" s="433">
        <f>IFERROR(__xludf.DUMMYFUNCTION("""COMPUTED_VALUE"""),6475.94)</f>
        <v>6475.94</v>
      </c>
      <c r="C698" s="434">
        <f>IFERROR(__xludf.DUMMYFUNCTION("""COMPUTED_VALUE"""),42919.99861111111)</f>
        <v>42919.99861</v>
      </c>
      <c r="D698" s="433">
        <f>IFERROR(__xludf.DUMMYFUNCTION("""COMPUTED_VALUE"""),288.4139)</f>
        <v>288.4139</v>
      </c>
      <c r="F698" s="434">
        <f>IFERROR(__xludf.DUMMYFUNCTION("""COMPUTED_VALUE"""),45623.99861111111)</f>
        <v>45623.99861</v>
      </c>
      <c r="G698" s="433">
        <f>IFERROR(__xludf.DUMMYFUNCTION("""COMPUTED_VALUE"""),92545.14)</f>
        <v>92545.14</v>
      </c>
      <c r="H698" s="434">
        <f>IFERROR(__xludf.DUMMYFUNCTION("""COMPUTED_VALUE"""),45622.99861111111)</f>
        <v>45622.99861</v>
      </c>
      <c r="I698" s="433">
        <f>IFERROR(__xludf.DUMMYFUNCTION("""COMPUTED_VALUE"""),3414.083)</f>
        <v>3414.083</v>
      </c>
    </row>
    <row r="699">
      <c r="A699" s="434">
        <f>IFERROR(__xludf.DUMMYFUNCTION("""COMPUTED_VALUE"""),43334.99861111111)</f>
        <v>43334.99861</v>
      </c>
      <c r="B699" s="433">
        <f>IFERROR(__xludf.DUMMYFUNCTION("""COMPUTED_VALUE"""),6350.39)</f>
        <v>6350.39</v>
      </c>
      <c r="C699" s="434">
        <f>IFERROR(__xludf.DUMMYFUNCTION("""COMPUTED_VALUE"""),42920.99861111111)</f>
        <v>42920.99861</v>
      </c>
      <c r="D699" s="433">
        <f>IFERROR(__xludf.DUMMYFUNCTION("""COMPUTED_VALUE"""),282.1908)</f>
        <v>282.1908</v>
      </c>
      <c r="F699" s="434">
        <f>IFERROR(__xludf.DUMMYFUNCTION("""COMPUTED_VALUE"""),45624.99861111111)</f>
        <v>45624.99861</v>
      </c>
      <c r="G699" s="433">
        <f>IFERROR(__xludf.DUMMYFUNCTION("""COMPUTED_VALUE"""),95797.01)</f>
        <v>95797.01</v>
      </c>
      <c r="H699" s="434">
        <f>IFERROR(__xludf.DUMMYFUNCTION("""COMPUTED_VALUE"""),45623.99861111111)</f>
        <v>45623.99861</v>
      </c>
      <c r="I699" s="433">
        <f>IFERROR(__xludf.DUMMYFUNCTION("""COMPUTED_VALUE"""),3325.0338)</f>
        <v>3325.0338</v>
      </c>
    </row>
    <row r="700">
      <c r="A700" s="434">
        <f>IFERROR(__xludf.DUMMYFUNCTION("""COMPUTED_VALUE"""),43335.99861111111)</f>
        <v>43335.99861</v>
      </c>
      <c r="B700" s="433">
        <f>IFERROR(__xludf.DUMMYFUNCTION("""COMPUTED_VALUE"""),6515.25)</f>
        <v>6515.25</v>
      </c>
      <c r="C700" s="434">
        <f>IFERROR(__xludf.DUMMYFUNCTION("""COMPUTED_VALUE"""),42921.99861111111)</f>
        <v>42921.99861</v>
      </c>
      <c r="D700" s="433">
        <f>IFERROR(__xludf.DUMMYFUNCTION("""COMPUTED_VALUE"""),273.0994)</f>
        <v>273.0994</v>
      </c>
      <c r="F700" s="434">
        <f>IFERROR(__xludf.DUMMYFUNCTION("""COMPUTED_VALUE"""),45625.99861111111)</f>
        <v>45625.99861</v>
      </c>
      <c r="G700" s="433">
        <f>IFERROR(__xludf.DUMMYFUNCTION("""COMPUTED_VALUE"""),96293.35)</f>
        <v>96293.35</v>
      </c>
      <c r="H700" s="434">
        <f>IFERROR(__xludf.DUMMYFUNCTION("""COMPUTED_VALUE"""),45624.99861111111)</f>
        <v>45624.99861</v>
      </c>
      <c r="I700" s="433">
        <f>IFERROR(__xludf.DUMMYFUNCTION("""COMPUTED_VALUE"""),3657.1303)</f>
        <v>3657.1303</v>
      </c>
    </row>
    <row r="701">
      <c r="A701" s="434">
        <f>IFERROR(__xludf.DUMMYFUNCTION("""COMPUTED_VALUE"""),43336.99861111111)</f>
        <v>43336.99861</v>
      </c>
      <c r="B701" s="433">
        <f>IFERROR(__xludf.DUMMYFUNCTION("""COMPUTED_VALUE"""),6692.49)</f>
        <v>6692.49</v>
      </c>
      <c r="C701" s="434">
        <f>IFERROR(__xludf.DUMMYFUNCTION("""COMPUTED_VALUE"""),42922.99861111111)</f>
        <v>42922.99861</v>
      </c>
      <c r="D701" s="433">
        <f>IFERROR(__xludf.DUMMYFUNCTION("""COMPUTED_VALUE"""),268.8579)</f>
        <v>268.8579</v>
      </c>
      <c r="F701" s="434">
        <f>IFERROR(__xludf.DUMMYFUNCTION("""COMPUTED_VALUE"""),45626.99861111111)</f>
        <v>45626.99861</v>
      </c>
      <c r="G701" s="433">
        <f>IFERROR(__xludf.DUMMYFUNCTION("""COMPUTED_VALUE"""),96716.79)</f>
        <v>96716.79</v>
      </c>
      <c r="H701" s="434">
        <f>IFERROR(__xludf.DUMMYFUNCTION("""COMPUTED_VALUE"""),45625.99861111111)</f>
        <v>45625.99861</v>
      </c>
      <c r="I701" s="433">
        <f>IFERROR(__xludf.DUMMYFUNCTION("""COMPUTED_VALUE"""),3579.5484)</f>
        <v>3579.5484</v>
      </c>
    </row>
    <row r="702">
      <c r="A702" s="434">
        <f>IFERROR(__xludf.DUMMYFUNCTION("""COMPUTED_VALUE"""),43337.99861111111)</f>
        <v>43337.99861</v>
      </c>
      <c r="B702" s="433">
        <f>IFERROR(__xludf.DUMMYFUNCTION("""COMPUTED_VALUE"""),6715.17)</f>
        <v>6715.17</v>
      </c>
      <c r="C702" s="434">
        <f>IFERROR(__xludf.DUMMYFUNCTION("""COMPUTED_VALUE"""),42923.99861111111)</f>
        <v>42923.99861</v>
      </c>
      <c r="D702" s="433">
        <f>IFERROR(__xludf.DUMMYFUNCTION("""COMPUTED_VALUE"""),270.3501)</f>
        <v>270.3501</v>
      </c>
      <c r="F702" s="434">
        <f>IFERROR(__xludf.DUMMYFUNCTION("""COMPUTED_VALUE"""),45627.99861111111)</f>
        <v>45627.99861</v>
      </c>
      <c r="G702" s="433">
        <f>IFERROR(__xludf.DUMMYFUNCTION("""COMPUTED_VALUE"""),96490.37)</f>
        <v>96490.37</v>
      </c>
      <c r="H702" s="434">
        <f>IFERROR(__xludf.DUMMYFUNCTION("""COMPUTED_VALUE"""),45626.99861111111)</f>
        <v>45626.99861</v>
      </c>
      <c r="I702" s="433">
        <f>IFERROR(__xludf.DUMMYFUNCTION("""COMPUTED_VALUE"""),3593.658)</f>
        <v>3593.658</v>
      </c>
    </row>
    <row r="703">
      <c r="A703" s="434">
        <f>IFERROR(__xludf.DUMMYFUNCTION("""COMPUTED_VALUE"""),43338.99861111111)</f>
        <v>43338.99861</v>
      </c>
      <c r="B703" s="433">
        <f>IFERROR(__xludf.DUMMYFUNCTION("""COMPUTED_VALUE"""),6699.59)</f>
        <v>6699.59</v>
      </c>
      <c r="C703" s="434">
        <f>IFERROR(__xludf.DUMMYFUNCTION("""COMPUTED_VALUE"""),42924.99861111111)</f>
        <v>42924.99861</v>
      </c>
      <c r="D703" s="433">
        <f>IFERROR(__xludf.DUMMYFUNCTION("""COMPUTED_VALUE"""),245.8897)</f>
        <v>245.8897</v>
      </c>
      <c r="F703" s="434">
        <f>IFERROR(__xludf.DUMMYFUNCTION("""COMPUTED_VALUE"""),45628.99861111111)</f>
        <v>45628.99861</v>
      </c>
      <c r="G703" s="433">
        <f>IFERROR(__xludf.DUMMYFUNCTION("""COMPUTED_VALUE"""),96741.65)</f>
        <v>96741.65</v>
      </c>
      <c r="H703" s="434">
        <f>IFERROR(__xludf.DUMMYFUNCTION("""COMPUTED_VALUE"""),45627.99861111111)</f>
        <v>45627.99861</v>
      </c>
      <c r="I703" s="433">
        <f>IFERROR(__xludf.DUMMYFUNCTION("""COMPUTED_VALUE"""),3705.9706)</f>
        <v>3705.9706</v>
      </c>
    </row>
    <row r="704">
      <c r="A704" s="434">
        <f>IFERROR(__xludf.DUMMYFUNCTION("""COMPUTED_VALUE"""),43339.99861111111)</f>
        <v>43339.99861</v>
      </c>
      <c r="B704" s="433">
        <f>IFERROR(__xludf.DUMMYFUNCTION("""COMPUTED_VALUE"""),6906.46)</f>
        <v>6906.46</v>
      </c>
      <c r="C704" s="434">
        <f>IFERROR(__xludf.DUMMYFUNCTION("""COMPUTED_VALUE"""),42925.99861111111)</f>
        <v>42925.99861</v>
      </c>
      <c r="D704" s="433">
        <f>IFERROR(__xludf.DUMMYFUNCTION("""COMPUTED_VALUE"""),251.822)</f>
        <v>251.822</v>
      </c>
      <c r="F704" s="434">
        <f>IFERROR(__xludf.DUMMYFUNCTION("""COMPUTED_VALUE"""),45629.99861111111)</f>
        <v>45629.99861</v>
      </c>
      <c r="G704" s="433">
        <f>IFERROR(__xludf.DUMMYFUNCTION("""COMPUTED_VALUE"""),95939.93)</f>
        <v>95939.93</v>
      </c>
      <c r="H704" s="434">
        <f>IFERROR(__xludf.DUMMYFUNCTION("""COMPUTED_VALUE"""),45628.99861111111)</f>
        <v>45628.99861</v>
      </c>
      <c r="I704" s="433">
        <f>IFERROR(__xludf.DUMMYFUNCTION("""COMPUTED_VALUE"""),3711.1897)</f>
        <v>3711.1897</v>
      </c>
    </row>
    <row r="705">
      <c r="A705" s="434">
        <f>IFERROR(__xludf.DUMMYFUNCTION("""COMPUTED_VALUE"""),43340.99861111111)</f>
        <v>43340.99861</v>
      </c>
      <c r="B705" s="433">
        <f>IFERROR(__xludf.DUMMYFUNCTION("""COMPUTED_VALUE"""),7075.57)</f>
        <v>7075.57</v>
      </c>
      <c r="C705" s="434">
        <f>IFERROR(__xludf.DUMMYFUNCTION("""COMPUTED_VALUE"""),42926.99861111111)</f>
        <v>42926.99861</v>
      </c>
      <c r="D705" s="433">
        <f>IFERROR(__xludf.DUMMYFUNCTION("""COMPUTED_VALUE"""),243.0108)</f>
        <v>243.0108</v>
      </c>
      <c r="F705" s="434">
        <f>IFERROR(__xludf.DUMMYFUNCTION("""COMPUTED_VALUE"""),45630.99861111111)</f>
        <v>45630.99861</v>
      </c>
      <c r="G705" s="433">
        <f>IFERROR(__xludf.DUMMYFUNCTION("""COMPUTED_VALUE"""),95934.26)</f>
        <v>95934.26</v>
      </c>
      <c r="H705" s="434">
        <f>IFERROR(__xludf.DUMMYFUNCTION("""COMPUTED_VALUE"""),45629.99861111111)</f>
        <v>45629.99861</v>
      </c>
      <c r="I705" s="433">
        <f>IFERROR(__xludf.DUMMYFUNCTION("""COMPUTED_VALUE"""),3644.4668)</f>
        <v>3644.4668</v>
      </c>
    </row>
    <row r="706">
      <c r="A706" s="434">
        <f>IFERROR(__xludf.DUMMYFUNCTION("""COMPUTED_VALUE"""),43341.99861111111)</f>
        <v>43341.99861</v>
      </c>
      <c r="B706" s="433">
        <f>IFERROR(__xludf.DUMMYFUNCTION("""COMPUTED_VALUE"""),7036.0)</f>
        <v>7036</v>
      </c>
      <c r="C706" s="434">
        <f>IFERROR(__xludf.DUMMYFUNCTION("""COMPUTED_VALUE"""),42927.99861111111)</f>
        <v>42927.99861</v>
      </c>
      <c r="D706" s="433">
        <f>IFERROR(__xludf.DUMMYFUNCTION("""COMPUTED_VALUE"""),211.5255)</f>
        <v>211.5255</v>
      </c>
      <c r="F706" s="434">
        <f>IFERROR(__xludf.DUMMYFUNCTION("""COMPUTED_VALUE"""),45631.99861111111)</f>
        <v>45631.99861</v>
      </c>
      <c r="G706" s="433">
        <f>IFERROR(__xludf.DUMMYFUNCTION("""COMPUTED_VALUE"""),103242.7)</f>
        <v>103242.7</v>
      </c>
      <c r="H706" s="434">
        <f>IFERROR(__xludf.DUMMYFUNCTION("""COMPUTED_VALUE"""),45630.99861111111)</f>
        <v>45630.99861</v>
      </c>
      <c r="I706" s="433">
        <f>IFERROR(__xludf.DUMMYFUNCTION("""COMPUTED_VALUE"""),3617.7987)</f>
        <v>3617.7987</v>
      </c>
    </row>
    <row r="707">
      <c r="A707" s="434">
        <f>IFERROR(__xludf.DUMMYFUNCTION("""COMPUTED_VALUE"""),43342.99861111111)</f>
        <v>43342.99861</v>
      </c>
      <c r="B707" s="433">
        <f>IFERROR(__xludf.DUMMYFUNCTION("""COMPUTED_VALUE"""),6985.56)</f>
        <v>6985.56</v>
      </c>
      <c r="C707" s="434">
        <f>IFERROR(__xludf.DUMMYFUNCTION("""COMPUTED_VALUE"""),42928.99861111111)</f>
        <v>42928.99861</v>
      </c>
      <c r="D707" s="433">
        <f>IFERROR(__xludf.DUMMYFUNCTION("""COMPUTED_VALUE"""),197.1524)</f>
        <v>197.1524</v>
      </c>
      <c r="F707" s="434">
        <f>IFERROR(__xludf.DUMMYFUNCTION("""COMPUTED_VALUE"""),45632.99861111111)</f>
        <v>45632.99861</v>
      </c>
      <c r="G707" s="433">
        <f>IFERROR(__xludf.DUMMYFUNCTION("""COMPUTED_VALUE"""),97952.27)</f>
        <v>97952.27</v>
      </c>
      <c r="H707" s="434">
        <f>IFERROR(__xludf.DUMMYFUNCTION("""COMPUTED_VALUE"""),45631.99861111111)</f>
        <v>45631.99861</v>
      </c>
      <c r="I707" s="433">
        <f>IFERROR(__xludf.DUMMYFUNCTION("""COMPUTED_VALUE"""),3843.6627)</f>
        <v>3843.6627</v>
      </c>
    </row>
    <row r="708">
      <c r="A708" s="434">
        <f>IFERROR(__xludf.DUMMYFUNCTION("""COMPUTED_VALUE"""),43343.99861111111)</f>
        <v>43343.99861</v>
      </c>
      <c r="B708" s="433">
        <f>IFERROR(__xludf.DUMMYFUNCTION("""COMPUTED_VALUE"""),7012.26)</f>
        <v>7012.26</v>
      </c>
      <c r="C708" s="434">
        <f>IFERROR(__xludf.DUMMYFUNCTION("""COMPUTED_VALUE"""),42929.99861111111)</f>
        <v>42929.99861</v>
      </c>
      <c r="D708" s="433">
        <f>IFERROR(__xludf.DUMMYFUNCTION("""COMPUTED_VALUE"""),231.812)</f>
        <v>231.812</v>
      </c>
      <c r="F708" s="434">
        <f>IFERROR(__xludf.DUMMYFUNCTION("""COMPUTED_VALUE"""),45633.99861111111)</f>
        <v>45633.99861</v>
      </c>
      <c r="G708" s="433">
        <f>IFERROR(__xludf.DUMMYFUNCTION("""COMPUTED_VALUE"""),99702.98)</f>
        <v>99702.98</v>
      </c>
      <c r="H708" s="434">
        <f>IFERROR(__xludf.DUMMYFUNCTION("""COMPUTED_VALUE"""),45632.99861111111)</f>
        <v>45632.99861</v>
      </c>
      <c r="I708" s="433">
        <f>IFERROR(__xludf.DUMMYFUNCTION("""COMPUTED_VALUE"""),3790.0962)</f>
        <v>3790.0962</v>
      </c>
    </row>
    <row r="709">
      <c r="A709" s="434">
        <f>IFERROR(__xludf.DUMMYFUNCTION("""COMPUTED_VALUE"""),43344.99861111111)</f>
        <v>43344.99861</v>
      </c>
      <c r="B709" s="433">
        <f>IFERROR(__xludf.DUMMYFUNCTION("""COMPUTED_VALUE"""),7193.82)</f>
        <v>7193.82</v>
      </c>
      <c r="C709" s="434">
        <f>IFERROR(__xludf.DUMMYFUNCTION("""COMPUTED_VALUE"""),42930.99861111111)</f>
        <v>42930.99861</v>
      </c>
      <c r="D709" s="433">
        <f>IFERROR(__xludf.DUMMYFUNCTION("""COMPUTED_VALUE"""),209.5289)</f>
        <v>209.5289</v>
      </c>
      <c r="F709" s="434">
        <f>IFERROR(__xludf.DUMMYFUNCTION("""COMPUTED_VALUE"""),45634.99861111111)</f>
        <v>45634.99861</v>
      </c>
      <c r="G709" s="433">
        <f>IFERROR(__xludf.DUMMYFUNCTION("""COMPUTED_VALUE"""),99819.01)</f>
        <v>99819.01</v>
      </c>
      <c r="H709" s="434">
        <f>IFERROR(__xludf.DUMMYFUNCTION("""COMPUTED_VALUE"""),45633.99861111111)</f>
        <v>45633.99861</v>
      </c>
      <c r="I709" s="433">
        <f>IFERROR(__xludf.DUMMYFUNCTION("""COMPUTED_VALUE"""),4005.5017)</f>
        <v>4005.5017</v>
      </c>
    </row>
    <row r="710">
      <c r="A710" s="434">
        <f>IFERROR(__xludf.DUMMYFUNCTION("""COMPUTED_VALUE"""),43345.99861111111)</f>
        <v>43345.99861</v>
      </c>
      <c r="B710" s="433">
        <f>IFERROR(__xludf.DUMMYFUNCTION("""COMPUTED_VALUE"""),7297.35)</f>
        <v>7297.35</v>
      </c>
      <c r="C710" s="434">
        <f>IFERROR(__xludf.DUMMYFUNCTION("""COMPUTED_VALUE"""),42931.99861111111)</f>
        <v>42931.99861</v>
      </c>
      <c r="D710" s="433">
        <f>IFERROR(__xludf.DUMMYFUNCTION("""COMPUTED_VALUE"""),199.7092)</f>
        <v>199.7092</v>
      </c>
      <c r="F710" s="434">
        <f>IFERROR(__xludf.DUMMYFUNCTION("""COMPUTED_VALUE"""),45635.99861111111)</f>
        <v>45635.99861</v>
      </c>
      <c r="G710" s="433">
        <f>IFERROR(__xludf.DUMMYFUNCTION("""COMPUTED_VALUE"""),99438.46)</f>
        <v>99438.46</v>
      </c>
      <c r="H710" s="434">
        <f>IFERROR(__xludf.DUMMYFUNCTION("""COMPUTED_VALUE"""),45634.99861111111)</f>
        <v>45634.99861</v>
      </c>
      <c r="I710" s="433">
        <f>IFERROR(__xludf.DUMMYFUNCTION("""COMPUTED_VALUE"""),3999.676)</f>
        <v>3999.676</v>
      </c>
    </row>
    <row r="711">
      <c r="A711" s="434">
        <f>IFERROR(__xludf.DUMMYFUNCTION("""COMPUTED_VALUE"""),43346.99861111111)</f>
        <v>43346.99861</v>
      </c>
      <c r="B711" s="433">
        <f>IFERROR(__xludf.DUMMYFUNCTION("""COMPUTED_VALUE"""),7262.03)</f>
        <v>7262.03</v>
      </c>
      <c r="C711" s="434">
        <f>IFERROR(__xludf.DUMMYFUNCTION("""COMPUTED_VALUE"""),42932.99861111111)</f>
        <v>42932.99861</v>
      </c>
      <c r="D711" s="433">
        <f>IFERROR(__xludf.DUMMYFUNCTION("""COMPUTED_VALUE"""),169.574)</f>
        <v>169.574</v>
      </c>
      <c r="F711" s="434">
        <f>IFERROR(__xludf.DUMMYFUNCTION("""COMPUTED_VALUE"""),45636.99861111111)</f>
        <v>45636.99861</v>
      </c>
      <c r="G711" s="433">
        <f>IFERROR(__xludf.DUMMYFUNCTION("""COMPUTED_VALUE"""),97077.3)</f>
        <v>97077.3</v>
      </c>
      <c r="H711" s="434">
        <f>IFERROR(__xludf.DUMMYFUNCTION("""COMPUTED_VALUE"""),45635.99861111111)</f>
        <v>45635.99861</v>
      </c>
      <c r="I711" s="433">
        <f>IFERROR(__xludf.DUMMYFUNCTION("""COMPUTED_VALUE"""),4007.8671)</f>
        <v>4007.8671</v>
      </c>
    </row>
    <row r="712">
      <c r="A712" s="434">
        <f>IFERROR(__xludf.DUMMYFUNCTION("""COMPUTED_VALUE"""),43347.99861111111)</f>
        <v>43347.99861</v>
      </c>
      <c r="B712" s="433">
        <f>IFERROR(__xludf.DUMMYFUNCTION("""COMPUTED_VALUE"""),7358.54)</f>
        <v>7358.54</v>
      </c>
      <c r="C712" s="434">
        <f>IFERROR(__xludf.DUMMYFUNCTION("""COMPUTED_VALUE"""),42933.99861111111)</f>
        <v>42933.99861</v>
      </c>
      <c r="D712" s="433">
        <f>IFERROR(__xludf.DUMMYFUNCTION("""COMPUTED_VALUE"""),159.9911)</f>
        <v>159.9911</v>
      </c>
      <c r="F712" s="434">
        <f>IFERROR(__xludf.DUMMYFUNCTION("""COMPUTED_VALUE"""),45637.99861111111)</f>
        <v>45637.99861</v>
      </c>
      <c r="G712" s="433">
        <f>IFERROR(__xludf.DUMMYFUNCTION("""COMPUTED_VALUE"""),97601.6)</f>
        <v>97601.6</v>
      </c>
      <c r="H712" s="434">
        <f>IFERROR(__xludf.DUMMYFUNCTION("""COMPUTED_VALUE"""),45636.99861111111)</f>
        <v>45636.99861</v>
      </c>
      <c r="I712" s="433">
        <f>IFERROR(__xludf.DUMMYFUNCTION("""COMPUTED_VALUE"""),3717.0934)</f>
        <v>3717.0934</v>
      </c>
    </row>
    <row r="713">
      <c r="A713" s="434">
        <f>IFERROR(__xludf.DUMMYFUNCTION("""COMPUTED_VALUE"""),43348.99861111111)</f>
        <v>43348.99861</v>
      </c>
      <c r="B713" s="433">
        <f>IFERROR(__xludf.DUMMYFUNCTION("""COMPUTED_VALUE"""),6723.36)</f>
        <v>6723.36</v>
      </c>
      <c r="C713" s="434">
        <f>IFERROR(__xludf.DUMMYFUNCTION("""COMPUTED_VALUE"""),42934.99861111111)</f>
        <v>42934.99861</v>
      </c>
      <c r="D713" s="433">
        <f>IFERROR(__xludf.DUMMYFUNCTION("""COMPUTED_VALUE"""),195.0275)</f>
        <v>195.0275</v>
      </c>
      <c r="F713" s="434">
        <f>IFERROR(__xludf.DUMMYFUNCTION("""COMPUTED_VALUE"""),45638.99861111111)</f>
        <v>45638.99861</v>
      </c>
      <c r="G713" s="433">
        <f>IFERROR(__xludf.DUMMYFUNCTION("""COMPUTED_VALUE"""),100697.2)</f>
        <v>100697.2</v>
      </c>
      <c r="H713" s="434">
        <f>IFERROR(__xludf.DUMMYFUNCTION("""COMPUTED_VALUE"""),45637.99861111111)</f>
        <v>45637.99861</v>
      </c>
      <c r="I713" s="433">
        <f>IFERROR(__xludf.DUMMYFUNCTION("""COMPUTED_VALUE"""),3631.2351)</f>
        <v>3631.2351</v>
      </c>
    </row>
    <row r="714">
      <c r="A714" s="434">
        <f>IFERROR(__xludf.DUMMYFUNCTION("""COMPUTED_VALUE"""),43349.99861111111)</f>
        <v>43349.99861</v>
      </c>
      <c r="B714" s="433">
        <f>IFERROR(__xludf.DUMMYFUNCTION("""COMPUTED_VALUE"""),6493.98)</f>
        <v>6493.98</v>
      </c>
      <c r="C714" s="434">
        <f>IFERROR(__xludf.DUMMYFUNCTION("""COMPUTED_VALUE"""),42935.99861111111)</f>
        <v>42935.99861</v>
      </c>
      <c r="D714" s="433">
        <f>IFERROR(__xludf.DUMMYFUNCTION("""COMPUTED_VALUE"""),234.9411)</f>
        <v>234.9411</v>
      </c>
      <c r="F714" s="434">
        <f>IFERROR(__xludf.DUMMYFUNCTION("""COMPUTED_VALUE"""),45639.99861111111)</f>
        <v>45639.99861</v>
      </c>
      <c r="G714" s="433">
        <f>IFERROR(__xludf.DUMMYFUNCTION("""COMPUTED_VALUE"""),99999.12)</f>
        <v>99999.12</v>
      </c>
      <c r="H714" s="434">
        <f>IFERROR(__xludf.DUMMYFUNCTION("""COMPUTED_VALUE"""),45638.99861111111)</f>
        <v>45638.99861</v>
      </c>
      <c r="I714" s="433">
        <f>IFERROR(__xludf.DUMMYFUNCTION("""COMPUTED_VALUE"""),3834.0435)</f>
        <v>3834.0435</v>
      </c>
    </row>
    <row r="715">
      <c r="A715" s="434">
        <f>IFERROR(__xludf.DUMMYFUNCTION("""COMPUTED_VALUE"""),43350.99861111111)</f>
        <v>43350.99861</v>
      </c>
      <c r="B715" s="433">
        <f>IFERROR(__xludf.DUMMYFUNCTION("""COMPUTED_VALUE"""),6414.06)</f>
        <v>6414.06</v>
      </c>
      <c r="C715" s="434">
        <f>IFERROR(__xludf.DUMMYFUNCTION("""COMPUTED_VALUE"""),42936.99861111111)</f>
        <v>42936.99861</v>
      </c>
      <c r="D715" s="433">
        <f>IFERROR(__xludf.DUMMYFUNCTION("""COMPUTED_VALUE"""),205.4222)</f>
        <v>205.4222</v>
      </c>
      <c r="F715" s="434">
        <f>IFERROR(__xludf.DUMMYFUNCTION("""COMPUTED_VALUE"""),45640.99861111111)</f>
        <v>45640.99861</v>
      </c>
      <c r="G715" s="433">
        <f>IFERROR(__xludf.DUMMYFUNCTION("""COMPUTED_VALUE"""),101680.9)</f>
        <v>101680.9</v>
      </c>
      <c r="H715" s="434">
        <f>IFERROR(__xludf.DUMMYFUNCTION("""COMPUTED_VALUE"""),45639.99861111111)</f>
        <v>45639.99861</v>
      </c>
      <c r="I715" s="433">
        <f>IFERROR(__xludf.DUMMYFUNCTION("""COMPUTED_VALUE"""),3882.3281)</f>
        <v>3882.3281</v>
      </c>
    </row>
    <row r="716">
      <c r="A716" s="434">
        <f>IFERROR(__xludf.DUMMYFUNCTION("""COMPUTED_VALUE"""),43351.99861111111)</f>
        <v>43351.99861</v>
      </c>
      <c r="B716" s="433">
        <f>IFERROR(__xludf.DUMMYFUNCTION("""COMPUTED_VALUE"""),6184.05)</f>
        <v>6184.05</v>
      </c>
      <c r="C716" s="434">
        <f>IFERROR(__xludf.DUMMYFUNCTION("""COMPUTED_VALUE"""),42937.99861111111)</f>
        <v>42937.99861</v>
      </c>
      <c r="D716" s="433">
        <f>IFERROR(__xludf.DUMMYFUNCTION("""COMPUTED_VALUE"""),226.0606)</f>
        <v>226.0606</v>
      </c>
      <c r="F716" s="434">
        <f>IFERROR(__xludf.DUMMYFUNCTION("""COMPUTED_VALUE"""),45641.99861111111)</f>
        <v>45641.99861</v>
      </c>
      <c r="G716" s="433">
        <f>IFERROR(__xludf.DUMMYFUNCTION("""COMPUTED_VALUE"""),102259.9)</f>
        <v>102259.9</v>
      </c>
      <c r="H716" s="434">
        <f>IFERROR(__xludf.DUMMYFUNCTION("""COMPUTED_VALUE"""),45640.99861111111)</f>
        <v>45640.99861</v>
      </c>
      <c r="I716" s="433">
        <f>IFERROR(__xludf.DUMMYFUNCTION("""COMPUTED_VALUE"""),3906.9642)</f>
        <v>3906.9642</v>
      </c>
    </row>
    <row r="717">
      <c r="A717" s="434">
        <f>IFERROR(__xludf.DUMMYFUNCTION("""COMPUTED_VALUE"""),43352.99861111111)</f>
        <v>43352.99861</v>
      </c>
      <c r="B717" s="433">
        <f>IFERROR(__xludf.DUMMYFUNCTION("""COMPUTED_VALUE"""),6239.63)</f>
        <v>6239.63</v>
      </c>
      <c r="C717" s="434">
        <f>IFERROR(__xludf.DUMMYFUNCTION("""COMPUTED_VALUE"""),42938.99861111111)</f>
        <v>42938.99861</v>
      </c>
      <c r="D717" s="433">
        <f>IFERROR(__xludf.DUMMYFUNCTION("""COMPUTED_VALUE"""),217.8595)</f>
        <v>217.8595</v>
      </c>
      <c r="F717" s="434">
        <f>IFERROR(__xludf.DUMMYFUNCTION("""COMPUTED_VALUE"""),45642.99861111111)</f>
        <v>45642.99861</v>
      </c>
      <c r="G717" s="433">
        <f>IFERROR(__xludf.DUMMYFUNCTION("""COMPUTED_VALUE"""),104572.1)</f>
        <v>104572.1</v>
      </c>
      <c r="H717" s="434">
        <f>IFERROR(__xludf.DUMMYFUNCTION("""COMPUTED_VALUE"""),45641.99861111111)</f>
        <v>45641.99861</v>
      </c>
      <c r="I717" s="433">
        <f>IFERROR(__xludf.DUMMYFUNCTION("""COMPUTED_VALUE"""),3869.1787)</f>
        <v>3869.1787</v>
      </c>
    </row>
    <row r="718">
      <c r="A718" s="434">
        <f>IFERROR(__xludf.DUMMYFUNCTION("""COMPUTED_VALUE"""),43353.99861111111)</f>
        <v>43353.99861</v>
      </c>
      <c r="B718" s="433">
        <f>IFERROR(__xludf.DUMMYFUNCTION("""COMPUTED_VALUE"""),6309.37)</f>
        <v>6309.37</v>
      </c>
      <c r="C718" s="434">
        <f>IFERROR(__xludf.DUMMYFUNCTION("""COMPUTED_VALUE"""),42939.99861111111)</f>
        <v>42939.99861</v>
      </c>
      <c r="D718" s="433">
        <f>IFERROR(__xludf.DUMMYFUNCTION("""COMPUTED_VALUE"""),229.1232)</f>
        <v>229.1232</v>
      </c>
      <c r="F718" s="434">
        <f>IFERROR(__xludf.DUMMYFUNCTION("""COMPUTED_VALUE"""),45643.99861111111)</f>
        <v>45643.99861</v>
      </c>
      <c r="G718" s="433">
        <f>IFERROR(__xludf.DUMMYFUNCTION("""COMPUTED_VALUE"""),106490.1)</f>
        <v>106490.1</v>
      </c>
      <c r="H718" s="434">
        <f>IFERROR(__xludf.DUMMYFUNCTION("""COMPUTED_VALUE"""),45642.99861111111)</f>
        <v>45642.99861</v>
      </c>
      <c r="I718" s="433">
        <f>IFERROR(__xludf.DUMMYFUNCTION("""COMPUTED_VALUE"""),3957.4526)</f>
        <v>3957.4526</v>
      </c>
    </row>
    <row r="719">
      <c r="A719" s="434">
        <f>IFERROR(__xludf.DUMMYFUNCTION("""COMPUTED_VALUE"""),43354.99861111111)</f>
        <v>43354.99861</v>
      </c>
      <c r="B719" s="433">
        <f>IFERROR(__xludf.DUMMYFUNCTION("""COMPUTED_VALUE"""),6290.01)</f>
        <v>6290.01</v>
      </c>
      <c r="C719" s="434">
        <f>IFERROR(__xludf.DUMMYFUNCTION("""COMPUTED_VALUE"""),42940.99861111111)</f>
        <v>42940.99861</v>
      </c>
      <c r="D719" s="433">
        <f>IFERROR(__xludf.DUMMYFUNCTION("""COMPUTED_VALUE"""),226.2852)</f>
        <v>226.2852</v>
      </c>
      <c r="F719" s="434">
        <f>IFERROR(__xludf.DUMMYFUNCTION("""COMPUTED_VALUE"""),45644.99861111111)</f>
        <v>45644.99861</v>
      </c>
      <c r="G719" s="433">
        <f>IFERROR(__xludf.DUMMYFUNCTION("""COMPUTED_VALUE"""),103848.1)</f>
        <v>103848.1</v>
      </c>
      <c r="H719" s="434">
        <f>IFERROR(__xludf.DUMMYFUNCTION("""COMPUTED_VALUE"""),45643.99861111111)</f>
        <v>45643.99861</v>
      </c>
      <c r="I719" s="433">
        <f>IFERROR(__xludf.DUMMYFUNCTION("""COMPUTED_VALUE"""),3986.8679)</f>
        <v>3986.8679</v>
      </c>
    </row>
    <row r="720">
      <c r="A720" s="434">
        <f>IFERROR(__xludf.DUMMYFUNCTION("""COMPUTED_VALUE"""),43355.99861111111)</f>
        <v>43355.99861</v>
      </c>
      <c r="B720" s="433">
        <f>IFERROR(__xludf.DUMMYFUNCTION("""COMPUTED_VALUE"""),6330.41)</f>
        <v>6330.41</v>
      </c>
      <c r="C720" s="434">
        <f>IFERROR(__xludf.DUMMYFUNCTION("""COMPUTED_VALUE"""),42941.99861111111)</f>
        <v>42941.99861</v>
      </c>
      <c r="D720" s="433">
        <f>IFERROR(__xludf.DUMMYFUNCTION("""COMPUTED_VALUE"""),224.711)</f>
        <v>224.711</v>
      </c>
      <c r="F720" s="434">
        <f>IFERROR(__xludf.DUMMYFUNCTION("""COMPUTED_VALUE"""),45645.99861111111)</f>
        <v>45645.99861</v>
      </c>
      <c r="G720" s="433">
        <f>IFERROR(__xludf.DUMMYFUNCTION("""COMPUTED_VALUE"""),100646.2)</f>
        <v>100646.2</v>
      </c>
      <c r="H720" s="434">
        <f>IFERROR(__xludf.DUMMYFUNCTION("""COMPUTED_VALUE"""),45644.99861111111)</f>
        <v>45644.99861</v>
      </c>
      <c r="I720" s="433">
        <f>IFERROR(__xludf.DUMMYFUNCTION("""COMPUTED_VALUE"""),3893.4315)</f>
        <v>3893.4315</v>
      </c>
    </row>
    <row r="721">
      <c r="A721" s="434">
        <f>IFERROR(__xludf.DUMMYFUNCTION("""COMPUTED_VALUE"""),43356.99861111111)</f>
        <v>43356.99861</v>
      </c>
      <c r="B721" s="433">
        <f>IFERROR(__xludf.DUMMYFUNCTION("""COMPUTED_VALUE"""),6484.96)</f>
        <v>6484.96</v>
      </c>
      <c r="C721" s="434">
        <f>IFERROR(__xludf.DUMMYFUNCTION("""COMPUTED_VALUE"""),42942.99861111111)</f>
        <v>42942.99861</v>
      </c>
      <c r="D721" s="433">
        <f>IFERROR(__xludf.DUMMYFUNCTION("""COMPUTED_VALUE"""),207.0856)</f>
        <v>207.0856</v>
      </c>
      <c r="F721" s="434">
        <f>IFERROR(__xludf.DUMMYFUNCTION("""COMPUTED_VALUE"""),45646.99861111111)</f>
        <v>45646.99861</v>
      </c>
      <c r="G721" s="433">
        <f>IFERROR(__xludf.DUMMYFUNCTION("""COMPUTED_VALUE"""),97334.15)</f>
        <v>97334.15</v>
      </c>
      <c r="H721" s="434">
        <f>IFERROR(__xludf.DUMMYFUNCTION("""COMPUTED_VALUE"""),45645.99861111111)</f>
        <v>45645.99861</v>
      </c>
      <c r="I721" s="433">
        <f>IFERROR(__xludf.DUMMYFUNCTION("""COMPUTED_VALUE"""),3625.532)</f>
        <v>3625.532</v>
      </c>
    </row>
    <row r="722">
      <c r="A722" s="434">
        <f>IFERROR(__xludf.DUMMYFUNCTION("""COMPUTED_VALUE"""),43357.99861111111)</f>
        <v>43357.99861</v>
      </c>
      <c r="B722" s="433">
        <f>IFERROR(__xludf.DUMMYFUNCTION("""COMPUTED_VALUE"""),6488.08)</f>
        <v>6488.08</v>
      </c>
      <c r="C722" s="434">
        <f>IFERROR(__xludf.DUMMYFUNCTION("""COMPUTED_VALUE"""),42943.99861111111)</f>
        <v>42943.99861</v>
      </c>
      <c r="D722" s="433">
        <f>IFERROR(__xludf.DUMMYFUNCTION("""COMPUTED_VALUE"""),204.8558)</f>
        <v>204.8558</v>
      </c>
      <c r="F722" s="434">
        <f>IFERROR(__xludf.DUMMYFUNCTION("""COMPUTED_VALUE"""),45647.99861111111)</f>
        <v>45647.99861</v>
      </c>
      <c r="G722" s="433">
        <f>IFERROR(__xludf.DUMMYFUNCTION("""COMPUTED_VALUE"""),97623.92)</f>
        <v>97623.92</v>
      </c>
      <c r="H722" s="434">
        <f>IFERROR(__xludf.DUMMYFUNCTION("""COMPUTED_VALUE"""),45646.99861111111)</f>
        <v>45646.99861</v>
      </c>
      <c r="I722" s="433">
        <f>IFERROR(__xludf.DUMMYFUNCTION("""COMPUTED_VALUE"""),3415.0099)</f>
        <v>3415.0099</v>
      </c>
    </row>
    <row r="723">
      <c r="A723" s="434">
        <f>IFERROR(__xludf.DUMMYFUNCTION("""COMPUTED_VALUE"""),43358.99861111111)</f>
        <v>43358.99861</v>
      </c>
      <c r="B723" s="433">
        <f>IFERROR(__xludf.DUMMYFUNCTION("""COMPUTED_VALUE"""),6519.52)</f>
        <v>6519.52</v>
      </c>
      <c r="C723" s="434">
        <f>IFERROR(__xludf.DUMMYFUNCTION("""COMPUTED_VALUE"""),42944.99861111111)</f>
        <v>42944.99861</v>
      </c>
      <c r="D723" s="433">
        <f>IFERROR(__xludf.DUMMYFUNCTION("""COMPUTED_VALUE"""),204.3248)</f>
        <v>204.3248</v>
      </c>
      <c r="F723" s="434">
        <f>IFERROR(__xludf.DUMMYFUNCTION("""COMPUTED_VALUE"""),45648.99861111111)</f>
        <v>45648.99861</v>
      </c>
      <c r="G723" s="433">
        <f>IFERROR(__xludf.DUMMYFUNCTION("""COMPUTED_VALUE"""),96193.61)</f>
        <v>96193.61</v>
      </c>
      <c r="H723" s="434">
        <f>IFERROR(__xludf.DUMMYFUNCTION("""COMPUTED_VALUE"""),45647.99861111111)</f>
        <v>45647.99861</v>
      </c>
      <c r="I723" s="433">
        <f>IFERROR(__xludf.DUMMYFUNCTION("""COMPUTED_VALUE"""),3471.8505)</f>
        <v>3471.8505</v>
      </c>
    </row>
    <row r="724">
      <c r="A724" s="434">
        <f>IFERROR(__xludf.DUMMYFUNCTION("""COMPUTED_VALUE"""),43359.99861111111)</f>
        <v>43359.99861</v>
      </c>
      <c r="B724" s="433">
        <f>IFERROR(__xludf.DUMMYFUNCTION("""COMPUTED_VALUE"""),6501.13)</f>
        <v>6501.13</v>
      </c>
      <c r="C724" s="434">
        <f>IFERROR(__xludf.DUMMYFUNCTION("""COMPUTED_VALUE"""),42945.99861111111)</f>
        <v>42945.99861</v>
      </c>
      <c r="D724" s="433">
        <f>IFERROR(__xludf.DUMMYFUNCTION("""COMPUTED_VALUE"""),193.3409)</f>
        <v>193.3409</v>
      </c>
      <c r="F724" s="434">
        <f>IFERROR(__xludf.DUMMYFUNCTION("""COMPUTED_VALUE"""),45649.99861111111)</f>
        <v>45649.99861</v>
      </c>
      <c r="G724" s="433">
        <f>IFERROR(__xludf.DUMMYFUNCTION("""COMPUTED_VALUE"""),95786.72)</f>
        <v>95786.72</v>
      </c>
      <c r="H724" s="434">
        <f>IFERROR(__xludf.DUMMYFUNCTION("""COMPUTED_VALUE"""),45648.99861111111)</f>
        <v>45648.99861</v>
      </c>
      <c r="I724" s="433">
        <f>IFERROR(__xludf.DUMMYFUNCTION("""COMPUTED_VALUE"""),3336.5769)</f>
        <v>3336.5769</v>
      </c>
    </row>
    <row r="725">
      <c r="A725" s="434">
        <f>IFERROR(__xludf.DUMMYFUNCTION("""COMPUTED_VALUE"""),43360.99861111111)</f>
        <v>43360.99861</v>
      </c>
      <c r="B725" s="433">
        <f>IFERROR(__xludf.DUMMYFUNCTION("""COMPUTED_VALUE"""),6252.05)</f>
        <v>6252.05</v>
      </c>
      <c r="C725" s="434">
        <f>IFERROR(__xludf.DUMMYFUNCTION("""COMPUTED_VALUE"""),42946.99861111111)</f>
        <v>42946.99861</v>
      </c>
      <c r="D725" s="433">
        <f>IFERROR(__xludf.DUMMYFUNCTION("""COMPUTED_VALUE"""),206.7355)</f>
        <v>206.7355</v>
      </c>
      <c r="F725" s="434">
        <f>IFERROR(__xludf.DUMMYFUNCTION("""COMPUTED_VALUE"""),45650.99861111111)</f>
        <v>45650.99861</v>
      </c>
      <c r="G725" s="433">
        <f>IFERROR(__xludf.DUMMYFUNCTION("""COMPUTED_VALUE"""),94287.05)</f>
        <v>94287.05</v>
      </c>
      <c r="H725" s="434">
        <f>IFERROR(__xludf.DUMMYFUNCTION("""COMPUTED_VALUE"""),45649.99861111111)</f>
        <v>45649.99861</v>
      </c>
      <c r="I725" s="433">
        <f>IFERROR(__xludf.DUMMYFUNCTION("""COMPUTED_VALUE"""),3277.9072)</f>
        <v>3277.9072</v>
      </c>
    </row>
    <row r="726">
      <c r="A726" s="434">
        <f>IFERROR(__xludf.DUMMYFUNCTION("""COMPUTED_VALUE"""),43361.99861111111)</f>
        <v>43361.99861</v>
      </c>
      <c r="B726" s="433">
        <f>IFERROR(__xludf.DUMMYFUNCTION("""COMPUTED_VALUE"""),6351.71)</f>
        <v>6351.71</v>
      </c>
      <c r="C726" s="434">
        <f>IFERROR(__xludf.DUMMYFUNCTION("""COMPUTED_VALUE"""),42947.99861111111)</f>
        <v>42947.99861</v>
      </c>
      <c r="D726" s="433">
        <f>IFERROR(__xludf.DUMMYFUNCTION("""COMPUTED_VALUE"""),197.4054)</f>
        <v>197.4054</v>
      </c>
      <c r="F726" s="434">
        <f>IFERROR(__xludf.DUMMYFUNCTION("""COMPUTED_VALUE"""),45651.99861111111)</f>
        <v>45651.99861</v>
      </c>
      <c r="G726" s="433">
        <f>IFERROR(__xludf.DUMMYFUNCTION("""COMPUTED_VALUE"""),98209.62)</f>
        <v>98209.62</v>
      </c>
      <c r="H726" s="434">
        <f>IFERROR(__xludf.DUMMYFUNCTION("""COMPUTED_VALUE"""),45650.99861111111)</f>
        <v>45650.99861</v>
      </c>
      <c r="I726" s="433">
        <f>IFERROR(__xludf.DUMMYFUNCTION("""COMPUTED_VALUE"""),3418.1919)</f>
        <v>3418.1919</v>
      </c>
    </row>
    <row r="727">
      <c r="A727" s="434">
        <f>IFERROR(__xludf.DUMMYFUNCTION("""COMPUTED_VALUE"""),43362.99861111111)</f>
        <v>43362.99861</v>
      </c>
      <c r="B727" s="433">
        <f>IFERROR(__xludf.DUMMYFUNCTION("""COMPUTED_VALUE"""),6390.73)</f>
        <v>6390.73</v>
      </c>
      <c r="C727" s="434">
        <f>IFERROR(__xludf.DUMMYFUNCTION("""COMPUTED_VALUE"""),42948.99861111111)</f>
        <v>42948.99861</v>
      </c>
      <c r="D727" s="433">
        <f>IFERROR(__xludf.DUMMYFUNCTION("""COMPUTED_VALUE"""),204.6879)</f>
        <v>204.6879</v>
      </c>
      <c r="F727" s="434">
        <f>IFERROR(__xludf.DUMMYFUNCTION("""COMPUTED_VALUE"""),45652.99861111111)</f>
        <v>45652.99861</v>
      </c>
      <c r="G727" s="433">
        <f>IFERROR(__xludf.DUMMYFUNCTION("""COMPUTED_VALUE"""),98294.12)</f>
        <v>98294.12</v>
      </c>
      <c r="H727" s="434">
        <f>IFERROR(__xludf.DUMMYFUNCTION("""COMPUTED_VALUE"""),45651.99861111111)</f>
        <v>45651.99861</v>
      </c>
      <c r="I727" s="433">
        <f>IFERROR(__xludf.DUMMYFUNCTION("""COMPUTED_VALUE"""),3491.3052)</f>
        <v>3491.3052</v>
      </c>
    </row>
    <row r="728">
      <c r="A728" s="434">
        <f>IFERROR(__xludf.DUMMYFUNCTION("""COMPUTED_VALUE"""),43363.99861111111)</f>
        <v>43363.99861</v>
      </c>
      <c r="B728" s="433">
        <f>IFERROR(__xludf.DUMMYFUNCTION("""COMPUTED_VALUE"""),6494.14)</f>
        <v>6494.14</v>
      </c>
      <c r="C728" s="434">
        <f>IFERROR(__xludf.DUMMYFUNCTION("""COMPUTED_VALUE"""),42949.99861111111)</f>
        <v>42949.99861</v>
      </c>
      <c r="D728" s="433">
        <f>IFERROR(__xludf.DUMMYFUNCTION("""COMPUTED_VALUE"""),226.9548)</f>
        <v>226.9548</v>
      </c>
      <c r="F728" s="434">
        <f>IFERROR(__xludf.DUMMYFUNCTION("""COMPUTED_VALUE"""),45653.99861111111)</f>
        <v>45653.99861</v>
      </c>
      <c r="G728" s="433">
        <f>IFERROR(__xludf.DUMMYFUNCTION("""COMPUTED_VALUE"""),96209.8)</f>
        <v>96209.8</v>
      </c>
      <c r="H728" s="434">
        <f>IFERROR(__xludf.DUMMYFUNCTION("""COMPUTED_VALUE"""),45652.99861111111)</f>
        <v>45652.99861</v>
      </c>
      <c r="I728" s="433">
        <f>IFERROR(__xludf.DUMMYFUNCTION("""COMPUTED_VALUE"""),3494.5891)</f>
        <v>3494.5891</v>
      </c>
    </row>
    <row r="729">
      <c r="A729" s="434">
        <f>IFERROR(__xludf.DUMMYFUNCTION("""COMPUTED_VALUE"""),43364.99861111111)</f>
        <v>43364.99861</v>
      </c>
      <c r="B729" s="433">
        <f>IFERROR(__xludf.DUMMYFUNCTION("""COMPUTED_VALUE"""),6755.04)</f>
        <v>6755.04</v>
      </c>
      <c r="C729" s="434">
        <f>IFERROR(__xludf.DUMMYFUNCTION("""COMPUTED_VALUE"""),42950.99861111111)</f>
        <v>42950.99861</v>
      </c>
      <c r="D729" s="433">
        <f>IFERROR(__xludf.DUMMYFUNCTION("""COMPUTED_VALUE"""),220.1796)</f>
        <v>220.1796</v>
      </c>
      <c r="F729" s="434">
        <f>IFERROR(__xludf.DUMMYFUNCTION("""COMPUTED_VALUE"""),45654.99861111111)</f>
        <v>45654.99861</v>
      </c>
      <c r="G729" s="433">
        <f>IFERROR(__xludf.DUMMYFUNCTION("""COMPUTED_VALUE"""),94449.97)</f>
        <v>94449.97</v>
      </c>
      <c r="H729" s="434">
        <f>IFERROR(__xludf.DUMMYFUNCTION("""COMPUTED_VALUE"""),45653.99861111111)</f>
        <v>45653.99861</v>
      </c>
      <c r="I729" s="433">
        <f>IFERROR(__xludf.DUMMYFUNCTION("""COMPUTED_VALUE"""),3330.8168)</f>
        <v>3330.8168</v>
      </c>
    </row>
    <row r="730">
      <c r="A730" s="434">
        <f>IFERROR(__xludf.DUMMYFUNCTION("""COMPUTED_VALUE"""),43365.99861111111)</f>
        <v>43365.99861</v>
      </c>
      <c r="B730" s="433">
        <f>IFERROR(__xludf.DUMMYFUNCTION("""COMPUTED_VALUE"""),6717.5)</f>
        <v>6717.5</v>
      </c>
      <c r="C730" s="434">
        <f>IFERROR(__xludf.DUMMYFUNCTION("""COMPUTED_VALUE"""),42951.99861111111)</f>
        <v>42951.99861</v>
      </c>
      <c r="D730" s="433">
        <f>IFERROR(__xludf.DUMMYFUNCTION("""COMPUTED_VALUE"""),225.3083)</f>
        <v>225.3083</v>
      </c>
      <c r="F730" s="434">
        <f>IFERROR(__xludf.DUMMYFUNCTION("""COMPUTED_VALUE"""),45655.99861111111)</f>
        <v>45655.99861</v>
      </c>
      <c r="G730" s="433">
        <f>IFERROR(__xludf.DUMMYFUNCTION("""COMPUTED_VALUE"""),94996.09)</f>
        <v>94996.09</v>
      </c>
      <c r="H730" s="434">
        <f>IFERROR(__xludf.DUMMYFUNCTION("""COMPUTED_VALUE"""),45654.99861111111)</f>
        <v>45654.99861</v>
      </c>
      <c r="I730" s="433">
        <f>IFERROR(__xludf.DUMMYFUNCTION("""COMPUTED_VALUE"""),3328.3151)</f>
        <v>3328.3151</v>
      </c>
    </row>
    <row r="731">
      <c r="A731" s="434">
        <f>IFERROR(__xludf.DUMMYFUNCTION("""COMPUTED_VALUE"""),43366.99861111111)</f>
        <v>43366.99861</v>
      </c>
      <c r="B731" s="433">
        <f>IFERROR(__xludf.DUMMYFUNCTION("""COMPUTED_VALUE"""),6703.87)</f>
        <v>6703.87</v>
      </c>
      <c r="C731" s="434">
        <f>IFERROR(__xludf.DUMMYFUNCTION("""COMPUTED_VALUE"""),42952.99861111111)</f>
        <v>42952.99861</v>
      </c>
      <c r="D731" s="433">
        <f>IFERROR(__xludf.DUMMYFUNCTION("""COMPUTED_VALUE"""),222.8516)</f>
        <v>222.8516</v>
      </c>
      <c r="F731" s="434">
        <f>IFERROR(__xludf.DUMMYFUNCTION("""COMPUTED_VALUE"""),45656.99861111111)</f>
        <v>45656.99861</v>
      </c>
      <c r="G731" s="433">
        <f>IFERROR(__xludf.DUMMYFUNCTION("""COMPUTED_VALUE"""),93169.94)</f>
        <v>93169.94</v>
      </c>
      <c r="H731" s="434">
        <f>IFERROR(__xludf.DUMMYFUNCTION("""COMPUTED_VALUE"""),45655.99861111111)</f>
        <v>45655.99861</v>
      </c>
      <c r="I731" s="433">
        <f>IFERROR(__xludf.DUMMYFUNCTION("""COMPUTED_VALUE"""),3398.4462)</f>
        <v>3398.4462</v>
      </c>
    </row>
    <row r="732">
      <c r="A732" s="434">
        <f>IFERROR(__xludf.DUMMYFUNCTION("""COMPUTED_VALUE"""),43367.99861111111)</f>
        <v>43367.99861</v>
      </c>
      <c r="B732" s="433">
        <f>IFERROR(__xludf.DUMMYFUNCTION("""COMPUTED_VALUE"""),6574.98)</f>
        <v>6574.98</v>
      </c>
      <c r="C732" s="434">
        <f>IFERROR(__xludf.DUMMYFUNCTION("""COMPUTED_VALUE"""),42953.99861111111)</f>
        <v>42953.99861</v>
      </c>
      <c r="D732" s="433">
        <f>IFERROR(__xludf.DUMMYFUNCTION("""COMPUTED_VALUE"""),256.4186)</f>
        <v>256.4186</v>
      </c>
      <c r="F732" s="434">
        <f>IFERROR(__xludf.DUMMYFUNCTION("""COMPUTED_VALUE"""),45657.99861111111)</f>
        <v>45657.99861</v>
      </c>
      <c r="G732" s="433">
        <f>IFERROR(__xludf.DUMMYFUNCTION("""COMPUTED_VALUE"""),92382.89)</f>
        <v>92382.89</v>
      </c>
      <c r="H732" s="434">
        <f>IFERROR(__xludf.DUMMYFUNCTION("""COMPUTED_VALUE"""),45656.99861111111)</f>
        <v>45656.99861</v>
      </c>
      <c r="I732" s="433">
        <f>IFERROR(__xludf.DUMMYFUNCTION("""COMPUTED_VALUE"""),3349.8189)</f>
        <v>3349.8189</v>
      </c>
    </row>
    <row r="733">
      <c r="A733" s="434">
        <f>IFERROR(__xludf.DUMMYFUNCTION("""COMPUTED_VALUE"""),43368.99861111111)</f>
        <v>43368.99861</v>
      </c>
      <c r="B733" s="433">
        <f>IFERROR(__xludf.DUMMYFUNCTION("""COMPUTED_VALUE"""),6436.6)</f>
        <v>6436.6</v>
      </c>
      <c r="C733" s="434">
        <f>IFERROR(__xludf.DUMMYFUNCTION("""COMPUTED_VALUE"""),42954.99861111111)</f>
        <v>42954.99861</v>
      </c>
      <c r="D733" s="433">
        <f>IFERROR(__xludf.DUMMYFUNCTION("""COMPUTED_VALUE"""),261.2375)</f>
        <v>261.2375</v>
      </c>
      <c r="F733" s="434">
        <f>IFERROR(__xludf.DUMMYFUNCTION("""COMPUTED_VALUE"""),45658.99861111111)</f>
        <v>45658.99861</v>
      </c>
      <c r="G733" s="433">
        <f>IFERROR(__xludf.DUMMYFUNCTION("""COMPUTED_VALUE"""),93462.86)</f>
        <v>93462.86</v>
      </c>
      <c r="H733" s="434">
        <f>IFERROR(__xludf.DUMMYFUNCTION("""COMPUTED_VALUE"""),45657.99861111111)</f>
        <v>45657.99861</v>
      </c>
      <c r="I733" s="433">
        <f>IFERROR(__xludf.DUMMYFUNCTION("""COMPUTED_VALUE"""),3355.6767)</f>
        <v>3355.6767</v>
      </c>
    </row>
    <row r="734">
      <c r="A734" s="434">
        <f>IFERROR(__xludf.DUMMYFUNCTION("""COMPUTED_VALUE"""),43369.99861111111)</f>
        <v>43369.99861</v>
      </c>
      <c r="B734" s="433">
        <f>IFERROR(__xludf.DUMMYFUNCTION("""COMPUTED_VALUE"""),6460.57)</f>
        <v>6460.57</v>
      </c>
      <c r="C734" s="434">
        <f>IFERROR(__xludf.DUMMYFUNCTION("""COMPUTED_VALUE"""),42955.99861111111)</f>
        <v>42955.99861</v>
      </c>
      <c r="D734" s="433">
        <f>IFERROR(__xludf.DUMMYFUNCTION("""COMPUTED_VALUE"""),269.0999)</f>
        <v>269.0999</v>
      </c>
      <c r="F734" s="434">
        <f>IFERROR(__xludf.DUMMYFUNCTION("""COMPUTED_VALUE"""),45659.99861111111)</f>
        <v>45659.99861</v>
      </c>
      <c r="G734" s="433">
        <f>IFERROR(__xludf.DUMMYFUNCTION("""COMPUTED_VALUE"""),95642.54)</f>
        <v>95642.54</v>
      </c>
      <c r="H734" s="434">
        <f>IFERROR(__xludf.DUMMYFUNCTION("""COMPUTED_VALUE"""),45658.99861111111)</f>
        <v>45658.99861</v>
      </c>
      <c r="I734" s="433">
        <f>IFERROR(__xludf.DUMMYFUNCTION("""COMPUTED_VALUE"""),3331.2798)</f>
        <v>3331.2798</v>
      </c>
    </row>
    <row r="735">
      <c r="A735" s="434">
        <f>IFERROR(__xludf.DUMMYFUNCTION("""COMPUTED_VALUE"""),43370.99861111111)</f>
        <v>43370.99861</v>
      </c>
      <c r="B735" s="433">
        <f>IFERROR(__xludf.DUMMYFUNCTION("""COMPUTED_VALUE"""),6688.11)</f>
        <v>6688.11</v>
      </c>
      <c r="C735" s="434">
        <f>IFERROR(__xludf.DUMMYFUNCTION("""COMPUTED_VALUE"""),42956.99861111111)</f>
        <v>42956.99861</v>
      </c>
      <c r="D735" s="433">
        <f>IFERROR(__xludf.DUMMYFUNCTION("""COMPUTED_VALUE"""),297.6315)</f>
        <v>297.6315</v>
      </c>
      <c r="F735" s="434">
        <f>IFERROR(__xludf.DUMMYFUNCTION("""COMPUTED_VALUE"""),45660.99861111111)</f>
        <v>45660.99861</v>
      </c>
      <c r="G735" s="433">
        <f>IFERROR(__xludf.DUMMYFUNCTION("""COMPUTED_VALUE"""),96732.46)</f>
        <v>96732.46</v>
      </c>
      <c r="H735" s="434">
        <f>IFERROR(__xludf.DUMMYFUNCTION("""COMPUTED_VALUE"""),45659.99861111111)</f>
        <v>45659.99861</v>
      </c>
      <c r="I735" s="433">
        <f>IFERROR(__xludf.DUMMYFUNCTION("""COMPUTED_VALUE"""),3353.1751)</f>
        <v>3353.1751</v>
      </c>
    </row>
    <row r="736">
      <c r="A736" s="434">
        <f>IFERROR(__xludf.DUMMYFUNCTION("""COMPUTED_VALUE"""),43371.99861111111)</f>
        <v>43371.99861</v>
      </c>
      <c r="B736" s="433">
        <f>IFERROR(__xludf.DUMMYFUNCTION("""COMPUTED_VALUE"""),6629.4)</f>
        <v>6629.4</v>
      </c>
      <c r="C736" s="434">
        <f>IFERROR(__xludf.DUMMYFUNCTION("""COMPUTED_VALUE"""),42957.99861111111)</f>
        <v>42957.99861</v>
      </c>
      <c r="D736" s="433">
        <f>IFERROR(__xludf.DUMMYFUNCTION("""COMPUTED_VALUE"""),296.961)</f>
        <v>296.961</v>
      </c>
      <c r="F736" s="434">
        <f>IFERROR(__xludf.DUMMYFUNCTION("""COMPUTED_VALUE"""),45661.99861111111)</f>
        <v>45661.99861</v>
      </c>
      <c r="G736" s="433">
        <f>IFERROR(__xludf.DUMMYFUNCTION("""COMPUTED_VALUE"""),97942.97)</f>
        <v>97942.97</v>
      </c>
      <c r="H736" s="434">
        <f>IFERROR(__xludf.DUMMYFUNCTION("""COMPUTED_VALUE"""),45660.99861111111)</f>
        <v>45660.99861</v>
      </c>
      <c r="I736" s="433">
        <f>IFERROR(__xludf.DUMMYFUNCTION("""COMPUTED_VALUE"""),3451.7503)</f>
        <v>3451.7503</v>
      </c>
    </row>
    <row r="737">
      <c r="A737" s="434">
        <f>IFERROR(__xludf.DUMMYFUNCTION("""COMPUTED_VALUE"""),43372.99861111111)</f>
        <v>43372.99861</v>
      </c>
      <c r="B737" s="433">
        <f>IFERROR(__xludf.DUMMYFUNCTION("""COMPUTED_VALUE"""),6593.03)</f>
        <v>6593.03</v>
      </c>
      <c r="C737" s="434">
        <f>IFERROR(__xludf.DUMMYFUNCTION("""COMPUTED_VALUE"""),42958.99861111111)</f>
        <v>42958.99861</v>
      </c>
      <c r="D737" s="433">
        <f>IFERROR(__xludf.DUMMYFUNCTION("""COMPUTED_VALUE"""),294.4954)</f>
        <v>294.4954</v>
      </c>
      <c r="F737" s="434">
        <f>IFERROR(__xludf.DUMMYFUNCTION("""COMPUTED_VALUE"""),45662.99861111111)</f>
        <v>45662.99861</v>
      </c>
      <c r="G737" s="433">
        <f>IFERROR(__xludf.DUMMYFUNCTION("""COMPUTED_VALUE"""),98355.51)</f>
        <v>98355.51</v>
      </c>
      <c r="H737" s="434">
        <f>IFERROR(__xludf.DUMMYFUNCTION("""COMPUTED_VALUE"""),45661.99861111111)</f>
        <v>45661.99861</v>
      </c>
      <c r="I737" s="433">
        <f>IFERROR(__xludf.DUMMYFUNCTION("""COMPUTED_VALUE"""),3607.4265)</f>
        <v>3607.4265</v>
      </c>
    </row>
    <row r="738">
      <c r="A738" s="434">
        <f>IFERROR(__xludf.DUMMYFUNCTION("""COMPUTED_VALUE"""),43373.99861111111)</f>
        <v>43373.99861</v>
      </c>
      <c r="B738" s="433">
        <f>IFERROR(__xludf.DUMMYFUNCTION("""COMPUTED_VALUE"""),6618.76)</f>
        <v>6618.76</v>
      </c>
      <c r="C738" s="434">
        <f>IFERROR(__xludf.DUMMYFUNCTION("""COMPUTED_VALUE"""),42959.99861111111)</f>
        <v>42959.99861</v>
      </c>
      <c r="D738" s="433">
        <f>IFERROR(__xludf.DUMMYFUNCTION("""COMPUTED_VALUE"""),308.71)</f>
        <v>308.71</v>
      </c>
      <c r="F738" s="434">
        <f>IFERROR(__xludf.DUMMYFUNCTION("""COMPUTED_VALUE"""),45663.99861111111)</f>
        <v>45663.99861</v>
      </c>
      <c r="G738" s="433">
        <f>IFERROR(__xludf.DUMMYFUNCTION("""COMPUTED_VALUE"""),99424.66)</f>
        <v>99424.66</v>
      </c>
      <c r="H738" s="434">
        <f>IFERROR(__xludf.DUMMYFUNCTION("""COMPUTED_VALUE"""),45662.99861111111)</f>
        <v>45662.99861</v>
      </c>
      <c r="I738" s="433">
        <f>IFERROR(__xludf.DUMMYFUNCTION("""COMPUTED_VALUE"""),3656.4304)</f>
        <v>3656.4304</v>
      </c>
    </row>
    <row r="739">
      <c r="A739" s="434">
        <f>IFERROR(__xludf.DUMMYFUNCTION("""COMPUTED_VALUE"""),43374.99861111111)</f>
        <v>43374.99861</v>
      </c>
      <c r="B739" s="433">
        <f>IFERROR(__xludf.DUMMYFUNCTION("""COMPUTED_VALUE"""),6591.01)</f>
        <v>6591.01</v>
      </c>
      <c r="C739" s="434">
        <f>IFERROR(__xludf.DUMMYFUNCTION("""COMPUTED_VALUE"""),42960.99861111111)</f>
        <v>42960.99861</v>
      </c>
      <c r="D739" s="433">
        <f>IFERROR(__xludf.DUMMYFUNCTION("""COMPUTED_VALUE"""),310.3659)</f>
        <v>310.3659</v>
      </c>
      <c r="F739" s="434">
        <f>IFERROR(__xludf.DUMMYFUNCTION("""COMPUTED_VALUE"""),45664.99861111111)</f>
        <v>45664.99861</v>
      </c>
      <c r="G739" s="433">
        <f>IFERROR(__xludf.DUMMYFUNCTION("""COMPUTED_VALUE"""),101731.0)</f>
        <v>101731</v>
      </c>
      <c r="H739" s="434">
        <f>IFERROR(__xludf.DUMMYFUNCTION("""COMPUTED_VALUE"""),45663.99861111111)</f>
        <v>45663.99861</v>
      </c>
      <c r="I739" s="433">
        <f>IFERROR(__xludf.DUMMYFUNCTION("""COMPUTED_VALUE"""),3634.9629)</f>
        <v>3634.9629</v>
      </c>
    </row>
    <row r="740">
      <c r="A740" s="434">
        <f>IFERROR(__xludf.DUMMYFUNCTION("""COMPUTED_VALUE"""),43375.99861111111)</f>
        <v>43375.99861</v>
      </c>
      <c r="B740" s="433">
        <f>IFERROR(__xludf.DUMMYFUNCTION("""COMPUTED_VALUE"""),6518.96)</f>
        <v>6518.96</v>
      </c>
      <c r="C740" s="434">
        <f>IFERROR(__xludf.DUMMYFUNCTION("""COMPUTED_VALUE"""),42961.99861111111)</f>
        <v>42961.99861</v>
      </c>
      <c r="D740" s="433">
        <f>IFERROR(__xludf.DUMMYFUNCTION("""COMPUTED_VALUE"""),298.0312)</f>
        <v>298.0312</v>
      </c>
      <c r="F740" s="434">
        <f>IFERROR(__xludf.DUMMYFUNCTION("""COMPUTED_VALUE"""),45665.99861111111)</f>
        <v>45665.99861</v>
      </c>
      <c r="G740" s="433">
        <f>IFERROR(__xludf.DUMMYFUNCTION("""COMPUTED_VALUE"""),96294.37)</f>
        <v>96294.37</v>
      </c>
      <c r="H740" s="434">
        <f>IFERROR(__xludf.DUMMYFUNCTION("""COMPUTED_VALUE"""),45664.99861111111)</f>
        <v>45664.99861</v>
      </c>
      <c r="I740" s="433">
        <f>IFERROR(__xludf.DUMMYFUNCTION("""COMPUTED_VALUE"""),3689.1357)</f>
        <v>3689.1357</v>
      </c>
    </row>
    <row r="741">
      <c r="A741" s="434">
        <f>IFERROR(__xludf.DUMMYFUNCTION("""COMPUTED_VALUE"""),43376.99861111111)</f>
        <v>43376.99861</v>
      </c>
      <c r="B741" s="433">
        <f>IFERROR(__xludf.DUMMYFUNCTION("""COMPUTED_VALUE"""),6484.92)</f>
        <v>6484.92</v>
      </c>
      <c r="C741" s="434">
        <f>IFERROR(__xludf.DUMMYFUNCTION("""COMPUTED_VALUE"""),42962.99861111111)</f>
        <v>42962.99861</v>
      </c>
      <c r="D741" s="433">
        <f>IFERROR(__xludf.DUMMYFUNCTION("""COMPUTED_VALUE"""),299.9518)</f>
        <v>299.9518</v>
      </c>
      <c r="F741" s="434">
        <f>IFERROR(__xludf.DUMMYFUNCTION("""COMPUTED_VALUE"""),45666.99861111111)</f>
        <v>45666.99861</v>
      </c>
      <c r="G741" s="433">
        <f>IFERROR(__xludf.DUMMYFUNCTION("""COMPUTED_VALUE"""),94409.58)</f>
        <v>94409.58</v>
      </c>
      <c r="H741" s="434">
        <f>IFERROR(__xludf.DUMMYFUNCTION("""COMPUTED_VALUE"""),45665.99861111111)</f>
        <v>45665.99861</v>
      </c>
      <c r="I741" s="433">
        <f>IFERROR(__xludf.DUMMYFUNCTION("""COMPUTED_VALUE"""),3380.7317)</f>
        <v>3380.7317</v>
      </c>
    </row>
    <row r="742">
      <c r="A742" s="434">
        <f>IFERROR(__xludf.DUMMYFUNCTION("""COMPUTED_VALUE"""),43377.99861111111)</f>
        <v>43377.99861</v>
      </c>
      <c r="B742" s="433">
        <f>IFERROR(__xludf.DUMMYFUNCTION("""COMPUTED_VALUE"""),6576.6)</f>
        <v>6576.6</v>
      </c>
      <c r="C742" s="434">
        <f>IFERROR(__xludf.DUMMYFUNCTION("""COMPUTED_VALUE"""),42963.99861111111)</f>
        <v>42963.99861</v>
      </c>
      <c r="D742" s="433">
        <f>IFERROR(__xludf.DUMMYFUNCTION("""COMPUTED_VALUE"""),289.8189)</f>
        <v>289.8189</v>
      </c>
      <c r="F742" s="434">
        <f>IFERROR(__xludf.DUMMYFUNCTION("""COMPUTED_VALUE"""),45667.99861111111)</f>
        <v>45667.99861</v>
      </c>
      <c r="G742" s="433">
        <f>IFERROR(__xludf.DUMMYFUNCTION("""COMPUTED_VALUE"""),93850.97)</f>
        <v>93850.97</v>
      </c>
      <c r="H742" s="434">
        <f>IFERROR(__xludf.DUMMYFUNCTION("""COMPUTED_VALUE"""),45666.99861111111)</f>
        <v>45666.99861</v>
      </c>
      <c r="I742" s="433">
        <f>IFERROR(__xludf.DUMMYFUNCTION("""COMPUTED_VALUE"""),3326.6026)</f>
        <v>3326.6026</v>
      </c>
    </row>
    <row r="743">
      <c r="A743" s="434">
        <f>IFERROR(__xludf.DUMMYFUNCTION("""COMPUTED_VALUE"""),43378.99861111111)</f>
        <v>43378.99861</v>
      </c>
      <c r="B743" s="433">
        <f>IFERROR(__xludf.DUMMYFUNCTION("""COMPUTED_VALUE"""),6614.16)</f>
        <v>6614.16</v>
      </c>
      <c r="C743" s="434">
        <f>IFERROR(__xludf.DUMMYFUNCTION("""COMPUTED_VALUE"""),42964.99861111111)</f>
        <v>42964.99861</v>
      </c>
      <c r="D743" s="433">
        <f>IFERROR(__xludf.DUMMYFUNCTION("""COMPUTED_VALUE"""),302.8049)</f>
        <v>302.8049</v>
      </c>
      <c r="F743" s="434">
        <f>IFERROR(__xludf.DUMMYFUNCTION("""COMPUTED_VALUE"""),45668.99861111111)</f>
        <v>45668.99861</v>
      </c>
      <c r="G743" s="433">
        <f>IFERROR(__xludf.DUMMYFUNCTION("""COMPUTED_VALUE"""),94033.5)</f>
        <v>94033.5</v>
      </c>
      <c r="H743" s="434">
        <f>IFERROR(__xludf.DUMMYFUNCTION("""COMPUTED_VALUE"""),45667.99861111111)</f>
        <v>45667.99861</v>
      </c>
      <c r="I743" s="433">
        <f>IFERROR(__xludf.DUMMYFUNCTION("""COMPUTED_VALUE"""),3219.1578)</f>
        <v>3219.1578</v>
      </c>
    </row>
    <row r="744">
      <c r="A744" s="434">
        <f>IFERROR(__xludf.DUMMYFUNCTION("""COMPUTED_VALUE"""),43379.99861111111)</f>
        <v>43379.99861</v>
      </c>
      <c r="B744" s="433">
        <f>IFERROR(__xludf.DUMMYFUNCTION("""COMPUTED_VALUE"""),6580.74)</f>
        <v>6580.74</v>
      </c>
      <c r="C744" s="434">
        <f>IFERROR(__xludf.DUMMYFUNCTION("""COMPUTED_VALUE"""),42965.99861111111)</f>
        <v>42965.99861</v>
      </c>
      <c r="D744" s="433">
        <f>IFERROR(__xludf.DUMMYFUNCTION("""COMPUTED_VALUE"""),301.6973)</f>
        <v>301.6973</v>
      </c>
      <c r="F744" s="434">
        <f>IFERROR(__xludf.DUMMYFUNCTION("""COMPUTED_VALUE"""),45669.99861111111)</f>
        <v>45669.99861</v>
      </c>
      <c r="G744" s="433">
        <f>IFERROR(__xludf.DUMMYFUNCTION("""COMPUTED_VALUE"""),94575.31)</f>
        <v>94575.31</v>
      </c>
      <c r="H744" s="434">
        <f>IFERROR(__xludf.DUMMYFUNCTION("""COMPUTED_VALUE"""),45668.99861111111)</f>
        <v>45668.99861</v>
      </c>
      <c r="I744" s="433">
        <f>IFERROR(__xludf.DUMMYFUNCTION("""COMPUTED_VALUE"""),3266.3219)</f>
        <v>3266.3219</v>
      </c>
    </row>
    <row r="745">
      <c r="A745" s="434">
        <f>IFERROR(__xludf.DUMMYFUNCTION("""COMPUTED_VALUE"""),43380.99861111111)</f>
        <v>43380.99861</v>
      </c>
      <c r="B745" s="433">
        <f>IFERROR(__xludf.DUMMYFUNCTION("""COMPUTED_VALUE"""),6587.88)</f>
        <v>6587.88</v>
      </c>
      <c r="C745" s="434">
        <f>IFERROR(__xludf.DUMMYFUNCTION("""COMPUTED_VALUE"""),42966.99861111111)</f>
        <v>42966.99861</v>
      </c>
      <c r="D745" s="433">
        <f>IFERROR(__xludf.DUMMYFUNCTION("""COMPUTED_VALUE"""),296.1814)</f>
        <v>296.1814</v>
      </c>
      <c r="F745" s="434">
        <f>IFERROR(__xludf.DUMMYFUNCTION("""COMPUTED_VALUE"""),45670.99861111111)</f>
        <v>45670.99861</v>
      </c>
      <c r="G745" s="433">
        <f>IFERROR(__xludf.DUMMYFUNCTION("""COMPUTED_VALUE"""),94559.12)</f>
        <v>94559.12</v>
      </c>
      <c r="H745" s="434">
        <f>IFERROR(__xludf.DUMMYFUNCTION("""COMPUTED_VALUE"""),45669.99861111111)</f>
        <v>45669.99861</v>
      </c>
      <c r="I745" s="433">
        <f>IFERROR(__xludf.DUMMYFUNCTION("""COMPUTED_VALUE"""),3281.9305)</f>
        <v>3281.9305</v>
      </c>
    </row>
    <row r="746">
      <c r="A746" s="434">
        <f>IFERROR(__xludf.DUMMYFUNCTION("""COMPUTED_VALUE"""),43381.99861111111)</f>
        <v>43381.99861</v>
      </c>
      <c r="B746" s="433">
        <f>IFERROR(__xludf.DUMMYFUNCTION("""COMPUTED_VALUE"""),6648.31)</f>
        <v>6648.31</v>
      </c>
      <c r="C746" s="434">
        <f>IFERROR(__xludf.DUMMYFUNCTION("""COMPUTED_VALUE"""),42967.99861111111)</f>
        <v>42967.99861</v>
      </c>
      <c r="D746" s="433">
        <f>IFERROR(__xludf.DUMMYFUNCTION("""COMPUTED_VALUE"""),296.6438)</f>
        <v>296.6438</v>
      </c>
      <c r="F746" s="434">
        <f>IFERROR(__xludf.DUMMYFUNCTION("""COMPUTED_VALUE"""),45671.99861111111)</f>
        <v>45671.99861</v>
      </c>
      <c r="G746" s="433">
        <f>IFERROR(__xludf.DUMMYFUNCTION("""COMPUTED_VALUE"""),95099.77)</f>
        <v>95099.77</v>
      </c>
      <c r="H746" s="434">
        <f>IFERROR(__xludf.DUMMYFUNCTION("""COMPUTED_VALUE"""),45670.99861111111)</f>
        <v>45670.99861</v>
      </c>
      <c r="I746" s="433">
        <f>IFERROR(__xludf.DUMMYFUNCTION("""COMPUTED_VALUE"""),3265.5751)</f>
        <v>3265.5751</v>
      </c>
    </row>
    <row r="747">
      <c r="A747" s="434">
        <f>IFERROR(__xludf.DUMMYFUNCTION("""COMPUTED_VALUE"""),43382.99861111111)</f>
        <v>43382.99861</v>
      </c>
      <c r="B747" s="433">
        <f>IFERROR(__xludf.DUMMYFUNCTION("""COMPUTED_VALUE"""),6632.57)</f>
        <v>6632.57</v>
      </c>
      <c r="C747" s="434">
        <f>IFERROR(__xludf.DUMMYFUNCTION("""COMPUTED_VALUE"""),42968.99861111111)</f>
        <v>42968.99861</v>
      </c>
      <c r="D747" s="433">
        <f>IFERROR(__xludf.DUMMYFUNCTION("""COMPUTED_VALUE"""),300.4763)</f>
        <v>300.4763</v>
      </c>
      <c r="F747" s="434">
        <f>IFERROR(__xludf.DUMMYFUNCTION("""COMPUTED_VALUE"""),45672.99861111111)</f>
        <v>45672.99861</v>
      </c>
      <c r="G747" s="433">
        <f>IFERROR(__xludf.DUMMYFUNCTION("""COMPUTED_VALUE"""),97176.71)</f>
        <v>97176.71</v>
      </c>
      <c r="H747" s="434">
        <f>IFERROR(__xludf.DUMMYFUNCTION("""COMPUTED_VALUE"""),45671.99861111111)</f>
        <v>45671.99861</v>
      </c>
      <c r="I747" s="433">
        <f>IFERROR(__xludf.DUMMYFUNCTION("""COMPUTED_VALUE"""),3136.445)</f>
        <v>3136.445</v>
      </c>
    </row>
    <row r="748">
      <c r="A748" s="434">
        <f>IFERROR(__xludf.DUMMYFUNCTION("""COMPUTED_VALUE"""),43383.99861111111)</f>
        <v>43383.99861</v>
      </c>
      <c r="B748" s="433">
        <f>IFERROR(__xludf.DUMMYFUNCTION("""COMPUTED_VALUE"""),6555.78)</f>
        <v>6555.78</v>
      </c>
      <c r="C748" s="434">
        <f>IFERROR(__xludf.DUMMYFUNCTION("""COMPUTED_VALUE"""),42969.99861111111)</f>
        <v>42969.99861</v>
      </c>
      <c r="D748" s="433">
        <f>IFERROR(__xludf.DUMMYFUNCTION("""COMPUTED_VALUE"""),321.0545)</f>
        <v>321.0545</v>
      </c>
      <c r="F748" s="434">
        <f>IFERROR(__xludf.DUMMYFUNCTION("""COMPUTED_VALUE"""),45673.99861111111)</f>
        <v>45673.99861</v>
      </c>
      <c r="G748" s="433">
        <f>IFERROR(__xludf.DUMMYFUNCTION("""COMPUTED_VALUE"""),99576.98)</f>
        <v>99576.98</v>
      </c>
      <c r="H748" s="434">
        <f>IFERROR(__xludf.DUMMYFUNCTION("""COMPUTED_VALUE"""),45672.99861111111)</f>
        <v>45672.99861</v>
      </c>
      <c r="I748" s="433">
        <f>IFERROR(__xludf.DUMMYFUNCTION("""COMPUTED_VALUE"""),3223.8939)</f>
        <v>3223.8939</v>
      </c>
    </row>
    <row r="749">
      <c r="A749" s="434">
        <f>IFERROR(__xludf.DUMMYFUNCTION("""COMPUTED_VALUE"""),43384.99861111111)</f>
        <v>43384.99861</v>
      </c>
      <c r="B749" s="433">
        <f>IFERROR(__xludf.DUMMYFUNCTION("""COMPUTED_VALUE"""),6210.11)</f>
        <v>6210.11</v>
      </c>
      <c r="C749" s="434">
        <f>IFERROR(__xludf.DUMMYFUNCTION("""COMPUTED_VALUE"""),42970.99861111111)</f>
        <v>42970.99861</v>
      </c>
      <c r="D749" s="433">
        <f>IFERROR(__xludf.DUMMYFUNCTION("""COMPUTED_VALUE"""),315.2656)</f>
        <v>315.2656</v>
      </c>
      <c r="F749" s="434">
        <f>IFERROR(__xludf.DUMMYFUNCTION("""COMPUTED_VALUE"""),45674.99861111111)</f>
        <v>45674.99861</v>
      </c>
      <c r="G749" s="433">
        <f>IFERROR(__xludf.DUMMYFUNCTION("""COMPUTED_VALUE"""),101413.4)</f>
        <v>101413.4</v>
      </c>
      <c r="H749" s="434">
        <f>IFERROR(__xludf.DUMMYFUNCTION("""COMPUTED_VALUE"""),45673.99861111111)</f>
        <v>45673.99861</v>
      </c>
      <c r="I749" s="433">
        <f>IFERROR(__xludf.DUMMYFUNCTION("""COMPUTED_VALUE"""),3450.5268)</f>
        <v>3450.5268</v>
      </c>
    </row>
    <row r="750">
      <c r="A750" s="434">
        <f>IFERROR(__xludf.DUMMYFUNCTION("""COMPUTED_VALUE"""),43385.99861111111)</f>
        <v>43385.99861</v>
      </c>
      <c r="B750" s="433">
        <f>IFERROR(__xludf.DUMMYFUNCTION("""COMPUTED_VALUE"""),6214.35)</f>
        <v>6214.35</v>
      </c>
      <c r="C750" s="434">
        <f>IFERROR(__xludf.DUMMYFUNCTION("""COMPUTED_VALUE"""),42971.99861111111)</f>
        <v>42971.99861</v>
      </c>
      <c r="D750" s="433">
        <f>IFERROR(__xludf.DUMMYFUNCTION("""COMPUTED_VALUE"""),317.4476)</f>
        <v>317.4476</v>
      </c>
      <c r="F750" s="434">
        <f>IFERROR(__xludf.DUMMYFUNCTION("""COMPUTED_VALUE"""),45675.99861111111)</f>
        <v>45675.99861</v>
      </c>
      <c r="G750" s="433">
        <f>IFERROR(__xludf.DUMMYFUNCTION("""COMPUTED_VALUE"""),103545.4)</f>
        <v>103545.4</v>
      </c>
      <c r="H750" s="434">
        <f>IFERROR(__xludf.DUMMYFUNCTION("""COMPUTED_VALUE"""),45674.99861111111)</f>
        <v>45674.99861</v>
      </c>
      <c r="I750" s="433">
        <f>IFERROR(__xludf.DUMMYFUNCTION("""COMPUTED_VALUE"""),3307.6008)</f>
        <v>3307.6008</v>
      </c>
    </row>
    <row r="751">
      <c r="A751" s="434">
        <f>IFERROR(__xludf.DUMMYFUNCTION("""COMPUTED_VALUE"""),43386.99861111111)</f>
        <v>43386.99861</v>
      </c>
      <c r="B751" s="433">
        <f>IFERROR(__xludf.DUMMYFUNCTION("""COMPUTED_VALUE"""),6288.44)</f>
        <v>6288.44</v>
      </c>
      <c r="C751" s="434">
        <f>IFERROR(__xludf.DUMMYFUNCTION("""COMPUTED_VALUE"""),42972.99861111111)</f>
        <v>42972.99861</v>
      </c>
      <c r="D751" s="433">
        <f>IFERROR(__xludf.DUMMYFUNCTION("""COMPUTED_VALUE"""),326.1091)</f>
        <v>326.1091</v>
      </c>
      <c r="F751" s="434">
        <f>IFERROR(__xludf.DUMMYFUNCTION("""COMPUTED_VALUE"""),45676.99861111111)</f>
        <v>45676.99861</v>
      </c>
      <c r="G751" s="433">
        <f>IFERROR(__xludf.DUMMYFUNCTION("""COMPUTED_VALUE"""),104841.0)</f>
        <v>104841</v>
      </c>
      <c r="H751" s="434">
        <f>IFERROR(__xludf.DUMMYFUNCTION("""COMPUTED_VALUE"""),45675.99861111111)</f>
        <v>45675.99861</v>
      </c>
      <c r="I751" s="433">
        <f>IFERROR(__xludf.DUMMYFUNCTION("""COMPUTED_VALUE"""),3474.0668)</f>
        <v>3474.0668</v>
      </c>
    </row>
    <row r="752">
      <c r="A752" s="434">
        <f>IFERROR(__xludf.DUMMYFUNCTION("""COMPUTED_VALUE"""),43387.99861111111)</f>
        <v>43387.99861</v>
      </c>
      <c r="B752" s="433">
        <f>IFERROR(__xludf.DUMMYFUNCTION("""COMPUTED_VALUE"""),6267.51)</f>
        <v>6267.51</v>
      </c>
      <c r="C752" s="434">
        <f>IFERROR(__xludf.DUMMYFUNCTION("""COMPUTED_VALUE"""),42973.99861111111)</f>
        <v>42973.99861</v>
      </c>
      <c r="D752" s="433">
        <f>IFERROR(__xludf.DUMMYFUNCTION("""COMPUTED_VALUE"""),331.9898)</f>
        <v>331.9898</v>
      </c>
      <c r="F752" s="434">
        <f>IFERROR(__xludf.DUMMYFUNCTION("""COMPUTED_VALUE"""),45677.99861111111)</f>
        <v>45677.99861</v>
      </c>
      <c r="G752" s="433">
        <f>IFERROR(__xludf.DUMMYFUNCTION("""COMPUTED_VALUE"""),102194.9)</f>
        <v>102194.9</v>
      </c>
      <c r="H752" s="434">
        <f>IFERROR(__xludf.DUMMYFUNCTION("""COMPUTED_VALUE"""),45676.99861111111)</f>
        <v>45676.99861</v>
      </c>
      <c r="I752" s="433">
        <f>IFERROR(__xludf.DUMMYFUNCTION("""COMPUTED_VALUE"""),3305.1557)</f>
        <v>3305.1557</v>
      </c>
    </row>
    <row r="753">
      <c r="A753" s="434">
        <f>IFERROR(__xludf.DUMMYFUNCTION("""COMPUTED_VALUE"""),43388.99861111111)</f>
        <v>43388.99861</v>
      </c>
      <c r="B753" s="433">
        <f>IFERROR(__xludf.DUMMYFUNCTION("""COMPUTED_VALUE"""),6508.55)</f>
        <v>6508.55</v>
      </c>
      <c r="C753" s="434">
        <f>IFERROR(__xludf.DUMMYFUNCTION("""COMPUTED_VALUE"""),42974.99861111111)</f>
        <v>42974.99861</v>
      </c>
      <c r="D753" s="433">
        <f>IFERROR(__xludf.DUMMYFUNCTION("""COMPUTED_VALUE"""),334.3567)</f>
        <v>334.3567</v>
      </c>
      <c r="F753" s="434">
        <f>IFERROR(__xludf.DUMMYFUNCTION("""COMPUTED_VALUE"""),45678.99861111111)</f>
        <v>45678.99861</v>
      </c>
      <c r="G753" s="433">
        <f>IFERROR(__xludf.DUMMYFUNCTION("""COMPUTED_VALUE"""),102204.3)</f>
        <v>102204.3</v>
      </c>
      <c r="H753" s="434">
        <f>IFERROR(__xludf.DUMMYFUNCTION("""COMPUTED_VALUE"""),45677.99861111111)</f>
        <v>45677.99861</v>
      </c>
      <c r="I753" s="433">
        <f>IFERROR(__xludf.DUMMYFUNCTION("""COMPUTED_VALUE"""),3212.8843)</f>
        <v>3212.8843</v>
      </c>
    </row>
    <row r="754">
      <c r="A754" s="434">
        <f>IFERROR(__xludf.DUMMYFUNCTION("""COMPUTED_VALUE"""),43389.99861111111)</f>
        <v>43389.99861</v>
      </c>
      <c r="B754" s="433">
        <f>IFERROR(__xludf.DUMMYFUNCTION("""COMPUTED_VALUE"""),6512.89)</f>
        <v>6512.89</v>
      </c>
      <c r="C754" s="434">
        <f>IFERROR(__xludf.DUMMYFUNCTION("""COMPUTED_VALUE"""),42975.99861111111)</f>
        <v>42975.99861</v>
      </c>
      <c r="D754" s="433">
        <f>IFERROR(__xludf.DUMMYFUNCTION("""COMPUTED_VALUE"""),350.0428)</f>
        <v>350.0428</v>
      </c>
      <c r="F754" s="434">
        <f>IFERROR(__xludf.DUMMYFUNCTION("""COMPUTED_VALUE"""),45679.99861111111)</f>
        <v>45679.99861</v>
      </c>
      <c r="G754" s="433">
        <f>IFERROR(__xludf.DUMMYFUNCTION("""COMPUTED_VALUE"""),105559.4)</f>
        <v>105559.4</v>
      </c>
      <c r="H754" s="434">
        <f>IFERROR(__xludf.DUMMYFUNCTION("""COMPUTED_VALUE"""),45678.99861111111)</f>
        <v>45678.99861</v>
      </c>
      <c r="I754" s="433">
        <f>IFERROR(__xludf.DUMMYFUNCTION("""COMPUTED_VALUE"""),3280.3702)</f>
        <v>3280.3702</v>
      </c>
    </row>
    <row r="755">
      <c r="A755" s="434">
        <f>IFERROR(__xludf.DUMMYFUNCTION("""COMPUTED_VALUE"""),43390.99861111111)</f>
        <v>43390.99861</v>
      </c>
      <c r="B755" s="433">
        <f>IFERROR(__xludf.DUMMYFUNCTION("""COMPUTED_VALUE"""),6524.91)</f>
        <v>6524.91</v>
      </c>
      <c r="C755" s="434">
        <f>IFERROR(__xludf.DUMMYFUNCTION("""COMPUTED_VALUE"""),42976.99861111111)</f>
        <v>42976.99861</v>
      </c>
      <c r="D755" s="433">
        <f>IFERROR(__xludf.DUMMYFUNCTION("""COMPUTED_VALUE"""),347.9653)</f>
        <v>347.9653</v>
      </c>
      <c r="F755" s="434">
        <f>IFERROR(__xludf.DUMMYFUNCTION("""COMPUTED_VALUE"""),45680.99861111111)</f>
        <v>45680.99861</v>
      </c>
      <c r="G755" s="433">
        <f>IFERROR(__xludf.DUMMYFUNCTION("""COMPUTED_VALUE"""),101964.6)</f>
        <v>101964.6</v>
      </c>
      <c r="H755" s="434">
        <f>IFERROR(__xludf.DUMMYFUNCTION("""COMPUTED_VALUE"""),45679.99861111111)</f>
        <v>45679.99861</v>
      </c>
      <c r="I755" s="433">
        <f>IFERROR(__xludf.DUMMYFUNCTION("""COMPUTED_VALUE"""),3327.8592)</f>
        <v>3327.8592</v>
      </c>
    </row>
    <row r="756">
      <c r="A756" s="434">
        <f>IFERROR(__xludf.DUMMYFUNCTION("""COMPUTED_VALUE"""),43391.99861111111)</f>
        <v>43391.99861</v>
      </c>
      <c r="B756" s="433">
        <f>IFERROR(__xludf.DUMMYFUNCTION("""COMPUTED_VALUE"""),6462.59)</f>
        <v>6462.59</v>
      </c>
      <c r="C756" s="434">
        <f>IFERROR(__xludf.DUMMYFUNCTION("""COMPUTED_VALUE"""),42977.99861111111)</f>
        <v>42977.99861</v>
      </c>
      <c r="D756" s="433">
        <f>IFERROR(__xludf.DUMMYFUNCTION("""COMPUTED_VALUE"""),369.4728)</f>
        <v>369.4728</v>
      </c>
      <c r="F756" s="434">
        <f>IFERROR(__xludf.DUMMYFUNCTION("""COMPUTED_VALUE"""),45681.99861111111)</f>
        <v>45681.99861</v>
      </c>
      <c r="G756" s="433">
        <f>IFERROR(__xludf.DUMMYFUNCTION("""COMPUTED_VALUE"""),104563.0)</f>
        <v>104563</v>
      </c>
      <c r="H756" s="434">
        <f>IFERROR(__xludf.DUMMYFUNCTION("""COMPUTED_VALUE"""),45680.99861111111)</f>
        <v>45680.99861</v>
      </c>
      <c r="I756" s="433">
        <f>IFERROR(__xludf.DUMMYFUNCTION("""COMPUTED_VALUE"""),3241.2395)</f>
        <v>3241.2395</v>
      </c>
    </row>
    <row r="757">
      <c r="A757" s="434">
        <f>IFERROR(__xludf.DUMMYFUNCTION("""COMPUTED_VALUE"""),43392.99861111111)</f>
        <v>43392.99861</v>
      </c>
      <c r="B757" s="433">
        <f>IFERROR(__xludf.DUMMYFUNCTION("""COMPUTED_VALUE"""),6462.98)</f>
        <v>6462.98</v>
      </c>
      <c r="C757" s="434">
        <f>IFERROR(__xludf.DUMMYFUNCTION("""COMPUTED_VALUE"""),42978.99861111111)</f>
        <v>42978.99861</v>
      </c>
      <c r="D757" s="433">
        <f>IFERROR(__xludf.DUMMYFUNCTION("""COMPUTED_VALUE"""),378.441)</f>
        <v>378.441</v>
      </c>
      <c r="F757" s="434">
        <f>IFERROR(__xludf.DUMMYFUNCTION("""COMPUTED_VALUE"""),45682.99861111111)</f>
        <v>45682.99861</v>
      </c>
      <c r="G757" s="433">
        <f>IFERROR(__xludf.DUMMYFUNCTION("""COMPUTED_VALUE"""),104669.3)</f>
        <v>104669.3</v>
      </c>
      <c r="H757" s="434">
        <f>IFERROR(__xludf.DUMMYFUNCTION("""COMPUTED_VALUE"""),45681.99861111111)</f>
        <v>45681.99861</v>
      </c>
      <c r="I757" s="433">
        <f>IFERROR(__xludf.DUMMYFUNCTION("""COMPUTED_VALUE"""),3338.5746)</f>
        <v>3338.5746</v>
      </c>
    </row>
    <row r="758">
      <c r="A758" s="434">
        <f>IFERROR(__xludf.DUMMYFUNCTION("""COMPUTED_VALUE"""),43393.99861111111)</f>
        <v>43393.99861</v>
      </c>
      <c r="B758" s="433">
        <f>IFERROR(__xludf.DUMMYFUNCTION("""COMPUTED_VALUE"""),6427.48)</f>
        <v>6427.48</v>
      </c>
      <c r="C758" s="434">
        <f>IFERROR(__xludf.DUMMYFUNCTION("""COMPUTED_VALUE"""),42979.99861111111)</f>
        <v>42979.99861</v>
      </c>
      <c r="D758" s="433">
        <f>IFERROR(__xludf.DUMMYFUNCTION("""COMPUTED_VALUE"""),383.4675)</f>
        <v>383.4675</v>
      </c>
      <c r="F758" s="434">
        <f>IFERROR(__xludf.DUMMYFUNCTION("""COMPUTED_VALUE"""),45683.99861111111)</f>
        <v>45683.99861</v>
      </c>
      <c r="G758" s="433">
        <f>IFERROR(__xludf.DUMMYFUNCTION("""COMPUTED_VALUE"""),105193.9)</f>
        <v>105193.9</v>
      </c>
      <c r="H758" s="434">
        <f>IFERROR(__xludf.DUMMYFUNCTION("""COMPUTED_VALUE"""),45682.99861111111)</f>
        <v>45682.99861</v>
      </c>
      <c r="I758" s="433">
        <f>IFERROR(__xludf.DUMMYFUNCTION("""COMPUTED_VALUE"""),3309.7553)</f>
        <v>3309.7553</v>
      </c>
    </row>
    <row r="759">
      <c r="A759" s="434">
        <f>IFERROR(__xludf.DUMMYFUNCTION("""COMPUTED_VALUE"""),43394.99861111111)</f>
        <v>43394.99861</v>
      </c>
      <c r="B759" s="433">
        <f>IFERROR(__xludf.DUMMYFUNCTION("""COMPUTED_VALUE"""),6452.49)</f>
        <v>6452.49</v>
      </c>
      <c r="C759" s="434">
        <f>IFERROR(__xludf.DUMMYFUNCTION("""COMPUTED_VALUE"""),42980.99861111111)</f>
        <v>42980.99861</v>
      </c>
      <c r="D759" s="433">
        <f>IFERROR(__xludf.DUMMYFUNCTION("""COMPUTED_VALUE"""),387.8236)</f>
        <v>387.8236</v>
      </c>
      <c r="F759" s="434">
        <f>IFERROR(__xludf.DUMMYFUNCTION("""COMPUTED_VALUE"""),45684.99861111111)</f>
        <v>45684.99861</v>
      </c>
      <c r="G759" s="433">
        <f>IFERROR(__xludf.DUMMYFUNCTION("""COMPUTED_VALUE"""),100414.1)</f>
        <v>100414.1</v>
      </c>
      <c r="H759" s="434">
        <f>IFERROR(__xludf.DUMMYFUNCTION("""COMPUTED_VALUE"""),45683.99861111111)</f>
        <v>45683.99861</v>
      </c>
      <c r="I759" s="433">
        <f>IFERROR(__xludf.DUMMYFUNCTION("""COMPUTED_VALUE"""),3317.2631)</f>
        <v>3317.2631</v>
      </c>
    </row>
    <row r="760">
      <c r="A760" s="434">
        <f>IFERROR(__xludf.DUMMYFUNCTION("""COMPUTED_VALUE"""),43395.99861111111)</f>
        <v>43395.99861</v>
      </c>
      <c r="B760" s="433">
        <f>IFERROR(__xludf.DUMMYFUNCTION("""COMPUTED_VALUE"""),6438.33)</f>
        <v>6438.33</v>
      </c>
      <c r="C760" s="434">
        <f>IFERROR(__xludf.DUMMYFUNCTION("""COMPUTED_VALUE"""),42981.99861111111)</f>
        <v>42981.99861</v>
      </c>
      <c r="D760" s="433">
        <f>IFERROR(__xludf.DUMMYFUNCTION("""COMPUTED_VALUE"""),350.2293)</f>
        <v>350.2293</v>
      </c>
      <c r="F760" s="434">
        <f>IFERROR(__xludf.DUMMYFUNCTION("""COMPUTED_VALUE"""),45685.99861111111)</f>
        <v>45685.99861</v>
      </c>
      <c r="G760" s="433">
        <f>IFERROR(__xludf.DUMMYFUNCTION("""COMPUTED_VALUE"""),102938.0)</f>
        <v>102938</v>
      </c>
      <c r="H760" s="434">
        <f>IFERROR(__xludf.DUMMYFUNCTION("""COMPUTED_VALUE"""),45684.99861111111)</f>
        <v>45684.99861</v>
      </c>
      <c r="I760" s="433">
        <f>IFERROR(__xludf.DUMMYFUNCTION("""COMPUTED_VALUE"""),3233.391)</f>
        <v>3233.391</v>
      </c>
    </row>
    <row r="761">
      <c r="A761" s="434">
        <f>IFERROR(__xludf.DUMMYFUNCTION("""COMPUTED_VALUE"""),43396.99861111111)</f>
        <v>43396.99861</v>
      </c>
      <c r="B761" s="433">
        <f>IFERROR(__xludf.DUMMYFUNCTION("""COMPUTED_VALUE"""),6500.33)</f>
        <v>6500.33</v>
      </c>
      <c r="C761" s="434">
        <f>IFERROR(__xludf.DUMMYFUNCTION("""COMPUTED_VALUE"""),42982.99861111111)</f>
        <v>42982.99861</v>
      </c>
      <c r="D761" s="433">
        <f>IFERROR(__xludf.DUMMYFUNCTION("""COMPUTED_VALUE"""),347.1328)</f>
        <v>347.1328</v>
      </c>
      <c r="F761" s="434">
        <f>IFERROR(__xludf.DUMMYFUNCTION("""COMPUTED_VALUE"""),45686.99861111111)</f>
        <v>45686.99861</v>
      </c>
      <c r="G761" s="433">
        <f>IFERROR(__xludf.DUMMYFUNCTION("""COMPUTED_VALUE"""),101995.6)</f>
        <v>101995.6</v>
      </c>
      <c r="H761" s="434">
        <f>IFERROR(__xludf.DUMMYFUNCTION("""COMPUTED_VALUE"""),45685.99861111111)</f>
        <v>45685.99861</v>
      </c>
      <c r="I761" s="433">
        <f>IFERROR(__xludf.DUMMYFUNCTION("""COMPUTED_VALUE"""),3181.6844)</f>
        <v>3181.6844</v>
      </c>
    </row>
    <row r="762">
      <c r="A762" s="434">
        <f>IFERROR(__xludf.DUMMYFUNCTION("""COMPUTED_VALUE"""),43397.99861111111)</f>
        <v>43397.99861</v>
      </c>
      <c r="B762" s="433">
        <f>IFERROR(__xludf.DUMMYFUNCTION("""COMPUTED_VALUE"""),6501.4)</f>
        <v>6501.4</v>
      </c>
      <c r="C762" s="434">
        <f>IFERROR(__xludf.DUMMYFUNCTION("""COMPUTED_VALUE"""),42983.99861111111)</f>
        <v>42983.99861</v>
      </c>
      <c r="D762" s="433">
        <f>IFERROR(__xludf.DUMMYFUNCTION("""COMPUTED_VALUE"""),297.5674)</f>
        <v>297.5674</v>
      </c>
      <c r="F762" s="434">
        <f>IFERROR(__xludf.DUMMYFUNCTION("""COMPUTED_VALUE"""),45687.99861111111)</f>
        <v>45687.99861</v>
      </c>
      <c r="G762" s="433">
        <f>IFERROR(__xludf.DUMMYFUNCTION("""COMPUTED_VALUE"""),105403.1)</f>
        <v>105403.1</v>
      </c>
      <c r="H762" s="434">
        <f>IFERROR(__xludf.DUMMYFUNCTION("""COMPUTED_VALUE"""),45686.99861111111)</f>
        <v>45686.99861</v>
      </c>
      <c r="I762" s="433">
        <f>IFERROR(__xludf.DUMMYFUNCTION("""COMPUTED_VALUE"""),3075.7713)</f>
        <v>3075.7713</v>
      </c>
    </row>
    <row r="763">
      <c r="A763" s="434">
        <f>IFERROR(__xludf.DUMMYFUNCTION("""COMPUTED_VALUE"""),43398.99861111111)</f>
        <v>43398.99861</v>
      </c>
      <c r="B763" s="433">
        <f>IFERROR(__xludf.DUMMYFUNCTION("""COMPUTED_VALUE"""),6478.63)</f>
        <v>6478.63</v>
      </c>
      <c r="C763" s="434">
        <f>IFERROR(__xludf.DUMMYFUNCTION("""COMPUTED_VALUE"""),42984.99861111111)</f>
        <v>42984.99861</v>
      </c>
      <c r="D763" s="433">
        <f>IFERROR(__xludf.DUMMYFUNCTION("""COMPUTED_VALUE"""),313.8024)</f>
        <v>313.8024</v>
      </c>
      <c r="F763" s="434">
        <f>IFERROR(__xludf.DUMMYFUNCTION("""COMPUTED_VALUE"""),45688.99861111111)</f>
        <v>45688.99861</v>
      </c>
      <c r="G763" s="433">
        <f>IFERROR(__xludf.DUMMYFUNCTION("""COMPUTED_VALUE"""),104008.8)</f>
        <v>104008.8</v>
      </c>
      <c r="H763" s="434">
        <f>IFERROR(__xludf.DUMMYFUNCTION("""COMPUTED_VALUE"""),45687.99861111111)</f>
        <v>45687.99861</v>
      </c>
      <c r="I763" s="433">
        <f>IFERROR(__xludf.DUMMYFUNCTION("""COMPUTED_VALUE"""),3114.3033)</f>
        <v>3114.3033</v>
      </c>
    </row>
    <row r="764">
      <c r="A764" s="434">
        <f>IFERROR(__xludf.DUMMYFUNCTION("""COMPUTED_VALUE"""),43399.99861111111)</f>
        <v>43399.99861</v>
      </c>
      <c r="B764" s="433">
        <f>IFERROR(__xludf.DUMMYFUNCTION("""COMPUTED_VALUE"""),6475.54)</f>
        <v>6475.54</v>
      </c>
      <c r="C764" s="434">
        <f>IFERROR(__xludf.DUMMYFUNCTION("""COMPUTED_VALUE"""),42985.99861111111)</f>
        <v>42985.99861</v>
      </c>
      <c r="D764" s="433">
        <f>IFERROR(__xludf.DUMMYFUNCTION("""COMPUTED_VALUE"""),333.519)</f>
        <v>333.519</v>
      </c>
      <c r="F764" s="434">
        <f>IFERROR(__xludf.DUMMYFUNCTION("""COMPUTED_VALUE"""),45689.99861111111)</f>
        <v>45689.99861</v>
      </c>
      <c r="G764" s="433">
        <f>IFERROR(__xludf.DUMMYFUNCTION("""COMPUTED_VALUE"""),102345.6)</f>
        <v>102345.6</v>
      </c>
      <c r="H764" s="434">
        <f>IFERROR(__xludf.DUMMYFUNCTION("""COMPUTED_VALUE"""),45688.99861111111)</f>
        <v>45688.99861</v>
      </c>
      <c r="I764" s="433">
        <f>IFERROR(__xludf.DUMMYFUNCTION("""COMPUTED_VALUE"""),3247.7702)</f>
        <v>3247.7702</v>
      </c>
    </row>
    <row r="765">
      <c r="A765" s="434">
        <f>IFERROR(__xludf.DUMMYFUNCTION("""COMPUTED_VALUE"""),43400.99861111111)</f>
        <v>43400.99861</v>
      </c>
      <c r="B765" s="433">
        <f>IFERROR(__xludf.DUMMYFUNCTION("""COMPUTED_VALUE"""),6479.03)</f>
        <v>6479.03</v>
      </c>
      <c r="C765" s="434">
        <f>IFERROR(__xludf.DUMMYFUNCTION("""COMPUTED_VALUE"""),42986.99861111111)</f>
        <v>42986.99861</v>
      </c>
      <c r="D765" s="433">
        <f>IFERROR(__xludf.DUMMYFUNCTION("""COMPUTED_VALUE"""),329.6364)</f>
        <v>329.6364</v>
      </c>
      <c r="F765" s="434">
        <f>IFERROR(__xludf.DUMMYFUNCTION("""COMPUTED_VALUE"""),45690.99861111111)</f>
        <v>45690.99861</v>
      </c>
      <c r="G765" s="433">
        <f>IFERROR(__xludf.DUMMYFUNCTION("""COMPUTED_VALUE"""),99655.54)</f>
        <v>99655.54</v>
      </c>
      <c r="H765" s="434">
        <f>IFERROR(__xludf.DUMMYFUNCTION("""COMPUTED_VALUE"""),45689.99861111111)</f>
        <v>45689.99861</v>
      </c>
      <c r="I765" s="433">
        <f>IFERROR(__xludf.DUMMYFUNCTION("""COMPUTED_VALUE"""),3298.9187)</f>
        <v>3298.9187</v>
      </c>
    </row>
    <row r="766">
      <c r="A766" s="434">
        <f>IFERROR(__xludf.DUMMYFUNCTION("""COMPUTED_VALUE"""),43401.99861111111)</f>
        <v>43401.99861</v>
      </c>
      <c r="B766" s="433">
        <f>IFERROR(__xludf.DUMMYFUNCTION("""COMPUTED_VALUE"""),6476.76)</f>
        <v>6476.76</v>
      </c>
      <c r="C766" s="434">
        <f>IFERROR(__xludf.DUMMYFUNCTION("""COMPUTED_VALUE"""),42987.99861111111)</f>
        <v>42987.99861</v>
      </c>
      <c r="D766" s="433">
        <f>IFERROR(__xludf.DUMMYFUNCTION("""COMPUTED_VALUE"""),296.1685)</f>
        <v>296.1685</v>
      </c>
      <c r="F766" s="434">
        <f>IFERROR(__xludf.DUMMYFUNCTION("""COMPUTED_VALUE"""),45691.99861111111)</f>
        <v>45691.99861</v>
      </c>
      <c r="G766" s="433">
        <f>IFERROR(__xludf.DUMMYFUNCTION("""COMPUTED_VALUE"""),92883.21)</f>
        <v>92883.21</v>
      </c>
      <c r="H766" s="434">
        <f>IFERROR(__xludf.DUMMYFUNCTION("""COMPUTED_VALUE"""),45690.99861111111)</f>
        <v>45690.99861</v>
      </c>
      <c r="I766" s="433">
        <f>IFERROR(__xludf.DUMMYFUNCTION("""COMPUTED_VALUE"""),3116.8988)</f>
        <v>3116.8988</v>
      </c>
    </row>
    <row r="767">
      <c r="A767" s="434">
        <f>IFERROR(__xludf.DUMMYFUNCTION("""COMPUTED_VALUE"""),43402.99861111111)</f>
        <v>43402.99861</v>
      </c>
      <c r="B767" s="433">
        <f>IFERROR(__xludf.DUMMYFUNCTION("""COMPUTED_VALUE"""),6313.7)</f>
        <v>6313.7</v>
      </c>
      <c r="C767" s="434">
        <f>IFERROR(__xludf.DUMMYFUNCTION("""COMPUTED_VALUE"""),42988.99861111111)</f>
        <v>42988.99861</v>
      </c>
      <c r="D767" s="433">
        <f>IFERROR(__xludf.DUMMYFUNCTION("""COMPUTED_VALUE"""),294.0643)</f>
        <v>294.0643</v>
      </c>
      <c r="F767" s="434">
        <f>IFERROR(__xludf.DUMMYFUNCTION("""COMPUTED_VALUE"""),45692.99861111111)</f>
        <v>45692.99861</v>
      </c>
      <c r="G767" s="433">
        <f>IFERROR(__xludf.DUMMYFUNCTION("""COMPUTED_VALUE"""),100156.4)</f>
        <v>100156.4</v>
      </c>
      <c r="H767" s="434">
        <f>IFERROR(__xludf.DUMMYFUNCTION("""COMPUTED_VALUE"""),45691.99861111111)</f>
        <v>45691.99861</v>
      </c>
      <c r="I767" s="433">
        <f>IFERROR(__xludf.DUMMYFUNCTION("""COMPUTED_VALUE"""),2869.2932)</f>
        <v>2869.2932</v>
      </c>
    </row>
    <row r="768">
      <c r="A768" s="434">
        <f>IFERROR(__xludf.DUMMYFUNCTION("""COMPUTED_VALUE"""),43403.99861111111)</f>
        <v>43403.99861</v>
      </c>
      <c r="B768" s="433">
        <f>IFERROR(__xludf.DUMMYFUNCTION("""COMPUTED_VALUE"""),6309.67)</f>
        <v>6309.67</v>
      </c>
      <c r="C768" s="434">
        <f>IFERROR(__xludf.DUMMYFUNCTION("""COMPUTED_VALUE"""),42989.99861111111)</f>
        <v>42989.99861</v>
      </c>
      <c r="D768" s="433">
        <f>IFERROR(__xludf.DUMMYFUNCTION("""COMPUTED_VALUE"""),289.7448)</f>
        <v>289.7448</v>
      </c>
      <c r="F768" s="434">
        <f>IFERROR(__xludf.DUMMYFUNCTION("""COMPUTED_VALUE"""),45693.99861111111)</f>
        <v>45693.99861</v>
      </c>
      <c r="G768" s="433">
        <f>IFERROR(__xludf.DUMMYFUNCTION("""COMPUTED_VALUE"""),98136.17)</f>
        <v>98136.17</v>
      </c>
      <c r="H768" s="434">
        <f>IFERROR(__xludf.DUMMYFUNCTION("""COMPUTED_VALUE"""),45692.99861111111)</f>
        <v>45692.99861</v>
      </c>
      <c r="I768" s="433">
        <f>IFERROR(__xludf.DUMMYFUNCTION("""COMPUTED_VALUE"""),2883.2151)</f>
        <v>2883.2151</v>
      </c>
    </row>
    <row r="769">
      <c r="A769" s="434">
        <f>IFERROR(__xludf.DUMMYFUNCTION("""COMPUTED_VALUE"""),43404.99861111111)</f>
        <v>43404.99861</v>
      </c>
      <c r="B769" s="433">
        <f>IFERROR(__xludf.DUMMYFUNCTION("""COMPUTED_VALUE"""),6340.38)</f>
        <v>6340.38</v>
      </c>
      <c r="C769" s="434">
        <f>IFERROR(__xludf.DUMMYFUNCTION("""COMPUTED_VALUE"""),42990.99861111111)</f>
        <v>42990.99861</v>
      </c>
      <c r="D769" s="433">
        <f>IFERROR(__xludf.DUMMYFUNCTION("""COMPUTED_VALUE"""),294.6298)</f>
        <v>294.6298</v>
      </c>
      <c r="F769" s="434">
        <f>IFERROR(__xludf.DUMMYFUNCTION("""COMPUTED_VALUE"""),45694.99861111111)</f>
        <v>45694.99861</v>
      </c>
      <c r="G769" s="433">
        <f>IFERROR(__xludf.DUMMYFUNCTION("""COMPUTED_VALUE"""),97649.43)</f>
        <v>97649.43</v>
      </c>
      <c r="H769" s="434">
        <f>IFERROR(__xludf.DUMMYFUNCTION("""COMPUTED_VALUE"""),45693.99861111111)</f>
        <v>45693.99861</v>
      </c>
      <c r="I769" s="433">
        <f>IFERROR(__xludf.DUMMYFUNCTION("""COMPUTED_VALUE"""),2732.0012)</f>
        <v>2732.0012</v>
      </c>
    </row>
    <row r="770">
      <c r="A770" s="434">
        <f>IFERROR(__xludf.DUMMYFUNCTION("""COMPUTED_VALUE"""),43405.99861111111)</f>
        <v>43405.99861</v>
      </c>
      <c r="B770" s="433">
        <f>IFERROR(__xludf.DUMMYFUNCTION("""COMPUTED_VALUE"""),6385.378)</f>
        <v>6385.378</v>
      </c>
      <c r="C770" s="434">
        <f>IFERROR(__xludf.DUMMYFUNCTION("""COMPUTED_VALUE"""),42991.99861111111)</f>
        <v>42991.99861</v>
      </c>
      <c r="D770" s="433">
        <f>IFERROR(__xludf.DUMMYFUNCTION("""COMPUTED_VALUE"""),291.1216)</f>
        <v>291.1216</v>
      </c>
      <c r="F770" s="434">
        <f>IFERROR(__xludf.DUMMYFUNCTION("""COMPUTED_VALUE"""),45695.99861111111)</f>
        <v>45695.99861</v>
      </c>
      <c r="G770" s="433">
        <f>IFERROR(__xludf.DUMMYFUNCTION("""COMPUTED_VALUE"""),97519.86)</f>
        <v>97519.86</v>
      </c>
      <c r="H770" s="434">
        <f>IFERROR(__xludf.DUMMYFUNCTION("""COMPUTED_VALUE"""),45694.99861111111)</f>
        <v>45694.99861</v>
      </c>
      <c r="I770" s="433">
        <f>IFERROR(__xludf.DUMMYFUNCTION("""COMPUTED_VALUE"""),2788.2941)</f>
        <v>2788.2941</v>
      </c>
    </row>
    <row r="771">
      <c r="A771" s="434">
        <f>IFERROR(__xludf.DUMMYFUNCTION("""COMPUTED_VALUE"""),43406.99861111111)</f>
        <v>43406.99861</v>
      </c>
      <c r="B771" s="433">
        <f>IFERROR(__xludf.DUMMYFUNCTION("""COMPUTED_VALUE"""),6397.465)</f>
        <v>6397.465</v>
      </c>
      <c r="C771" s="434">
        <f>IFERROR(__xludf.DUMMYFUNCTION("""COMPUTED_VALUE"""),42992.99861111111)</f>
        <v>42992.99861</v>
      </c>
      <c r="D771" s="433">
        <f>IFERROR(__xludf.DUMMYFUNCTION("""COMPUTED_VALUE"""),276.5868)</f>
        <v>276.5868</v>
      </c>
      <c r="F771" s="434">
        <f>IFERROR(__xludf.DUMMYFUNCTION("""COMPUTED_VALUE"""),45696.99861111111)</f>
        <v>45696.99861</v>
      </c>
      <c r="G771" s="433">
        <f>IFERROR(__xludf.DUMMYFUNCTION("""COMPUTED_VALUE"""),96362.31)</f>
        <v>96362.31</v>
      </c>
      <c r="H771" s="434">
        <f>IFERROR(__xludf.DUMMYFUNCTION("""COMPUTED_VALUE"""),45695.99861111111)</f>
        <v>45695.99861</v>
      </c>
      <c r="I771" s="433">
        <f>IFERROR(__xludf.DUMMYFUNCTION("""COMPUTED_VALUE"""),2688.0574)</f>
        <v>2688.0574</v>
      </c>
    </row>
    <row r="772">
      <c r="A772" s="434">
        <f>IFERROR(__xludf.DUMMYFUNCTION("""COMPUTED_VALUE"""),43407.99861111111)</f>
        <v>43407.99861</v>
      </c>
      <c r="B772" s="433">
        <f>IFERROR(__xludf.DUMMYFUNCTION("""COMPUTED_VALUE"""),6371.697)</f>
        <v>6371.697</v>
      </c>
      <c r="C772" s="434">
        <f>IFERROR(__xludf.DUMMYFUNCTION("""COMPUTED_VALUE"""),42993.99861111111)</f>
        <v>42993.99861</v>
      </c>
      <c r="D772" s="433">
        <f>IFERROR(__xludf.DUMMYFUNCTION("""COMPUTED_VALUE"""),215.2211)</f>
        <v>215.2211</v>
      </c>
      <c r="F772" s="434">
        <f>IFERROR(__xludf.DUMMYFUNCTION("""COMPUTED_VALUE"""),45697.99861111111)</f>
        <v>45697.99861</v>
      </c>
      <c r="G772" s="433">
        <f>IFERROR(__xludf.DUMMYFUNCTION("""COMPUTED_VALUE"""),97281.8)</f>
        <v>97281.8</v>
      </c>
      <c r="H772" s="434">
        <f>IFERROR(__xludf.DUMMYFUNCTION("""COMPUTED_VALUE"""),45696.99861111111)</f>
        <v>45696.99861</v>
      </c>
      <c r="I772" s="433">
        <f>IFERROR(__xludf.DUMMYFUNCTION("""COMPUTED_VALUE"""),2623.0346)</f>
        <v>2623.0346</v>
      </c>
    </row>
    <row r="773">
      <c r="A773" s="434">
        <f>IFERROR(__xludf.DUMMYFUNCTION("""COMPUTED_VALUE"""),43408.99861111111)</f>
        <v>43408.99861</v>
      </c>
      <c r="B773" s="433">
        <f>IFERROR(__xludf.DUMMYFUNCTION("""COMPUTED_VALUE"""),6449.641)</f>
        <v>6449.641</v>
      </c>
      <c r="C773" s="434">
        <f>IFERROR(__xludf.DUMMYFUNCTION("""COMPUTED_VALUE"""),42994.99861111111)</f>
        <v>42994.99861</v>
      </c>
      <c r="D773" s="433">
        <f>IFERROR(__xludf.DUMMYFUNCTION("""COMPUTED_VALUE"""),250.8656)</f>
        <v>250.8656</v>
      </c>
      <c r="F773" s="434">
        <f>IFERROR(__xludf.DUMMYFUNCTION("""COMPUTED_VALUE"""),45698.99861111111)</f>
        <v>45698.99861</v>
      </c>
      <c r="G773" s="433">
        <f>IFERROR(__xludf.DUMMYFUNCTION("""COMPUTED_VALUE"""),96932.82)</f>
        <v>96932.82</v>
      </c>
      <c r="H773" s="434">
        <f>IFERROR(__xludf.DUMMYFUNCTION("""COMPUTED_VALUE"""),45697.99861111111)</f>
        <v>45697.99861</v>
      </c>
      <c r="I773" s="433">
        <f>IFERROR(__xludf.DUMMYFUNCTION("""COMPUTED_VALUE"""),2632.9375)</f>
        <v>2632.9375</v>
      </c>
    </row>
    <row r="774">
      <c r="A774" s="434">
        <f>IFERROR(__xludf.DUMMYFUNCTION("""COMPUTED_VALUE"""),43409.99861111111)</f>
        <v>43409.99861</v>
      </c>
      <c r="B774" s="433">
        <f>IFERROR(__xludf.DUMMYFUNCTION("""COMPUTED_VALUE"""),6427.679)</f>
        <v>6427.679</v>
      </c>
      <c r="C774" s="434">
        <f>IFERROR(__xludf.DUMMYFUNCTION("""COMPUTED_VALUE"""),42995.99861111111)</f>
        <v>42995.99861</v>
      </c>
      <c r="D774" s="433">
        <f>IFERROR(__xludf.DUMMYFUNCTION("""COMPUTED_VALUE"""),245.8488)</f>
        <v>245.8488</v>
      </c>
      <c r="F774" s="434">
        <f>IFERROR(__xludf.DUMMYFUNCTION("""COMPUTED_VALUE"""),45699.99861111111)</f>
        <v>45699.99861</v>
      </c>
      <c r="G774" s="433">
        <f>IFERROR(__xludf.DUMMYFUNCTION("""COMPUTED_VALUE"""),98077.13)</f>
        <v>98077.13</v>
      </c>
      <c r="H774" s="434">
        <f>IFERROR(__xludf.DUMMYFUNCTION("""COMPUTED_VALUE"""),45698.99861111111)</f>
        <v>45698.99861</v>
      </c>
      <c r="I774" s="433">
        <f>IFERROR(__xludf.DUMMYFUNCTION("""COMPUTED_VALUE"""),2628.011)</f>
        <v>2628.011</v>
      </c>
    </row>
    <row r="775">
      <c r="A775" s="434">
        <f>IFERROR(__xludf.DUMMYFUNCTION("""COMPUTED_VALUE"""),43410.99861111111)</f>
        <v>43410.99861</v>
      </c>
      <c r="B775" s="433">
        <f>IFERROR(__xludf.DUMMYFUNCTION("""COMPUTED_VALUE"""),6465.923)</f>
        <v>6465.923</v>
      </c>
      <c r="C775" s="434">
        <f>IFERROR(__xludf.DUMMYFUNCTION("""COMPUTED_VALUE"""),42996.99861111111)</f>
        <v>42996.99861</v>
      </c>
      <c r="D775" s="433">
        <f>IFERROR(__xludf.DUMMYFUNCTION("""COMPUTED_VALUE"""),252.2271)</f>
        <v>252.2271</v>
      </c>
      <c r="F775" s="434">
        <f>IFERROR(__xludf.DUMMYFUNCTION("""COMPUTED_VALUE"""),45700.99861111111)</f>
        <v>45700.99861</v>
      </c>
      <c r="G775" s="433">
        <f>IFERROR(__xludf.DUMMYFUNCTION("""COMPUTED_VALUE"""),95573.3)</f>
        <v>95573.3</v>
      </c>
      <c r="H775" s="434">
        <f>IFERROR(__xludf.DUMMYFUNCTION("""COMPUTED_VALUE"""),45699.99861111111)</f>
        <v>45699.99861</v>
      </c>
      <c r="I775" s="433">
        <f>IFERROR(__xludf.DUMMYFUNCTION("""COMPUTED_VALUE"""),2661.4868)</f>
        <v>2661.4868</v>
      </c>
    </row>
    <row r="776">
      <c r="A776" s="434">
        <f>IFERROR(__xludf.DUMMYFUNCTION("""COMPUTED_VALUE"""),43411.99861111111)</f>
        <v>43411.99861</v>
      </c>
      <c r="B776" s="433">
        <f>IFERROR(__xludf.DUMMYFUNCTION("""COMPUTED_VALUE"""),6541.703)</f>
        <v>6541.703</v>
      </c>
      <c r="C776" s="434">
        <f>IFERROR(__xludf.DUMMYFUNCTION("""COMPUTED_VALUE"""),42997.99861111111)</f>
        <v>42997.99861</v>
      </c>
      <c r="D776" s="433">
        <f>IFERROR(__xludf.DUMMYFUNCTION("""COMPUTED_VALUE"""),293.656)</f>
        <v>293.656</v>
      </c>
      <c r="F776" s="434">
        <f>IFERROR(__xludf.DUMMYFUNCTION("""COMPUTED_VALUE"""),45701.99861111111)</f>
        <v>45701.99861</v>
      </c>
      <c r="G776" s="433">
        <f>IFERROR(__xludf.DUMMYFUNCTION("""COMPUTED_VALUE"""),96900.99)</f>
        <v>96900.99</v>
      </c>
      <c r="H776" s="434">
        <f>IFERROR(__xludf.DUMMYFUNCTION("""COMPUTED_VALUE"""),45700.99861111111)</f>
        <v>45700.99861</v>
      </c>
      <c r="I776" s="433">
        <f>IFERROR(__xludf.DUMMYFUNCTION("""COMPUTED_VALUE"""),2602.6286)</f>
        <v>2602.6286</v>
      </c>
    </row>
    <row r="777">
      <c r="A777" s="434">
        <f>IFERROR(__xludf.DUMMYFUNCTION("""COMPUTED_VALUE"""),43412.99861111111)</f>
        <v>43412.99861</v>
      </c>
      <c r="B777" s="433">
        <f>IFERROR(__xludf.DUMMYFUNCTION("""COMPUTED_VALUE"""),6444.971)</f>
        <v>6444.971</v>
      </c>
      <c r="C777" s="434">
        <f>IFERROR(__xludf.DUMMYFUNCTION("""COMPUTED_VALUE"""),42998.99861111111)</f>
        <v>42998.99861</v>
      </c>
      <c r="D777" s="433">
        <f>IFERROR(__xludf.DUMMYFUNCTION("""COMPUTED_VALUE"""),282.0154)</f>
        <v>282.0154</v>
      </c>
      <c r="F777" s="434">
        <f>IFERROR(__xludf.DUMMYFUNCTION("""COMPUTED_VALUE"""),45702.99861111111)</f>
        <v>45702.99861</v>
      </c>
      <c r="G777" s="433">
        <f>IFERROR(__xludf.DUMMYFUNCTION("""COMPUTED_VALUE"""),96796.01)</f>
        <v>96796.01</v>
      </c>
      <c r="H777" s="434">
        <f>IFERROR(__xludf.DUMMYFUNCTION("""COMPUTED_VALUE"""),45701.99861111111)</f>
        <v>45701.99861</v>
      </c>
      <c r="I777" s="433">
        <f>IFERROR(__xludf.DUMMYFUNCTION("""COMPUTED_VALUE"""),2737.7892)</f>
        <v>2737.7892</v>
      </c>
    </row>
    <row r="778">
      <c r="A778" s="434">
        <f>IFERROR(__xludf.DUMMYFUNCTION("""COMPUTED_VALUE"""),43413.99861111111)</f>
        <v>43413.99861</v>
      </c>
      <c r="B778" s="433">
        <f>IFERROR(__xludf.DUMMYFUNCTION("""COMPUTED_VALUE"""),6386.765)</f>
        <v>6386.765</v>
      </c>
      <c r="C778" s="434">
        <f>IFERROR(__xludf.DUMMYFUNCTION("""COMPUTED_VALUE"""),42999.99861111111)</f>
        <v>42999.99861</v>
      </c>
      <c r="D778" s="433">
        <f>IFERROR(__xludf.DUMMYFUNCTION("""COMPUTED_VALUE"""),283.263)</f>
        <v>283.263</v>
      </c>
      <c r="F778" s="434">
        <f>IFERROR(__xludf.DUMMYFUNCTION("""COMPUTED_VALUE"""),45703.99861111111)</f>
        <v>45703.99861</v>
      </c>
      <c r="G778" s="433">
        <f>IFERROR(__xludf.DUMMYFUNCTION("""COMPUTED_VALUE"""),97544.53)</f>
        <v>97544.53</v>
      </c>
      <c r="H778" s="434">
        <f>IFERROR(__xludf.DUMMYFUNCTION("""COMPUTED_VALUE"""),45702.99861111111)</f>
        <v>45702.99861</v>
      </c>
      <c r="I778" s="433">
        <f>IFERROR(__xludf.DUMMYFUNCTION("""COMPUTED_VALUE"""),2676.2042)</f>
        <v>2676.2042</v>
      </c>
    </row>
    <row r="779">
      <c r="A779" s="434">
        <f>IFERROR(__xludf.DUMMYFUNCTION("""COMPUTED_VALUE"""),43414.99861111111)</f>
        <v>43414.99861</v>
      </c>
      <c r="B779" s="433">
        <f>IFERROR(__xludf.DUMMYFUNCTION("""COMPUTED_VALUE"""),6399.844)</f>
        <v>6399.844</v>
      </c>
      <c r="C779" s="434">
        <f>IFERROR(__xludf.DUMMYFUNCTION("""COMPUTED_VALUE"""),43000.99861111111)</f>
        <v>43000.99861</v>
      </c>
      <c r="D779" s="433">
        <f>IFERROR(__xludf.DUMMYFUNCTION("""COMPUTED_VALUE"""),258.1138)</f>
        <v>258.1138</v>
      </c>
      <c r="F779" s="434">
        <f>IFERROR(__xludf.DUMMYFUNCTION("""COMPUTED_VALUE"""),45704.99861111111)</f>
        <v>45704.99861</v>
      </c>
      <c r="G779" s="433">
        <f>IFERROR(__xludf.DUMMYFUNCTION("""COMPUTED_VALUE"""),97580.92)</f>
        <v>97580.92</v>
      </c>
      <c r="H779" s="434">
        <f>IFERROR(__xludf.DUMMYFUNCTION("""COMPUTED_VALUE"""),45703.99861111111)</f>
        <v>45703.99861</v>
      </c>
      <c r="I779" s="433">
        <f>IFERROR(__xludf.DUMMYFUNCTION("""COMPUTED_VALUE"""),2725.7036)</f>
        <v>2725.7036</v>
      </c>
    </row>
    <row r="780">
      <c r="A780" s="434">
        <f>IFERROR(__xludf.DUMMYFUNCTION("""COMPUTED_VALUE"""),43415.99861111111)</f>
        <v>43415.99861</v>
      </c>
      <c r="B780" s="433">
        <f>IFERROR(__xludf.DUMMYFUNCTION("""COMPUTED_VALUE"""),6409.501)</f>
        <v>6409.501</v>
      </c>
      <c r="C780" s="434">
        <f>IFERROR(__xludf.DUMMYFUNCTION("""COMPUTED_VALUE"""),43001.99861111111)</f>
        <v>43001.99861</v>
      </c>
      <c r="D780" s="433">
        <f>IFERROR(__xludf.DUMMYFUNCTION("""COMPUTED_VALUE"""),264.5989)</f>
        <v>264.5989</v>
      </c>
      <c r="F780" s="434">
        <f>IFERROR(__xludf.DUMMYFUNCTION("""COMPUTED_VALUE"""),45705.99861111111)</f>
        <v>45705.99861</v>
      </c>
      <c r="G780" s="433">
        <f>IFERROR(__xludf.DUMMYFUNCTION("""COMPUTED_VALUE"""),96127.14)</f>
        <v>96127.14</v>
      </c>
      <c r="H780" s="434">
        <f>IFERROR(__xludf.DUMMYFUNCTION("""COMPUTED_VALUE"""),45704.99861111111)</f>
        <v>45704.99861</v>
      </c>
      <c r="I780" s="433">
        <f>IFERROR(__xludf.DUMMYFUNCTION("""COMPUTED_VALUE"""),2693.5246)</f>
        <v>2693.5246</v>
      </c>
    </row>
    <row r="781">
      <c r="A781" s="434">
        <f>IFERROR(__xludf.DUMMYFUNCTION("""COMPUTED_VALUE"""),43416.99861111111)</f>
        <v>43416.99861</v>
      </c>
      <c r="B781" s="433">
        <f>IFERROR(__xludf.DUMMYFUNCTION("""COMPUTED_VALUE"""),6388.272)</f>
        <v>6388.272</v>
      </c>
      <c r="C781" s="434">
        <f>IFERROR(__xludf.DUMMYFUNCTION("""COMPUTED_VALUE"""),43002.99861111111)</f>
        <v>43002.99861</v>
      </c>
      <c r="D781" s="433">
        <f>IFERROR(__xludf.DUMMYFUNCTION("""COMPUTED_VALUE"""),286.2137)</f>
        <v>286.2137</v>
      </c>
      <c r="F781" s="434">
        <f>IFERROR(__xludf.DUMMYFUNCTION("""COMPUTED_VALUE"""),45706.99861111111)</f>
        <v>45706.99861</v>
      </c>
      <c r="G781" s="433">
        <f>IFERROR(__xludf.DUMMYFUNCTION("""COMPUTED_VALUE"""),96096.47)</f>
        <v>96096.47</v>
      </c>
      <c r="H781" s="434">
        <f>IFERROR(__xludf.DUMMYFUNCTION("""COMPUTED_VALUE"""),45705.99861111111)</f>
        <v>45705.99861</v>
      </c>
      <c r="I781" s="433">
        <f>IFERROR(__xludf.DUMMYFUNCTION("""COMPUTED_VALUE"""),2662.2272)</f>
        <v>2662.2272</v>
      </c>
    </row>
    <row r="782">
      <c r="A782" s="434">
        <f>IFERROR(__xludf.DUMMYFUNCTION("""COMPUTED_VALUE"""),43417.99861111111)</f>
        <v>43417.99861</v>
      </c>
      <c r="B782" s="433">
        <f>IFERROR(__xludf.DUMMYFUNCTION("""COMPUTED_VALUE"""),6323.938)</f>
        <v>6323.938</v>
      </c>
      <c r="C782" s="434">
        <f>IFERROR(__xludf.DUMMYFUNCTION("""COMPUTED_VALUE"""),43003.99861111111)</f>
        <v>43003.99861</v>
      </c>
      <c r="D782" s="433">
        <f>IFERROR(__xludf.DUMMYFUNCTION("""COMPUTED_VALUE"""),282.2177)</f>
        <v>282.2177</v>
      </c>
      <c r="F782" s="434">
        <f>IFERROR(__xludf.DUMMYFUNCTION("""COMPUTED_VALUE"""),45707.99861111111)</f>
        <v>45707.99861</v>
      </c>
      <c r="G782" s="433">
        <f>IFERROR(__xludf.DUMMYFUNCTION("""COMPUTED_VALUE"""),95307.54)</f>
        <v>95307.54</v>
      </c>
      <c r="H782" s="434">
        <f>IFERROR(__xludf.DUMMYFUNCTION("""COMPUTED_VALUE"""),45706.99861111111)</f>
        <v>45706.99861</v>
      </c>
      <c r="I782" s="433">
        <f>IFERROR(__xludf.DUMMYFUNCTION("""COMPUTED_VALUE"""),2743.7816)</f>
        <v>2743.7816</v>
      </c>
    </row>
    <row r="783">
      <c r="A783" s="434">
        <f>IFERROR(__xludf.DUMMYFUNCTION("""COMPUTED_VALUE"""),43418.99861111111)</f>
        <v>43418.99861</v>
      </c>
      <c r="B783" s="433">
        <f>IFERROR(__xludf.DUMMYFUNCTION("""COMPUTED_VALUE"""),5788.644)</f>
        <v>5788.644</v>
      </c>
      <c r="C783" s="434">
        <f>IFERROR(__xludf.DUMMYFUNCTION("""COMPUTED_VALUE"""),43004.99861111111)</f>
        <v>43004.99861</v>
      </c>
      <c r="D783" s="433">
        <f>IFERROR(__xludf.DUMMYFUNCTION("""COMPUTED_VALUE"""),292.3457)</f>
        <v>292.3457</v>
      </c>
      <c r="F783" s="434">
        <f>IFERROR(__xludf.DUMMYFUNCTION("""COMPUTED_VALUE"""),45708.99861111111)</f>
        <v>45708.99861</v>
      </c>
      <c r="G783" s="433">
        <f>IFERROR(__xludf.DUMMYFUNCTION("""COMPUTED_VALUE"""),97243.08)</f>
        <v>97243.08</v>
      </c>
      <c r="H783" s="434">
        <f>IFERROR(__xludf.DUMMYFUNCTION("""COMPUTED_VALUE"""),45707.99861111111)</f>
        <v>45707.99861</v>
      </c>
      <c r="I783" s="433">
        <f>IFERROR(__xludf.DUMMYFUNCTION("""COMPUTED_VALUE"""),2669.9008)</f>
        <v>2669.9008</v>
      </c>
    </row>
    <row r="784">
      <c r="A784" s="434">
        <f>IFERROR(__xludf.DUMMYFUNCTION("""COMPUTED_VALUE"""),43419.99861111111)</f>
        <v>43419.99861</v>
      </c>
      <c r="B784" s="433">
        <f>IFERROR(__xludf.DUMMYFUNCTION("""COMPUTED_VALUE"""),5673.032)</f>
        <v>5673.032</v>
      </c>
      <c r="C784" s="434">
        <f>IFERROR(__xludf.DUMMYFUNCTION("""COMPUTED_VALUE"""),43005.99861111111)</f>
        <v>43005.99861</v>
      </c>
      <c r="D784" s="433">
        <f>IFERROR(__xludf.DUMMYFUNCTION("""COMPUTED_VALUE"""),287.0198)</f>
        <v>287.0198</v>
      </c>
      <c r="F784" s="434">
        <f>IFERROR(__xludf.DUMMYFUNCTION("""COMPUTED_VALUE"""),45709.99861111111)</f>
        <v>45709.99861</v>
      </c>
      <c r="G784" s="433">
        <f>IFERROR(__xludf.DUMMYFUNCTION("""COMPUTED_VALUE"""),98249.46)</f>
        <v>98249.46</v>
      </c>
      <c r="H784" s="434">
        <f>IFERROR(__xludf.DUMMYFUNCTION("""COMPUTED_VALUE"""),45708.99861111111)</f>
        <v>45708.99861</v>
      </c>
      <c r="I784" s="433">
        <f>IFERROR(__xludf.DUMMYFUNCTION("""COMPUTED_VALUE"""),2715.3959)</f>
        <v>2715.3959</v>
      </c>
    </row>
    <row r="785">
      <c r="A785" s="434">
        <f>IFERROR(__xludf.DUMMYFUNCTION("""COMPUTED_VALUE"""),43420.99861111111)</f>
        <v>43420.99861</v>
      </c>
      <c r="B785" s="433">
        <f>IFERROR(__xludf.DUMMYFUNCTION("""COMPUTED_VALUE"""),5617.132)</f>
        <v>5617.132</v>
      </c>
      <c r="C785" s="434">
        <f>IFERROR(__xludf.DUMMYFUNCTION("""COMPUTED_VALUE"""),43006.99861111111)</f>
        <v>43006.99861</v>
      </c>
      <c r="D785" s="433">
        <f>IFERROR(__xludf.DUMMYFUNCTION("""COMPUTED_VALUE"""),306.4712)</f>
        <v>306.4712</v>
      </c>
      <c r="F785" s="434">
        <f>IFERROR(__xludf.DUMMYFUNCTION("""COMPUTED_VALUE"""),45710.99861111111)</f>
        <v>45710.99861</v>
      </c>
      <c r="G785" s="433">
        <f>IFERROR(__xludf.DUMMYFUNCTION("""COMPUTED_VALUE"""),96436.56)</f>
        <v>96436.56</v>
      </c>
      <c r="H785" s="434">
        <f>IFERROR(__xludf.DUMMYFUNCTION("""COMPUTED_VALUE"""),45709.99861111111)</f>
        <v>45709.99861</v>
      </c>
      <c r="I785" s="433">
        <f>IFERROR(__xludf.DUMMYFUNCTION("""COMPUTED_VALUE"""),2739.468)</f>
        <v>2739.468</v>
      </c>
    </row>
    <row r="786">
      <c r="A786" s="434">
        <f>IFERROR(__xludf.DUMMYFUNCTION("""COMPUTED_VALUE"""),43421.99861111111)</f>
        <v>43421.99861</v>
      </c>
      <c r="B786" s="433">
        <f>IFERROR(__xludf.DUMMYFUNCTION("""COMPUTED_VALUE"""),5592.834)</f>
        <v>5592.834</v>
      </c>
      <c r="C786" s="434">
        <f>IFERROR(__xludf.DUMMYFUNCTION("""COMPUTED_VALUE"""),43007.99861111111)</f>
        <v>43007.99861</v>
      </c>
      <c r="D786" s="433">
        <f>IFERROR(__xludf.DUMMYFUNCTION("""COMPUTED_VALUE"""),299.1196)</f>
        <v>299.1196</v>
      </c>
      <c r="F786" s="434">
        <f>IFERROR(__xludf.DUMMYFUNCTION("""COMPUTED_VALUE"""),45711.99861111111)</f>
        <v>45711.99861</v>
      </c>
      <c r="G786" s="433">
        <f>IFERROR(__xludf.DUMMYFUNCTION("""COMPUTED_VALUE"""),96443.38)</f>
        <v>96443.38</v>
      </c>
      <c r="H786" s="434">
        <f>IFERROR(__xludf.DUMMYFUNCTION("""COMPUTED_VALUE"""),45710.99861111111)</f>
        <v>45710.99861</v>
      </c>
      <c r="I786" s="433">
        <f>IFERROR(__xludf.DUMMYFUNCTION("""COMPUTED_VALUE"""),2660.6903)</f>
        <v>2660.6903</v>
      </c>
    </row>
    <row r="787">
      <c r="A787" s="434">
        <f>IFERROR(__xludf.DUMMYFUNCTION("""COMPUTED_VALUE"""),43422.99861111111)</f>
        <v>43422.99861</v>
      </c>
      <c r="B787" s="433">
        <f>IFERROR(__xludf.DUMMYFUNCTION("""COMPUTED_VALUE"""),5639.368)</f>
        <v>5639.368</v>
      </c>
      <c r="C787" s="434">
        <f>IFERROR(__xludf.DUMMYFUNCTION("""COMPUTED_VALUE"""),43008.99861111111)</f>
        <v>43008.99861</v>
      </c>
      <c r="D787" s="433">
        <f>IFERROR(__xludf.DUMMYFUNCTION("""COMPUTED_VALUE"""),291.4768)</f>
        <v>291.4768</v>
      </c>
      <c r="F787" s="434">
        <f>IFERROR(__xludf.DUMMYFUNCTION("""COMPUTED_VALUE"""),45712.99861111111)</f>
        <v>45712.99861</v>
      </c>
      <c r="G787" s="433">
        <f>IFERROR(__xludf.DUMMYFUNCTION("""COMPUTED_VALUE"""),95278.63)</f>
        <v>95278.63</v>
      </c>
      <c r="H787" s="434">
        <f>IFERROR(__xludf.DUMMYFUNCTION("""COMPUTED_VALUE"""),45711.99861111111)</f>
        <v>45711.99861</v>
      </c>
      <c r="I787" s="433">
        <f>IFERROR(__xludf.DUMMYFUNCTION("""COMPUTED_VALUE"""),2763.9902)</f>
        <v>2763.9902</v>
      </c>
    </row>
    <row r="788">
      <c r="A788" s="434">
        <f>IFERROR(__xludf.DUMMYFUNCTION("""COMPUTED_VALUE"""),43423.99861111111)</f>
        <v>43423.99861</v>
      </c>
      <c r="B788" s="433">
        <f>IFERROR(__xludf.DUMMYFUNCTION("""COMPUTED_VALUE"""),4833.181)</f>
        <v>4833.181</v>
      </c>
      <c r="C788" s="434">
        <f>IFERROR(__xludf.DUMMYFUNCTION("""COMPUTED_VALUE"""),43009.99861111111)</f>
        <v>43009.99861</v>
      </c>
      <c r="D788" s="433">
        <f>IFERROR(__xludf.DUMMYFUNCTION("""COMPUTED_VALUE"""),301.5466)</f>
        <v>301.5466</v>
      </c>
      <c r="F788" s="434">
        <f>IFERROR(__xludf.DUMMYFUNCTION("""COMPUTED_VALUE"""),45713.99861111111)</f>
        <v>45713.99861</v>
      </c>
      <c r="G788" s="433">
        <f>IFERROR(__xludf.DUMMYFUNCTION("""COMPUTED_VALUE"""),92066.2)</f>
        <v>92066.2</v>
      </c>
      <c r="H788" s="434">
        <f>IFERROR(__xludf.DUMMYFUNCTION("""COMPUTED_VALUE"""),45712.99861111111)</f>
        <v>45712.99861</v>
      </c>
      <c r="I788" s="433">
        <f>IFERROR(__xludf.DUMMYFUNCTION("""COMPUTED_VALUE"""),2819.8368)</f>
        <v>2819.8368</v>
      </c>
    </row>
    <row r="789">
      <c r="A789" s="434">
        <f>IFERROR(__xludf.DUMMYFUNCTION("""COMPUTED_VALUE"""),43424.99861111111)</f>
        <v>43424.99861</v>
      </c>
      <c r="B789" s="433">
        <f>IFERROR(__xludf.DUMMYFUNCTION("""COMPUTED_VALUE"""),4480.384)</f>
        <v>4480.384</v>
      </c>
      <c r="C789" s="434">
        <f>IFERROR(__xludf.DUMMYFUNCTION("""COMPUTED_VALUE"""),43010.99861111111)</f>
        <v>43010.99861</v>
      </c>
      <c r="D789" s="433">
        <f>IFERROR(__xludf.DUMMYFUNCTION("""COMPUTED_VALUE"""),302.4816)</f>
        <v>302.4816</v>
      </c>
      <c r="F789" s="434">
        <f>IFERROR(__xludf.DUMMYFUNCTION("""COMPUTED_VALUE"""),45714.99861111111)</f>
        <v>45714.99861</v>
      </c>
      <c r="G789" s="433">
        <f>IFERROR(__xludf.DUMMYFUNCTION("""COMPUTED_VALUE"""),88801.82)</f>
        <v>88801.82</v>
      </c>
      <c r="H789" s="434">
        <f>IFERROR(__xludf.DUMMYFUNCTION("""COMPUTED_VALUE"""),45713.99861111111)</f>
        <v>45713.99861</v>
      </c>
      <c r="I789" s="433">
        <f>IFERROR(__xludf.DUMMYFUNCTION("""COMPUTED_VALUE"""),2513.9897)</f>
        <v>2513.9897</v>
      </c>
    </row>
    <row r="790">
      <c r="A790" s="434">
        <f>IFERROR(__xludf.DUMMYFUNCTION("""COMPUTED_VALUE"""),43425.99861111111)</f>
        <v>43425.99861</v>
      </c>
      <c r="B790" s="433">
        <f>IFERROR(__xludf.DUMMYFUNCTION("""COMPUTED_VALUE"""),4614.355)</f>
        <v>4614.355</v>
      </c>
      <c r="C790" s="434">
        <f>IFERROR(__xludf.DUMMYFUNCTION("""COMPUTED_VALUE"""),43011.99861111111)</f>
        <v>43011.99861</v>
      </c>
      <c r="D790" s="433">
        <f>IFERROR(__xludf.DUMMYFUNCTION("""COMPUTED_VALUE"""),297.4826)</f>
        <v>297.4826</v>
      </c>
      <c r="F790" s="434">
        <f>IFERROR(__xludf.DUMMYFUNCTION("""COMPUTED_VALUE"""),45715.99861111111)</f>
        <v>45715.99861</v>
      </c>
      <c r="G790" s="433">
        <f>IFERROR(__xludf.DUMMYFUNCTION("""COMPUTED_VALUE"""),85090.99)</f>
        <v>85090.99</v>
      </c>
      <c r="H790" s="434">
        <f>IFERROR(__xludf.DUMMYFUNCTION("""COMPUTED_VALUE"""),45714.99861111111)</f>
        <v>45714.99861</v>
      </c>
      <c r="I790" s="433">
        <f>IFERROR(__xludf.DUMMYFUNCTION("""COMPUTED_VALUE"""),2492.342)</f>
        <v>2492.342</v>
      </c>
    </row>
    <row r="791">
      <c r="A791" s="434">
        <f>IFERROR(__xludf.DUMMYFUNCTION("""COMPUTED_VALUE"""),43426.99861111111)</f>
        <v>43426.99861</v>
      </c>
      <c r="B791" s="433">
        <f>IFERROR(__xludf.DUMMYFUNCTION("""COMPUTED_VALUE"""),4323.035)</f>
        <v>4323.035</v>
      </c>
      <c r="C791" s="434">
        <f>IFERROR(__xludf.DUMMYFUNCTION("""COMPUTED_VALUE"""),43012.99861111111)</f>
        <v>43012.99861</v>
      </c>
      <c r="D791" s="433">
        <f>IFERROR(__xludf.DUMMYFUNCTION("""COMPUTED_VALUE"""),292.7539)</f>
        <v>292.7539</v>
      </c>
      <c r="F791" s="434">
        <f>IFERROR(__xludf.DUMMYFUNCTION("""COMPUTED_VALUE"""),45716.99861111111)</f>
        <v>45716.99861</v>
      </c>
      <c r="G791" s="433">
        <f>IFERROR(__xludf.DUMMYFUNCTION("""COMPUTED_VALUE"""),80376.5)</f>
        <v>80376.5</v>
      </c>
      <c r="H791" s="434">
        <f>IFERROR(__xludf.DUMMYFUNCTION("""COMPUTED_VALUE"""),45715.99861111111)</f>
        <v>45715.99861</v>
      </c>
      <c r="I791" s="433">
        <f>IFERROR(__xludf.DUMMYFUNCTION("""COMPUTED_VALUE"""),2332.5324)</f>
        <v>2332.5324</v>
      </c>
    </row>
    <row r="792">
      <c r="A792" s="434">
        <f>IFERROR(__xludf.DUMMYFUNCTION("""COMPUTED_VALUE"""),43427.99861111111)</f>
        <v>43427.99861</v>
      </c>
      <c r="B792" s="433">
        <f>IFERROR(__xludf.DUMMYFUNCTION("""COMPUTED_VALUE"""),4337.543)</f>
        <v>4337.543</v>
      </c>
      <c r="C792" s="434">
        <f>IFERROR(__xludf.DUMMYFUNCTION("""COMPUTED_VALUE"""),43013.99861111111)</f>
        <v>43013.99861</v>
      </c>
      <c r="D792" s="433">
        <f>IFERROR(__xludf.DUMMYFUNCTION("""COMPUTED_VALUE"""),292.773)</f>
        <v>292.773</v>
      </c>
      <c r="F792" s="434">
        <f>IFERROR(__xludf.DUMMYFUNCTION("""COMPUTED_VALUE"""),45717.99861111111)</f>
        <v>45717.99861</v>
      </c>
      <c r="G792" s="433">
        <f>IFERROR(__xludf.DUMMYFUNCTION("""COMPUTED_VALUE"""),86273.05)</f>
        <v>86273.05</v>
      </c>
      <c r="H792" s="434">
        <f>IFERROR(__xludf.DUMMYFUNCTION("""COMPUTED_VALUE"""),45716.99861111111)</f>
        <v>45716.99861</v>
      </c>
      <c r="I792" s="433">
        <f>IFERROR(__xludf.DUMMYFUNCTION("""COMPUTED_VALUE"""),2305.5974)</f>
        <v>2305.5974</v>
      </c>
    </row>
    <row r="793">
      <c r="A793" s="434">
        <f>IFERROR(__xludf.DUMMYFUNCTION("""COMPUTED_VALUE"""),43428.99861111111)</f>
        <v>43428.99861</v>
      </c>
      <c r="B793" s="433">
        <f>IFERROR(__xludf.DUMMYFUNCTION("""COMPUTED_VALUE"""),3899.059)</f>
        <v>3899.059</v>
      </c>
      <c r="C793" s="434">
        <f>IFERROR(__xludf.DUMMYFUNCTION("""COMPUTED_VALUE"""),43014.99861111111)</f>
        <v>43014.99861</v>
      </c>
      <c r="D793" s="433">
        <f>IFERROR(__xludf.DUMMYFUNCTION("""COMPUTED_VALUE"""),295.1546)</f>
        <v>295.1546</v>
      </c>
      <c r="F793" s="434">
        <f>IFERROR(__xludf.DUMMYFUNCTION("""COMPUTED_VALUE"""),45718.99861111111)</f>
        <v>45718.99861</v>
      </c>
      <c r="G793" s="433">
        <f>IFERROR(__xludf.DUMMYFUNCTION("""COMPUTED_VALUE"""),85812.15)</f>
        <v>85812.15</v>
      </c>
      <c r="H793" s="434">
        <f>IFERROR(__xludf.DUMMYFUNCTION("""COMPUTED_VALUE"""),45717.99861111111)</f>
        <v>45717.99861</v>
      </c>
      <c r="I793" s="433">
        <f>IFERROR(__xludf.DUMMYFUNCTION("""COMPUTED_VALUE"""),2235.8163)</f>
        <v>2235.8163</v>
      </c>
    </row>
    <row r="794">
      <c r="A794" s="434">
        <f>IFERROR(__xludf.DUMMYFUNCTION("""COMPUTED_VALUE"""),43429.99861111111)</f>
        <v>43429.99861</v>
      </c>
      <c r="B794" s="433">
        <f>IFERROR(__xludf.DUMMYFUNCTION("""COMPUTED_VALUE"""),4028.184)</f>
        <v>4028.184</v>
      </c>
      <c r="C794" s="434">
        <f>IFERROR(__xludf.DUMMYFUNCTION("""COMPUTED_VALUE"""),43015.99861111111)</f>
        <v>43015.99861</v>
      </c>
      <c r="D794" s="433">
        <f>IFERROR(__xludf.DUMMYFUNCTION("""COMPUTED_VALUE"""),308.8921)</f>
        <v>308.8921</v>
      </c>
      <c r="F794" s="434">
        <f>IFERROR(__xludf.DUMMYFUNCTION("""COMPUTED_VALUE"""),45719.99861111111)</f>
        <v>45719.99861</v>
      </c>
      <c r="G794" s="433">
        <f>IFERROR(__xludf.DUMMYFUNCTION("""COMPUTED_VALUE"""),92841.09)</f>
        <v>92841.09</v>
      </c>
      <c r="H794" s="434">
        <f>IFERROR(__xludf.DUMMYFUNCTION("""COMPUTED_VALUE"""),45718.99861111111)</f>
        <v>45718.99861</v>
      </c>
      <c r="I794" s="433">
        <f>IFERROR(__xludf.DUMMYFUNCTION("""COMPUTED_VALUE"""),2216.2998)</f>
        <v>2216.2998</v>
      </c>
    </row>
    <row r="795">
      <c r="A795" s="434">
        <f>IFERROR(__xludf.DUMMYFUNCTION("""COMPUTED_VALUE"""),43430.99861111111)</f>
        <v>43430.99861</v>
      </c>
      <c r="B795" s="433">
        <f>IFERROR(__xludf.DUMMYFUNCTION("""COMPUTED_VALUE"""),3777.838)</f>
        <v>3777.838</v>
      </c>
      <c r="C795" s="434">
        <f>IFERROR(__xludf.DUMMYFUNCTION("""COMPUTED_VALUE"""),43016.99861111111)</f>
        <v>43016.99861</v>
      </c>
      <c r="D795" s="433">
        <f>IFERROR(__xludf.DUMMYFUNCTION("""COMPUTED_VALUE"""),311.0593)</f>
        <v>311.0593</v>
      </c>
      <c r="F795" s="434">
        <f>IFERROR(__xludf.DUMMYFUNCTION("""COMPUTED_VALUE"""),45720.99861111111)</f>
        <v>45720.99861</v>
      </c>
      <c r="G795" s="433">
        <f>IFERROR(__xludf.DUMMYFUNCTION("""COMPUTED_VALUE"""),83518.82)</f>
        <v>83518.82</v>
      </c>
      <c r="H795" s="434">
        <f>IFERROR(__xludf.DUMMYFUNCTION("""COMPUTED_VALUE"""),45719.99861111111)</f>
        <v>45719.99861</v>
      </c>
      <c r="I795" s="433">
        <f>IFERROR(__xludf.DUMMYFUNCTION("""COMPUTED_VALUE"""),2519.0844)</f>
        <v>2519.0844</v>
      </c>
    </row>
    <row r="796">
      <c r="A796" s="434">
        <f>IFERROR(__xludf.DUMMYFUNCTION("""COMPUTED_VALUE"""),43431.99861111111)</f>
        <v>43431.99861</v>
      </c>
      <c r="B796" s="433">
        <f>IFERROR(__xludf.DUMMYFUNCTION("""COMPUTED_VALUE"""),3843.184)</f>
        <v>3843.184</v>
      </c>
      <c r="C796" s="434">
        <f>IFERROR(__xludf.DUMMYFUNCTION("""COMPUTED_VALUE"""),43017.99861111111)</f>
        <v>43017.99861</v>
      </c>
      <c r="D796" s="433">
        <f>IFERROR(__xludf.DUMMYFUNCTION("""COMPUTED_VALUE"""),308.6672)</f>
        <v>308.6672</v>
      </c>
      <c r="F796" s="434">
        <f>IFERROR(__xludf.DUMMYFUNCTION("""COMPUTED_VALUE"""),45721.99861111111)</f>
        <v>45721.99861</v>
      </c>
      <c r="G796" s="433">
        <f>IFERROR(__xludf.DUMMYFUNCTION("""COMPUTED_VALUE"""),86951.6)</f>
        <v>86951.6</v>
      </c>
      <c r="H796" s="434">
        <f>IFERROR(__xludf.DUMMYFUNCTION("""COMPUTED_VALUE"""),45720.99861111111)</f>
        <v>45720.99861</v>
      </c>
      <c r="I796" s="433">
        <f>IFERROR(__xludf.DUMMYFUNCTION("""COMPUTED_VALUE"""),2147.7012)</f>
        <v>2147.7012</v>
      </c>
    </row>
    <row r="797">
      <c r="A797" s="434">
        <f>IFERROR(__xludf.DUMMYFUNCTION("""COMPUTED_VALUE"""),43432.99861111111)</f>
        <v>43432.99861</v>
      </c>
      <c r="B797" s="433">
        <f>IFERROR(__xludf.DUMMYFUNCTION("""COMPUTED_VALUE"""),4252.598)</f>
        <v>4252.598</v>
      </c>
      <c r="C797" s="434">
        <f>IFERROR(__xludf.DUMMYFUNCTION("""COMPUTED_VALUE"""),43018.99861111111)</f>
        <v>43018.99861</v>
      </c>
      <c r="D797" s="433">
        <f>IFERROR(__xludf.DUMMYFUNCTION("""COMPUTED_VALUE"""),297.6011)</f>
        <v>297.6011</v>
      </c>
      <c r="F797" s="434">
        <f>IFERROR(__xludf.DUMMYFUNCTION("""COMPUTED_VALUE"""),45722.99861111111)</f>
        <v>45722.99861</v>
      </c>
      <c r="G797" s="433">
        <f>IFERROR(__xludf.DUMMYFUNCTION("""COMPUTED_VALUE"""),92272.38)</f>
        <v>92272.38</v>
      </c>
      <c r="H797" s="434">
        <f>IFERROR(__xludf.DUMMYFUNCTION("""COMPUTED_VALUE"""),45721.99861111111)</f>
        <v>45721.99861</v>
      </c>
      <c r="I797" s="433">
        <f>IFERROR(__xludf.DUMMYFUNCTION("""COMPUTED_VALUE"""),2170.7004)</f>
        <v>2170.7004</v>
      </c>
    </row>
    <row r="798">
      <c r="A798" s="434">
        <f>IFERROR(__xludf.DUMMYFUNCTION("""COMPUTED_VALUE"""),43433.99861111111)</f>
        <v>43433.99861</v>
      </c>
      <c r="B798" s="433">
        <f>IFERROR(__xludf.DUMMYFUNCTION("""COMPUTED_VALUE"""),4285.418)</f>
        <v>4285.418</v>
      </c>
      <c r="C798" s="434">
        <f>IFERROR(__xludf.DUMMYFUNCTION("""COMPUTED_VALUE"""),43019.99861111111)</f>
        <v>43019.99861</v>
      </c>
      <c r="D798" s="433">
        <f>IFERROR(__xludf.DUMMYFUNCTION("""COMPUTED_VALUE"""),301.1813)</f>
        <v>301.1813</v>
      </c>
      <c r="F798" s="434">
        <f>IFERROR(__xludf.DUMMYFUNCTION("""COMPUTED_VALUE"""),45723.99861111111)</f>
        <v>45723.99861</v>
      </c>
      <c r="G798" s="433">
        <f>IFERROR(__xludf.DUMMYFUNCTION("""COMPUTED_VALUE"""),87701.4)</f>
        <v>87701.4</v>
      </c>
      <c r="H798" s="434">
        <f>IFERROR(__xludf.DUMMYFUNCTION("""COMPUTED_VALUE"""),45722.99861111111)</f>
        <v>45722.99861</v>
      </c>
      <c r="I798" s="433">
        <f>IFERROR(__xludf.DUMMYFUNCTION("""COMPUTED_VALUE"""),2241.9048)</f>
        <v>2241.9048</v>
      </c>
    </row>
    <row r="799">
      <c r="A799" s="434">
        <f>IFERROR(__xludf.DUMMYFUNCTION("""COMPUTED_VALUE"""),43434.99861111111)</f>
        <v>43434.99861</v>
      </c>
      <c r="B799" s="433">
        <f>IFERROR(__xludf.DUMMYFUNCTION("""COMPUTED_VALUE"""),4021.237)</f>
        <v>4021.237</v>
      </c>
      <c r="C799" s="434">
        <f>IFERROR(__xludf.DUMMYFUNCTION("""COMPUTED_VALUE"""),43020.99861111111)</f>
        <v>43020.99861</v>
      </c>
      <c r="D799" s="433">
        <f>IFERROR(__xludf.DUMMYFUNCTION("""COMPUTED_VALUE"""),303.4979)</f>
        <v>303.4979</v>
      </c>
      <c r="F799" s="434">
        <f>IFERROR(__xludf.DUMMYFUNCTION("""COMPUTED_VALUE"""),45724.99861111111)</f>
        <v>45724.99861</v>
      </c>
      <c r="G799" s="433">
        <f>IFERROR(__xludf.DUMMYFUNCTION("""COMPUTED_VALUE"""),86468.85)</f>
        <v>86468.85</v>
      </c>
      <c r="H799" s="434">
        <f>IFERROR(__xludf.DUMMYFUNCTION("""COMPUTED_VALUE"""),45723.99861111111)</f>
        <v>45723.99861</v>
      </c>
      <c r="I799" s="433">
        <f>IFERROR(__xludf.DUMMYFUNCTION("""COMPUTED_VALUE"""),2202.2975)</f>
        <v>2202.2975</v>
      </c>
    </row>
    <row r="800">
      <c r="A800" s="434">
        <f>IFERROR(__xludf.DUMMYFUNCTION("""COMPUTED_VALUE"""),43435.99861111111)</f>
        <v>43435.99861</v>
      </c>
      <c r="B800" s="433">
        <f>IFERROR(__xludf.DUMMYFUNCTION("""COMPUTED_VALUE"""),4211.155)</f>
        <v>4211.155</v>
      </c>
      <c r="C800" s="434">
        <f>IFERROR(__xludf.DUMMYFUNCTION("""COMPUTED_VALUE"""),43021.99861111111)</f>
        <v>43021.99861</v>
      </c>
      <c r="D800" s="433">
        <f>IFERROR(__xludf.DUMMYFUNCTION("""COMPUTED_VALUE"""),304.0791)</f>
        <v>304.0791</v>
      </c>
      <c r="F800" s="434">
        <f>IFERROR(__xludf.DUMMYFUNCTION("""COMPUTED_VALUE"""),45725.99861111111)</f>
        <v>45725.99861</v>
      </c>
      <c r="G800" s="433">
        <f>IFERROR(__xludf.DUMMYFUNCTION("""COMPUTED_VALUE"""),86143.01)</f>
        <v>86143.01</v>
      </c>
      <c r="H800" s="434">
        <f>IFERROR(__xludf.DUMMYFUNCTION("""COMPUTED_VALUE"""),45724.99861111111)</f>
        <v>45724.99861</v>
      </c>
      <c r="I800" s="433">
        <f>IFERROR(__xludf.DUMMYFUNCTION("""COMPUTED_VALUE"""),2140.2135)</f>
        <v>2140.2135</v>
      </c>
    </row>
    <row r="801">
      <c r="A801" s="434">
        <f>IFERROR(__xludf.DUMMYFUNCTION("""COMPUTED_VALUE"""),43436.99861111111)</f>
        <v>43436.99861</v>
      </c>
      <c r="B801" s="433">
        <f>IFERROR(__xludf.DUMMYFUNCTION("""COMPUTED_VALUE"""),4134.864)</f>
        <v>4134.864</v>
      </c>
      <c r="C801" s="434">
        <f>IFERROR(__xludf.DUMMYFUNCTION("""COMPUTED_VALUE"""),43022.99861111111)</f>
        <v>43022.99861</v>
      </c>
      <c r="D801" s="433">
        <f>IFERROR(__xludf.DUMMYFUNCTION("""COMPUTED_VALUE"""),338.8516)</f>
        <v>338.8516</v>
      </c>
      <c r="F801" s="434">
        <f>IFERROR(__xludf.DUMMYFUNCTION("""COMPUTED_VALUE"""),45726.99861111111)</f>
        <v>45726.99861</v>
      </c>
      <c r="G801" s="433">
        <f>IFERROR(__xludf.DUMMYFUNCTION("""COMPUTED_VALUE"""),82106.8)</f>
        <v>82106.8</v>
      </c>
      <c r="H801" s="434">
        <f>IFERROR(__xludf.DUMMYFUNCTION("""COMPUTED_VALUE"""),45725.99861111111)</f>
        <v>45725.99861</v>
      </c>
      <c r="I801" s="433">
        <f>IFERROR(__xludf.DUMMYFUNCTION("""COMPUTED_VALUE"""),2202.7799)</f>
        <v>2202.7799</v>
      </c>
    </row>
    <row r="802">
      <c r="A802" s="434">
        <f>IFERROR(__xludf.DUMMYFUNCTION("""COMPUTED_VALUE"""),43437.99861111111)</f>
        <v>43437.99861</v>
      </c>
      <c r="B802" s="433">
        <f>IFERROR(__xludf.DUMMYFUNCTION("""COMPUTED_VALUE"""),3883.534)</f>
        <v>3883.534</v>
      </c>
      <c r="C802" s="434">
        <f>IFERROR(__xludf.DUMMYFUNCTION("""COMPUTED_VALUE"""),43023.99861111111)</f>
        <v>43023.99861</v>
      </c>
      <c r="D802" s="433">
        <f>IFERROR(__xludf.DUMMYFUNCTION("""COMPUTED_VALUE"""),339.5294)</f>
        <v>339.5294</v>
      </c>
      <c r="F802" s="434">
        <f>IFERROR(__xludf.DUMMYFUNCTION("""COMPUTED_VALUE"""),45727.99861111111)</f>
        <v>45727.99861</v>
      </c>
      <c r="G802" s="433">
        <f>IFERROR(__xludf.DUMMYFUNCTION("""COMPUTED_VALUE"""),79506.47)</f>
        <v>79506.47</v>
      </c>
      <c r="H802" s="434">
        <f>IFERROR(__xludf.DUMMYFUNCTION("""COMPUTED_VALUE"""),45726.99861111111)</f>
        <v>45726.99861</v>
      </c>
      <c r="I802" s="433">
        <f>IFERROR(__xludf.DUMMYFUNCTION("""COMPUTED_VALUE"""),2018.3289)</f>
        <v>2018.3289</v>
      </c>
    </row>
    <row r="803">
      <c r="A803" s="434">
        <f>IFERROR(__xludf.DUMMYFUNCTION("""COMPUTED_VALUE"""),43438.99861111111)</f>
        <v>43438.99861</v>
      </c>
      <c r="B803" s="433">
        <f>IFERROR(__xludf.DUMMYFUNCTION("""COMPUTED_VALUE"""),3932.983)</f>
        <v>3932.983</v>
      </c>
      <c r="C803" s="434">
        <f>IFERROR(__xludf.DUMMYFUNCTION("""COMPUTED_VALUE"""),43024.99861111111)</f>
        <v>43024.99861</v>
      </c>
      <c r="D803" s="433">
        <f>IFERROR(__xludf.DUMMYFUNCTION("""COMPUTED_VALUE"""),336.7106)</f>
        <v>336.7106</v>
      </c>
      <c r="F803" s="434">
        <f>IFERROR(__xludf.DUMMYFUNCTION("""COMPUTED_VALUE"""),45728.99861111111)</f>
        <v>45728.99861</v>
      </c>
      <c r="G803" s="433">
        <f>IFERROR(__xludf.DUMMYFUNCTION("""COMPUTED_VALUE"""),82201.03)</f>
        <v>82201.03</v>
      </c>
      <c r="H803" s="434">
        <f>IFERROR(__xludf.DUMMYFUNCTION("""COMPUTED_VALUE"""),45727.99861111111)</f>
        <v>45727.99861</v>
      </c>
      <c r="I803" s="433">
        <f>IFERROR(__xludf.DUMMYFUNCTION("""COMPUTED_VALUE"""),1863.7698)</f>
        <v>1863.7698</v>
      </c>
    </row>
    <row r="804">
      <c r="A804" s="434">
        <f>IFERROR(__xludf.DUMMYFUNCTION("""COMPUTED_VALUE"""),43439.99861111111)</f>
        <v>43439.99861</v>
      </c>
      <c r="B804" s="433">
        <f>IFERROR(__xludf.DUMMYFUNCTION("""COMPUTED_VALUE"""),3754.666)</f>
        <v>3754.666</v>
      </c>
      <c r="C804" s="434">
        <f>IFERROR(__xludf.DUMMYFUNCTION("""COMPUTED_VALUE"""),43025.99861111111)</f>
        <v>43025.99861</v>
      </c>
      <c r="D804" s="433">
        <f>IFERROR(__xludf.DUMMYFUNCTION("""COMPUTED_VALUE"""),333.4843)</f>
        <v>333.4843</v>
      </c>
      <c r="F804" s="434">
        <f>IFERROR(__xludf.DUMMYFUNCTION("""COMPUTED_VALUE"""),45729.99861111111)</f>
        <v>45729.99861</v>
      </c>
      <c r="G804" s="433">
        <f>IFERROR(__xludf.DUMMYFUNCTION("""COMPUTED_VALUE"""),83605.95)</f>
        <v>83605.95</v>
      </c>
      <c r="H804" s="434">
        <f>IFERROR(__xludf.DUMMYFUNCTION("""COMPUTED_VALUE"""),45728.99861111111)</f>
        <v>45728.99861</v>
      </c>
      <c r="I804" s="433">
        <f>IFERROR(__xludf.DUMMYFUNCTION("""COMPUTED_VALUE"""),1921.8031)</f>
        <v>1921.8031</v>
      </c>
    </row>
    <row r="805">
      <c r="A805" s="434">
        <f>IFERROR(__xludf.DUMMYFUNCTION("""COMPUTED_VALUE"""),43440.99861111111)</f>
        <v>43440.99861</v>
      </c>
      <c r="B805" s="433">
        <f>IFERROR(__xludf.DUMMYFUNCTION("""COMPUTED_VALUE"""),3506.049)</f>
        <v>3506.049</v>
      </c>
      <c r="C805" s="434">
        <f>IFERROR(__xludf.DUMMYFUNCTION("""COMPUTED_VALUE"""),43026.99861111111)</f>
        <v>43026.99861</v>
      </c>
      <c r="D805" s="433">
        <f>IFERROR(__xludf.DUMMYFUNCTION("""COMPUTED_VALUE"""),316.944)</f>
        <v>316.944</v>
      </c>
      <c r="F805" s="434">
        <f>IFERROR(__xludf.DUMMYFUNCTION("""COMPUTED_VALUE"""),45730.99861111111)</f>
        <v>45730.99861</v>
      </c>
      <c r="G805" s="433">
        <f>IFERROR(__xludf.DUMMYFUNCTION("""COMPUTED_VALUE"""),81877.78)</f>
        <v>81877.78</v>
      </c>
      <c r="H805" s="434">
        <f>IFERROR(__xludf.DUMMYFUNCTION("""COMPUTED_VALUE"""),45729.99861111111)</f>
        <v>45729.99861</v>
      </c>
      <c r="I805" s="433">
        <f>IFERROR(__xludf.DUMMYFUNCTION("""COMPUTED_VALUE"""),1908.0938)</f>
        <v>1908.0938</v>
      </c>
    </row>
    <row r="806">
      <c r="A806" s="434">
        <f>IFERROR(__xludf.DUMMYFUNCTION("""COMPUTED_VALUE"""),43441.99861111111)</f>
        <v>43441.99861</v>
      </c>
      <c r="B806" s="433">
        <f>IFERROR(__xludf.DUMMYFUNCTION("""COMPUTED_VALUE"""),3404.299)</f>
        <v>3404.299</v>
      </c>
      <c r="C806" s="434">
        <f>IFERROR(__xludf.DUMMYFUNCTION("""COMPUTED_VALUE"""),43027.99861111111)</f>
        <v>43027.99861</v>
      </c>
      <c r="D806" s="433">
        <f>IFERROR(__xludf.DUMMYFUNCTION("""COMPUTED_VALUE"""),314.5381)</f>
        <v>314.5381</v>
      </c>
      <c r="F806" s="434">
        <f>IFERROR(__xludf.DUMMYFUNCTION("""COMPUTED_VALUE"""),45731.99861111111)</f>
        <v>45731.99861</v>
      </c>
      <c r="G806" s="433">
        <f>IFERROR(__xludf.DUMMYFUNCTION("""COMPUTED_VALUE"""),84582.41)</f>
        <v>84582.41</v>
      </c>
      <c r="H806" s="434">
        <f>IFERROR(__xludf.DUMMYFUNCTION("""COMPUTED_VALUE"""),45730.99861111111)</f>
        <v>45730.99861</v>
      </c>
      <c r="I806" s="433">
        <f>IFERROR(__xludf.DUMMYFUNCTION("""COMPUTED_VALUE"""),1863.4771)</f>
        <v>1863.4771</v>
      </c>
    </row>
    <row r="807">
      <c r="A807" s="434">
        <f>IFERROR(__xludf.DUMMYFUNCTION("""COMPUTED_VALUE"""),43442.99861111111)</f>
        <v>43442.99861</v>
      </c>
      <c r="B807" s="433">
        <f>IFERROR(__xludf.DUMMYFUNCTION("""COMPUTED_VALUE"""),3458.882)</f>
        <v>3458.882</v>
      </c>
      <c r="C807" s="434">
        <f>IFERROR(__xludf.DUMMYFUNCTION("""COMPUTED_VALUE"""),43028.99861111111)</f>
        <v>43028.99861</v>
      </c>
      <c r="D807" s="433">
        <f>IFERROR(__xludf.DUMMYFUNCTION("""COMPUTED_VALUE"""),308.046)</f>
        <v>308.046</v>
      </c>
      <c r="F807" s="434">
        <f>IFERROR(__xludf.DUMMYFUNCTION("""COMPUTED_VALUE"""),45732.99861111111)</f>
        <v>45732.99861</v>
      </c>
      <c r="G807" s="433">
        <f>IFERROR(__xludf.DUMMYFUNCTION("""COMPUTED_VALUE"""),84410.52)</f>
        <v>84410.52</v>
      </c>
      <c r="H807" s="434">
        <f>IFERROR(__xludf.DUMMYFUNCTION("""COMPUTED_VALUE"""),45731.99861111111)</f>
        <v>45731.99861</v>
      </c>
      <c r="I807" s="433">
        <f>IFERROR(__xludf.DUMMYFUNCTION("""COMPUTED_VALUE"""),1910.8596)</f>
        <v>1910.8596</v>
      </c>
    </row>
    <row r="808">
      <c r="A808" s="434">
        <f>IFERROR(__xludf.DUMMYFUNCTION("""COMPUTED_VALUE"""),43443.99861111111)</f>
        <v>43443.99861</v>
      </c>
      <c r="B808" s="433">
        <f>IFERROR(__xludf.DUMMYFUNCTION("""COMPUTED_VALUE"""),3585.145)</f>
        <v>3585.145</v>
      </c>
      <c r="C808" s="434">
        <f>IFERROR(__xludf.DUMMYFUNCTION("""COMPUTED_VALUE"""),43029.99861111111)</f>
        <v>43029.99861</v>
      </c>
      <c r="D808" s="433">
        <f>IFERROR(__xludf.DUMMYFUNCTION("""COMPUTED_VALUE"""),303.5717)</f>
        <v>303.5717</v>
      </c>
      <c r="F808" s="434">
        <f>IFERROR(__xludf.DUMMYFUNCTION("""COMPUTED_VALUE"""),45733.99861111111)</f>
        <v>45733.99861</v>
      </c>
      <c r="G808" s="433">
        <f>IFERROR(__xludf.DUMMYFUNCTION("""COMPUTED_VALUE"""),83702.25)</f>
        <v>83702.25</v>
      </c>
      <c r="H808" s="434">
        <f>IFERROR(__xludf.DUMMYFUNCTION("""COMPUTED_VALUE"""),45732.99861111111)</f>
        <v>45732.99861</v>
      </c>
      <c r="I808" s="433">
        <f>IFERROR(__xludf.DUMMYFUNCTION("""COMPUTED_VALUE"""),1937.0931)</f>
        <v>1937.0931</v>
      </c>
    </row>
    <row r="809">
      <c r="A809" s="434">
        <f>IFERROR(__xludf.DUMMYFUNCTION("""COMPUTED_VALUE"""),43444.99861111111)</f>
        <v>43444.99861</v>
      </c>
      <c r="B809" s="433">
        <f>IFERROR(__xludf.DUMMYFUNCTION("""COMPUTED_VALUE"""),3434.177)</f>
        <v>3434.177</v>
      </c>
      <c r="C809" s="434">
        <f>IFERROR(__xludf.DUMMYFUNCTION("""COMPUTED_VALUE"""),43030.99861111111)</f>
        <v>43030.99861</v>
      </c>
      <c r="D809" s="433">
        <f>IFERROR(__xludf.DUMMYFUNCTION("""COMPUTED_VALUE"""),300.5495)</f>
        <v>300.5495</v>
      </c>
      <c r="F809" s="434">
        <f>IFERROR(__xludf.DUMMYFUNCTION("""COMPUTED_VALUE"""),45734.99861111111)</f>
        <v>45734.99861</v>
      </c>
      <c r="G809" s="433">
        <f>IFERROR(__xludf.DUMMYFUNCTION("""COMPUTED_VALUE"""),83152.52)</f>
        <v>83152.52</v>
      </c>
      <c r="H809" s="434">
        <f>IFERROR(__xludf.DUMMYFUNCTION("""COMPUTED_VALUE"""),45733.99861111111)</f>
        <v>45733.99861</v>
      </c>
      <c r="I809" s="433">
        <f>IFERROR(__xludf.DUMMYFUNCTION("""COMPUTED_VALUE"""),1887.202)</f>
        <v>1887.202</v>
      </c>
    </row>
    <row r="810">
      <c r="A810" s="434">
        <f>IFERROR(__xludf.DUMMYFUNCTION("""COMPUTED_VALUE"""),43445.99861111111)</f>
        <v>43445.99861</v>
      </c>
      <c r="B810" s="433">
        <f>IFERROR(__xludf.DUMMYFUNCTION("""COMPUTED_VALUE"""),3404.865)</f>
        <v>3404.865</v>
      </c>
      <c r="C810" s="434">
        <f>IFERROR(__xludf.DUMMYFUNCTION("""COMPUTED_VALUE"""),43031.99861111111)</f>
        <v>43031.99861</v>
      </c>
      <c r="D810" s="433">
        <f>IFERROR(__xludf.DUMMYFUNCTION("""COMPUTED_VALUE"""),295.0957)</f>
        <v>295.0957</v>
      </c>
      <c r="F810" s="434">
        <f>IFERROR(__xludf.DUMMYFUNCTION("""COMPUTED_VALUE"""),45735.99861111111)</f>
        <v>45735.99861</v>
      </c>
      <c r="G810" s="433">
        <f>IFERROR(__xludf.DUMMYFUNCTION("""COMPUTED_VALUE"""),83076.51)</f>
        <v>83076.51</v>
      </c>
      <c r="H810" s="434">
        <f>IFERROR(__xludf.DUMMYFUNCTION("""COMPUTED_VALUE"""),45734.99861111111)</f>
        <v>45734.99861</v>
      </c>
      <c r="I810" s="433">
        <f>IFERROR(__xludf.DUMMYFUNCTION("""COMPUTED_VALUE"""),1926.5746)</f>
        <v>1926.5746</v>
      </c>
    </row>
    <row r="811">
      <c r="A811" s="434">
        <f>IFERROR(__xludf.DUMMYFUNCTION("""COMPUTED_VALUE"""),43446.99861111111)</f>
        <v>43446.99861</v>
      </c>
      <c r="B811" s="433">
        <f>IFERROR(__xludf.DUMMYFUNCTION("""COMPUTED_VALUE"""),3472.654)</f>
        <v>3472.654</v>
      </c>
      <c r="C811" s="434">
        <f>IFERROR(__xludf.DUMMYFUNCTION("""COMPUTED_VALUE"""),43032.99861111111)</f>
        <v>43032.99861</v>
      </c>
      <c r="D811" s="433">
        <f>IFERROR(__xludf.DUMMYFUNCTION("""COMPUTED_VALUE"""),287.1196)</f>
        <v>287.1196</v>
      </c>
      <c r="F811" s="434">
        <f>IFERROR(__xludf.DUMMYFUNCTION("""COMPUTED_VALUE"""),45736.99861111111)</f>
        <v>45736.99861</v>
      </c>
      <c r="G811" s="433">
        <f>IFERROR(__xludf.DUMMYFUNCTION("""COMPUTED_VALUE"""),85919.08)</f>
        <v>85919.08</v>
      </c>
      <c r="H811" s="434">
        <f>IFERROR(__xludf.DUMMYFUNCTION("""COMPUTED_VALUE"""),45735.99861111111)</f>
        <v>45735.99861</v>
      </c>
      <c r="I811" s="433">
        <f>IFERROR(__xludf.DUMMYFUNCTION("""COMPUTED_VALUE"""),1931.7574)</f>
        <v>1931.7574</v>
      </c>
    </row>
    <row r="812">
      <c r="A812" s="434">
        <f>IFERROR(__xludf.DUMMYFUNCTION("""COMPUTED_VALUE"""),43447.99861111111)</f>
        <v>43447.99861</v>
      </c>
      <c r="B812" s="433">
        <f>IFERROR(__xludf.DUMMYFUNCTION("""COMPUTED_VALUE"""),3313.618)</f>
        <v>3313.618</v>
      </c>
      <c r="C812" s="434">
        <f>IFERROR(__xludf.DUMMYFUNCTION("""COMPUTED_VALUE"""),43033.99861111111)</f>
        <v>43033.99861</v>
      </c>
      <c r="D812" s="433">
        <f>IFERROR(__xludf.DUMMYFUNCTION("""COMPUTED_VALUE"""),298.4373)</f>
        <v>298.4373</v>
      </c>
      <c r="F812" s="434">
        <f>IFERROR(__xludf.DUMMYFUNCTION("""COMPUTED_VALUE"""),45737.99861111111)</f>
        <v>45737.99861</v>
      </c>
      <c r="G812" s="433">
        <f>IFERROR(__xludf.DUMMYFUNCTION("""COMPUTED_VALUE"""),84434.41)</f>
        <v>84434.41</v>
      </c>
      <c r="H812" s="434">
        <f>IFERROR(__xludf.DUMMYFUNCTION("""COMPUTED_VALUE"""),45736.99861111111)</f>
        <v>45736.99861</v>
      </c>
      <c r="I812" s="433">
        <f>IFERROR(__xludf.DUMMYFUNCTION("""COMPUTED_VALUE"""),2057.6814)</f>
        <v>2057.6814</v>
      </c>
    </row>
    <row r="813">
      <c r="A813" s="434">
        <f>IFERROR(__xludf.DUMMYFUNCTION("""COMPUTED_VALUE"""),43448.99861111111)</f>
        <v>43448.99861</v>
      </c>
      <c r="B813" s="433">
        <f>IFERROR(__xludf.DUMMYFUNCTION("""COMPUTED_VALUE"""),3253.172)</f>
        <v>3253.172</v>
      </c>
      <c r="C813" s="434">
        <f>IFERROR(__xludf.DUMMYFUNCTION("""COMPUTED_VALUE"""),43034.99861111111)</f>
        <v>43034.99861</v>
      </c>
      <c r="D813" s="433">
        <f>IFERROR(__xludf.DUMMYFUNCTION("""COMPUTED_VALUE"""),298.0219)</f>
        <v>298.0219</v>
      </c>
      <c r="F813" s="434">
        <f>IFERROR(__xludf.DUMMYFUNCTION("""COMPUTED_VALUE"""),45738.99861111111)</f>
        <v>45738.99861</v>
      </c>
      <c r="G813" s="433">
        <f>IFERROR(__xludf.DUMMYFUNCTION("""COMPUTED_VALUE"""),84345.25)</f>
        <v>84345.25</v>
      </c>
      <c r="H813" s="434">
        <f>IFERROR(__xludf.DUMMYFUNCTION("""COMPUTED_VALUE"""),45737.99861111111)</f>
        <v>45737.99861</v>
      </c>
      <c r="I813" s="433">
        <f>IFERROR(__xludf.DUMMYFUNCTION("""COMPUTED_VALUE"""),1982.3914)</f>
        <v>1982.3914</v>
      </c>
    </row>
    <row r="814">
      <c r="A814" s="434">
        <f>IFERROR(__xludf.DUMMYFUNCTION("""COMPUTED_VALUE"""),43449.99861111111)</f>
        <v>43449.99861</v>
      </c>
      <c r="B814" s="433">
        <f>IFERROR(__xludf.DUMMYFUNCTION("""COMPUTED_VALUE"""),3223.352)</f>
        <v>3223.352</v>
      </c>
      <c r="C814" s="434">
        <f>IFERROR(__xludf.DUMMYFUNCTION("""COMPUTED_VALUE"""),43035.99861111111)</f>
        <v>43035.99861</v>
      </c>
      <c r="D814" s="433">
        <f>IFERROR(__xludf.DUMMYFUNCTION("""COMPUTED_VALUE"""),296.508)</f>
        <v>296.508</v>
      </c>
      <c r="F814" s="434">
        <f>IFERROR(__xludf.DUMMYFUNCTION("""COMPUTED_VALUE"""),45739.99861111111)</f>
        <v>45739.99861</v>
      </c>
      <c r="G814" s="433">
        <f>IFERROR(__xludf.DUMMYFUNCTION("""COMPUTED_VALUE"""),84294.35)</f>
        <v>84294.35</v>
      </c>
      <c r="H814" s="434">
        <f>IFERROR(__xludf.DUMMYFUNCTION("""COMPUTED_VALUE"""),45738.99861111111)</f>
        <v>45738.99861</v>
      </c>
      <c r="I814" s="433">
        <f>IFERROR(__xludf.DUMMYFUNCTION("""COMPUTED_VALUE"""),1965.2958)</f>
        <v>1965.2958</v>
      </c>
    </row>
    <row r="815">
      <c r="A815" s="434">
        <f>IFERROR(__xludf.DUMMYFUNCTION("""COMPUTED_VALUE"""),43450.99861111111)</f>
        <v>43450.99861</v>
      </c>
      <c r="B815" s="433">
        <f>IFERROR(__xludf.DUMMYFUNCTION("""COMPUTED_VALUE"""),3225.617)</f>
        <v>3225.617</v>
      </c>
      <c r="C815" s="434">
        <f>IFERROR(__xludf.DUMMYFUNCTION("""COMPUTED_VALUE"""),43036.99861111111)</f>
        <v>43036.99861</v>
      </c>
      <c r="D815" s="433">
        <f>IFERROR(__xludf.DUMMYFUNCTION("""COMPUTED_VALUE"""),297.9155)</f>
        <v>297.9155</v>
      </c>
      <c r="F815" s="434">
        <f>IFERROR(__xludf.DUMMYFUNCTION("""COMPUTED_VALUE"""),45740.99861111111)</f>
        <v>45740.99861</v>
      </c>
      <c r="G815" s="433">
        <f>IFERROR(__xludf.DUMMYFUNCTION("""COMPUTED_VALUE"""),86531.37)</f>
        <v>86531.37</v>
      </c>
      <c r="H815" s="434">
        <f>IFERROR(__xludf.DUMMYFUNCTION("""COMPUTED_VALUE"""),45739.99861111111)</f>
        <v>45739.99861</v>
      </c>
      <c r="I815" s="433">
        <f>IFERROR(__xludf.DUMMYFUNCTION("""COMPUTED_VALUE"""),1980.1805)</f>
        <v>1980.1805</v>
      </c>
    </row>
    <row r="816">
      <c r="A816" s="434">
        <f>IFERROR(__xludf.DUMMYFUNCTION("""COMPUTED_VALUE"""),43451.99861111111)</f>
        <v>43451.99861</v>
      </c>
      <c r="B816" s="433">
        <f>IFERROR(__xludf.DUMMYFUNCTION("""COMPUTED_VALUE"""),3534.36)</f>
        <v>3534.36</v>
      </c>
      <c r="C816" s="434">
        <f>IFERROR(__xludf.DUMMYFUNCTION("""COMPUTED_VALUE"""),43037.99861111111)</f>
        <v>43037.99861</v>
      </c>
      <c r="D816" s="433">
        <f>IFERROR(__xludf.DUMMYFUNCTION("""COMPUTED_VALUE"""),296.3815)</f>
        <v>296.3815</v>
      </c>
      <c r="F816" s="434">
        <f>IFERROR(__xludf.DUMMYFUNCTION("""COMPUTED_VALUE"""),45741.99861111111)</f>
        <v>45741.99861</v>
      </c>
      <c r="G816" s="433">
        <f>IFERROR(__xludf.DUMMYFUNCTION("""COMPUTED_VALUE"""),86496.49)</f>
        <v>86496.49</v>
      </c>
      <c r="H816" s="434">
        <f>IFERROR(__xludf.DUMMYFUNCTION("""COMPUTED_VALUE"""),45740.99861111111)</f>
        <v>45740.99861</v>
      </c>
      <c r="I816" s="433">
        <f>IFERROR(__xludf.DUMMYFUNCTION("""COMPUTED_VALUE"""),2006.0249)</f>
        <v>2006.0249</v>
      </c>
    </row>
    <row r="817">
      <c r="A817" s="434">
        <f>IFERROR(__xludf.DUMMYFUNCTION("""COMPUTED_VALUE"""),43452.99861111111)</f>
        <v>43452.99861</v>
      </c>
      <c r="B817" s="433">
        <f>IFERROR(__xludf.DUMMYFUNCTION("""COMPUTED_VALUE"""),3690.134)</f>
        <v>3690.134</v>
      </c>
      <c r="C817" s="434">
        <f>IFERROR(__xludf.DUMMYFUNCTION("""COMPUTED_VALUE"""),43038.99861111111)</f>
        <v>43038.99861</v>
      </c>
      <c r="D817" s="433">
        <f>IFERROR(__xludf.DUMMYFUNCTION("""COMPUTED_VALUE"""),304.7816)</f>
        <v>304.7816</v>
      </c>
      <c r="F817" s="434">
        <f>IFERROR(__xludf.DUMMYFUNCTION("""COMPUTED_VALUE"""),45742.99861111111)</f>
        <v>45742.99861</v>
      </c>
      <c r="G817" s="433">
        <f>IFERROR(__xludf.DUMMYFUNCTION("""COMPUTED_VALUE"""),87186.84)</f>
        <v>87186.84</v>
      </c>
      <c r="H817" s="434">
        <f>IFERROR(__xludf.DUMMYFUNCTION("""COMPUTED_VALUE"""),45741.99861111111)</f>
        <v>45741.99861</v>
      </c>
      <c r="I817" s="433">
        <f>IFERROR(__xludf.DUMMYFUNCTION("""COMPUTED_VALUE"""),2081.8109)</f>
        <v>2081.8109</v>
      </c>
    </row>
    <row r="818">
      <c r="A818" s="434">
        <f>IFERROR(__xludf.DUMMYFUNCTION("""COMPUTED_VALUE"""),43453.99861111111)</f>
        <v>43453.99861</v>
      </c>
      <c r="B818" s="433">
        <f>IFERROR(__xludf.DUMMYFUNCTION("""COMPUTED_VALUE"""),3723.869)</f>
        <v>3723.869</v>
      </c>
      <c r="C818" s="434">
        <f>IFERROR(__xludf.DUMMYFUNCTION("""COMPUTED_VALUE"""),43039.99861111111)</f>
        <v>43039.99861</v>
      </c>
      <c r="D818" s="433">
        <f>IFERROR(__xludf.DUMMYFUNCTION("""COMPUTED_VALUE"""),307.3783)</f>
        <v>307.3783</v>
      </c>
      <c r="F818" s="434">
        <f>IFERROR(__xludf.DUMMYFUNCTION("""COMPUTED_VALUE"""),45743.99861111111)</f>
        <v>45743.99861</v>
      </c>
      <c r="G818" s="433">
        <f>IFERROR(__xludf.DUMMYFUNCTION("""COMPUTED_VALUE"""),87692.71)</f>
        <v>87692.71</v>
      </c>
      <c r="H818" s="434">
        <f>IFERROR(__xludf.DUMMYFUNCTION("""COMPUTED_VALUE"""),45742.99861111111)</f>
        <v>45742.99861</v>
      </c>
      <c r="I818" s="433">
        <f>IFERROR(__xludf.DUMMYFUNCTION("""COMPUTED_VALUE"""),2067.1385)</f>
        <v>2067.1385</v>
      </c>
    </row>
    <row r="819">
      <c r="A819" s="434">
        <f>IFERROR(__xludf.DUMMYFUNCTION("""COMPUTED_VALUE"""),43454.99861111111)</f>
        <v>43454.99861</v>
      </c>
      <c r="B819" s="433">
        <f>IFERROR(__xludf.DUMMYFUNCTION("""COMPUTED_VALUE"""),4117.111)</f>
        <v>4117.111</v>
      </c>
      <c r="C819" s="434">
        <f>IFERROR(__xludf.DUMMYFUNCTION("""COMPUTED_VALUE"""),43040.99861111111)</f>
        <v>43040.99861</v>
      </c>
      <c r="D819" s="433">
        <f>IFERROR(__xludf.DUMMYFUNCTION("""COMPUTED_VALUE"""),305.7621)</f>
        <v>305.7621</v>
      </c>
      <c r="F819" s="434">
        <f>IFERROR(__xludf.DUMMYFUNCTION("""COMPUTED_VALUE"""),45744.99861111111)</f>
        <v>45744.99861</v>
      </c>
      <c r="G819" s="433">
        <f>IFERROR(__xludf.DUMMYFUNCTION("""COMPUTED_VALUE"""),86810.84)</f>
        <v>86810.84</v>
      </c>
      <c r="H819" s="434">
        <f>IFERROR(__xludf.DUMMYFUNCTION("""COMPUTED_VALUE"""),45743.99861111111)</f>
        <v>45743.99861</v>
      </c>
      <c r="I819" s="433">
        <f>IFERROR(__xludf.DUMMYFUNCTION("""COMPUTED_VALUE"""),2009.4311)</f>
        <v>2009.4311</v>
      </c>
    </row>
    <row r="820">
      <c r="A820" s="434">
        <f>IFERROR(__xludf.DUMMYFUNCTION("""COMPUTED_VALUE"""),43455.99861111111)</f>
        <v>43455.99861</v>
      </c>
      <c r="B820" s="433">
        <f>IFERROR(__xludf.DUMMYFUNCTION("""COMPUTED_VALUE"""),3878.206)</f>
        <v>3878.206</v>
      </c>
      <c r="C820" s="434">
        <f>IFERROR(__xludf.DUMMYFUNCTION("""COMPUTED_VALUE"""),43041.99861111111)</f>
        <v>43041.99861</v>
      </c>
      <c r="D820" s="433">
        <f>IFERROR(__xludf.DUMMYFUNCTION("""COMPUTED_VALUE"""),290.7248)</f>
        <v>290.7248</v>
      </c>
      <c r="F820" s="434">
        <f>IFERROR(__xludf.DUMMYFUNCTION("""COMPUTED_VALUE"""),45745.99861111111)</f>
        <v>45745.99861</v>
      </c>
      <c r="G820" s="433">
        <f>IFERROR(__xludf.DUMMYFUNCTION("""COMPUTED_VALUE"""),84261.42)</f>
        <v>84261.42</v>
      </c>
      <c r="H820" s="434">
        <f>IFERROR(__xludf.DUMMYFUNCTION("""COMPUTED_VALUE"""),45744.99861111111)</f>
        <v>45744.99861</v>
      </c>
      <c r="I820" s="433">
        <f>IFERROR(__xludf.DUMMYFUNCTION("""COMPUTED_VALUE"""),2002.647)</f>
        <v>2002.647</v>
      </c>
    </row>
    <row r="821">
      <c r="A821" s="434">
        <f>IFERROR(__xludf.DUMMYFUNCTION("""COMPUTED_VALUE"""),43456.99861111111)</f>
        <v>43456.99861</v>
      </c>
      <c r="B821" s="433">
        <f>IFERROR(__xludf.DUMMYFUNCTION("""COMPUTED_VALUE"""),4013.565)</f>
        <v>4013.565</v>
      </c>
      <c r="C821" s="434">
        <f>IFERROR(__xludf.DUMMYFUNCTION("""COMPUTED_VALUE"""),43042.99861111111)</f>
        <v>43042.99861</v>
      </c>
      <c r="D821" s="433">
        <f>IFERROR(__xludf.DUMMYFUNCTION("""COMPUTED_VALUE"""),288.4969)</f>
        <v>288.4969</v>
      </c>
      <c r="F821" s="434">
        <f>IFERROR(__xludf.DUMMYFUNCTION("""COMPUTED_VALUE"""),45746.99861111111)</f>
        <v>45746.99861</v>
      </c>
      <c r="G821" s="433">
        <f>IFERROR(__xludf.DUMMYFUNCTION("""COMPUTED_VALUE"""),83184.34)</f>
        <v>83184.34</v>
      </c>
      <c r="H821" s="434">
        <f>IFERROR(__xludf.DUMMYFUNCTION("""COMPUTED_VALUE"""),45745.99861111111)</f>
        <v>45745.99861</v>
      </c>
      <c r="I821" s="433">
        <f>IFERROR(__xludf.DUMMYFUNCTION("""COMPUTED_VALUE"""),1895.8636)</f>
        <v>1895.8636</v>
      </c>
    </row>
    <row r="822">
      <c r="A822" s="434">
        <f>IFERROR(__xludf.DUMMYFUNCTION("""COMPUTED_VALUE"""),43457.99861111111)</f>
        <v>43457.99861</v>
      </c>
      <c r="B822" s="433">
        <f>IFERROR(__xludf.DUMMYFUNCTION("""COMPUTED_VALUE"""),3986.246)</f>
        <v>3986.246</v>
      </c>
      <c r="C822" s="434">
        <f>IFERROR(__xludf.DUMMYFUNCTION("""COMPUTED_VALUE"""),43043.99861111111)</f>
        <v>43043.99861</v>
      </c>
      <c r="D822" s="433">
        <f>IFERROR(__xludf.DUMMYFUNCTION("""COMPUTED_VALUE"""),305.481)</f>
        <v>305.481</v>
      </c>
      <c r="F822" s="434">
        <f>IFERROR(__xludf.DUMMYFUNCTION("""COMPUTED_VALUE"""),45747.99861111111)</f>
        <v>45747.99861</v>
      </c>
      <c r="G822" s="433">
        <f>IFERROR(__xludf.DUMMYFUNCTION("""COMPUTED_VALUE"""),81559.22)</f>
        <v>81559.22</v>
      </c>
      <c r="H822" s="434">
        <f>IFERROR(__xludf.DUMMYFUNCTION("""COMPUTED_VALUE"""),45746.99861111111)</f>
        <v>45746.99861</v>
      </c>
      <c r="I822" s="433">
        <f>IFERROR(__xludf.DUMMYFUNCTION("""COMPUTED_VALUE"""),1827.4434)</f>
        <v>1827.4434</v>
      </c>
    </row>
    <row r="823">
      <c r="A823" s="434">
        <f>IFERROR(__xludf.DUMMYFUNCTION("""COMPUTED_VALUE"""),43458.99861111111)</f>
        <v>43458.99861</v>
      </c>
      <c r="B823" s="433">
        <f>IFERROR(__xludf.DUMMYFUNCTION("""COMPUTED_VALUE"""),4052.492)</f>
        <v>4052.492</v>
      </c>
      <c r="C823" s="434">
        <f>IFERROR(__xludf.DUMMYFUNCTION("""COMPUTED_VALUE"""),43044.99861111111)</f>
        <v>43044.99861</v>
      </c>
      <c r="D823" s="433">
        <f>IFERROR(__xludf.DUMMYFUNCTION("""COMPUTED_VALUE"""),300.0373)</f>
        <v>300.0373</v>
      </c>
      <c r="F823" s="434">
        <f>IFERROR(__xludf.DUMMYFUNCTION("""COMPUTED_VALUE"""),45748.99861111111)</f>
        <v>45748.99861</v>
      </c>
      <c r="G823" s="433">
        <f>IFERROR(__xludf.DUMMYFUNCTION("""COMPUTED_VALUE"""),82963.95)</f>
        <v>82963.95</v>
      </c>
      <c r="H823" s="434">
        <f>IFERROR(__xludf.DUMMYFUNCTION("""COMPUTED_VALUE"""),45747.99861111111)</f>
        <v>45747.99861</v>
      </c>
      <c r="I823" s="433">
        <f>IFERROR(__xludf.DUMMYFUNCTION("""COMPUTED_VALUE"""),1806.7074)</f>
        <v>1806.7074</v>
      </c>
    </row>
    <row r="824">
      <c r="A824" s="434">
        <f>IFERROR(__xludf.DUMMYFUNCTION("""COMPUTED_VALUE"""),43459.99861111111)</f>
        <v>43459.99861</v>
      </c>
      <c r="B824" s="433">
        <f>IFERROR(__xludf.DUMMYFUNCTION("""COMPUTED_VALUE"""),3798.141)</f>
        <v>3798.141</v>
      </c>
      <c r="C824" s="434">
        <f>IFERROR(__xludf.DUMMYFUNCTION("""COMPUTED_VALUE"""),43045.99861111111)</f>
        <v>43045.99861</v>
      </c>
      <c r="D824" s="433">
        <f>IFERROR(__xludf.DUMMYFUNCTION("""COMPUTED_VALUE"""),296.4268)</f>
        <v>296.4268</v>
      </c>
      <c r="F824" s="434">
        <f>IFERROR(__xludf.DUMMYFUNCTION("""COMPUTED_VALUE"""),45749.99861111111)</f>
        <v>45749.99861</v>
      </c>
      <c r="G824" s="433">
        <f>IFERROR(__xludf.DUMMYFUNCTION("""COMPUTED_VALUE"""),84598.74)</f>
        <v>84598.74</v>
      </c>
      <c r="H824" s="434">
        <f>IFERROR(__xludf.DUMMYFUNCTION("""COMPUTED_VALUE"""),45748.99861111111)</f>
        <v>45748.99861</v>
      </c>
      <c r="I824" s="433">
        <f>IFERROR(__xludf.DUMMYFUNCTION("""COMPUTED_VALUE"""),1822.3431)</f>
        <v>1822.3431</v>
      </c>
    </row>
    <row r="825">
      <c r="A825" s="434">
        <f>IFERROR(__xludf.DUMMYFUNCTION("""COMPUTED_VALUE"""),43460.99861111111)</f>
        <v>43460.99861</v>
      </c>
      <c r="B825" s="433">
        <f>IFERROR(__xludf.DUMMYFUNCTION("""COMPUTED_VALUE"""),3824.445)</f>
        <v>3824.445</v>
      </c>
      <c r="C825" s="434">
        <f>IFERROR(__xludf.DUMMYFUNCTION("""COMPUTED_VALUE"""),43046.99861111111)</f>
        <v>43046.99861</v>
      </c>
      <c r="D825" s="433">
        <f>IFERROR(__xludf.DUMMYFUNCTION("""COMPUTED_VALUE"""),298.5681)</f>
        <v>298.5681</v>
      </c>
      <c r="F825" s="434">
        <f>IFERROR(__xludf.DUMMYFUNCTION("""COMPUTED_VALUE"""),45750.99861111111)</f>
        <v>45750.99861</v>
      </c>
      <c r="G825" s="433">
        <f>IFERROR(__xludf.DUMMYFUNCTION("""COMPUTED_VALUE"""),83479.15)</f>
        <v>83479.15</v>
      </c>
      <c r="H825" s="434">
        <f>IFERROR(__xludf.DUMMYFUNCTION("""COMPUTED_VALUE"""),45749.99861111111)</f>
        <v>45749.99861</v>
      </c>
      <c r="I825" s="433">
        <f>IFERROR(__xludf.DUMMYFUNCTION("""COMPUTED_VALUE"""),1905.3194)</f>
        <v>1905.3194</v>
      </c>
    </row>
    <row r="826">
      <c r="A826" s="434">
        <f>IFERROR(__xludf.DUMMYFUNCTION("""COMPUTED_VALUE"""),43461.99861111111)</f>
        <v>43461.99861</v>
      </c>
      <c r="B826" s="433">
        <f>IFERROR(__xludf.DUMMYFUNCTION("""COMPUTED_VALUE"""),3618.055)</f>
        <v>3618.055</v>
      </c>
      <c r="C826" s="434">
        <f>IFERROR(__xludf.DUMMYFUNCTION("""COMPUTED_VALUE"""),43047.99861111111)</f>
        <v>43047.99861</v>
      </c>
      <c r="D826" s="433">
        <f>IFERROR(__xludf.DUMMYFUNCTION("""COMPUTED_VALUE"""),294.2712)</f>
        <v>294.2712</v>
      </c>
      <c r="F826" s="434">
        <f>IFERROR(__xludf.DUMMYFUNCTION("""COMPUTED_VALUE"""),45751.99861111111)</f>
        <v>45751.99861</v>
      </c>
      <c r="G826" s="433">
        <f>IFERROR(__xludf.DUMMYFUNCTION("""COMPUTED_VALUE"""),82740.93)</f>
        <v>82740.93</v>
      </c>
      <c r="H826" s="434">
        <f>IFERROR(__xludf.DUMMYFUNCTION("""COMPUTED_VALUE"""),45750.99861111111)</f>
        <v>45750.99861</v>
      </c>
      <c r="I826" s="433">
        <f>IFERROR(__xludf.DUMMYFUNCTION("""COMPUTED_VALUE"""),1794.8779)</f>
        <v>1794.8779</v>
      </c>
    </row>
    <row r="827">
      <c r="A827" s="434">
        <f>IFERROR(__xludf.DUMMYFUNCTION("""COMPUTED_VALUE"""),43462.99861111111)</f>
        <v>43462.99861</v>
      </c>
      <c r="B827" s="433">
        <f>IFERROR(__xludf.DUMMYFUNCTION("""COMPUTED_VALUE"""),3888.177)</f>
        <v>3888.177</v>
      </c>
      <c r="C827" s="434">
        <f>IFERROR(__xludf.DUMMYFUNCTION("""COMPUTED_VALUE"""),43048.99861111111)</f>
        <v>43048.99861</v>
      </c>
      <c r="D827" s="433">
        <f>IFERROR(__xludf.DUMMYFUNCTION("""COMPUTED_VALUE"""),308.6454)</f>
        <v>308.6454</v>
      </c>
      <c r="F827" s="434">
        <f>IFERROR(__xludf.DUMMYFUNCTION("""COMPUTED_VALUE"""),45752.99861111111)</f>
        <v>45752.99861</v>
      </c>
      <c r="G827" s="433">
        <f>IFERROR(__xludf.DUMMYFUNCTION("""COMPUTED_VALUE"""),83624.02)</f>
        <v>83624.02</v>
      </c>
      <c r="H827" s="434">
        <f>IFERROR(__xludf.DUMMYFUNCTION("""COMPUTED_VALUE"""),45751.99861111111)</f>
        <v>45751.99861</v>
      </c>
      <c r="I827" s="433">
        <f>IFERROR(__xludf.DUMMYFUNCTION("""COMPUTED_VALUE"""),1816.4149)</f>
        <v>1816.4149</v>
      </c>
    </row>
    <row r="828">
      <c r="A828" s="434">
        <f>IFERROR(__xludf.DUMMYFUNCTION("""COMPUTED_VALUE"""),43463.99861111111)</f>
        <v>43463.99861</v>
      </c>
      <c r="B828" s="433">
        <f>IFERROR(__xludf.DUMMYFUNCTION("""COMPUTED_VALUE"""),3730.59)</f>
        <v>3730.59</v>
      </c>
      <c r="C828" s="434">
        <f>IFERROR(__xludf.DUMMYFUNCTION("""COMPUTED_VALUE"""),43049.99861111111)</f>
        <v>43049.99861</v>
      </c>
      <c r="D828" s="433">
        <f>IFERROR(__xludf.DUMMYFUNCTION("""COMPUTED_VALUE"""),320.6707)</f>
        <v>320.6707</v>
      </c>
      <c r="F828" s="434">
        <f>IFERROR(__xludf.DUMMYFUNCTION("""COMPUTED_VALUE"""),45753.99861111111)</f>
        <v>45753.99861</v>
      </c>
      <c r="G828" s="433">
        <f>IFERROR(__xludf.DUMMYFUNCTION("""COMPUTED_VALUE"""),83332.85)</f>
        <v>83332.85</v>
      </c>
      <c r="H828" s="434">
        <f>IFERROR(__xludf.DUMMYFUNCTION("""COMPUTED_VALUE"""),45752.99861111111)</f>
        <v>45752.99861</v>
      </c>
      <c r="I828" s="433">
        <f>IFERROR(__xludf.DUMMYFUNCTION("""COMPUTED_VALUE"""),1815.4492)</f>
        <v>1815.4492</v>
      </c>
    </row>
    <row r="829">
      <c r="A829" s="434">
        <f>IFERROR(__xludf.DUMMYFUNCTION("""COMPUTED_VALUE"""),43464.99861111111)</f>
        <v>43464.99861</v>
      </c>
      <c r="B829" s="433">
        <f>IFERROR(__xludf.DUMMYFUNCTION("""COMPUTED_VALUE"""),3831.982)</f>
        <v>3831.982</v>
      </c>
      <c r="C829" s="434">
        <f>IFERROR(__xludf.DUMMYFUNCTION("""COMPUTED_VALUE"""),43050.99861111111)</f>
        <v>43050.99861</v>
      </c>
      <c r="D829" s="433">
        <f>IFERROR(__xludf.DUMMYFUNCTION("""COMPUTED_VALUE"""),298.5865)</f>
        <v>298.5865</v>
      </c>
      <c r="F829" s="434">
        <f>IFERROR(__xludf.DUMMYFUNCTION("""COMPUTED_VALUE"""),45754.99861111111)</f>
        <v>45754.99861</v>
      </c>
      <c r="G829" s="433">
        <f>IFERROR(__xludf.DUMMYFUNCTION("""COMPUTED_VALUE"""),77555.34)</f>
        <v>77555.34</v>
      </c>
      <c r="H829" s="434">
        <f>IFERROR(__xludf.DUMMYFUNCTION("""COMPUTED_VALUE"""),45753.99861111111)</f>
        <v>45753.99861</v>
      </c>
      <c r="I829" s="433">
        <f>IFERROR(__xludf.DUMMYFUNCTION("""COMPUTED_VALUE"""),1806.0908)</f>
        <v>1806.0908</v>
      </c>
    </row>
    <row r="830">
      <c r="A830" s="434">
        <f>IFERROR(__xludf.DUMMYFUNCTION("""COMPUTED_VALUE"""),43465.99861111111)</f>
        <v>43465.99861</v>
      </c>
      <c r="B830" s="433">
        <f>IFERROR(__xludf.DUMMYFUNCTION("""COMPUTED_VALUE"""),3711.907)</f>
        <v>3711.907</v>
      </c>
      <c r="C830" s="434">
        <f>IFERROR(__xludf.DUMMYFUNCTION("""COMPUTED_VALUE"""),43051.99861111111)</f>
        <v>43051.99861</v>
      </c>
      <c r="D830" s="433">
        <f>IFERROR(__xludf.DUMMYFUNCTION("""COMPUTED_VALUE"""),314.6905)</f>
        <v>314.6905</v>
      </c>
      <c r="F830" s="434">
        <f>IFERROR(__xludf.DUMMYFUNCTION("""COMPUTED_VALUE"""),45756.99861111111)</f>
        <v>45756.99861</v>
      </c>
      <c r="G830" s="433">
        <f>IFERROR(__xludf.DUMMYFUNCTION("""COMPUTED_VALUE"""),75004.68)</f>
        <v>75004.68</v>
      </c>
      <c r="H830" s="434">
        <f>IFERROR(__xludf.DUMMYFUNCTION("""COMPUTED_VALUE"""),45754.99861111111)</f>
        <v>45754.99861</v>
      </c>
      <c r="I830" s="433">
        <f>IFERROR(__xludf.DUMMYFUNCTION("""COMPUTED_VALUE"""),1579.0905)</f>
        <v>1579.0905</v>
      </c>
    </row>
    <row r="831">
      <c r="A831" s="434">
        <f>IFERROR(__xludf.DUMMYFUNCTION("""COMPUTED_VALUE"""),43466.99861111111)</f>
        <v>43466.99861</v>
      </c>
      <c r="B831" s="433">
        <f>IFERROR(__xludf.DUMMYFUNCTION("""COMPUTED_VALUE"""),3827.963)</f>
        <v>3827.963</v>
      </c>
      <c r="C831" s="434">
        <f>IFERROR(__xludf.DUMMYFUNCTION("""COMPUTED_VALUE"""),43052.99861111111)</f>
        <v>43052.99861</v>
      </c>
      <c r="D831" s="433">
        <f>IFERROR(__xludf.DUMMYFUNCTION("""COMPUTED_VALUE"""),307.0247)</f>
        <v>307.0247</v>
      </c>
      <c r="F831" s="434">
        <f>IFERROR(__xludf.DUMMYFUNCTION("""COMPUTED_VALUE"""),45757.99861111111)</f>
        <v>45757.99861</v>
      </c>
      <c r="G831" s="433">
        <f>IFERROR(__xludf.DUMMYFUNCTION("""COMPUTED_VALUE"""),81681.0)</f>
        <v>81681</v>
      </c>
      <c r="H831" s="434">
        <f>IFERROR(__xludf.DUMMYFUNCTION("""COMPUTED_VALUE"""),45755.99861111111)</f>
        <v>45755.99861</v>
      </c>
      <c r="I831" s="433">
        <f>IFERROR(__xludf.DUMMYFUNCTION("""COMPUTED_VALUE"""),1552.0201)</f>
        <v>1552.0201</v>
      </c>
    </row>
    <row r="832">
      <c r="A832" s="434">
        <f>IFERROR(__xludf.DUMMYFUNCTION("""COMPUTED_VALUE"""),43467.99861111111)</f>
        <v>43467.99861</v>
      </c>
      <c r="B832" s="433">
        <f>IFERROR(__xludf.DUMMYFUNCTION("""COMPUTED_VALUE"""),3914.791)</f>
        <v>3914.791</v>
      </c>
      <c r="C832" s="434">
        <f>IFERROR(__xludf.DUMMYFUNCTION("""COMPUTED_VALUE"""),43053.99861111111)</f>
        <v>43053.99861</v>
      </c>
      <c r="D832" s="433">
        <f>IFERROR(__xludf.DUMMYFUNCTION("""COMPUTED_VALUE"""),316.7625)</f>
        <v>316.7625</v>
      </c>
      <c r="F832" s="434">
        <f>IFERROR(__xludf.DUMMYFUNCTION("""COMPUTED_VALUE"""),45758.99861111111)</f>
        <v>45758.99861</v>
      </c>
      <c r="G832" s="433">
        <f>IFERROR(__xludf.DUMMYFUNCTION("""COMPUTED_VALUE"""),80721.91)</f>
        <v>80721.91</v>
      </c>
      <c r="H832" s="434">
        <f>IFERROR(__xludf.DUMMYFUNCTION("""COMPUTED_VALUE"""),45756.99861111111)</f>
        <v>45756.99861</v>
      </c>
      <c r="I832" s="433">
        <f>IFERROR(__xludf.DUMMYFUNCTION("""COMPUTED_VALUE"""),1471.9443)</f>
        <v>1471.9443</v>
      </c>
    </row>
    <row r="833">
      <c r="A833" s="434">
        <f>IFERROR(__xludf.DUMMYFUNCTION("""COMPUTED_VALUE"""),43468.99861111111)</f>
        <v>43468.99861</v>
      </c>
      <c r="B833" s="433">
        <f>IFERROR(__xludf.DUMMYFUNCTION("""COMPUTED_VALUE"""),3792.064)</f>
        <v>3792.064</v>
      </c>
      <c r="C833" s="434">
        <f>IFERROR(__xludf.DUMMYFUNCTION("""COMPUTED_VALUE"""),43054.99861111111)</f>
        <v>43054.99861</v>
      </c>
      <c r="D833" s="433">
        <f>IFERROR(__xludf.DUMMYFUNCTION("""COMPUTED_VALUE"""),337.9638)</f>
        <v>337.9638</v>
      </c>
      <c r="F833" s="434">
        <f>IFERROR(__xludf.DUMMYFUNCTION("""COMPUTED_VALUE"""),45759.99861111111)</f>
        <v>45759.99861</v>
      </c>
      <c r="G833" s="433">
        <f>IFERROR(__xludf.DUMMYFUNCTION("""COMPUTED_VALUE"""),82944.43)</f>
        <v>82944.43</v>
      </c>
      <c r="H833" s="434">
        <f>IFERROR(__xludf.DUMMYFUNCTION("""COMPUTED_VALUE"""),45757.99861111111)</f>
        <v>45757.99861</v>
      </c>
      <c r="I833" s="433">
        <f>IFERROR(__xludf.DUMMYFUNCTION("""COMPUTED_VALUE"""),1668.859)</f>
        <v>1668.859</v>
      </c>
    </row>
    <row r="834">
      <c r="A834" s="434">
        <f>IFERROR(__xludf.DUMMYFUNCTION("""COMPUTED_VALUE"""),43469.99861111111)</f>
        <v>43469.99861</v>
      </c>
      <c r="B834" s="433">
        <f>IFERROR(__xludf.DUMMYFUNCTION("""COMPUTED_VALUE"""),3831.475)</f>
        <v>3831.475</v>
      </c>
      <c r="C834" s="434">
        <f>IFERROR(__xludf.DUMMYFUNCTION("""COMPUTED_VALUE"""),43055.99861111111)</f>
        <v>43055.99861</v>
      </c>
      <c r="D834" s="433">
        <f>IFERROR(__xludf.DUMMYFUNCTION("""COMPUTED_VALUE"""),333.443)</f>
        <v>333.443</v>
      </c>
      <c r="F834" s="434">
        <f>IFERROR(__xludf.DUMMYFUNCTION("""COMPUTED_VALUE"""),45760.99861111111)</f>
        <v>45760.99861</v>
      </c>
      <c r="G834" s="433">
        <f>IFERROR(__xludf.DUMMYFUNCTION("""COMPUTED_VALUE"""),85434.14)</f>
        <v>85434.14</v>
      </c>
      <c r="H834" s="434">
        <f>IFERROR(__xludf.DUMMYFUNCTION("""COMPUTED_VALUE"""),45758.99861111111)</f>
        <v>45758.99861</v>
      </c>
      <c r="I834" s="433">
        <f>IFERROR(__xludf.DUMMYFUNCTION("""COMPUTED_VALUE"""),1521.4977)</f>
        <v>1521.4977</v>
      </c>
    </row>
    <row r="835">
      <c r="A835" s="434">
        <f>IFERROR(__xludf.DUMMYFUNCTION("""COMPUTED_VALUE"""),43470.99861111111)</f>
        <v>43470.99861</v>
      </c>
      <c r="B835" s="433">
        <f>IFERROR(__xludf.DUMMYFUNCTION("""COMPUTED_VALUE"""),3802.392)</f>
        <v>3802.392</v>
      </c>
      <c r="C835" s="434">
        <f>IFERROR(__xludf.DUMMYFUNCTION("""COMPUTED_VALUE"""),43056.99861111111)</f>
        <v>43056.99861</v>
      </c>
      <c r="D835" s="433">
        <f>IFERROR(__xludf.DUMMYFUNCTION("""COMPUTED_VALUE"""),330.1671)</f>
        <v>330.1671</v>
      </c>
      <c r="F835" s="434">
        <f>IFERROR(__xludf.DUMMYFUNCTION("""COMPUTED_VALUE"""),45761.99861111111)</f>
        <v>45761.99861</v>
      </c>
      <c r="G835" s="433">
        <f>IFERROR(__xludf.DUMMYFUNCTION("""COMPUTED_VALUE"""),84549.55)</f>
        <v>84549.55</v>
      </c>
      <c r="H835" s="434">
        <f>IFERROR(__xludf.DUMMYFUNCTION("""COMPUTED_VALUE"""),45759.99861111111)</f>
        <v>45759.99861</v>
      </c>
      <c r="I835" s="433">
        <f>IFERROR(__xludf.DUMMYFUNCTION("""COMPUTED_VALUE"""),1566.1546)</f>
        <v>1566.1546</v>
      </c>
    </row>
    <row r="836">
      <c r="A836" s="434">
        <f>IFERROR(__xludf.DUMMYFUNCTION("""COMPUTED_VALUE"""),43471.99861111111)</f>
        <v>43471.99861</v>
      </c>
      <c r="B836" s="433">
        <f>IFERROR(__xludf.DUMMYFUNCTION("""COMPUTED_VALUE"""),4053.686)</f>
        <v>4053.686</v>
      </c>
      <c r="C836" s="434">
        <f>IFERROR(__xludf.DUMMYFUNCTION("""COMPUTED_VALUE"""),43057.99861111111)</f>
        <v>43057.99861</v>
      </c>
      <c r="D836" s="433">
        <f>IFERROR(__xludf.DUMMYFUNCTION("""COMPUTED_VALUE"""),331.98)</f>
        <v>331.98</v>
      </c>
      <c r="F836" s="434">
        <f>IFERROR(__xludf.DUMMYFUNCTION("""COMPUTED_VALUE"""),45762.99861111111)</f>
        <v>45762.99861</v>
      </c>
      <c r="G836" s="433">
        <f>IFERROR(__xludf.DUMMYFUNCTION("""COMPUTED_VALUE"""),85358.06)</f>
        <v>85358.06</v>
      </c>
      <c r="H836" s="434">
        <f>IFERROR(__xludf.DUMMYFUNCTION("""COMPUTED_VALUE"""),45760.99861111111)</f>
        <v>45760.99861</v>
      </c>
      <c r="I836" s="433">
        <f>IFERROR(__xludf.DUMMYFUNCTION("""COMPUTED_VALUE"""),1643.7982)</f>
        <v>1643.7982</v>
      </c>
    </row>
    <row r="837">
      <c r="A837" s="434">
        <f>IFERROR(__xludf.DUMMYFUNCTION("""COMPUTED_VALUE"""),43472.99861111111)</f>
        <v>43472.99861</v>
      </c>
      <c r="B837" s="433">
        <f>IFERROR(__xludf.DUMMYFUNCTION("""COMPUTED_VALUE"""),4014.808)</f>
        <v>4014.808</v>
      </c>
      <c r="C837" s="434">
        <f>IFERROR(__xludf.DUMMYFUNCTION("""COMPUTED_VALUE"""),43058.99861111111)</f>
        <v>43058.99861</v>
      </c>
      <c r="D837" s="433">
        <f>IFERROR(__xludf.DUMMYFUNCTION("""COMPUTED_VALUE"""),347.4006)</f>
        <v>347.4006</v>
      </c>
      <c r="F837" s="434">
        <f>IFERROR(__xludf.DUMMYFUNCTION("""COMPUTED_VALUE"""),45763.99861111111)</f>
        <v>45763.99861</v>
      </c>
      <c r="G837" s="433">
        <f>IFERROR(__xludf.DUMMYFUNCTION("""COMPUTED_VALUE"""),83726.81)</f>
        <v>83726.81</v>
      </c>
      <c r="H837" s="434">
        <f>IFERROR(__xludf.DUMMYFUNCTION("""COMPUTED_VALUE"""),45761.99861111111)</f>
        <v>45761.99861</v>
      </c>
      <c r="I837" s="433">
        <f>IFERROR(__xludf.DUMMYFUNCTION("""COMPUTED_VALUE"""),1596.8367)</f>
        <v>1596.8367</v>
      </c>
    </row>
    <row r="838">
      <c r="A838" s="434">
        <f>IFERROR(__xludf.DUMMYFUNCTION("""COMPUTED_VALUE"""),43473.99861111111)</f>
        <v>43473.99861</v>
      </c>
      <c r="B838" s="433">
        <f>IFERROR(__xludf.DUMMYFUNCTION("""COMPUTED_VALUE"""),3997.441)</f>
        <v>3997.441</v>
      </c>
      <c r="C838" s="434">
        <f>IFERROR(__xludf.DUMMYFUNCTION("""COMPUTED_VALUE"""),43059.99861111111)</f>
        <v>43059.99861</v>
      </c>
      <c r="D838" s="433">
        <f>IFERROR(__xludf.DUMMYFUNCTION("""COMPUTED_VALUE"""),354.094)</f>
        <v>354.094</v>
      </c>
      <c r="F838" s="434">
        <f>IFERROR(__xludf.DUMMYFUNCTION("""COMPUTED_VALUE"""),45764.99861111111)</f>
        <v>45764.99861</v>
      </c>
      <c r="G838" s="433">
        <f>IFERROR(__xludf.DUMMYFUNCTION("""COMPUTED_VALUE"""),84030.1)</f>
        <v>84030.1</v>
      </c>
      <c r="H838" s="434">
        <f>IFERROR(__xludf.DUMMYFUNCTION("""COMPUTED_VALUE"""),45762.99861111111)</f>
        <v>45762.99861</v>
      </c>
      <c r="I838" s="433">
        <f>IFERROR(__xludf.DUMMYFUNCTION("""COMPUTED_VALUE"""),1623.1192)</f>
        <v>1623.1192</v>
      </c>
    </row>
    <row r="839">
      <c r="A839" s="434">
        <f>IFERROR(__xludf.DUMMYFUNCTION("""COMPUTED_VALUE"""),43474.99861111111)</f>
        <v>43474.99861</v>
      </c>
      <c r="B839" s="433">
        <f>IFERROR(__xludf.DUMMYFUNCTION("""COMPUTED_VALUE"""),4018.623)</f>
        <v>4018.623</v>
      </c>
      <c r="C839" s="434">
        <f>IFERROR(__xludf.DUMMYFUNCTION("""COMPUTED_VALUE"""),43060.99861111111)</f>
        <v>43060.99861</v>
      </c>
      <c r="D839" s="433">
        <f>IFERROR(__xludf.DUMMYFUNCTION("""COMPUTED_VALUE"""),367.4427)</f>
        <v>367.4427</v>
      </c>
      <c r="F839" s="434">
        <f>IFERROR(__xludf.DUMMYFUNCTION("""COMPUTED_VALUE"""),45765.99861111111)</f>
        <v>45765.99861</v>
      </c>
      <c r="G839" s="433">
        <f>IFERROR(__xludf.DUMMYFUNCTION("""COMPUTED_VALUE"""),84815.62)</f>
        <v>84815.62</v>
      </c>
      <c r="H839" s="434">
        <f>IFERROR(__xludf.DUMMYFUNCTION("""COMPUTED_VALUE"""),45763.99861111111)</f>
        <v>45763.99861</v>
      </c>
      <c r="I839" s="433">
        <f>IFERROR(__xludf.DUMMYFUNCTION("""COMPUTED_VALUE"""),1588.8276)</f>
        <v>1588.8276</v>
      </c>
    </row>
    <row r="840">
      <c r="A840" s="434">
        <f>IFERROR(__xludf.DUMMYFUNCTION("""COMPUTED_VALUE"""),43475.99861111111)</f>
        <v>43475.99861</v>
      </c>
      <c r="B840" s="433">
        <f>IFERROR(__xludf.DUMMYFUNCTION("""COMPUTED_VALUE"""),3624.146)</f>
        <v>3624.146</v>
      </c>
      <c r="C840" s="434">
        <f>IFERROR(__xludf.DUMMYFUNCTION("""COMPUTED_VALUE"""),43061.99861111111)</f>
        <v>43061.99861</v>
      </c>
      <c r="D840" s="433">
        <f>IFERROR(__xludf.DUMMYFUNCTION("""COMPUTED_VALUE"""),360.3118)</f>
        <v>360.3118</v>
      </c>
      <c r="F840" s="434">
        <f>IFERROR(__xludf.DUMMYFUNCTION("""COMPUTED_VALUE"""),45766.99861111111)</f>
        <v>45766.99861</v>
      </c>
      <c r="G840" s="433">
        <f>IFERROR(__xludf.DUMMYFUNCTION("""COMPUTED_VALUE"""),84841.2)</f>
        <v>84841.2</v>
      </c>
      <c r="H840" s="434">
        <f>IFERROR(__xludf.DUMMYFUNCTION("""COMPUTED_VALUE"""),45764.99861111111)</f>
        <v>45764.99861</v>
      </c>
      <c r="I840" s="433">
        <f>IFERROR(__xludf.DUMMYFUNCTION("""COMPUTED_VALUE"""),1577.2412)</f>
        <v>1577.2412</v>
      </c>
    </row>
    <row r="841">
      <c r="A841" s="434">
        <f>IFERROR(__xludf.DUMMYFUNCTION("""COMPUTED_VALUE"""),43476.99861111111)</f>
        <v>43476.99861</v>
      </c>
      <c r="B841" s="433">
        <f>IFERROR(__xludf.DUMMYFUNCTION("""COMPUTED_VALUE"""),3640.597)</f>
        <v>3640.597</v>
      </c>
      <c r="C841" s="434">
        <f>IFERROR(__xludf.DUMMYFUNCTION("""COMPUTED_VALUE"""),43062.99861111111)</f>
        <v>43062.99861</v>
      </c>
      <c r="D841" s="433">
        <f>IFERROR(__xludf.DUMMYFUNCTION("""COMPUTED_VALUE"""),381.4386)</f>
        <v>381.4386</v>
      </c>
      <c r="F841" s="434">
        <f>IFERROR(__xludf.DUMMYFUNCTION("""COMPUTED_VALUE"""),45767.99861111111)</f>
        <v>45767.99861</v>
      </c>
      <c r="G841" s="433">
        <f>IFERROR(__xludf.DUMMYFUNCTION("""COMPUTED_VALUE"""),85115.07)</f>
        <v>85115.07</v>
      </c>
      <c r="H841" s="434">
        <f>IFERROR(__xludf.DUMMYFUNCTION("""COMPUTED_VALUE"""),45765.99861111111)</f>
        <v>45765.99861</v>
      </c>
      <c r="I841" s="433">
        <f>IFERROR(__xludf.DUMMYFUNCTION("""COMPUTED_VALUE"""),1582.98)</f>
        <v>1582.98</v>
      </c>
    </row>
    <row r="842">
      <c r="A842" s="434">
        <f>IFERROR(__xludf.DUMMYFUNCTION("""COMPUTED_VALUE"""),43477.99861111111)</f>
        <v>43477.99861</v>
      </c>
      <c r="B842" s="433">
        <f>IFERROR(__xludf.DUMMYFUNCTION("""COMPUTED_VALUE"""),3624.767)</f>
        <v>3624.767</v>
      </c>
      <c r="C842" s="434">
        <f>IFERROR(__xludf.DUMMYFUNCTION("""COMPUTED_VALUE"""),43063.99861111111)</f>
        <v>43063.99861</v>
      </c>
      <c r="D842" s="433">
        <f>IFERROR(__xludf.DUMMYFUNCTION("""COMPUTED_VALUE"""),412.5006)</f>
        <v>412.5006</v>
      </c>
      <c r="F842" s="434">
        <f>IFERROR(__xludf.DUMMYFUNCTION("""COMPUTED_VALUE"""),45768.99861111111)</f>
        <v>45768.99861</v>
      </c>
      <c r="G842" s="433">
        <f>IFERROR(__xludf.DUMMYFUNCTION("""COMPUTED_VALUE"""),87152.38)</f>
        <v>87152.38</v>
      </c>
      <c r="H842" s="434">
        <f>IFERROR(__xludf.DUMMYFUNCTION("""COMPUTED_VALUE"""),45766.99861111111)</f>
        <v>45766.99861</v>
      </c>
      <c r="I842" s="433">
        <f>IFERROR(__xludf.DUMMYFUNCTION("""COMPUTED_VALUE"""),1588.7273)</f>
        <v>1588.7273</v>
      </c>
    </row>
    <row r="843">
      <c r="A843" s="434">
        <f>IFERROR(__xludf.DUMMYFUNCTION("""COMPUTED_VALUE"""),43478.99861111111)</f>
        <v>43478.99861</v>
      </c>
      <c r="B843" s="433">
        <f>IFERROR(__xludf.DUMMYFUNCTION("""COMPUTED_VALUE"""),3511.743)</f>
        <v>3511.743</v>
      </c>
      <c r="C843" s="434">
        <f>IFERROR(__xludf.DUMMYFUNCTION("""COMPUTED_VALUE"""),43064.99861111111)</f>
        <v>43064.99861</v>
      </c>
      <c r="D843" s="433">
        <f>IFERROR(__xludf.DUMMYFUNCTION("""COMPUTED_VALUE"""),475.6759)</f>
        <v>475.6759</v>
      </c>
      <c r="F843" s="434">
        <f>IFERROR(__xludf.DUMMYFUNCTION("""COMPUTED_VALUE"""),45769.99861111111)</f>
        <v>45769.99861</v>
      </c>
      <c r="G843" s="433">
        <f>IFERROR(__xludf.DUMMYFUNCTION("""COMPUTED_VALUE"""),88107.6)</f>
        <v>88107.6</v>
      </c>
      <c r="H843" s="434">
        <f>IFERROR(__xludf.DUMMYFUNCTION("""COMPUTED_VALUE"""),45767.99861111111)</f>
        <v>45767.99861</v>
      </c>
      <c r="I843" s="433">
        <f>IFERROR(__xludf.DUMMYFUNCTION("""COMPUTED_VALUE"""),1613.1206)</f>
        <v>1613.1206</v>
      </c>
    </row>
    <row r="844">
      <c r="A844" s="434">
        <f>IFERROR(__xludf.DUMMYFUNCTION("""COMPUTED_VALUE"""),43479.99861111111)</f>
        <v>43479.99861</v>
      </c>
      <c r="B844" s="433">
        <f>IFERROR(__xludf.DUMMYFUNCTION("""COMPUTED_VALUE"""),3670.165)</f>
        <v>3670.165</v>
      </c>
      <c r="C844" s="434">
        <f>IFERROR(__xludf.DUMMYFUNCTION("""COMPUTED_VALUE"""),43065.99861111111)</f>
        <v>43065.99861</v>
      </c>
      <c r="D844" s="433">
        <f>IFERROR(__xludf.DUMMYFUNCTION("""COMPUTED_VALUE"""),465.974)</f>
        <v>465.974</v>
      </c>
      <c r="F844" s="434">
        <f>IFERROR(__xludf.DUMMYFUNCTION("""COMPUTED_VALUE"""),45770.99861111111)</f>
        <v>45770.99861</v>
      </c>
      <c r="G844" s="433">
        <f>IFERROR(__xludf.DUMMYFUNCTION("""COMPUTED_VALUE"""),93210.55)</f>
        <v>93210.55</v>
      </c>
      <c r="H844" s="434">
        <f>IFERROR(__xludf.DUMMYFUNCTION("""COMPUTED_VALUE"""),45768.99861111111)</f>
        <v>45768.99861</v>
      </c>
      <c r="I844" s="433">
        <f>IFERROR(__xludf.DUMMYFUNCTION("""COMPUTED_VALUE"""),1587.3288)</f>
        <v>1587.3288</v>
      </c>
    </row>
    <row r="845">
      <c r="A845" s="434">
        <f>IFERROR(__xludf.DUMMYFUNCTION("""COMPUTED_VALUE"""),43480.99861111111)</f>
        <v>43480.99861</v>
      </c>
      <c r="B845" s="433">
        <f>IFERROR(__xludf.DUMMYFUNCTION("""COMPUTED_VALUE"""),3604.193)</f>
        <v>3604.193</v>
      </c>
      <c r="C845" s="434">
        <f>IFERROR(__xludf.DUMMYFUNCTION("""COMPUTED_VALUE"""),43066.99861111111)</f>
        <v>43066.99861</v>
      </c>
      <c r="D845" s="433">
        <f>IFERROR(__xludf.DUMMYFUNCTION("""COMPUTED_VALUE"""),471.5315)</f>
        <v>471.5315</v>
      </c>
      <c r="F845" s="434">
        <f>IFERROR(__xludf.DUMMYFUNCTION("""COMPUTED_VALUE"""),45771.99861111111)</f>
        <v>45771.99861</v>
      </c>
      <c r="G845" s="433">
        <f>IFERROR(__xludf.DUMMYFUNCTION("""COMPUTED_VALUE"""),92733.36)</f>
        <v>92733.36</v>
      </c>
      <c r="H845" s="434">
        <f>IFERROR(__xludf.DUMMYFUNCTION("""COMPUTED_VALUE"""),45769.99861111111)</f>
        <v>45769.99861</v>
      </c>
      <c r="I845" s="433">
        <f>IFERROR(__xludf.DUMMYFUNCTION("""COMPUTED_VALUE"""),1579.4935)</f>
        <v>1579.4935</v>
      </c>
    </row>
    <row r="846">
      <c r="A846" s="434">
        <f>IFERROR(__xludf.DUMMYFUNCTION("""COMPUTED_VALUE"""),43481.99861111111)</f>
        <v>43481.99861</v>
      </c>
      <c r="B846" s="433">
        <f>IFERROR(__xludf.DUMMYFUNCTION("""COMPUTED_VALUE"""),3604.278)</f>
        <v>3604.278</v>
      </c>
      <c r="C846" s="434">
        <f>IFERROR(__xludf.DUMMYFUNCTION("""COMPUTED_VALUE"""),43067.99861111111)</f>
        <v>43067.99861</v>
      </c>
      <c r="D846" s="433">
        <f>IFERROR(__xludf.DUMMYFUNCTION("""COMPUTED_VALUE"""),480.5175)</f>
        <v>480.5175</v>
      </c>
      <c r="F846" s="434">
        <f>IFERROR(__xludf.DUMMYFUNCTION("""COMPUTED_VALUE"""),45772.99861111111)</f>
        <v>45772.99861</v>
      </c>
      <c r="G846" s="433">
        <f>IFERROR(__xludf.DUMMYFUNCTION("""COMPUTED_VALUE"""),93348.03)</f>
        <v>93348.03</v>
      </c>
      <c r="H846" s="434">
        <f>IFERROR(__xludf.DUMMYFUNCTION("""COMPUTED_VALUE"""),45770.99861111111)</f>
        <v>45770.99861</v>
      </c>
      <c r="I846" s="433">
        <f>IFERROR(__xludf.DUMMYFUNCTION("""COMPUTED_VALUE"""),1756.9004)</f>
        <v>1756.9004</v>
      </c>
    </row>
    <row r="847">
      <c r="A847" s="434">
        <f>IFERROR(__xludf.DUMMYFUNCTION("""COMPUTED_VALUE"""),43482.99861111111)</f>
        <v>43482.99861</v>
      </c>
      <c r="B847" s="433">
        <f>IFERROR(__xludf.DUMMYFUNCTION("""COMPUTED_VALUE"""),3650.267)</f>
        <v>3650.267</v>
      </c>
      <c r="C847" s="434">
        <f>IFERROR(__xludf.DUMMYFUNCTION("""COMPUTED_VALUE"""),43068.99861111111)</f>
        <v>43068.99861</v>
      </c>
      <c r="D847" s="433">
        <f>IFERROR(__xludf.DUMMYFUNCTION("""COMPUTED_VALUE"""),473.2812)</f>
        <v>473.2812</v>
      </c>
      <c r="F847" s="434">
        <f>IFERROR(__xludf.DUMMYFUNCTION("""COMPUTED_VALUE"""),45773.99861111111)</f>
        <v>45773.99861</v>
      </c>
      <c r="G847" s="433">
        <f>IFERROR(__xludf.DUMMYFUNCTION("""COMPUTED_VALUE"""),94847.29)</f>
        <v>94847.29</v>
      </c>
      <c r="H847" s="434">
        <f>IFERROR(__xludf.DUMMYFUNCTION("""COMPUTED_VALUE"""),45771.99861111111)</f>
        <v>45771.99861</v>
      </c>
      <c r="I847" s="433">
        <f>IFERROR(__xludf.DUMMYFUNCTION("""COMPUTED_VALUE"""),1796.0691)</f>
        <v>1796.0691</v>
      </c>
    </row>
    <row r="848">
      <c r="A848" s="434">
        <f>IFERROR(__xludf.DUMMYFUNCTION("""COMPUTED_VALUE"""),43483.99861111111)</f>
        <v>43483.99861</v>
      </c>
      <c r="B848" s="433">
        <f>IFERROR(__xludf.DUMMYFUNCTION("""COMPUTED_VALUE"""),3613.682)</f>
        <v>3613.682</v>
      </c>
      <c r="C848" s="434">
        <f>IFERROR(__xludf.DUMMYFUNCTION("""COMPUTED_VALUE"""),43069.99861111111)</f>
        <v>43069.99861</v>
      </c>
      <c r="D848" s="433">
        <f>IFERROR(__xludf.DUMMYFUNCTION("""COMPUTED_VALUE"""),431.215)</f>
        <v>431.215</v>
      </c>
      <c r="F848" s="434">
        <f>IFERROR(__xludf.DUMMYFUNCTION("""COMPUTED_VALUE"""),45774.99861111111)</f>
        <v>45774.99861</v>
      </c>
      <c r="G848" s="433">
        <f>IFERROR(__xludf.DUMMYFUNCTION("""COMPUTED_VALUE"""),94225.3)</f>
        <v>94225.3</v>
      </c>
      <c r="H848" s="434">
        <f>IFERROR(__xludf.DUMMYFUNCTION("""COMPUTED_VALUE"""),45772.99861111111)</f>
        <v>45772.99861</v>
      </c>
      <c r="I848" s="433">
        <f>IFERROR(__xludf.DUMMYFUNCTION("""COMPUTED_VALUE"""),1770.0125)</f>
        <v>1770.0125</v>
      </c>
    </row>
    <row r="849">
      <c r="A849" s="434">
        <f>IFERROR(__xludf.DUMMYFUNCTION("""COMPUTED_VALUE"""),43485.99861111111)</f>
        <v>43485.99861</v>
      </c>
      <c r="B849" s="433">
        <f>IFERROR(__xludf.DUMMYFUNCTION("""COMPUTED_VALUE"""),3546.262)</f>
        <v>3546.262</v>
      </c>
      <c r="C849" s="434">
        <f>IFERROR(__xludf.DUMMYFUNCTION("""COMPUTED_VALUE"""),43070.99861111111)</f>
        <v>43070.99861</v>
      </c>
      <c r="D849" s="433">
        <f>IFERROR(__xludf.DUMMYFUNCTION("""COMPUTED_VALUE"""),445.2092)</f>
        <v>445.2092</v>
      </c>
      <c r="F849" s="434">
        <f>IFERROR(__xludf.DUMMYFUNCTION("""COMPUTED_VALUE"""),45775.99861111111)</f>
        <v>45775.99861</v>
      </c>
      <c r="G849" s="433">
        <f>IFERROR(__xludf.DUMMYFUNCTION("""COMPUTED_VALUE"""),93911.89)</f>
        <v>93911.89</v>
      </c>
      <c r="H849" s="434">
        <f>IFERROR(__xludf.DUMMYFUNCTION("""COMPUTED_VALUE"""),45773.99861111111)</f>
        <v>45773.99861</v>
      </c>
      <c r="I849" s="433">
        <f>IFERROR(__xludf.DUMMYFUNCTION("""COMPUTED_VALUE"""),1786.1962)</f>
        <v>1786.1962</v>
      </c>
    </row>
    <row r="850">
      <c r="A850" s="434">
        <f>IFERROR(__xludf.DUMMYFUNCTION("""COMPUTED_VALUE"""),43486.99861111111)</f>
        <v>43486.99861</v>
      </c>
      <c r="B850" s="433">
        <f>IFERROR(__xludf.DUMMYFUNCTION("""COMPUTED_VALUE"""),3535.121)</f>
        <v>3535.121</v>
      </c>
      <c r="C850" s="434">
        <f>IFERROR(__xludf.DUMMYFUNCTION("""COMPUTED_VALUE"""),43071.99861111111)</f>
        <v>43071.99861</v>
      </c>
      <c r="D850" s="433">
        <f>IFERROR(__xludf.DUMMYFUNCTION("""COMPUTED_VALUE"""),466.8506)</f>
        <v>466.8506</v>
      </c>
      <c r="F850" s="434">
        <f>IFERROR(__xludf.DUMMYFUNCTION("""COMPUTED_VALUE"""),45776.99861111111)</f>
        <v>45776.99861</v>
      </c>
      <c r="G850" s="433">
        <f>IFERROR(__xludf.DUMMYFUNCTION("""COMPUTED_VALUE"""),94717.11)</f>
        <v>94717.11</v>
      </c>
      <c r="H850" s="434">
        <f>IFERROR(__xludf.DUMMYFUNCTION("""COMPUTED_VALUE"""),45774.99861111111)</f>
        <v>45774.99861</v>
      </c>
      <c r="I850" s="433">
        <f>IFERROR(__xludf.DUMMYFUNCTION("""COMPUTED_VALUE"""),1821.7589)</f>
        <v>1821.7589</v>
      </c>
    </row>
    <row r="851">
      <c r="A851" s="434">
        <f>IFERROR(__xludf.DUMMYFUNCTION("""COMPUTED_VALUE"""),43487.99861111111)</f>
        <v>43487.99861</v>
      </c>
      <c r="B851" s="433">
        <f>IFERROR(__xludf.DUMMYFUNCTION("""COMPUTED_VALUE"""),3580.058)</f>
        <v>3580.058</v>
      </c>
      <c r="C851" s="434">
        <f>IFERROR(__xludf.DUMMYFUNCTION("""COMPUTED_VALUE"""),43072.99861111111)</f>
        <v>43072.99861</v>
      </c>
      <c r="D851" s="433">
        <f>IFERROR(__xludf.DUMMYFUNCTION("""COMPUTED_VALUE"""),463.7049)</f>
        <v>463.7049</v>
      </c>
      <c r="F851" s="434">
        <f>IFERROR(__xludf.DUMMYFUNCTION("""COMPUTED_VALUE"""),45777.99861111111)</f>
        <v>45777.99861</v>
      </c>
      <c r="G851" s="433">
        <f>IFERROR(__xludf.DUMMYFUNCTION("""COMPUTED_VALUE"""),95041.93)</f>
        <v>95041.93</v>
      </c>
      <c r="H851" s="434">
        <f>IFERROR(__xludf.DUMMYFUNCTION("""COMPUTED_VALUE"""),45775.99861111111)</f>
        <v>45775.99861</v>
      </c>
      <c r="I851" s="433">
        <f>IFERROR(__xludf.DUMMYFUNCTION("""COMPUTED_VALUE"""),1791.9918)</f>
        <v>1791.9918</v>
      </c>
    </row>
    <row r="852">
      <c r="A852" s="434">
        <f>IFERROR(__xludf.DUMMYFUNCTION("""COMPUTED_VALUE"""),43488.99861111111)</f>
        <v>43488.99861</v>
      </c>
      <c r="B852" s="433">
        <f>IFERROR(__xludf.DUMMYFUNCTION("""COMPUTED_VALUE"""),3562.129)</f>
        <v>3562.129</v>
      </c>
      <c r="C852" s="434">
        <f>IFERROR(__xludf.DUMMYFUNCTION("""COMPUTED_VALUE"""),43073.99861111111)</f>
        <v>43073.99861</v>
      </c>
      <c r="D852" s="433">
        <f>IFERROR(__xludf.DUMMYFUNCTION("""COMPUTED_VALUE"""),466.0537)</f>
        <v>466.0537</v>
      </c>
      <c r="F852" s="434">
        <f>IFERROR(__xludf.DUMMYFUNCTION("""COMPUTED_VALUE"""),45778.99861111111)</f>
        <v>45778.99861</v>
      </c>
      <c r="G852" s="433">
        <f>IFERROR(__xludf.DUMMYFUNCTION("""COMPUTED_VALUE"""),94808.49)</f>
        <v>94808.49</v>
      </c>
      <c r="H852" s="434">
        <f>IFERROR(__xludf.DUMMYFUNCTION("""COMPUTED_VALUE"""),45776.99861111111)</f>
        <v>45776.99861</v>
      </c>
      <c r="I852" s="433">
        <f>IFERROR(__xludf.DUMMYFUNCTION("""COMPUTED_VALUE"""),1800.1999)</f>
        <v>1800.1999</v>
      </c>
    </row>
    <row r="853">
      <c r="A853" s="434">
        <f>IFERROR(__xludf.DUMMYFUNCTION("""COMPUTED_VALUE"""),43489.99861111111)</f>
        <v>43489.99861</v>
      </c>
      <c r="B853" s="433">
        <f>IFERROR(__xludf.DUMMYFUNCTION("""COMPUTED_VALUE"""),3581.396)</f>
        <v>3581.396</v>
      </c>
      <c r="C853" s="434">
        <f>IFERROR(__xludf.DUMMYFUNCTION("""COMPUTED_VALUE"""),43074.99861111111)</f>
        <v>43074.99861</v>
      </c>
      <c r="D853" s="433">
        <f>IFERROR(__xludf.DUMMYFUNCTION("""COMPUTED_VALUE"""),470.2939)</f>
        <v>470.2939</v>
      </c>
      <c r="F853" s="434">
        <f>IFERROR(__xludf.DUMMYFUNCTION("""COMPUTED_VALUE"""),45779.99861111111)</f>
        <v>45779.99861</v>
      </c>
      <c r="G853" s="433">
        <f>IFERROR(__xludf.DUMMYFUNCTION("""COMPUTED_VALUE"""),97111.77)</f>
        <v>97111.77</v>
      </c>
      <c r="H853" s="434">
        <f>IFERROR(__xludf.DUMMYFUNCTION("""COMPUTED_VALUE"""),45777.99861111111)</f>
        <v>45777.99861</v>
      </c>
      <c r="I853" s="433">
        <f>IFERROR(__xludf.DUMMYFUNCTION("""COMPUTED_VALUE"""),1798.653)</f>
        <v>1798.653</v>
      </c>
    </row>
    <row r="854">
      <c r="A854" s="434">
        <f>IFERROR(__xludf.DUMMYFUNCTION("""COMPUTED_VALUE"""),43490.99861111111)</f>
        <v>43490.99861</v>
      </c>
      <c r="B854" s="433">
        <f>IFERROR(__xludf.DUMMYFUNCTION("""COMPUTED_VALUE"""),3572.515)</f>
        <v>3572.515</v>
      </c>
      <c r="C854" s="434">
        <f>IFERROR(__xludf.DUMMYFUNCTION("""COMPUTED_VALUE"""),43075.99861111111)</f>
        <v>43075.99861</v>
      </c>
      <c r="D854" s="433">
        <f>IFERROR(__xludf.DUMMYFUNCTION("""COMPUTED_VALUE"""),462.6043)</f>
        <v>462.6043</v>
      </c>
      <c r="F854" s="434">
        <f>IFERROR(__xludf.DUMMYFUNCTION("""COMPUTED_VALUE"""),45780.99861111111)</f>
        <v>45780.99861</v>
      </c>
      <c r="G854" s="433">
        <f>IFERROR(__xludf.DUMMYFUNCTION("""COMPUTED_VALUE"""),96432.45)</f>
        <v>96432.45</v>
      </c>
      <c r="H854" s="434">
        <f>IFERROR(__xludf.DUMMYFUNCTION("""COMPUTED_VALUE"""),45778.99861111111)</f>
        <v>45778.99861</v>
      </c>
      <c r="I854" s="433">
        <f>IFERROR(__xludf.DUMMYFUNCTION("""COMPUTED_VALUE"""),1794.0542)</f>
        <v>1794.0542</v>
      </c>
    </row>
    <row r="855">
      <c r="A855" s="434">
        <f>IFERROR(__xludf.DUMMYFUNCTION("""COMPUTED_VALUE"""),43491.99861111111)</f>
        <v>43491.99861</v>
      </c>
      <c r="B855" s="433">
        <f>IFERROR(__xludf.DUMMYFUNCTION("""COMPUTED_VALUE"""),3573.374)</f>
        <v>3573.374</v>
      </c>
      <c r="C855" s="434">
        <f>IFERROR(__xludf.DUMMYFUNCTION("""COMPUTED_VALUE"""),43076.99861111111)</f>
        <v>43076.99861</v>
      </c>
      <c r="D855" s="433">
        <f>IFERROR(__xludf.DUMMYFUNCTION("""COMPUTED_VALUE"""),426.3689)</f>
        <v>426.3689</v>
      </c>
      <c r="F855" s="434">
        <f>IFERROR(__xludf.DUMMYFUNCTION("""COMPUTED_VALUE"""),45781.99861111111)</f>
        <v>45781.99861</v>
      </c>
      <c r="G855" s="433">
        <f>IFERROR(__xludf.DUMMYFUNCTION("""COMPUTED_VALUE"""),95856.14)</f>
        <v>95856.14</v>
      </c>
      <c r="H855" s="434">
        <f>IFERROR(__xludf.DUMMYFUNCTION("""COMPUTED_VALUE"""),45779.99861111111)</f>
        <v>45779.99861</v>
      </c>
      <c r="I855" s="433">
        <f>IFERROR(__xludf.DUMMYFUNCTION("""COMPUTED_VALUE"""),1838.7526)</f>
        <v>1838.7526</v>
      </c>
    </row>
    <row r="856">
      <c r="A856" s="434">
        <f>IFERROR(__xludf.DUMMYFUNCTION("""COMPUTED_VALUE"""),43492.99861111111)</f>
        <v>43492.99861</v>
      </c>
      <c r="B856" s="433">
        <f>IFERROR(__xludf.DUMMYFUNCTION("""COMPUTED_VALUE"""),3563.02)</f>
        <v>3563.02</v>
      </c>
      <c r="C856" s="434">
        <f>IFERROR(__xludf.DUMMYFUNCTION("""COMPUTED_VALUE"""),43077.99861111111)</f>
        <v>43077.99861</v>
      </c>
      <c r="D856" s="433">
        <f>IFERROR(__xludf.DUMMYFUNCTION("""COMPUTED_VALUE"""),434.9894)</f>
        <v>434.9894</v>
      </c>
      <c r="F856" s="434">
        <f>IFERROR(__xludf.DUMMYFUNCTION("""COMPUTED_VALUE"""),45782.99861111111)</f>
        <v>45782.99861</v>
      </c>
      <c r="G856" s="433">
        <f>IFERROR(__xludf.DUMMYFUNCTION("""COMPUTED_VALUE"""),94255.16)</f>
        <v>94255.16</v>
      </c>
      <c r="H856" s="434">
        <f>IFERROR(__xludf.DUMMYFUNCTION("""COMPUTED_VALUE"""),45780.99861111111)</f>
        <v>45780.99861</v>
      </c>
      <c r="I856" s="433">
        <f>IFERROR(__xludf.DUMMYFUNCTION("""COMPUTED_VALUE"""),1842.6998)</f>
        <v>1842.6998</v>
      </c>
    </row>
    <row r="857">
      <c r="A857" s="434">
        <f>IFERROR(__xludf.DUMMYFUNCTION("""COMPUTED_VALUE"""),43493.99861111111)</f>
        <v>43493.99861</v>
      </c>
      <c r="B857" s="433">
        <f>IFERROR(__xludf.DUMMYFUNCTION("""COMPUTED_VALUE"""),3440.252)</f>
        <v>3440.252</v>
      </c>
      <c r="C857" s="434">
        <f>IFERROR(__xludf.DUMMYFUNCTION("""COMPUTED_VALUE"""),43078.99861111111)</f>
        <v>43078.99861</v>
      </c>
      <c r="D857" s="433">
        <f>IFERROR(__xludf.DUMMYFUNCTION("""COMPUTED_VALUE"""),457.3443)</f>
        <v>457.3443</v>
      </c>
      <c r="F857" s="434">
        <f>IFERROR(__xludf.DUMMYFUNCTION("""COMPUTED_VALUE"""),45783.99861111111)</f>
        <v>45783.99861</v>
      </c>
      <c r="G857" s="433">
        <f>IFERROR(__xludf.DUMMYFUNCTION("""COMPUTED_VALUE"""),94489.1)</f>
        <v>94489.1</v>
      </c>
      <c r="H857" s="434">
        <f>IFERROR(__xludf.DUMMYFUNCTION("""COMPUTED_VALUE"""),45781.99861111111)</f>
        <v>45781.99861</v>
      </c>
      <c r="I857" s="433">
        <f>IFERROR(__xludf.DUMMYFUNCTION("""COMPUTED_VALUE"""),1833.8264)</f>
        <v>1833.8264</v>
      </c>
    </row>
    <row r="858">
      <c r="A858" s="434">
        <f>IFERROR(__xludf.DUMMYFUNCTION("""COMPUTED_VALUE"""),43494.99861111111)</f>
        <v>43494.99861</v>
      </c>
      <c r="B858" s="433">
        <f>IFERROR(__xludf.DUMMYFUNCTION("""COMPUTED_VALUE"""),3404.484)</f>
        <v>3404.484</v>
      </c>
      <c r="C858" s="434">
        <f>IFERROR(__xludf.DUMMYFUNCTION("""COMPUTED_VALUE"""),43079.99861111111)</f>
        <v>43079.99861</v>
      </c>
      <c r="D858" s="433">
        <f>IFERROR(__xludf.DUMMYFUNCTION("""COMPUTED_VALUE"""),472.7887)</f>
        <v>472.7887</v>
      </c>
      <c r="F858" s="434">
        <f>IFERROR(__xludf.DUMMYFUNCTION("""COMPUTED_VALUE"""),45784.99861111111)</f>
        <v>45784.99861</v>
      </c>
      <c r="G858" s="433">
        <f>IFERROR(__xludf.DUMMYFUNCTION("""COMPUTED_VALUE"""),96515.11)</f>
        <v>96515.11</v>
      </c>
      <c r="H858" s="434">
        <f>IFERROR(__xludf.DUMMYFUNCTION("""COMPUTED_VALUE"""),45782.99861111111)</f>
        <v>45782.99861</v>
      </c>
      <c r="I858" s="433">
        <f>IFERROR(__xludf.DUMMYFUNCTION("""COMPUTED_VALUE"""),1808.7154)</f>
        <v>1808.7154</v>
      </c>
    </row>
    <row r="859">
      <c r="A859" s="434">
        <f>IFERROR(__xludf.DUMMYFUNCTION("""COMPUTED_VALUE"""),43495.99861111111)</f>
        <v>43495.99861</v>
      </c>
      <c r="B859" s="433">
        <f>IFERROR(__xludf.DUMMYFUNCTION("""COMPUTED_VALUE"""),3458.88)</f>
        <v>3458.88</v>
      </c>
      <c r="C859" s="434">
        <f>IFERROR(__xludf.DUMMYFUNCTION("""COMPUTED_VALUE"""),43080.99861111111)</f>
        <v>43080.99861</v>
      </c>
      <c r="D859" s="433">
        <f>IFERROR(__xludf.DUMMYFUNCTION("""COMPUTED_VALUE"""),440.3577)</f>
        <v>440.3577</v>
      </c>
      <c r="F859" s="434">
        <f>IFERROR(__xludf.DUMMYFUNCTION("""COMPUTED_VALUE"""),45785.99861111111)</f>
        <v>45785.99861</v>
      </c>
      <c r="G859" s="433">
        <f>IFERROR(__xludf.DUMMYFUNCTION("""COMPUTED_VALUE"""),99109.44)</f>
        <v>99109.44</v>
      </c>
      <c r="H859" s="434">
        <f>IFERROR(__xludf.DUMMYFUNCTION("""COMPUTED_VALUE"""),45783.99861111111)</f>
        <v>45783.99861</v>
      </c>
      <c r="I859" s="433">
        <f>IFERROR(__xludf.DUMMYFUNCTION("""COMPUTED_VALUE"""),1819.938)</f>
        <v>1819.938</v>
      </c>
    </row>
    <row r="860">
      <c r="A860" s="434">
        <f>IFERROR(__xludf.DUMMYFUNCTION("""COMPUTED_VALUE"""),43496.99861111111)</f>
        <v>43496.99861</v>
      </c>
      <c r="B860" s="433">
        <f>IFERROR(__xludf.DUMMYFUNCTION("""COMPUTED_VALUE"""),3419.343)</f>
        <v>3419.343</v>
      </c>
      <c r="C860" s="434">
        <f>IFERROR(__xludf.DUMMYFUNCTION("""COMPUTED_VALUE"""),43081.99861111111)</f>
        <v>43081.99861</v>
      </c>
      <c r="D860" s="433">
        <f>IFERROR(__xludf.DUMMYFUNCTION("""COMPUTED_VALUE"""),522.2862)</f>
        <v>522.2862</v>
      </c>
      <c r="F860" s="434">
        <f>IFERROR(__xludf.DUMMYFUNCTION("""COMPUTED_VALUE"""),45786.99861111111)</f>
        <v>45786.99861</v>
      </c>
      <c r="G860" s="433">
        <f>IFERROR(__xludf.DUMMYFUNCTION("""COMPUTED_VALUE"""),102384.2)</f>
        <v>102384.2</v>
      </c>
      <c r="H860" s="434">
        <f>IFERROR(__xludf.DUMMYFUNCTION("""COMPUTED_VALUE"""),45784.99861111111)</f>
        <v>45784.99861</v>
      </c>
      <c r="I860" s="433">
        <f>IFERROR(__xludf.DUMMYFUNCTION("""COMPUTED_VALUE"""),1816.7296)</f>
        <v>1816.7296</v>
      </c>
    </row>
    <row r="861">
      <c r="A861" s="434">
        <f>IFERROR(__xludf.DUMMYFUNCTION("""COMPUTED_VALUE"""),43497.99861111111)</f>
        <v>43497.99861</v>
      </c>
      <c r="B861" s="433">
        <f>IFERROR(__xludf.DUMMYFUNCTION("""COMPUTED_VALUE"""),3450.264)</f>
        <v>3450.264</v>
      </c>
      <c r="C861" s="434">
        <f>IFERROR(__xludf.DUMMYFUNCTION("""COMPUTED_VALUE"""),43082.99861111111)</f>
        <v>43082.99861</v>
      </c>
      <c r="D861" s="433">
        <f>IFERROR(__xludf.DUMMYFUNCTION("""COMPUTED_VALUE"""),644.9062)</f>
        <v>644.9062</v>
      </c>
      <c r="F861" s="434">
        <f>IFERROR(__xludf.DUMMYFUNCTION("""COMPUTED_VALUE"""),45787.99861111111)</f>
        <v>45787.99861</v>
      </c>
      <c r="G861" s="433">
        <f>IFERROR(__xludf.DUMMYFUNCTION("""COMPUTED_VALUE"""),103161.7)</f>
        <v>103161.7</v>
      </c>
      <c r="H861" s="434">
        <f>IFERROR(__xludf.DUMMYFUNCTION("""COMPUTED_VALUE"""),45785.99861111111)</f>
        <v>45785.99861</v>
      </c>
      <c r="I861" s="433">
        <f>IFERROR(__xludf.DUMMYFUNCTION("""COMPUTED_VALUE"""),1811.557)</f>
        <v>1811.557</v>
      </c>
    </row>
    <row r="862">
      <c r="A862" s="434">
        <f>IFERROR(__xludf.DUMMYFUNCTION("""COMPUTED_VALUE"""),43498.99861111111)</f>
        <v>43498.99861</v>
      </c>
      <c r="B862" s="433">
        <f>IFERROR(__xludf.DUMMYFUNCTION("""COMPUTED_VALUE"""),3493.482)</f>
        <v>3493.482</v>
      </c>
      <c r="C862" s="434">
        <f>IFERROR(__xludf.DUMMYFUNCTION("""COMPUTED_VALUE"""),43083.99861111111)</f>
        <v>43083.99861</v>
      </c>
      <c r="D862" s="433">
        <f>IFERROR(__xludf.DUMMYFUNCTION("""COMPUTED_VALUE"""),700.5942)</f>
        <v>700.5942</v>
      </c>
      <c r="F862" s="434">
        <f>IFERROR(__xludf.DUMMYFUNCTION("""COMPUTED_VALUE"""),45788.99861111111)</f>
        <v>45788.99861</v>
      </c>
      <c r="G862" s="433">
        <f>IFERROR(__xludf.DUMMYFUNCTION("""COMPUTED_VALUE"""),103995.7)</f>
        <v>103995.7</v>
      </c>
      <c r="H862" s="434">
        <f>IFERROR(__xludf.DUMMYFUNCTION("""COMPUTED_VALUE"""),45786.99861111111)</f>
        <v>45786.99861</v>
      </c>
      <c r="I862" s="433">
        <f>IFERROR(__xludf.DUMMYFUNCTION("""COMPUTED_VALUE"""),2207.2733)</f>
        <v>2207.2733</v>
      </c>
    </row>
    <row r="863">
      <c r="A863" s="434">
        <f>IFERROR(__xludf.DUMMYFUNCTION("""COMPUTED_VALUE"""),43499.99861111111)</f>
        <v>43499.99861</v>
      </c>
      <c r="B863" s="433">
        <f>IFERROR(__xludf.DUMMYFUNCTION("""COMPUTED_VALUE"""),3426.086)</f>
        <v>3426.086</v>
      </c>
      <c r="C863" s="434">
        <f>IFERROR(__xludf.DUMMYFUNCTION("""COMPUTED_VALUE"""),43084.99861111111)</f>
        <v>43084.99861</v>
      </c>
      <c r="D863" s="433">
        <f>IFERROR(__xludf.DUMMYFUNCTION("""COMPUTED_VALUE"""),696.3765)</f>
        <v>696.3765</v>
      </c>
      <c r="F863" s="434">
        <f>IFERROR(__xludf.DUMMYFUNCTION("""COMPUTED_VALUE"""),45789.99861111111)</f>
        <v>45789.99861</v>
      </c>
      <c r="G863" s="433">
        <f>IFERROR(__xludf.DUMMYFUNCTION("""COMPUTED_VALUE"""),104013.1)</f>
        <v>104013.1</v>
      </c>
      <c r="H863" s="434">
        <f>IFERROR(__xludf.DUMMYFUNCTION("""COMPUTED_VALUE"""),45787.99861111111)</f>
        <v>45787.99861</v>
      </c>
      <c r="I863" s="433">
        <f>IFERROR(__xludf.DUMMYFUNCTION("""COMPUTED_VALUE"""),2345.3199)</f>
        <v>2345.3199</v>
      </c>
    </row>
    <row r="864">
      <c r="A864" s="434">
        <f>IFERROR(__xludf.DUMMYFUNCTION("""COMPUTED_VALUE"""),43500.99861111111)</f>
        <v>43500.99861</v>
      </c>
      <c r="B864" s="433">
        <f>IFERROR(__xludf.DUMMYFUNCTION("""COMPUTED_VALUE"""),3418.105)</f>
        <v>3418.105</v>
      </c>
      <c r="C864" s="434">
        <f>IFERROR(__xludf.DUMMYFUNCTION("""COMPUTED_VALUE"""),43085.99861111111)</f>
        <v>43085.99861</v>
      </c>
      <c r="D864" s="433">
        <f>IFERROR(__xludf.DUMMYFUNCTION("""COMPUTED_VALUE"""),686.1917)</f>
        <v>686.1917</v>
      </c>
      <c r="F864" s="434">
        <f>IFERROR(__xludf.DUMMYFUNCTION("""COMPUTED_VALUE"""),45790.99861111111)</f>
        <v>45790.99861</v>
      </c>
      <c r="G864" s="433">
        <f>IFERROR(__xludf.DUMMYFUNCTION("""COMPUTED_VALUE"""),101727.0)</f>
        <v>101727</v>
      </c>
      <c r="H864" s="434">
        <f>IFERROR(__xludf.DUMMYFUNCTION("""COMPUTED_VALUE"""),45788.99861111111)</f>
        <v>45788.99861</v>
      </c>
      <c r="I864" s="433">
        <f>IFERROR(__xludf.DUMMYFUNCTION("""COMPUTED_VALUE"""),2583.4157)</f>
        <v>2583.4157</v>
      </c>
    </row>
    <row r="865">
      <c r="A865" s="434">
        <f>IFERROR(__xludf.DUMMYFUNCTION("""COMPUTED_VALUE"""),43501.99861111111)</f>
        <v>43501.99861</v>
      </c>
      <c r="B865" s="433">
        <f>IFERROR(__xludf.DUMMYFUNCTION("""COMPUTED_VALUE"""),3447.196)</f>
        <v>3447.196</v>
      </c>
      <c r="C865" s="434">
        <f>IFERROR(__xludf.DUMMYFUNCTION("""COMPUTED_VALUE"""),43086.99861111111)</f>
        <v>43086.99861</v>
      </c>
      <c r="D865" s="433">
        <f>IFERROR(__xludf.DUMMYFUNCTION("""COMPUTED_VALUE"""),696.2368)</f>
        <v>696.2368</v>
      </c>
      <c r="F865" s="434">
        <f>IFERROR(__xludf.DUMMYFUNCTION("""COMPUTED_VALUE"""),45791.99861111111)</f>
        <v>45791.99861</v>
      </c>
      <c r="G865" s="433">
        <f>IFERROR(__xludf.DUMMYFUNCTION("""COMPUTED_VALUE"""),103560.3)</f>
        <v>103560.3</v>
      </c>
      <c r="H865" s="434">
        <f>IFERROR(__xludf.DUMMYFUNCTION("""COMPUTED_VALUE"""),45789.99861111111)</f>
        <v>45789.99861</v>
      </c>
      <c r="I865" s="433">
        <f>IFERROR(__xludf.DUMMYFUNCTION("""COMPUTED_VALUE"""),2514.736)</f>
        <v>2514.736</v>
      </c>
    </row>
    <row r="866">
      <c r="A866" s="434">
        <f>IFERROR(__xludf.DUMMYFUNCTION("""COMPUTED_VALUE"""),43502.99861111111)</f>
        <v>43502.99861</v>
      </c>
      <c r="B866" s="433">
        <f>IFERROR(__xludf.DUMMYFUNCTION("""COMPUTED_VALUE"""),3380.267)</f>
        <v>3380.267</v>
      </c>
      <c r="C866" s="434">
        <f>IFERROR(__xludf.DUMMYFUNCTION("""COMPUTED_VALUE"""),43087.99861111111)</f>
        <v>43087.99861</v>
      </c>
      <c r="D866" s="433">
        <f>IFERROR(__xludf.DUMMYFUNCTION("""COMPUTED_VALUE"""),721.7321)</f>
        <v>721.7321</v>
      </c>
      <c r="F866" s="434">
        <f>IFERROR(__xludf.DUMMYFUNCTION("""COMPUTED_VALUE"""),45792.99861111111)</f>
        <v>45792.99861</v>
      </c>
      <c r="G866" s="433">
        <f>IFERROR(__xludf.DUMMYFUNCTION("""COMPUTED_VALUE"""),102821.2)</f>
        <v>102821.2</v>
      </c>
      <c r="H866" s="434">
        <f>IFERROR(__xludf.DUMMYFUNCTION("""COMPUTED_VALUE"""),45790.99861111111)</f>
        <v>45790.99861</v>
      </c>
      <c r="I866" s="433">
        <f>IFERROR(__xludf.DUMMYFUNCTION("""COMPUTED_VALUE"""),2496.0772)</f>
        <v>2496.0772</v>
      </c>
    </row>
    <row r="867">
      <c r="A867" s="434">
        <f>IFERROR(__xludf.DUMMYFUNCTION("""COMPUTED_VALUE"""),43503.99861111111)</f>
        <v>43503.99861</v>
      </c>
      <c r="B867" s="433">
        <f>IFERROR(__xludf.DUMMYFUNCTION("""COMPUTED_VALUE"""),3367.105)</f>
        <v>3367.105</v>
      </c>
      <c r="C867" s="434">
        <f>IFERROR(__xludf.DUMMYFUNCTION("""COMPUTED_VALUE"""),43088.99861111111)</f>
        <v>43088.99861</v>
      </c>
      <c r="D867" s="433">
        <f>IFERROR(__xludf.DUMMYFUNCTION("""COMPUTED_VALUE"""),793.9009)</f>
        <v>793.9009</v>
      </c>
      <c r="F867" s="434">
        <f>IFERROR(__xludf.DUMMYFUNCTION("""COMPUTED_VALUE"""),45793.99861111111)</f>
        <v>45793.99861</v>
      </c>
      <c r="G867" s="433">
        <f>IFERROR(__xludf.DUMMYFUNCTION("""COMPUTED_VALUE"""),104050.1)</f>
        <v>104050.1</v>
      </c>
      <c r="H867" s="434">
        <f>IFERROR(__xludf.DUMMYFUNCTION("""COMPUTED_VALUE"""),45791.99861111111)</f>
        <v>45791.99861</v>
      </c>
      <c r="I867" s="433">
        <f>IFERROR(__xludf.DUMMYFUNCTION("""COMPUTED_VALUE"""),2680.2341)</f>
        <v>2680.2341</v>
      </c>
    </row>
    <row r="868">
      <c r="A868" s="434">
        <f>IFERROR(__xludf.DUMMYFUNCTION("""COMPUTED_VALUE"""),43504.99861111111)</f>
        <v>43504.99861</v>
      </c>
      <c r="B868" s="433">
        <f>IFERROR(__xludf.DUMMYFUNCTION("""COMPUTED_VALUE"""),3644.61)</f>
        <v>3644.61</v>
      </c>
      <c r="C868" s="434">
        <f>IFERROR(__xludf.DUMMYFUNCTION("""COMPUTED_VALUE"""),43089.99861111111)</f>
        <v>43089.99861</v>
      </c>
      <c r="D868" s="433">
        <f>IFERROR(__xludf.DUMMYFUNCTION("""COMPUTED_VALUE"""),827.5164)</f>
        <v>827.5164</v>
      </c>
      <c r="F868" s="434">
        <f>IFERROR(__xludf.DUMMYFUNCTION("""COMPUTED_VALUE"""),45794.99861111111)</f>
        <v>45794.99861</v>
      </c>
      <c r="G868" s="433">
        <f>IFERROR(__xludf.DUMMYFUNCTION("""COMPUTED_VALUE"""),103536.5)</f>
        <v>103536.5</v>
      </c>
      <c r="H868" s="434">
        <f>IFERROR(__xludf.DUMMYFUNCTION("""COMPUTED_VALUE"""),45792.99861111111)</f>
        <v>45792.99861</v>
      </c>
      <c r="I868" s="433">
        <f>IFERROR(__xludf.DUMMYFUNCTION("""COMPUTED_VALUE"""),2610.0971)</f>
        <v>2610.0971</v>
      </c>
    </row>
    <row r="869">
      <c r="A869" s="434">
        <f>IFERROR(__xludf.DUMMYFUNCTION("""COMPUTED_VALUE"""),43505.99861111111)</f>
        <v>43505.99861</v>
      </c>
      <c r="B869" s="433">
        <f>IFERROR(__xludf.DUMMYFUNCTION("""COMPUTED_VALUE"""),3638.609)</f>
        <v>3638.609</v>
      </c>
      <c r="C869" s="434">
        <f>IFERROR(__xludf.DUMMYFUNCTION("""COMPUTED_VALUE"""),43090.99861111111)</f>
        <v>43090.99861</v>
      </c>
      <c r="D869" s="433">
        <f>IFERROR(__xludf.DUMMYFUNCTION("""COMPUTED_VALUE"""),820.2355)</f>
        <v>820.2355</v>
      </c>
      <c r="F869" s="434">
        <f>IFERROR(__xludf.DUMMYFUNCTION("""COMPUTED_VALUE"""),45795.99861111111)</f>
        <v>45795.99861</v>
      </c>
      <c r="G869" s="433">
        <f>IFERROR(__xludf.DUMMYFUNCTION("""COMPUTED_VALUE"""),103298.0)</f>
        <v>103298</v>
      </c>
      <c r="H869" s="434">
        <f>IFERROR(__xludf.DUMMYFUNCTION("""COMPUTED_VALUE"""),45793.99861111111)</f>
        <v>45793.99861</v>
      </c>
      <c r="I869" s="433">
        <f>IFERROR(__xludf.DUMMYFUNCTION("""COMPUTED_VALUE"""),2548.0833)</f>
        <v>2548.0833</v>
      </c>
    </row>
    <row r="870">
      <c r="A870" s="434">
        <f>IFERROR(__xludf.DUMMYFUNCTION("""COMPUTED_VALUE"""),43506.99861111111)</f>
        <v>43506.99861</v>
      </c>
      <c r="B870" s="433">
        <f>IFERROR(__xludf.DUMMYFUNCTION("""COMPUTED_VALUE"""),3653.442)</f>
        <v>3653.442</v>
      </c>
      <c r="C870" s="434">
        <f>IFERROR(__xludf.DUMMYFUNCTION("""COMPUTED_VALUE"""),43091.99861111111)</f>
        <v>43091.99861</v>
      </c>
      <c r="D870" s="433">
        <f>IFERROR(__xludf.DUMMYFUNCTION("""COMPUTED_VALUE"""),822.6432)</f>
        <v>822.6432</v>
      </c>
      <c r="F870" s="434">
        <f>IFERROR(__xludf.DUMMYFUNCTION("""COMPUTED_VALUE"""),45796.99861111111)</f>
        <v>45796.99861</v>
      </c>
      <c r="G870" s="433">
        <f>IFERROR(__xludf.DUMMYFUNCTION("""COMPUTED_VALUE"""),103640.2)</f>
        <v>103640.2</v>
      </c>
      <c r="H870" s="434">
        <f>IFERROR(__xludf.DUMMYFUNCTION("""COMPUTED_VALUE"""),45794.99861111111)</f>
        <v>45794.99861</v>
      </c>
      <c r="I870" s="433">
        <f>IFERROR(__xludf.DUMMYFUNCTION("""COMPUTED_VALUE"""),2537.7818)</f>
        <v>2537.7818</v>
      </c>
    </row>
    <row r="871">
      <c r="A871" s="434">
        <f>IFERROR(__xludf.DUMMYFUNCTION("""COMPUTED_VALUE"""),43507.99861111111)</f>
        <v>43507.99861</v>
      </c>
      <c r="B871" s="433">
        <f>IFERROR(__xludf.DUMMYFUNCTION("""COMPUTED_VALUE"""),3616.495)</f>
        <v>3616.495</v>
      </c>
      <c r="C871" s="434">
        <f>IFERROR(__xludf.DUMMYFUNCTION("""COMPUTED_VALUE"""),43092.99861111111)</f>
        <v>43092.99861</v>
      </c>
      <c r="D871" s="433">
        <f>IFERROR(__xludf.DUMMYFUNCTION("""COMPUTED_VALUE"""),681.3156)</f>
        <v>681.3156</v>
      </c>
      <c r="F871" s="434">
        <f>IFERROR(__xludf.DUMMYFUNCTION("""COMPUTED_VALUE"""),45797.99861111111)</f>
        <v>45797.99861</v>
      </c>
      <c r="G871" s="433">
        <f>IFERROR(__xludf.DUMMYFUNCTION("""COMPUTED_VALUE"""),105707.1)</f>
        <v>105707.1</v>
      </c>
      <c r="H871" s="434">
        <f>IFERROR(__xludf.DUMMYFUNCTION("""COMPUTED_VALUE"""),45795.99861111111)</f>
        <v>45795.99861</v>
      </c>
      <c r="I871" s="433">
        <f>IFERROR(__xludf.DUMMYFUNCTION("""COMPUTED_VALUE"""),2475.7237)</f>
        <v>2475.7237</v>
      </c>
    </row>
    <row r="872">
      <c r="A872" s="434">
        <f>IFERROR(__xludf.DUMMYFUNCTION("""COMPUTED_VALUE"""),43508.99861111111)</f>
        <v>43508.99861</v>
      </c>
      <c r="B872" s="433">
        <f>IFERROR(__xludf.DUMMYFUNCTION("""COMPUTED_VALUE"""),3611.743)</f>
        <v>3611.743</v>
      </c>
      <c r="C872" s="434">
        <f>IFERROR(__xludf.DUMMYFUNCTION("""COMPUTED_VALUE"""),43093.99861111111)</f>
        <v>43093.99861</v>
      </c>
      <c r="D872" s="433">
        <f>IFERROR(__xludf.DUMMYFUNCTION("""COMPUTED_VALUE"""),721.7689)</f>
        <v>721.7689</v>
      </c>
      <c r="F872" s="434">
        <f>IFERROR(__xludf.DUMMYFUNCTION("""COMPUTED_VALUE"""),45798.99861111111)</f>
        <v>45798.99861</v>
      </c>
      <c r="G872" s="433">
        <f>IFERROR(__xludf.DUMMYFUNCTION("""COMPUTED_VALUE"""),106859.6)</f>
        <v>106859.6</v>
      </c>
      <c r="H872" s="434">
        <f>IFERROR(__xludf.DUMMYFUNCTION("""COMPUTED_VALUE"""),45796.99861111111)</f>
        <v>45796.99861</v>
      </c>
      <c r="I872" s="433">
        <f>IFERROR(__xludf.DUMMYFUNCTION("""COMPUTED_VALUE"""),2499.6984)</f>
        <v>2499.6984</v>
      </c>
    </row>
    <row r="873">
      <c r="A873" s="434">
        <f>IFERROR(__xludf.DUMMYFUNCTION("""COMPUTED_VALUE"""),43509.99861111111)</f>
        <v>43509.99861</v>
      </c>
      <c r="B873" s="433">
        <f>IFERROR(__xludf.DUMMYFUNCTION("""COMPUTED_VALUE"""),3585.572)</f>
        <v>3585.572</v>
      </c>
      <c r="C873" s="434">
        <f>IFERROR(__xludf.DUMMYFUNCTION("""COMPUTED_VALUE"""),43094.99861111111)</f>
        <v>43094.99861</v>
      </c>
      <c r="D873" s="433">
        <f>IFERROR(__xludf.DUMMYFUNCTION("""COMPUTED_VALUE"""),698.8695)</f>
        <v>698.8695</v>
      </c>
      <c r="F873" s="434">
        <f>IFERROR(__xludf.DUMMYFUNCTION("""COMPUTED_VALUE"""),45799.99861111111)</f>
        <v>45799.99861</v>
      </c>
      <c r="G873" s="433">
        <f>IFERROR(__xludf.DUMMYFUNCTION("""COMPUTED_VALUE"""),111681.7)</f>
        <v>111681.7</v>
      </c>
      <c r="H873" s="434">
        <f>IFERROR(__xludf.DUMMYFUNCTION("""COMPUTED_VALUE"""),45797.99861111111)</f>
        <v>45797.99861</v>
      </c>
      <c r="I873" s="433">
        <f>IFERROR(__xludf.DUMMYFUNCTION("""COMPUTED_VALUE"""),2528.6033)</f>
        <v>2528.6033</v>
      </c>
    </row>
    <row r="874">
      <c r="A874" s="434">
        <f>IFERROR(__xludf.DUMMYFUNCTION("""COMPUTED_VALUE"""),43510.99861111111)</f>
        <v>43510.99861</v>
      </c>
      <c r="B874" s="433">
        <f>IFERROR(__xludf.DUMMYFUNCTION("""COMPUTED_VALUE"""),3568.421)</f>
        <v>3568.421</v>
      </c>
      <c r="C874" s="434">
        <f>IFERROR(__xludf.DUMMYFUNCTION("""COMPUTED_VALUE"""),43095.99861111111)</f>
        <v>43095.99861</v>
      </c>
      <c r="D874" s="433">
        <f>IFERROR(__xludf.DUMMYFUNCTION("""COMPUTED_VALUE"""),763.3698)</f>
        <v>763.3698</v>
      </c>
      <c r="F874" s="434">
        <f>IFERROR(__xludf.DUMMYFUNCTION("""COMPUTED_VALUE"""),45800.99861111111)</f>
        <v>45800.99861</v>
      </c>
      <c r="G874" s="433">
        <f>IFERROR(__xludf.DUMMYFUNCTION("""COMPUTED_VALUE"""),111088.5)</f>
        <v>111088.5</v>
      </c>
      <c r="H874" s="434">
        <f>IFERROR(__xludf.DUMMYFUNCTION("""COMPUTED_VALUE"""),45798.99861111111)</f>
        <v>45798.99861</v>
      </c>
      <c r="I874" s="433">
        <f>IFERROR(__xludf.DUMMYFUNCTION("""COMPUTED_VALUE"""),2524.7441)</f>
        <v>2524.7441</v>
      </c>
    </row>
    <row r="875">
      <c r="A875" s="434">
        <f>IFERROR(__xludf.DUMMYFUNCTION("""COMPUTED_VALUE"""),43511.99861111111)</f>
        <v>43511.99861</v>
      </c>
      <c r="B875" s="433">
        <f>IFERROR(__xludf.DUMMYFUNCTION("""COMPUTED_VALUE"""),3576.929)</f>
        <v>3576.929</v>
      </c>
      <c r="C875" s="434">
        <f>IFERROR(__xludf.DUMMYFUNCTION("""COMPUTED_VALUE"""),43096.99861111111)</f>
        <v>43096.99861</v>
      </c>
      <c r="D875" s="433">
        <f>IFERROR(__xludf.DUMMYFUNCTION("""COMPUTED_VALUE"""),774.97)</f>
        <v>774.97</v>
      </c>
      <c r="F875" s="434">
        <f>IFERROR(__xludf.DUMMYFUNCTION("""COMPUTED_VALUE"""),45801.99861111111)</f>
        <v>45801.99861</v>
      </c>
      <c r="G875" s="433">
        <f>IFERROR(__xludf.DUMMYFUNCTION("""COMPUTED_VALUE"""),108333.4)</f>
        <v>108333.4</v>
      </c>
      <c r="H875" s="434">
        <f>IFERROR(__xludf.DUMMYFUNCTION("""COMPUTED_VALUE"""),45799.99861111111)</f>
        <v>45799.99861</v>
      </c>
      <c r="I875" s="433">
        <f>IFERROR(__xludf.DUMMYFUNCTION("""COMPUTED_VALUE"""),2551.8429)</f>
        <v>2551.8429</v>
      </c>
    </row>
    <row r="876">
      <c r="A876" s="434">
        <f>IFERROR(__xludf.DUMMYFUNCTION("""COMPUTED_VALUE"""),43512.99861111111)</f>
        <v>43512.99861</v>
      </c>
      <c r="B876" s="433">
        <f>IFERROR(__xludf.DUMMYFUNCTION("""COMPUTED_VALUE"""),3602.563)</f>
        <v>3602.563</v>
      </c>
      <c r="C876" s="434">
        <f>IFERROR(__xludf.DUMMYFUNCTION("""COMPUTED_VALUE"""),43097.99861111111)</f>
        <v>43097.99861</v>
      </c>
      <c r="D876" s="433">
        <f>IFERROR(__xludf.DUMMYFUNCTION("""COMPUTED_VALUE"""),762.2075)</f>
        <v>762.2075</v>
      </c>
      <c r="F876" s="434">
        <f>IFERROR(__xludf.DUMMYFUNCTION("""COMPUTED_VALUE"""),45802.99861111111)</f>
        <v>45802.99861</v>
      </c>
      <c r="G876" s="433">
        <f>IFERROR(__xludf.DUMMYFUNCTION("""COMPUTED_VALUE"""),108096.5)</f>
        <v>108096.5</v>
      </c>
      <c r="H876" s="434">
        <f>IFERROR(__xludf.DUMMYFUNCTION("""COMPUTED_VALUE"""),45800.99861111111)</f>
        <v>45800.99861</v>
      </c>
      <c r="I876" s="433">
        <f>IFERROR(__xludf.DUMMYFUNCTION("""COMPUTED_VALUE"""),2664.7045)</f>
        <v>2664.7045</v>
      </c>
    </row>
    <row r="877">
      <c r="A877" s="434">
        <f>IFERROR(__xludf.DUMMYFUNCTION("""COMPUTED_VALUE"""),43513.99861111111)</f>
        <v>43513.99861</v>
      </c>
      <c r="B877" s="433">
        <f>IFERROR(__xludf.DUMMYFUNCTION("""COMPUTED_VALUE"""),3638.836)</f>
        <v>3638.836</v>
      </c>
      <c r="C877" s="434">
        <f>IFERROR(__xludf.DUMMYFUNCTION("""COMPUTED_VALUE"""),43098.99861111111)</f>
        <v>43098.99861</v>
      </c>
      <c r="D877" s="433">
        <f>IFERROR(__xludf.DUMMYFUNCTION("""COMPUTED_VALUE"""),740.3889)</f>
        <v>740.3889</v>
      </c>
      <c r="F877" s="434">
        <f>IFERROR(__xludf.DUMMYFUNCTION("""COMPUTED_VALUE"""),45803.99861111111)</f>
        <v>45803.99861</v>
      </c>
      <c r="G877" s="433">
        <f>IFERROR(__xludf.DUMMYFUNCTION("""COMPUTED_VALUE"""),109641.5)</f>
        <v>109641.5</v>
      </c>
      <c r="H877" s="434">
        <f>IFERROR(__xludf.DUMMYFUNCTION("""COMPUTED_VALUE"""),45801.99861111111)</f>
        <v>45801.99861</v>
      </c>
      <c r="I877" s="433">
        <f>IFERROR(__xludf.DUMMYFUNCTION("""COMPUTED_VALUE"""),2526.5268)</f>
        <v>2526.5268</v>
      </c>
    </row>
    <row r="878">
      <c r="A878" s="434">
        <f>IFERROR(__xludf.DUMMYFUNCTION("""COMPUTED_VALUE"""),43514.99861111111)</f>
        <v>43514.99861</v>
      </c>
      <c r="B878" s="433">
        <f>IFERROR(__xludf.DUMMYFUNCTION("""COMPUTED_VALUE"""),3896.901)</f>
        <v>3896.901</v>
      </c>
      <c r="C878" s="434">
        <f>IFERROR(__xludf.DUMMYFUNCTION("""COMPUTED_VALUE"""),43099.99861111111)</f>
        <v>43099.99861</v>
      </c>
      <c r="D878" s="433">
        <f>IFERROR(__xludf.DUMMYFUNCTION("""COMPUTED_VALUE"""),753.8149)</f>
        <v>753.8149</v>
      </c>
      <c r="F878" s="434">
        <f>IFERROR(__xludf.DUMMYFUNCTION("""COMPUTED_VALUE"""),45804.99861111111)</f>
        <v>45804.99861</v>
      </c>
      <c r="G878" s="433">
        <f>IFERROR(__xludf.DUMMYFUNCTION("""COMPUTED_VALUE"""),108927.6)</f>
        <v>108927.6</v>
      </c>
      <c r="H878" s="434">
        <f>IFERROR(__xludf.DUMMYFUNCTION("""COMPUTED_VALUE"""),45802.99861111111)</f>
        <v>45802.99861</v>
      </c>
      <c r="I878" s="433">
        <f>IFERROR(__xludf.DUMMYFUNCTION("""COMPUTED_VALUE"""),2530.1318)</f>
        <v>2530.1318</v>
      </c>
    </row>
    <row r="879">
      <c r="A879" s="434">
        <f>IFERROR(__xludf.DUMMYFUNCTION("""COMPUTED_VALUE"""),43515.99861111111)</f>
        <v>43515.99861</v>
      </c>
      <c r="B879" s="433">
        <f>IFERROR(__xludf.DUMMYFUNCTION("""COMPUTED_VALUE"""),3925.876)</f>
        <v>3925.876</v>
      </c>
      <c r="C879" s="434">
        <f>IFERROR(__xludf.DUMMYFUNCTION("""COMPUTED_VALUE"""),43100.99861111111)</f>
        <v>43100.99861</v>
      </c>
      <c r="D879" s="433">
        <f>IFERROR(__xludf.DUMMYFUNCTION("""COMPUTED_VALUE"""),712.2122)</f>
        <v>712.2122</v>
      </c>
      <c r="F879" s="434">
        <f>IFERROR(__xludf.DUMMYFUNCTION("""COMPUTED_VALUE"""),45805.99861111111)</f>
        <v>45805.99861</v>
      </c>
      <c r="G879" s="433">
        <f>IFERROR(__xludf.DUMMYFUNCTION("""COMPUTED_VALUE"""),108877.1)</f>
        <v>108877.1</v>
      </c>
      <c r="H879" s="434">
        <f>IFERROR(__xludf.DUMMYFUNCTION("""COMPUTED_VALUE"""),45803.99861111111)</f>
        <v>45803.99861</v>
      </c>
      <c r="I879" s="433">
        <f>IFERROR(__xludf.DUMMYFUNCTION("""COMPUTED_VALUE"""),2551.9498)</f>
        <v>2551.9498</v>
      </c>
    </row>
    <row r="880">
      <c r="A880" s="434">
        <f>IFERROR(__xludf.DUMMYFUNCTION("""COMPUTED_VALUE"""),43516.99861111111)</f>
        <v>43516.99861</v>
      </c>
      <c r="B880" s="433">
        <f>IFERROR(__xludf.DUMMYFUNCTION("""COMPUTED_VALUE"""),3952.553)</f>
        <v>3952.553</v>
      </c>
      <c r="C880" s="434">
        <f>IFERROR(__xludf.DUMMYFUNCTION("""COMPUTED_VALUE"""),43101.99861111111)</f>
        <v>43101.99861</v>
      </c>
      <c r="D880" s="433">
        <f>IFERROR(__xludf.DUMMYFUNCTION("""COMPUTED_VALUE"""),755.7567)</f>
        <v>755.7567</v>
      </c>
      <c r="F880" s="434">
        <f>IFERROR(__xludf.DUMMYFUNCTION("""COMPUTED_VALUE"""),45806.99861111111)</f>
        <v>45806.99861</v>
      </c>
      <c r="G880" s="433">
        <f>IFERROR(__xludf.DUMMYFUNCTION("""COMPUTED_VALUE"""),108043.4)</f>
        <v>108043.4</v>
      </c>
      <c r="H880" s="434">
        <f>IFERROR(__xludf.DUMMYFUNCTION("""COMPUTED_VALUE"""),45804.99861111111)</f>
        <v>45804.99861</v>
      </c>
      <c r="I880" s="433">
        <f>IFERROR(__xludf.DUMMYFUNCTION("""COMPUTED_VALUE"""),2564.5004)</f>
        <v>2564.5004</v>
      </c>
    </row>
    <row r="881">
      <c r="A881" s="434">
        <f>IFERROR(__xludf.DUMMYFUNCTION("""COMPUTED_VALUE"""),43517.99861111111)</f>
        <v>43517.99861</v>
      </c>
      <c r="B881" s="433">
        <f>IFERROR(__xludf.DUMMYFUNCTION("""COMPUTED_VALUE"""),3915.29)</f>
        <v>3915.29</v>
      </c>
      <c r="C881" s="434">
        <f>IFERROR(__xludf.DUMMYFUNCTION("""COMPUTED_VALUE"""),43102.99861111111)</f>
        <v>43102.99861</v>
      </c>
      <c r="D881" s="433">
        <f>IFERROR(__xludf.DUMMYFUNCTION("""COMPUTED_VALUE"""),772.3456)</f>
        <v>772.3456</v>
      </c>
      <c r="F881" s="434">
        <f>IFERROR(__xludf.DUMMYFUNCTION("""COMPUTED_VALUE"""),45807.99861111111)</f>
        <v>45807.99861</v>
      </c>
      <c r="G881" s="433">
        <f>IFERROR(__xludf.DUMMYFUNCTION("""COMPUTED_VALUE"""),106021.6)</f>
        <v>106021.6</v>
      </c>
      <c r="H881" s="434">
        <f>IFERROR(__xludf.DUMMYFUNCTION("""COMPUTED_VALUE"""),45805.99861111111)</f>
        <v>45805.99861</v>
      </c>
      <c r="I881" s="433">
        <f>IFERROR(__xludf.DUMMYFUNCTION("""COMPUTED_VALUE"""),2662.1276)</f>
        <v>2662.1276</v>
      </c>
    </row>
    <row r="882">
      <c r="A882" s="434">
        <f>IFERROR(__xludf.DUMMYFUNCTION("""COMPUTED_VALUE"""),43518.99861111111)</f>
        <v>43518.99861</v>
      </c>
      <c r="B882" s="433">
        <f>IFERROR(__xludf.DUMMYFUNCTION("""COMPUTED_VALUE"""),3956.056)</f>
        <v>3956.056</v>
      </c>
      <c r="C882" s="434">
        <f>IFERROR(__xludf.DUMMYFUNCTION("""COMPUTED_VALUE"""),43103.99861111111)</f>
        <v>43103.99861</v>
      </c>
      <c r="D882" s="433">
        <f>IFERROR(__xludf.DUMMYFUNCTION("""COMPUTED_VALUE"""),886.0004)</f>
        <v>886.0004</v>
      </c>
      <c r="F882" s="434">
        <f>IFERROR(__xludf.DUMMYFUNCTION("""COMPUTED_VALUE"""),45808.99861111111)</f>
        <v>45808.99861</v>
      </c>
      <c r="G882" s="433">
        <f>IFERROR(__xludf.DUMMYFUNCTION("""COMPUTED_VALUE"""),103735.2)</f>
        <v>103735.2</v>
      </c>
      <c r="H882" s="434">
        <f>IFERROR(__xludf.DUMMYFUNCTION("""COMPUTED_VALUE"""),45806.99861111111)</f>
        <v>45806.99861</v>
      </c>
      <c r="I882" s="433">
        <f>IFERROR(__xludf.DUMMYFUNCTION("""COMPUTED_VALUE"""),2681.9375)</f>
        <v>2681.9375</v>
      </c>
    </row>
    <row r="883">
      <c r="A883" s="434">
        <f>IFERROR(__xludf.DUMMYFUNCTION("""COMPUTED_VALUE"""),43519.99861111111)</f>
        <v>43519.99861</v>
      </c>
      <c r="B883" s="433">
        <f>IFERROR(__xludf.DUMMYFUNCTION("""COMPUTED_VALUE"""),4119.816)</f>
        <v>4119.816</v>
      </c>
      <c r="C883" s="434">
        <f>IFERROR(__xludf.DUMMYFUNCTION("""COMPUTED_VALUE"""),43104.99861111111)</f>
        <v>43104.99861</v>
      </c>
      <c r="D883" s="433">
        <f>IFERROR(__xludf.DUMMYFUNCTION("""COMPUTED_VALUE"""),961.7128)</f>
        <v>961.7128</v>
      </c>
      <c r="F883" s="434">
        <f>IFERROR(__xludf.DUMMYFUNCTION("""COMPUTED_VALUE"""),45809.99861111111)</f>
        <v>45809.99861</v>
      </c>
      <c r="G883" s="433">
        <f>IFERROR(__xludf.DUMMYFUNCTION("""COMPUTED_VALUE"""),104494.5)</f>
        <v>104494.5</v>
      </c>
      <c r="H883" s="434">
        <f>IFERROR(__xludf.DUMMYFUNCTION("""COMPUTED_VALUE"""),45807.99861111111)</f>
        <v>45807.99861</v>
      </c>
      <c r="I883" s="433">
        <f>IFERROR(__xludf.DUMMYFUNCTION("""COMPUTED_VALUE"""),2631.6787)</f>
        <v>2631.6787</v>
      </c>
    </row>
    <row r="884">
      <c r="A884" s="434">
        <f>IFERROR(__xludf.DUMMYFUNCTION("""COMPUTED_VALUE"""),43520.99861111111)</f>
        <v>43520.99861</v>
      </c>
      <c r="B884" s="433">
        <f>IFERROR(__xludf.DUMMYFUNCTION("""COMPUTED_VALUE"""),3749.949)</f>
        <v>3749.949</v>
      </c>
      <c r="C884" s="434">
        <f>IFERROR(__xludf.DUMMYFUNCTION("""COMPUTED_VALUE"""),43105.99861111111)</f>
        <v>43105.99861</v>
      </c>
      <c r="D884" s="433">
        <f>IFERROR(__xludf.DUMMYFUNCTION("""COMPUTED_VALUE"""),975.7504)</f>
        <v>975.7504</v>
      </c>
      <c r="F884" s="434">
        <f>IFERROR(__xludf.DUMMYFUNCTION("""COMPUTED_VALUE"""),45810.99861111111)</f>
        <v>45810.99861</v>
      </c>
      <c r="G884" s="433">
        <f>IFERROR(__xludf.DUMMYFUNCTION("""COMPUTED_VALUE"""),104914.5)</f>
        <v>104914.5</v>
      </c>
      <c r="H884" s="434">
        <f>IFERROR(__xludf.DUMMYFUNCTION("""COMPUTED_VALUE"""),45808.99861111111)</f>
        <v>45808.99861</v>
      </c>
      <c r="I884" s="433">
        <f>IFERROR(__xludf.DUMMYFUNCTION("""COMPUTED_VALUE"""),2531.0975)</f>
        <v>2531.0975</v>
      </c>
    </row>
    <row r="885">
      <c r="A885" s="434">
        <f>IFERROR(__xludf.DUMMYFUNCTION("""COMPUTED_VALUE"""),43521.99861111111)</f>
        <v>43521.99861</v>
      </c>
      <c r="B885" s="433">
        <f>IFERROR(__xludf.DUMMYFUNCTION("""COMPUTED_VALUE"""),3826.169)</f>
        <v>3826.169</v>
      </c>
      <c r="C885" s="434">
        <f>IFERROR(__xludf.DUMMYFUNCTION("""COMPUTED_VALUE"""),43106.99861111111)</f>
        <v>43106.99861</v>
      </c>
      <c r="D885" s="433">
        <f>IFERROR(__xludf.DUMMYFUNCTION("""COMPUTED_VALUE"""),995.1539)</f>
        <v>995.1539</v>
      </c>
      <c r="F885" s="434">
        <f>IFERROR(__xludf.DUMMYFUNCTION("""COMPUTED_VALUE"""),45811.99861111111)</f>
        <v>45811.99861</v>
      </c>
      <c r="G885" s="433">
        <f>IFERROR(__xludf.DUMMYFUNCTION("""COMPUTED_VALUE"""),105551.6)</f>
        <v>105551.6</v>
      </c>
      <c r="H885" s="434">
        <f>IFERROR(__xludf.DUMMYFUNCTION("""COMPUTED_VALUE"""),45809.99861111111)</f>
        <v>45809.99861</v>
      </c>
      <c r="I885" s="433">
        <f>IFERROR(__xludf.DUMMYFUNCTION("""COMPUTED_VALUE"""),2529.1818)</f>
        <v>2529.1818</v>
      </c>
    </row>
    <row r="886">
      <c r="A886" s="434">
        <f>IFERROR(__xludf.DUMMYFUNCTION("""COMPUTED_VALUE"""),43522.99861111111)</f>
        <v>43522.99861</v>
      </c>
      <c r="B886" s="433">
        <f>IFERROR(__xludf.DUMMYFUNCTION("""COMPUTED_VALUE"""),3802.665)</f>
        <v>3802.665</v>
      </c>
      <c r="C886" s="434">
        <f>IFERROR(__xludf.DUMMYFUNCTION("""COMPUTED_VALUE"""),43107.99861111111)</f>
        <v>43107.99861</v>
      </c>
      <c r="D886" s="433">
        <f>IFERROR(__xludf.DUMMYFUNCTION("""COMPUTED_VALUE"""),1043.0132)</f>
        <v>1043.0132</v>
      </c>
      <c r="F886" s="434">
        <f>IFERROR(__xludf.DUMMYFUNCTION("""COMPUTED_VALUE"""),45812.99861111111)</f>
        <v>45812.99861</v>
      </c>
      <c r="G886" s="433">
        <f>IFERROR(__xludf.DUMMYFUNCTION("""COMPUTED_VALUE"""),105625.9)</f>
        <v>105625.9</v>
      </c>
      <c r="H886" s="434">
        <f>IFERROR(__xludf.DUMMYFUNCTION("""COMPUTED_VALUE"""),45810.99861111111)</f>
        <v>45810.99861</v>
      </c>
      <c r="I886" s="433">
        <f>IFERROR(__xludf.DUMMYFUNCTION("""COMPUTED_VALUE"""),2538.9742)</f>
        <v>2538.9742</v>
      </c>
    </row>
    <row r="887">
      <c r="A887" s="434">
        <f>IFERROR(__xludf.DUMMYFUNCTION("""COMPUTED_VALUE"""),43523.99861111111)</f>
        <v>43523.99861</v>
      </c>
      <c r="B887" s="433">
        <f>IFERROR(__xludf.DUMMYFUNCTION("""COMPUTED_VALUE"""),3810.368)</f>
        <v>3810.368</v>
      </c>
      <c r="C887" s="434">
        <f>IFERROR(__xludf.DUMMYFUNCTION("""COMPUTED_VALUE"""),43108.99861111111)</f>
        <v>43108.99861</v>
      </c>
      <c r="D887" s="433">
        <f>IFERROR(__xludf.DUMMYFUNCTION("""COMPUTED_VALUE"""),1158.2639)</f>
        <v>1158.2639</v>
      </c>
      <c r="F887" s="434">
        <f>IFERROR(__xludf.DUMMYFUNCTION("""COMPUTED_VALUE"""),45813.99861111111)</f>
        <v>45813.99861</v>
      </c>
      <c r="G887" s="433">
        <f>IFERROR(__xludf.DUMMYFUNCTION("""COMPUTED_VALUE"""),105084.4)</f>
        <v>105084.4</v>
      </c>
      <c r="H887" s="434">
        <f>IFERROR(__xludf.DUMMYFUNCTION("""COMPUTED_VALUE"""),45811.99861111111)</f>
        <v>45811.99861</v>
      </c>
      <c r="I887" s="433">
        <f>IFERROR(__xludf.DUMMYFUNCTION("""COMPUTED_VALUE"""),2607.6023)</f>
        <v>2607.6023</v>
      </c>
    </row>
    <row r="888">
      <c r="A888" s="434">
        <f>IFERROR(__xludf.DUMMYFUNCTION("""COMPUTED_VALUE"""),43524.99861111111)</f>
        <v>43524.99861</v>
      </c>
      <c r="B888" s="433">
        <f>IFERROR(__xludf.DUMMYFUNCTION("""COMPUTED_VALUE"""),3801.876)</f>
        <v>3801.876</v>
      </c>
      <c r="C888" s="434">
        <f>IFERROR(__xludf.DUMMYFUNCTION("""COMPUTED_VALUE"""),43109.99861111111)</f>
        <v>43109.99861</v>
      </c>
      <c r="D888" s="433">
        <f>IFERROR(__xludf.DUMMYFUNCTION("""COMPUTED_VALUE"""),1145.9954)</f>
        <v>1145.9954</v>
      </c>
      <c r="F888" s="434">
        <f>IFERROR(__xludf.DUMMYFUNCTION("""COMPUTED_VALUE"""),45814.99861111111)</f>
        <v>45814.99861</v>
      </c>
      <c r="G888" s="433">
        <f>IFERROR(__xludf.DUMMYFUNCTION("""COMPUTED_VALUE"""),102549.2)</f>
        <v>102549.2</v>
      </c>
      <c r="H888" s="434">
        <f>IFERROR(__xludf.DUMMYFUNCTION("""COMPUTED_VALUE"""),45812.99861111111)</f>
        <v>45812.99861</v>
      </c>
      <c r="I888" s="433">
        <f>IFERROR(__xludf.DUMMYFUNCTION("""COMPUTED_VALUE"""),2594.478)</f>
        <v>2594.478</v>
      </c>
    </row>
    <row r="889">
      <c r="A889" s="434">
        <f>IFERROR(__xludf.DUMMYFUNCTION("""COMPUTED_VALUE"""),43525.99861111111)</f>
        <v>43525.99861</v>
      </c>
      <c r="B889" s="433">
        <f>IFERROR(__xludf.DUMMYFUNCTION("""COMPUTED_VALUE"""),3808.862)</f>
        <v>3808.862</v>
      </c>
      <c r="C889" s="434">
        <f>IFERROR(__xludf.DUMMYFUNCTION("""COMPUTED_VALUE"""),43110.99861111111)</f>
        <v>43110.99861</v>
      </c>
      <c r="D889" s="433">
        <f>IFERROR(__xludf.DUMMYFUNCTION("""COMPUTED_VALUE"""),1300.3387)</f>
        <v>1300.3387</v>
      </c>
      <c r="F889" s="434">
        <f>IFERROR(__xludf.DUMMYFUNCTION("""COMPUTED_VALUE"""),45815.99861111111)</f>
        <v>45815.99861</v>
      </c>
      <c r="G889" s="433">
        <f>IFERROR(__xludf.DUMMYFUNCTION("""COMPUTED_VALUE"""),104951.3)</f>
        <v>104951.3</v>
      </c>
      <c r="H889" s="434">
        <f>IFERROR(__xludf.DUMMYFUNCTION("""COMPUTED_VALUE"""),45813.99861111111)</f>
        <v>45813.99861</v>
      </c>
      <c r="I889" s="433">
        <f>IFERROR(__xludf.DUMMYFUNCTION("""COMPUTED_VALUE"""),2608.6477)</f>
        <v>2608.6477</v>
      </c>
    </row>
    <row r="890">
      <c r="A890" s="434">
        <f>IFERROR(__xludf.DUMMYFUNCTION("""COMPUTED_VALUE"""),43526.99861111111)</f>
        <v>43526.99861</v>
      </c>
      <c r="B890" s="433">
        <f>IFERROR(__xludf.DUMMYFUNCTION("""COMPUTED_VALUE"""),3812.141)</f>
        <v>3812.141</v>
      </c>
      <c r="C890" s="434">
        <f>IFERROR(__xludf.DUMMYFUNCTION("""COMPUTED_VALUE"""),43111.99861111111)</f>
        <v>43111.99861</v>
      </c>
      <c r="D890" s="433">
        <f>IFERROR(__xludf.DUMMYFUNCTION("""COMPUTED_VALUE"""),1268.092)</f>
        <v>1268.092</v>
      </c>
      <c r="F890" s="434">
        <f>IFERROR(__xludf.DUMMYFUNCTION("""COMPUTED_VALUE"""),45816.99861111111)</f>
        <v>45816.99861</v>
      </c>
      <c r="G890" s="433">
        <f>IFERROR(__xludf.DUMMYFUNCTION("""COMPUTED_VALUE"""),105525.3)</f>
        <v>105525.3</v>
      </c>
      <c r="H890" s="434">
        <f>IFERROR(__xludf.DUMMYFUNCTION("""COMPUTED_VALUE"""),45814.99861111111)</f>
        <v>45814.99861</v>
      </c>
      <c r="I890" s="433">
        <f>IFERROR(__xludf.DUMMYFUNCTION("""COMPUTED_VALUE"""),2416.2411)</f>
        <v>2416.2411</v>
      </c>
    </row>
    <row r="891">
      <c r="A891" s="434">
        <f>IFERROR(__xludf.DUMMYFUNCTION("""COMPUTED_VALUE"""),43527.99861111111)</f>
        <v>43527.99861</v>
      </c>
      <c r="B891" s="433">
        <f>IFERROR(__xludf.DUMMYFUNCTION("""COMPUTED_VALUE"""),3796.865)</f>
        <v>3796.865</v>
      </c>
      <c r="C891" s="434">
        <f>IFERROR(__xludf.DUMMYFUNCTION("""COMPUTED_VALUE"""),43112.99861111111)</f>
        <v>43112.99861</v>
      </c>
      <c r="D891" s="433">
        <f>IFERROR(__xludf.DUMMYFUNCTION("""COMPUTED_VALUE"""),1158.29)</f>
        <v>1158.29</v>
      </c>
      <c r="F891" s="434">
        <f>IFERROR(__xludf.DUMMYFUNCTION("""COMPUTED_VALUE"""),45817.99861111111)</f>
        <v>45817.99861</v>
      </c>
      <c r="G891" s="433">
        <f>IFERROR(__xludf.DUMMYFUNCTION("""COMPUTED_VALUE"""),105687.6)</f>
        <v>105687.6</v>
      </c>
      <c r="H891" s="434">
        <f>IFERROR(__xludf.DUMMYFUNCTION("""COMPUTED_VALUE"""),45815.99861111111)</f>
        <v>45815.99861</v>
      </c>
      <c r="I891" s="433">
        <f>IFERROR(__xludf.DUMMYFUNCTION("""COMPUTED_VALUE"""),2478.0639)</f>
        <v>2478.0639</v>
      </c>
    </row>
    <row r="892">
      <c r="A892" s="434">
        <f>IFERROR(__xludf.DUMMYFUNCTION("""COMPUTED_VALUE"""),43528.99861111111)</f>
        <v>43528.99861</v>
      </c>
      <c r="B892" s="433">
        <f>IFERROR(__xludf.DUMMYFUNCTION("""COMPUTED_VALUE"""),3709.697)</f>
        <v>3709.697</v>
      </c>
      <c r="C892" s="434">
        <f>IFERROR(__xludf.DUMMYFUNCTION("""COMPUTED_VALUE"""),43113.99861111111)</f>
        <v>43113.99861</v>
      </c>
      <c r="D892" s="433">
        <f>IFERROR(__xludf.DUMMYFUNCTION("""COMPUTED_VALUE"""),1270.4725)</f>
        <v>1270.4725</v>
      </c>
      <c r="F892" s="434">
        <f>IFERROR(__xludf.DUMMYFUNCTION("""COMPUTED_VALUE"""),45818.99861111111)</f>
        <v>45818.99861</v>
      </c>
      <c r="G892" s="433">
        <f>IFERROR(__xludf.DUMMYFUNCTION("""COMPUTED_VALUE"""),109549.0)</f>
        <v>109549</v>
      </c>
      <c r="H892" s="434">
        <f>IFERROR(__xludf.DUMMYFUNCTION("""COMPUTED_VALUE"""),45816.99861111111)</f>
        <v>45816.99861</v>
      </c>
      <c r="I892" s="433">
        <f>IFERROR(__xludf.DUMMYFUNCTION("""COMPUTED_VALUE"""),2526.2893)</f>
        <v>2526.2893</v>
      </c>
    </row>
    <row r="893">
      <c r="A893" s="434">
        <f>IFERROR(__xludf.DUMMYFUNCTION("""COMPUTED_VALUE"""),43529.99861111111)</f>
        <v>43529.99861</v>
      </c>
      <c r="B893" s="433">
        <f>IFERROR(__xludf.DUMMYFUNCTION("""COMPUTED_VALUE"""),3854.687)</f>
        <v>3854.687</v>
      </c>
      <c r="C893" s="434">
        <f>IFERROR(__xludf.DUMMYFUNCTION("""COMPUTED_VALUE"""),43114.99861111111)</f>
        <v>43114.99861</v>
      </c>
      <c r="D893" s="433">
        <f>IFERROR(__xludf.DUMMYFUNCTION("""COMPUTED_VALUE"""),1397.4779)</f>
        <v>1397.4779</v>
      </c>
      <c r="F893" s="434">
        <f>IFERROR(__xludf.DUMMYFUNCTION("""COMPUTED_VALUE"""),45819.99861111111)</f>
        <v>45819.99861</v>
      </c>
      <c r="G893" s="433">
        <f>IFERROR(__xludf.DUMMYFUNCTION("""COMPUTED_VALUE"""),109722.3)</f>
        <v>109722.3</v>
      </c>
      <c r="H893" s="434">
        <f>IFERROR(__xludf.DUMMYFUNCTION("""COMPUTED_VALUE"""),45817.99861111111)</f>
        <v>45817.99861</v>
      </c>
      <c r="I893" s="433">
        <f>IFERROR(__xludf.DUMMYFUNCTION("""COMPUTED_VALUE"""),2510.9076)</f>
        <v>2510.9076</v>
      </c>
    </row>
    <row r="894">
      <c r="A894" s="434">
        <f>IFERROR(__xludf.DUMMYFUNCTION("""COMPUTED_VALUE"""),43530.99861111111)</f>
        <v>43530.99861</v>
      </c>
      <c r="B894" s="433">
        <f>IFERROR(__xludf.DUMMYFUNCTION("""COMPUTED_VALUE"""),3865.892)</f>
        <v>3865.892</v>
      </c>
      <c r="C894" s="434">
        <f>IFERROR(__xludf.DUMMYFUNCTION("""COMPUTED_VALUE"""),43115.99861111111)</f>
        <v>43115.99861</v>
      </c>
      <c r="D894" s="433">
        <f>IFERROR(__xludf.DUMMYFUNCTION("""COMPUTED_VALUE"""),1365.2095)</f>
        <v>1365.2095</v>
      </c>
      <c r="F894" s="434">
        <f>IFERROR(__xludf.DUMMYFUNCTION("""COMPUTED_VALUE"""),45820.99861111111)</f>
        <v>45820.99861</v>
      </c>
      <c r="G894" s="433">
        <f>IFERROR(__xludf.DUMMYFUNCTION("""COMPUTED_VALUE"""),107845.6)</f>
        <v>107845.6</v>
      </c>
      <c r="H894" s="434">
        <f>IFERROR(__xludf.DUMMYFUNCTION("""COMPUTED_VALUE"""),45818.99861111111)</f>
        <v>45818.99861</v>
      </c>
      <c r="I894" s="433">
        <f>IFERROR(__xludf.DUMMYFUNCTION("""COMPUTED_VALUE"""),2681.2674)</f>
        <v>2681.2674</v>
      </c>
    </row>
    <row r="895">
      <c r="A895" s="434">
        <f>IFERROR(__xludf.DUMMYFUNCTION("""COMPUTED_VALUE"""),43531.99861111111)</f>
        <v>43531.99861</v>
      </c>
      <c r="B895" s="433">
        <f>IFERROR(__xludf.DUMMYFUNCTION("""COMPUTED_VALUE"""),3868.382)</f>
        <v>3868.382</v>
      </c>
      <c r="C895" s="434">
        <f>IFERROR(__xludf.DUMMYFUNCTION("""COMPUTED_VALUE"""),43116.99861111111)</f>
        <v>43116.99861</v>
      </c>
      <c r="D895" s="433">
        <f>IFERROR(__xludf.DUMMYFUNCTION("""COMPUTED_VALUE"""),1292.6293)</f>
        <v>1292.6293</v>
      </c>
      <c r="F895" s="434">
        <f>IFERROR(__xludf.DUMMYFUNCTION("""COMPUTED_VALUE"""),45821.99861111111)</f>
        <v>45821.99861</v>
      </c>
      <c r="G895" s="433">
        <f>IFERROR(__xludf.DUMMYFUNCTION("""COMPUTED_VALUE"""),104498.1)</f>
        <v>104498.1</v>
      </c>
      <c r="H895" s="434">
        <f>IFERROR(__xludf.DUMMYFUNCTION("""COMPUTED_VALUE"""),45819.99861111111)</f>
        <v>45819.99861</v>
      </c>
      <c r="I895" s="433">
        <f>IFERROR(__xludf.DUMMYFUNCTION("""COMPUTED_VALUE"""),2814.8368)</f>
        <v>2814.8368</v>
      </c>
    </row>
    <row r="896">
      <c r="A896" s="434">
        <f>IFERROR(__xludf.DUMMYFUNCTION("""COMPUTED_VALUE"""),43532.99861111111)</f>
        <v>43532.99861</v>
      </c>
      <c r="B896" s="433">
        <f>IFERROR(__xludf.DUMMYFUNCTION("""COMPUTED_VALUE"""),3854.778)</f>
        <v>3854.778</v>
      </c>
      <c r="C896" s="434">
        <f>IFERROR(__xludf.DUMMYFUNCTION("""COMPUTED_VALUE"""),43117.99861111111)</f>
        <v>43117.99861</v>
      </c>
      <c r="D896" s="433">
        <f>IFERROR(__xludf.DUMMYFUNCTION("""COMPUTED_VALUE"""),1061.3422)</f>
        <v>1061.3422</v>
      </c>
      <c r="F896" s="434">
        <f>IFERROR(__xludf.DUMMYFUNCTION("""COMPUTED_VALUE"""),45822.99861111111)</f>
        <v>45822.99861</v>
      </c>
      <c r="G896" s="433">
        <f>IFERROR(__xludf.DUMMYFUNCTION("""COMPUTED_VALUE"""),105312.9)</f>
        <v>105312.9</v>
      </c>
      <c r="H896" s="434">
        <f>IFERROR(__xludf.DUMMYFUNCTION("""COMPUTED_VALUE"""),45820.99861111111)</f>
        <v>45820.99861</v>
      </c>
      <c r="I896" s="433">
        <f>IFERROR(__xludf.DUMMYFUNCTION("""COMPUTED_VALUE"""),2772.8448)</f>
        <v>2772.8448</v>
      </c>
    </row>
    <row r="897">
      <c r="A897" s="434">
        <f>IFERROR(__xludf.DUMMYFUNCTION("""COMPUTED_VALUE"""),43533.99861111111)</f>
        <v>43533.99861</v>
      </c>
      <c r="B897" s="433">
        <f>IFERROR(__xludf.DUMMYFUNCTION("""COMPUTED_VALUE"""),3936.172)</f>
        <v>3936.172</v>
      </c>
      <c r="C897" s="434">
        <f>IFERROR(__xludf.DUMMYFUNCTION("""COMPUTED_VALUE"""),43118.99861111111)</f>
        <v>43118.99861</v>
      </c>
      <c r="D897" s="433">
        <f>IFERROR(__xludf.DUMMYFUNCTION("""COMPUTED_VALUE"""),1016.4448)</f>
        <v>1016.4448</v>
      </c>
      <c r="F897" s="434">
        <f>IFERROR(__xludf.DUMMYFUNCTION("""COMPUTED_VALUE"""),45823.99861111111)</f>
        <v>45823.99861</v>
      </c>
      <c r="G897" s="433">
        <f>IFERROR(__xludf.DUMMYFUNCTION("""COMPUTED_VALUE"""),105562.5)</f>
        <v>105562.5</v>
      </c>
      <c r="H897" s="434">
        <f>IFERROR(__xludf.DUMMYFUNCTION("""COMPUTED_VALUE"""),45821.99861111111)</f>
        <v>45821.99861</v>
      </c>
      <c r="I897" s="433">
        <f>IFERROR(__xludf.DUMMYFUNCTION("""COMPUTED_VALUE"""),2643.7887)</f>
        <v>2643.7887</v>
      </c>
    </row>
    <row r="898">
      <c r="A898" s="434">
        <f>IFERROR(__xludf.DUMMYFUNCTION("""COMPUTED_VALUE"""),43534.99861111111)</f>
        <v>43534.99861</v>
      </c>
      <c r="B898" s="433">
        <f>IFERROR(__xludf.DUMMYFUNCTION("""COMPUTED_VALUE"""),3901.575)</f>
        <v>3901.575</v>
      </c>
      <c r="C898" s="434">
        <f>IFERROR(__xludf.DUMMYFUNCTION("""COMPUTED_VALUE"""),43119.99861111111)</f>
        <v>43119.99861</v>
      </c>
      <c r="D898" s="433">
        <f>IFERROR(__xludf.DUMMYFUNCTION("""COMPUTED_VALUE"""),1028.8164)</f>
        <v>1028.8164</v>
      </c>
      <c r="F898" s="434">
        <f>IFERROR(__xludf.DUMMYFUNCTION("""COMPUTED_VALUE"""),45824.99861111111)</f>
        <v>45824.99861</v>
      </c>
      <c r="G898" s="433">
        <f>IFERROR(__xludf.DUMMYFUNCTION("""COMPUTED_VALUE"""),105950.6)</f>
        <v>105950.6</v>
      </c>
      <c r="H898" s="434">
        <f>IFERROR(__xludf.DUMMYFUNCTION("""COMPUTED_VALUE"""),45822.99861111111)</f>
        <v>45822.99861</v>
      </c>
      <c r="I898" s="433">
        <f>IFERROR(__xludf.DUMMYFUNCTION("""COMPUTED_VALUE"""),2579.7889)</f>
        <v>2579.7889</v>
      </c>
    </row>
    <row r="899">
      <c r="A899" s="434">
        <f>IFERROR(__xludf.DUMMYFUNCTION("""COMPUTED_VALUE"""),43535.99861111111)</f>
        <v>43535.99861</v>
      </c>
      <c r="B899" s="433">
        <f>IFERROR(__xludf.DUMMYFUNCTION("""COMPUTED_VALUE"""),3869.576)</f>
        <v>3869.576</v>
      </c>
      <c r="C899" s="434">
        <f>IFERROR(__xludf.DUMMYFUNCTION("""COMPUTED_VALUE"""),43120.99861111111)</f>
        <v>43120.99861</v>
      </c>
      <c r="D899" s="433">
        <f>IFERROR(__xludf.DUMMYFUNCTION("""COMPUTED_VALUE"""),1044.9452)</f>
        <v>1044.9452</v>
      </c>
      <c r="F899" s="434">
        <f>IFERROR(__xludf.DUMMYFUNCTION("""COMPUTED_VALUE"""),45825.99861111111)</f>
        <v>45825.99861</v>
      </c>
      <c r="G899" s="433">
        <f>IFERROR(__xludf.DUMMYFUNCTION("""COMPUTED_VALUE"""),107598.5)</f>
        <v>107598.5</v>
      </c>
      <c r="H899" s="434">
        <f>IFERROR(__xludf.DUMMYFUNCTION("""COMPUTED_VALUE"""),45823.99861111111)</f>
        <v>45823.99861</v>
      </c>
      <c r="I899" s="433">
        <f>IFERROR(__xludf.DUMMYFUNCTION("""COMPUTED_VALUE"""),2532.764)</f>
        <v>2532.764</v>
      </c>
    </row>
    <row r="900">
      <c r="A900" s="434">
        <f>IFERROR(__xludf.DUMMYFUNCTION("""COMPUTED_VALUE"""),43536.99861111111)</f>
        <v>43536.99861</v>
      </c>
      <c r="B900" s="433">
        <f>IFERROR(__xludf.DUMMYFUNCTION("""COMPUTED_VALUE"""),3880.146)</f>
        <v>3880.146</v>
      </c>
      <c r="C900" s="434">
        <f>IFERROR(__xludf.DUMMYFUNCTION("""COMPUTED_VALUE"""),43121.99861111111)</f>
        <v>43121.99861</v>
      </c>
      <c r="D900" s="433">
        <f>IFERROR(__xludf.DUMMYFUNCTION("""COMPUTED_VALUE"""),1155.6781)</f>
        <v>1155.6781</v>
      </c>
      <c r="F900" s="434">
        <f>IFERROR(__xludf.DUMMYFUNCTION("""COMPUTED_VALUE"""),45826.99861111111)</f>
        <v>45826.99861</v>
      </c>
      <c r="G900" s="433">
        <f>IFERROR(__xludf.DUMMYFUNCTION("""COMPUTED_VALUE"""),105191.3)</f>
        <v>105191.3</v>
      </c>
      <c r="H900" s="434">
        <f>IFERROR(__xludf.DUMMYFUNCTION("""COMPUTED_VALUE"""),45824.99861111111)</f>
        <v>45824.99861</v>
      </c>
      <c r="I900" s="433">
        <f>IFERROR(__xludf.DUMMYFUNCTION("""COMPUTED_VALUE"""),2547.7383)</f>
        <v>2547.7383</v>
      </c>
    </row>
    <row r="901">
      <c r="A901" s="434">
        <f>IFERROR(__xludf.DUMMYFUNCTION("""COMPUTED_VALUE"""),43537.99861111111)</f>
        <v>43537.99861</v>
      </c>
      <c r="B901" s="433">
        <f>IFERROR(__xludf.DUMMYFUNCTION("""COMPUTED_VALUE"""),3857.517)</f>
        <v>3857.517</v>
      </c>
      <c r="C901" s="434">
        <f>IFERROR(__xludf.DUMMYFUNCTION("""COMPUTED_VALUE"""),43122.99861111111)</f>
        <v>43122.99861</v>
      </c>
      <c r="D901" s="433">
        <f>IFERROR(__xludf.DUMMYFUNCTION("""COMPUTED_VALUE"""),1055.3516)</f>
        <v>1055.3516</v>
      </c>
      <c r="F901" s="434">
        <f>IFERROR(__xludf.DUMMYFUNCTION("""COMPUTED_VALUE"""),45827.99861111111)</f>
        <v>45827.99861</v>
      </c>
      <c r="G901" s="433">
        <f>IFERROR(__xludf.DUMMYFUNCTION("""COMPUTED_VALUE"""),105075.2)</f>
        <v>105075.2</v>
      </c>
      <c r="H901" s="434">
        <f>IFERROR(__xludf.DUMMYFUNCTION("""COMPUTED_VALUE"""),45825.99861111111)</f>
        <v>45825.99861</v>
      </c>
      <c r="I901" s="433">
        <f>IFERROR(__xludf.DUMMYFUNCTION("""COMPUTED_VALUE"""),2542.6312)</f>
        <v>2542.6312</v>
      </c>
    </row>
    <row r="902">
      <c r="A902" s="434">
        <f>IFERROR(__xludf.DUMMYFUNCTION("""COMPUTED_VALUE"""),43538.99861111111)</f>
        <v>43538.99861</v>
      </c>
      <c r="B902" s="433">
        <f>IFERROR(__xludf.DUMMYFUNCTION("""COMPUTED_VALUE"""),3863.484)</f>
        <v>3863.484</v>
      </c>
      <c r="C902" s="434">
        <f>IFERROR(__xludf.DUMMYFUNCTION("""COMPUTED_VALUE"""),43123.99861111111)</f>
        <v>43123.99861</v>
      </c>
      <c r="D902" s="433">
        <f>IFERROR(__xludf.DUMMYFUNCTION("""COMPUTED_VALUE"""),1004.1716)</f>
        <v>1004.1716</v>
      </c>
      <c r="F902" s="434">
        <f>IFERROR(__xludf.DUMMYFUNCTION("""COMPUTED_VALUE"""),45828.99861111111)</f>
        <v>45828.99861</v>
      </c>
      <c r="G902" s="433">
        <f>IFERROR(__xludf.DUMMYFUNCTION("""COMPUTED_VALUE"""),104637.0)</f>
        <v>104637</v>
      </c>
      <c r="H902" s="434">
        <f>IFERROR(__xludf.DUMMYFUNCTION("""COMPUTED_VALUE"""),45826.99861111111)</f>
        <v>45826.99861</v>
      </c>
      <c r="I902" s="433">
        <f>IFERROR(__xludf.DUMMYFUNCTION("""COMPUTED_VALUE"""),2510.1828)</f>
        <v>2510.1828</v>
      </c>
    </row>
    <row r="903">
      <c r="A903" s="434">
        <f>IFERROR(__xludf.DUMMYFUNCTION("""COMPUTED_VALUE"""),43539.99861111111)</f>
        <v>43539.99861</v>
      </c>
      <c r="B903" s="433">
        <f>IFERROR(__xludf.DUMMYFUNCTION("""COMPUTED_VALUE"""),3907.974)</f>
        <v>3907.974</v>
      </c>
      <c r="C903" s="434">
        <f>IFERROR(__xludf.DUMMYFUNCTION("""COMPUTED_VALUE"""),43124.99861111111)</f>
        <v>43124.99861</v>
      </c>
      <c r="D903" s="433">
        <f>IFERROR(__xludf.DUMMYFUNCTION("""COMPUTED_VALUE"""),987.4773)</f>
        <v>987.4773</v>
      </c>
      <c r="F903" s="434">
        <f>IFERROR(__xludf.DUMMYFUNCTION("""COMPUTED_VALUE"""),45829.99861111111)</f>
        <v>45829.99861</v>
      </c>
      <c r="G903" s="433">
        <f>IFERROR(__xludf.DUMMYFUNCTION("""COMPUTED_VALUE"""),103589.5)</f>
        <v>103589.5</v>
      </c>
      <c r="H903" s="434">
        <f>IFERROR(__xludf.DUMMYFUNCTION("""COMPUTED_VALUE"""),45827.99861111111)</f>
        <v>45827.99861</v>
      </c>
      <c r="I903" s="433">
        <f>IFERROR(__xludf.DUMMYFUNCTION("""COMPUTED_VALUE"""),2525.1483)</f>
        <v>2525.1483</v>
      </c>
    </row>
    <row r="904">
      <c r="A904" s="434">
        <f>IFERROR(__xludf.DUMMYFUNCTION("""COMPUTED_VALUE"""),43540.99861111111)</f>
        <v>43540.99861</v>
      </c>
      <c r="B904" s="433">
        <f>IFERROR(__xludf.DUMMYFUNCTION("""COMPUTED_VALUE"""),4011.145)</f>
        <v>4011.145</v>
      </c>
      <c r="C904" s="434">
        <f>IFERROR(__xludf.DUMMYFUNCTION("""COMPUTED_VALUE"""),43125.99861111111)</f>
        <v>43125.99861</v>
      </c>
      <c r="D904" s="433">
        <f>IFERROR(__xludf.DUMMYFUNCTION("""COMPUTED_VALUE"""),1063.2225)</f>
        <v>1063.2225</v>
      </c>
      <c r="F904" s="434">
        <f>IFERROR(__xludf.DUMMYFUNCTION("""COMPUTED_VALUE"""),45830.99861111111)</f>
        <v>45830.99861</v>
      </c>
      <c r="G904" s="433">
        <f>IFERROR(__xludf.DUMMYFUNCTION("""COMPUTED_VALUE"""),102394.4)</f>
        <v>102394.4</v>
      </c>
      <c r="H904" s="434">
        <f>IFERROR(__xludf.DUMMYFUNCTION("""COMPUTED_VALUE"""),45828.99861111111)</f>
        <v>45828.99861</v>
      </c>
      <c r="I904" s="433">
        <f>IFERROR(__xludf.DUMMYFUNCTION("""COMPUTED_VALUE"""),2521.5258)</f>
        <v>2521.5258</v>
      </c>
    </row>
    <row r="905">
      <c r="A905" s="434">
        <f>IFERROR(__xludf.DUMMYFUNCTION("""COMPUTED_VALUE"""),43541.99861111111)</f>
        <v>43541.99861</v>
      </c>
      <c r="B905" s="433">
        <f>IFERROR(__xludf.DUMMYFUNCTION("""COMPUTED_VALUE"""),3982.854)</f>
        <v>3982.854</v>
      </c>
      <c r="C905" s="434">
        <f>IFERROR(__xludf.DUMMYFUNCTION("""COMPUTED_VALUE"""),43126.99861111111)</f>
        <v>43126.99861</v>
      </c>
      <c r="D905" s="433">
        <f>IFERROR(__xludf.DUMMYFUNCTION("""COMPUTED_VALUE"""),1052.703)</f>
        <v>1052.703</v>
      </c>
      <c r="F905" s="434">
        <f>IFERROR(__xludf.DUMMYFUNCTION("""COMPUTED_VALUE"""),45831.99861111111)</f>
        <v>45831.99861</v>
      </c>
      <c r="G905" s="433">
        <f>IFERROR(__xludf.DUMMYFUNCTION("""COMPUTED_VALUE"""),101220.0)</f>
        <v>101220</v>
      </c>
      <c r="H905" s="434">
        <f>IFERROR(__xludf.DUMMYFUNCTION("""COMPUTED_VALUE"""),45829.99861111111)</f>
        <v>45829.99861</v>
      </c>
      <c r="I905" s="433">
        <f>IFERROR(__xludf.DUMMYFUNCTION("""COMPUTED_VALUE"""),2406.7561)</f>
        <v>2406.7561</v>
      </c>
    </row>
    <row r="906">
      <c r="A906" s="434">
        <f>IFERROR(__xludf.DUMMYFUNCTION("""COMPUTED_VALUE"""),43542.99861111111)</f>
        <v>43542.99861</v>
      </c>
      <c r="B906" s="433">
        <f>IFERROR(__xludf.DUMMYFUNCTION("""COMPUTED_VALUE"""),3972.293)</f>
        <v>3972.293</v>
      </c>
      <c r="C906" s="434">
        <f>IFERROR(__xludf.DUMMYFUNCTION("""COMPUTED_VALUE"""),43127.99861111111)</f>
        <v>43127.99861</v>
      </c>
      <c r="D906" s="433">
        <f>IFERROR(__xludf.DUMMYFUNCTION("""COMPUTED_VALUE"""),1055.7474)</f>
        <v>1055.7474</v>
      </c>
      <c r="F906" s="434">
        <f>IFERROR(__xludf.DUMMYFUNCTION("""COMPUTED_VALUE"""),45832.99861111111)</f>
        <v>45832.99861</v>
      </c>
      <c r="G906" s="433">
        <f>IFERROR(__xludf.DUMMYFUNCTION("""COMPUTED_VALUE"""),105019.0)</f>
        <v>105019</v>
      </c>
      <c r="H906" s="434">
        <f>IFERROR(__xludf.DUMMYFUNCTION("""COMPUTED_VALUE"""),45830.99861111111)</f>
        <v>45830.99861</v>
      </c>
      <c r="I906" s="433">
        <f>IFERROR(__xludf.DUMMYFUNCTION("""COMPUTED_VALUE"""),2296.6047)</f>
        <v>2296.6047</v>
      </c>
    </row>
    <row r="907">
      <c r="A907" s="434">
        <f>IFERROR(__xludf.DUMMYFUNCTION("""COMPUTED_VALUE"""),43543.99861111111)</f>
        <v>43543.99861</v>
      </c>
      <c r="B907" s="433">
        <f>IFERROR(__xludf.DUMMYFUNCTION("""COMPUTED_VALUE"""),4013.002)</f>
        <v>4013.002</v>
      </c>
      <c r="C907" s="434">
        <f>IFERROR(__xludf.DUMMYFUNCTION("""COMPUTED_VALUE"""),43128.99861111111)</f>
        <v>43128.99861</v>
      </c>
      <c r="D907" s="433">
        <f>IFERROR(__xludf.DUMMYFUNCTION("""COMPUTED_VALUE"""),1111.7799)</f>
        <v>1111.7799</v>
      </c>
      <c r="F907" s="434">
        <f>IFERROR(__xludf.DUMMYFUNCTION("""COMPUTED_VALUE"""),45833.99861111111)</f>
        <v>45833.99861</v>
      </c>
      <c r="G907" s="433">
        <f>IFERROR(__xludf.DUMMYFUNCTION("""COMPUTED_VALUE"""),106311.5)</f>
        <v>106311.5</v>
      </c>
      <c r="H907" s="434">
        <f>IFERROR(__xludf.DUMMYFUNCTION("""COMPUTED_VALUE"""),45831.99861111111)</f>
        <v>45831.99861</v>
      </c>
      <c r="I907" s="433">
        <f>IFERROR(__xludf.DUMMYFUNCTION("""COMPUTED_VALUE"""),2228.1479)</f>
        <v>2228.1479</v>
      </c>
    </row>
    <row r="908">
      <c r="A908" s="434">
        <f>IFERROR(__xludf.DUMMYFUNCTION("""COMPUTED_VALUE"""),43544.99861111111)</f>
        <v>43544.99861</v>
      </c>
      <c r="B908" s="433">
        <f>IFERROR(__xludf.DUMMYFUNCTION("""COMPUTED_VALUE"""),4045.087)</f>
        <v>4045.087</v>
      </c>
      <c r="C908" s="434">
        <f>IFERROR(__xludf.DUMMYFUNCTION("""COMPUTED_VALUE"""),43129.99861111111)</f>
        <v>43129.99861</v>
      </c>
      <c r="D908" s="433">
        <f>IFERROR(__xludf.DUMMYFUNCTION("""COMPUTED_VALUE"""),1246.6978)</f>
        <v>1246.6978</v>
      </c>
      <c r="F908" s="434">
        <f>IFERROR(__xludf.DUMMYFUNCTION("""COMPUTED_VALUE"""),45834.99861111111)</f>
        <v>45834.99861</v>
      </c>
      <c r="G908" s="433">
        <f>IFERROR(__xludf.DUMMYFUNCTION("""COMPUTED_VALUE"""),107899.3)</f>
        <v>107899.3</v>
      </c>
      <c r="H908" s="434">
        <f>IFERROR(__xludf.DUMMYFUNCTION("""COMPUTED_VALUE"""),45832.99861111111)</f>
        <v>45832.99861</v>
      </c>
      <c r="I908" s="433">
        <f>IFERROR(__xludf.DUMMYFUNCTION("""COMPUTED_VALUE"""),2412.7634)</f>
        <v>2412.7634</v>
      </c>
    </row>
    <row r="909">
      <c r="A909" s="434">
        <f>IFERROR(__xludf.DUMMYFUNCTION("""COMPUTED_VALUE"""),43545.99861111111)</f>
        <v>43545.99861</v>
      </c>
      <c r="B909" s="433">
        <f>IFERROR(__xludf.DUMMYFUNCTION("""COMPUTED_VALUE"""),3979.77)</f>
        <v>3979.77</v>
      </c>
      <c r="C909" s="434">
        <f>IFERROR(__xludf.DUMMYFUNCTION("""COMPUTED_VALUE"""),43130.99861111111)</f>
        <v>43130.99861</v>
      </c>
      <c r="D909" s="433">
        <f>IFERROR(__xludf.DUMMYFUNCTION("""COMPUTED_VALUE"""),1184.1321)</f>
        <v>1184.1321</v>
      </c>
      <c r="F909" s="434">
        <f>IFERROR(__xludf.DUMMYFUNCTION("""COMPUTED_VALUE"""),45835.99861111111)</f>
        <v>45835.99861</v>
      </c>
      <c r="G909" s="433">
        <f>IFERROR(__xludf.DUMMYFUNCTION("""COMPUTED_VALUE"""),107523.7)</f>
        <v>107523.7</v>
      </c>
      <c r="H909" s="434">
        <f>IFERROR(__xludf.DUMMYFUNCTION("""COMPUTED_VALUE"""),45833.99861111111)</f>
        <v>45833.99861</v>
      </c>
      <c r="I909" s="433">
        <f>IFERROR(__xludf.DUMMYFUNCTION("""COMPUTED_VALUE"""),2449.7001)</f>
        <v>2449.7001</v>
      </c>
    </row>
    <row r="910">
      <c r="A910" s="434">
        <f>IFERROR(__xludf.DUMMYFUNCTION("""COMPUTED_VALUE"""),43546.99861111111)</f>
        <v>43546.99861</v>
      </c>
      <c r="B910" s="433">
        <f>IFERROR(__xludf.DUMMYFUNCTION("""COMPUTED_VALUE"""),3990.55)</f>
        <v>3990.55</v>
      </c>
      <c r="C910" s="434">
        <f>IFERROR(__xludf.DUMMYFUNCTION("""COMPUTED_VALUE"""),43131.99861111111)</f>
        <v>43131.99861</v>
      </c>
      <c r="D910" s="433">
        <f>IFERROR(__xludf.DUMMYFUNCTION("""COMPUTED_VALUE"""),1071.0927)</f>
        <v>1071.0927</v>
      </c>
      <c r="F910" s="434">
        <f>IFERROR(__xludf.DUMMYFUNCTION("""COMPUTED_VALUE"""),45836.99861111111)</f>
        <v>45836.99861</v>
      </c>
      <c r="G910" s="433">
        <f>IFERROR(__xludf.DUMMYFUNCTION("""COMPUTED_VALUE"""),107342.2)</f>
        <v>107342.2</v>
      </c>
      <c r="H910" s="434">
        <f>IFERROR(__xludf.DUMMYFUNCTION("""COMPUTED_VALUE"""),45834.99861111111)</f>
        <v>45834.99861</v>
      </c>
      <c r="I910" s="433">
        <f>IFERROR(__xludf.DUMMYFUNCTION("""COMPUTED_VALUE"""),2419.3084)</f>
        <v>2419.3084</v>
      </c>
    </row>
    <row r="911">
      <c r="A911" s="434">
        <f>IFERROR(__xludf.DUMMYFUNCTION("""COMPUTED_VALUE"""),43547.99861111111)</f>
        <v>43547.99861</v>
      </c>
      <c r="B911" s="433">
        <f>IFERROR(__xludf.DUMMYFUNCTION("""COMPUTED_VALUE"""),4003.255)</f>
        <v>4003.255</v>
      </c>
      <c r="C911" s="434">
        <f>IFERROR(__xludf.DUMMYFUNCTION("""COMPUTED_VALUE"""),43132.99861111111)</f>
        <v>43132.99861</v>
      </c>
      <c r="D911" s="433">
        <f>IFERROR(__xludf.DUMMYFUNCTION("""COMPUTED_VALUE"""),1119.3726)</f>
        <v>1119.3726</v>
      </c>
      <c r="F911" s="434">
        <f>IFERROR(__xludf.DUMMYFUNCTION("""COMPUTED_VALUE"""),45837.99861111111)</f>
        <v>45837.99861</v>
      </c>
      <c r="G911" s="433">
        <f>IFERROR(__xludf.DUMMYFUNCTION("""COMPUTED_VALUE"""),107249.3)</f>
        <v>107249.3</v>
      </c>
      <c r="H911" s="434">
        <f>IFERROR(__xludf.DUMMYFUNCTION("""COMPUTED_VALUE"""),45835.99861111111)</f>
        <v>45835.99861</v>
      </c>
      <c r="I911" s="433">
        <f>IFERROR(__xludf.DUMMYFUNCTION("""COMPUTED_VALUE"""),2416.3115)</f>
        <v>2416.3115</v>
      </c>
    </row>
    <row r="912">
      <c r="A912" s="434">
        <f>IFERROR(__xludf.DUMMYFUNCTION("""COMPUTED_VALUE"""),43548.99861111111)</f>
        <v>43548.99861</v>
      </c>
      <c r="B912" s="433">
        <f>IFERROR(__xludf.DUMMYFUNCTION("""COMPUTED_VALUE"""),3986.74)</f>
        <v>3986.74</v>
      </c>
      <c r="C912" s="434">
        <f>IFERROR(__xludf.DUMMYFUNCTION("""COMPUTED_VALUE"""),43133.99861111111)</f>
        <v>43133.99861</v>
      </c>
      <c r="D912" s="433">
        <f>IFERROR(__xludf.DUMMYFUNCTION("""COMPUTED_VALUE"""),1035.7668)</f>
        <v>1035.7668</v>
      </c>
      <c r="F912" s="434">
        <f>IFERROR(__xludf.DUMMYFUNCTION("""COMPUTED_VALUE"""),45838.99861111111)</f>
        <v>45838.99861</v>
      </c>
      <c r="G912" s="433">
        <f>IFERROR(__xludf.DUMMYFUNCTION("""COMPUTED_VALUE"""),108527.5)</f>
        <v>108527.5</v>
      </c>
      <c r="H912" s="434">
        <f>IFERROR(__xludf.DUMMYFUNCTION("""COMPUTED_VALUE"""),45836.99861111111)</f>
        <v>45836.99861</v>
      </c>
      <c r="I912" s="433">
        <f>IFERROR(__xludf.DUMMYFUNCTION("""COMPUTED_VALUE"""),2423.8919)</f>
        <v>2423.8919</v>
      </c>
    </row>
    <row r="913">
      <c r="A913" s="434">
        <f>IFERROR(__xludf.DUMMYFUNCTION("""COMPUTED_VALUE"""),43549.99861111111)</f>
        <v>43549.99861</v>
      </c>
      <c r="B913" s="433">
        <f>IFERROR(__xludf.DUMMYFUNCTION("""COMPUTED_VALUE"""),3917.902)</f>
        <v>3917.902</v>
      </c>
      <c r="C913" s="434">
        <f>IFERROR(__xludf.DUMMYFUNCTION("""COMPUTED_VALUE"""),43134.99861111111)</f>
        <v>43134.99861</v>
      </c>
      <c r="D913" s="433">
        <f>IFERROR(__xludf.DUMMYFUNCTION("""COMPUTED_VALUE"""),919.2109)</f>
        <v>919.2109</v>
      </c>
      <c r="F913" s="434">
        <f>IFERROR(__xludf.DUMMYFUNCTION("""COMPUTED_VALUE"""),45839.99861111111)</f>
        <v>45839.99861</v>
      </c>
      <c r="G913" s="433">
        <f>IFERROR(__xludf.DUMMYFUNCTION("""COMPUTED_VALUE"""),107217.4)</f>
        <v>107217.4</v>
      </c>
      <c r="H913" s="434">
        <f>IFERROR(__xludf.DUMMYFUNCTION("""COMPUTED_VALUE"""),45837.99861111111)</f>
        <v>45837.99861</v>
      </c>
      <c r="I913" s="433">
        <f>IFERROR(__xludf.DUMMYFUNCTION("""COMPUTED_VALUE"""),2436.9814)</f>
        <v>2436.9814</v>
      </c>
    </row>
    <row r="914">
      <c r="A914" s="434">
        <f>IFERROR(__xludf.DUMMYFUNCTION("""COMPUTED_VALUE"""),43550.99861111111)</f>
        <v>43550.99861</v>
      </c>
      <c r="B914" s="433">
        <f>IFERROR(__xludf.DUMMYFUNCTION("""COMPUTED_VALUE"""),3934.936)</f>
        <v>3934.936</v>
      </c>
      <c r="C914" s="434">
        <f>IFERROR(__xludf.DUMMYFUNCTION("""COMPUTED_VALUE"""),43135.99861111111)</f>
        <v>43135.99861</v>
      </c>
      <c r="D914" s="433">
        <f>IFERROR(__xludf.DUMMYFUNCTION("""COMPUTED_VALUE"""),964.6671)</f>
        <v>964.6671</v>
      </c>
      <c r="F914" s="434">
        <f>IFERROR(__xludf.DUMMYFUNCTION("""COMPUTED_VALUE"""),45840.99861111111)</f>
        <v>45840.99861</v>
      </c>
      <c r="G914" s="433">
        <f>IFERROR(__xludf.DUMMYFUNCTION("""COMPUTED_VALUE"""),106255.1)</f>
        <v>106255.1</v>
      </c>
      <c r="H914" s="434">
        <f>IFERROR(__xludf.DUMMYFUNCTION("""COMPUTED_VALUE"""),45838.99861111111)</f>
        <v>45838.99861</v>
      </c>
      <c r="I914" s="433">
        <f>IFERROR(__xludf.DUMMYFUNCTION("""COMPUTED_VALUE"""),2500.5653)</f>
        <v>2500.5653</v>
      </c>
    </row>
    <row r="915">
      <c r="A915" s="434">
        <f>IFERROR(__xludf.DUMMYFUNCTION("""COMPUTED_VALUE"""),43551.99861111111)</f>
        <v>43551.99861</v>
      </c>
      <c r="B915" s="433">
        <f>IFERROR(__xludf.DUMMYFUNCTION("""COMPUTED_VALUE"""),4046.737)</f>
        <v>4046.737</v>
      </c>
      <c r="C915" s="434">
        <f>IFERROR(__xludf.DUMMYFUNCTION("""COMPUTED_VALUE"""),43136.99861111111)</f>
        <v>43136.99861</v>
      </c>
      <c r="D915" s="433">
        <f>IFERROR(__xludf.DUMMYFUNCTION("""COMPUTED_VALUE"""),834.9575)</f>
        <v>834.9575</v>
      </c>
      <c r="F915" s="434">
        <f>IFERROR(__xludf.DUMMYFUNCTION("""COMPUTED_VALUE"""),45841.99861111111)</f>
        <v>45841.99861</v>
      </c>
      <c r="G915" s="433">
        <f>IFERROR(__xludf.DUMMYFUNCTION("""COMPUTED_VALUE"""),108696.5)</f>
        <v>108696.5</v>
      </c>
      <c r="H915" s="434">
        <f>IFERROR(__xludf.DUMMYFUNCTION("""COMPUTED_VALUE"""),45839.99861111111)</f>
        <v>45839.99861</v>
      </c>
      <c r="I915" s="433">
        <f>IFERROR(__xludf.DUMMYFUNCTION("""COMPUTED_VALUE"""),2487.1913)</f>
        <v>2487.1913</v>
      </c>
    </row>
    <row r="916">
      <c r="A916" s="434">
        <f>IFERROR(__xludf.DUMMYFUNCTION("""COMPUTED_VALUE"""),43552.99861111111)</f>
        <v>43552.99861</v>
      </c>
      <c r="B916" s="433">
        <f>IFERROR(__xludf.DUMMYFUNCTION("""COMPUTED_VALUE"""),4026.161)</f>
        <v>4026.161</v>
      </c>
      <c r="C916" s="434">
        <f>IFERROR(__xludf.DUMMYFUNCTION("""COMPUTED_VALUE"""),43137.99861111111)</f>
        <v>43137.99861</v>
      </c>
      <c r="D916" s="433">
        <f>IFERROR(__xludf.DUMMYFUNCTION("""COMPUTED_VALUE"""),707.7366)</f>
        <v>707.7366</v>
      </c>
      <c r="F916" s="434">
        <f>IFERROR(__xludf.DUMMYFUNCTION("""COMPUTED_VALUE"""),45842.99861111111)</f>
        <v>45842.99861</v>
      </c>
      <c r="G916" s="433">
        <f>IFERROR(__xludf.DUMMYFUNCTION("""COMPUTED_VALUE"""),109273.1)</f>
        <v>109273.1</v>
      </c>
      <c r="H916" s="434">
        <f>IFERROR(__xludf.DUMMYFUNCTION("""COMPUTED_VALUE"""),45840.99861111111)</f>
        <v>45840.99861</v>
      </c>
      <c r="I916" s="433">
        <f>IFERROR(__xludf.DUMMYFUNCTION("""COMPUTED_VALUE"""),2405.5849)</f>
        <v>2405.5849</v>
      </c>
    </row>
    <row r="917">
      <c r="A917" s="434">
        <f>IFERROR(__xludf.DUMMYFUNCTION("""COMPUTED_VALUE"""),43553.99861111111)</f>
        <v>43553.99861</v>
      </c>
      <c r="B917" s="433">
        <f>IFERROR(__xludf.DUMMYFUNCTION("""COMPUTED_VALUE"""),4101.418)</f>
        <v>4101.418</v>
      </c>
      <c r="C917" s="434">
        <f>IFERROR(__xludf.DUMMYFUNCTION("""COMPUTED_VALUE"""),43138.99861111111)</f>
        <v>43138.99861</v>
      </c>
      <c r="D917" s="433">
        <f>IFERROR(__xludf.DUMMYFUNCTION("""COMPUTED_VALUE"""),790.428)</f>
        <v>790.428</v>
      </c>
      <c r="F917" s="434">
        <f>IFERROR(__xludf.DUMMYFUNCTION("""COMPUTED_VALUE"""),45843.99861111111)</f>
        <v>45843.99861</v>
      </c>
      <c r="G917" s="433">
        <f>IFERROR(__xludf.DUMMYFUNCTION("""COMPUTED_VALUE"""),108230.0)</f>
        <v>108230</v>
      </c>
      <c r="H917" s="434">
        <f>IFERROR(__xludf.DUMMYFUNCTION("""COMPUTED_VALUE"""),45841.99861111111)</f>
        <v>45841.99861</v>
      </c>
      <c r="I917" s="433">
        <f>IFERROR(__xludf.DUMMYFUNCTION("""COMPUTED_VALUE"""),2570.6842)</f>
        <v>2570.6842</v>
      </c>
    </row>
    <row r="918">
      <c r="A918" s="434">
        <f>IFERROR(__xludf.DUMMYFUNCTION("""COMPUTED_VALUE"""),43554.99861111111)</f>
        <v>43554.99861</v>
      </c>
      <c r="B918" s="433">
        <f>IFERROR(__xludf.DUMMYFUNCTION("""COMPUTED_VALUE"""),4116.457)</f>
        <v>4116.457</v>
      </c>
      <c r="C918" s="434">
        <f>IFERROR(__xludf.DUMMYFUNCTION("""COMPUTED_VALUE"""),43139.99861111111)</f>
        <v>43139.99861</v>
      </c>
      <c r="D918" s="433">
        <f>IFERROR(__xludf.DUMMYFUNCTION("""COMPUTED_VALUE"""),755.8428)</f>
        <v>755.8428</v>
      </c>
      <c r="F918" s="434">
        <f>IFERROR(__xludf.DUMMYFUNCTION("""COMPUTED_VALUE"""),45844.99861111111)</f>
        <v>45844.99861</v>
      </c>
      <c r="G918" s="433">
        <f>IFERROR(__xludf.DUMMYFUNCTION("""COMPUTED_VALUE"""),108114.0)</f>
        <v>108114</v>
      </c>
      <c r="H918" s="434">
        <f>IFERROR(__xludf.DUMMYFUNCTION("""COMPUTED_VALUE"""),45842.99861111111)</f>
        <v>45842.99861</v>
      </c>
      <c r="I918" s="433">
        <f>IFERROR(__xludf.DUMMYFUNCTION("""COMPUTED_VALUE"""),2591.2846)</f>
        <v>2591.2846</v>
      </c>
    </row>
    <row r="919">
      <c r="A919" s="434">
        <f>IFERROR(__xludf.DUMMYFUNCTION("""COMPUTED_VALUE"""),43555.99861111111)</f>
        <v>43555.99861</v>
      </c>
      <c r="B919" s="433">
        <f>IFERROR(__xludf.DUMMYFUNCTION("""COMPUTED_VALUE"""),4121.252)</f>
        <v>4121.252</v>
      </c>
      <c r="C919" s="434">
        <f>IFERROR(__xludf.DUMMYFUNCTION("""COMPUTED_VALUE"""),43140.99861111111)</f>
        <v>43140.99861</v>
      </c>
      <c r="D919" s="433">
        <f>IFERROR(__xludf.DUMMYFUNCTION("""COMPUTED_VALUE"""),818.4803)</f>
        <v>818.4803</v>
      </c>
      <c r="F919" s="434">
        <f>IFERROR(__xludf.DUMMYFUNCTION("""COMPUTED_VALUE"""),45845.99861111111)</f>
        <v>45845.99861</v>
      </c>
      <c r="G919" s="433">
        <f>IFERROR(__xludf.DUMMYFUNCTION("""COMPUTED_VALUE"""),109395.1)</f>
        <v>109395.1</v>
      </c>
      <c r="H919" s="434">
        <f>IFERROR(__xludf.DUMMYFUNCTION("""COMPUTED_VALUE"""),45843.99861111111)</f>
        <v>45843.99861</v>
      </c>
      <c r="I919" s="433">
        <f>IFERROR(__xludf.DUMMYFUNCTION("""COMPUTED_VALUE"""),2508.4357)</f>
        <v>2508.4357</v>
      </c>
    </row>
    <row r="920">
      <c r="A920" s="434">
        <f>IFERROR(__xludf.DUMMYFUNCTION("""COMPUTED_VALUE"""),43556.99861111111)</f>
        <v>43556.99861</v>
      </c>
      <c r="B920" s="433">
        <f>IFERROR(__xludf.DUMMYFUNCTION("""COMPUTED_VALUE"""),4153.23)</f>
        <v>4153.23</v>
      </c>
      <c r="C920" s="434">
        <f>IFERROR(__xludf.DUMMYFUNCTION("""COMPUTED_VALUE"""),43141.99861111111)</f>
        <v>43141.99861</v>
      </c>
      <c r="D920" s="433">
        <f>IFERROR(__xludf.DUMMYFUNCTION("""COMPUTED_VALUE"""),882.467)</f>
        <v>882.467</v>
      </c>
      <c r="F920" s="434">
        <f>IFERROR(__xludf.DUMMYFUNCTION("""COMPUTED_VALUE"""),45846.99861111111)</f>
        <v>45846.99861</v>
      </c>
      <c r="G920" s="433">
        <f>IFERROR(__xludf.DUMMYFUNCTION("""COMPUTED_VALUE"""),107904.3)</f>
        <v>107904.3</v>
      </c>
      <c r="H920" s="434">
        <f>IFERROR(__xludf.DUMMYFUNCTION("""COMPUTED_VALUE"""),45844.99861111111)</f>
        <v>45844.99861</v>
      </c>
      <c r="I920" s="433">
        <f>IFERROR(__xludf.DUMMYFUNCTION("""COMPUTED_VALUE"""),2517.2448)</f>
        <v>2517.2448</v>
      </c>
    </row>
    <row r="921">
      <c r="A921" s="434">
        <f>IFERROR(__xludf.DUMMYFUNCTION("""COMPUTED_VALUE"""),43557.99861111111)</f>
        <v>43557.99861</v>
      </c>
      <c r="B921" s="433">
        <f>IFERROR(__xludf.DUMMYFUNCTION("""COMPUTED_VALUE"""),4897.085)</f>
        <v>4897.085</v>
      </c>
      <c r="C921" s="434">
        <f>IFERROR(__xludf.DUMMYFUNCTION("""COMPUTED_VALUE"""),43142.99861111111)</f>
        <v>43142.99861</v>
      </c>
      <c r="D921" s="433">
        <f>IFERROR(__xludf.DUMMYFUNCTION("""COMPUTED_VALUE"""),859.2877)</f>
        <v>859.2877</v>
      </c>
      <c r="F921" s="434">
        <f>IFERROR(__xludf.DUMMYFUNCTION("""COMPUTED_VALUE"""),45847.99861111111)</f>
        <v>45847.99861</v>
      </c>
      <c r="G921" s="433">
        <f>IFERROR(__xludf.DUMMYFUNCTION("""COMPUTED_VALUE"""),108395.8)</f>
        <v>108395.8</v>
      </c>
      <c r="H921" s="434">
        <f>IFERROR(__xludf.DUMMYFUNCTION("""COMPUTED_VALUE"""),45845.99861111111)</f>
        <v>45845.99861</v>
      </c>
      <c r="I921" s="433">
        <f>IFERROR(__xludf.DUMMYFUNCTION("""COMPUTED_VALUE"""),2571.0602)</f>
        <v>2571.0602</v>
      </c>
    </row>
    <row r="922">
      <c r="A922" s="434">
        <f>IFERROR(__xludf.DUMMYFUNCTION("""COMPUTED_VALUE"""),43558.99861111111)</f>
        <v>43558.99861</v>
      </c>
      <c r="B922" s="433">
        <f>IFERROR(__xludf.DUMMYFUNCTION("""COMPUTED_VALUE"""),4972.537)</f>
        <v>4972.537</v>
      </c>
      <c r="C922" s="434">
        <f>IFERROR(__xludf.DUMMYFUNCTION("""COMPUTED_VALUE"""),43143.99861111111)</f>
        <v>43143.99861</v>
      </c>
      <c r="D922" s="433">
        <f>IFERROR(__xludf.DUMMYFUNCTION("""COMPUTED_VALUE"""),817.5081)</f>
        <v>817.5081</v>
      </c>
      <c r="F922" s="434">
        <f>IFERROR(__xludf.DUMMYFUNCTION("""COMPUTED_VALUE"""),45848.99861111111)</f>
        <v>45848.99861</v>
      </c>
      <c r="G922" s="433">
        <f>IFERROR(__xludf.DUMMYFUNCTION("""COMPUTED_VALUE"""),111090.1)</f>
        <v>111090.1</v>
      </c>
      <c r="H922" s="434">
        <f>IFERROR(__xludf.DUMMYFUNCTION("""COMPUTED_VALUE"""),45846.99861111111)</f>
        <v>45846.99861</v>
      </c>
      <c r="I922" s="433">
        <f>IFERROR(__xludf.DUMMYFUNCTION("""COMPUTED_VALUE"""),2542.6005)</f>
        <v>2542.6005</v>
      </c>
    </row>
    <row r="923">
      <c r="A923" s="434">
        <f>IFERROR(__xludf.DUMMYFUNCTION("""COMPUTED_VALUE"""),43559.99861111111)</f>
        <v>43559.99861</v>
      </c>
      <c r="B923" s="433">
        <f>IFERROR(__xludf.DUMMYFUNCTION("""COMPUTED_VALUE"""),4913.774)</f>
        <v>4913.774</v>
      </c>
      <c r="C923" s="434">
        <f>IFERROR(__xludf.DUMMYFUNCTION("""COMPUTED_VALUE"""),43144.99861111111)</f>
        <v>43144.99861</v>
      </c>
      <c r="D923" s="433">
        <f>IFERROR(__xludf.DUMMYFUNCTION("""COMPUTED_VALUE"""),869.2926)</f>
        <v>869.2926</v>
      </c>
      <c r="F923" s="434">
        <f>IFERROR(__xludf.DUMMYFUNCTION("""COMPUTED_VALUE"""),45849.99861111111)</f>
        <v>45849.99861</v>
      </c>
      <c r="G923" s="433">
        <f>IFERROR(__xludf.DUMMYFUNCTION("""COMPUTED_VALUE"""),116768.2)</f>
        <v>116768.2</v>
      </c>
      <c r="H923" s="434">
        <f>IFERROR(__xludf.DUMMYFUNCTION("""COMPUTED_VALUE"""),45847.99861111111)</f>
        <v>45847.99861</v>
      </c>
      <c r="I923" s="433">
        <f>IFERROR(__xludf.DUMMYFUNCTION("""COMPUTED_VALUE"""),2615.5927)</f>
        <v>2615.5927</v>
      </c>
    </row>
    <row r="924">
      <c r="A924" s="434">
        <f>IFERROR(__xludf.DUMMYFUNCTION("""COMPUTED_VALUE"""),43560.99861111111)</f>
        <v>43560.99861</v>
      </c>
      <c r="B924" s="433">
        <f>IFERROR(__xludf.DUMMYFUNCTION("""COMPUTED_VALUE"""),5041.908)</f>
        <v>5041.908</v>
      </c>
      <c r="C924" s="434">
        <f>IFERROR(__xludf.DUMMYFUNCTION("""COMPUTED_VALUE"""),43145.99861111111)</f>
        <v>43145.99861</v>
      </c>
      <c r="D924" s="433">
        <f>IFERROR(__xludf.DUMMYFUNCTION("""COMPUTED_VALUE"""),844.2786)</f>
        <v>844.2786</v>
      </c>
      <c r="F924" s="434">
        <f>IFERROR(__xludf.DUMMYFUNCTION("""COMPUTED_VALUE"""),45850.99861111111)</f>
        <v>45850.99861</v>
      </c>
      <c r="G924" s="433">
        <f>IFERROR(__xludf.DUMMYFUNCTION("""COMPUTED_VALUE"""),117568.8)</f>
        <v>117568.8</v>
      </c>
      <c r="H924" s="434">
        <f>IFERROR(__xludf.DUMMYFUNCTION("""COMPUTED_VALUE"""),45848.99861111111)</f>
        <v>45848.99861</v>
      </c>
      <c r="I924" s="433">
        <f>IFERROR(__xludf.DUMMYFUNCTION("""COMPUTED_VALUE"""),2770.3779)</f>
        <v>2770.3779</v>
      </c>
    </row>
    <row r="925">
      <c r="A925" s="434">
        <f>IFERROR(__xludf.DUMMYFUNCTION("""COMPUTED_VALUE"""),43561.99861111111)</f>
        <v>43561.99861</v>
      </c>
      <c r="B925" s="433">
        <f>IFERROR(__xludf.DUMMYFUNCTION("""COMPUTED_VALUE"""),5058.361)</f>
        <v>5058.361</v>
      </c>
      <c r="C925" s="434">
        <f>IFERROR(__xludf.DUMMYFUNCTION("""COMPUTED_VALUE"""),43146.99861111111)</f>
        <v>43146.99861</v>
      </c>
      <c r="D925" s="433">
        <f>IFERROR(__xludf.DUMMYFUNCTION("""COMPUTED_VALUE"""),923.7281)</f>
        <v>923.7281</v>
      </c>
      <c r="F925" s="434">
        <f>IFERROR(__xludf.DUMMYFUNCTION("""COMPUTED_VALUE"""),45851.99861111111)</f>
        <v>45851.99861</v>
      </c>
      <c r="G925" s="433">
        <f>IFERROR(__xludf.DUMMYFUNCTION("""COMPUTED_VALUE"""),117603.5)</f>
        <v>117603.5</v>
      </c>
      <c r="H925" s="434">
        <f>IFERROR(__xludf.DUMMYFUNCTION("""COMPUTED_VALUE"""),45849.99861111111)</f>
        <v>45849.99861</v>
      </c>
      <c r="I925" s="433">
        <f>IFERROR(__xludf.DUMMYFUNCTION("""COMPUTED_VALUE"""),2950.6692)</f>
        <v>2950.6692</v>
      </c>
    </row>
    <row r="926">
      <c r="A926" s="434">
        <f>IFERROR(__xludf.DUMMYFUNCTION("""COMPUTED_VALUE"""),43562.99861111111)</f>
        <v>43562.99861</v>
      </c>
      <c r="B926" s="433">
        <f>IFERROR(__xludf.DUMMYFUNCTION("""COMPUTED_VALUE"""),5200.219)</f>
        <v>5200.219</v>
      </c>
      <c r="C926" s="434">
        <f>IFERROR(__xludf.DUMMYFUNCTION("""COMPUTED_VALUE"""),43147.99861111111)</f>
        <v>43147.99861</v>
      </c>
      <c r="D926" s="433">
        <f>IFERROR(__xludf.DUMMYFUNCTION("""COMPUTED_VALUE"""),934.7863)</f>
        <v>934.7863</v>
      </c>
      <c r="F926" s="434">
        <f>IFERROR(__xludf.DUMMYFUNCTION("""COMPUTED_VALUE"""),45852.99861111111)</f>
        <v>45852.99861</v>
      </c>
      <c r="G926" s="433">
        <f>IFERROR(__xludf.DUMMYFUNCTION("""COMPUTED_VALUE"""),120551.9)</f>
        <v>120551.9</v>
      </c>
      <c r="H926" s="434">
        <f>IFERROR(__xludf.DUMMYFUNCTION("""COMPUTED_VALUE"""),45850.99861111111)</f>
        <v>45850.99861</v>
      </c>
      <c r="I926" s="433">
        <f>IFERROR(__xludf.DUMMYFUNCTION("""COMPUTED_VALUE"""),2958.0417)</f>
        <v>2958.0417</v>
      </c>
    </row>
    <row r="927">
      <c r="A927" s="434">
        <f>IFERROR(__xludf.DUMMYFUNCTION("""COMPUTED_VALUE"""),43563.99861111111)</f>
        <v>43563.99861</v>
      </c>
      <c r="B927" s="433">
        <f>IFERROR(__xludf.DUMMYFUNCTION("""COMPUTED_VALUE"""),5289.03)</f>
        <v>5289.03</v>
      </c>
      <c r="C927" s="434">
        <f>IFERROR(__xludf.DUMMYFUNCTION("""COMPUTED_VALUE"""),43148.99861111111)</f>
        <v>43148.99861</v>
      </c>
      <c r="D927" s="433">
        <f>IFERROR(__xludf.DUMMYFUNCTION("""COMPUTED_VALUE"""),944.7482)</f>
        <v>944.7482</v>
      </c>
      <c r="F927" s="434">
        <f>IFERROR(__xludf.DUMMYFUNCTION("""COMPUTED_VALUE"""),45853.99861111111)</f>
        <v>45853.99861</v>
      </c>
      <c r="G927" s="433">
        <f>IFERROR(__xludf.DUMMYFUNCTION("""COMPUTED_VALUE"""),117226.1)</f>
        <v>117226.1</v>
      </c>
      <c r="H927" s="434">
        <f>IFERROR(__xludf.DUMMYFUNCTION("""COMPUTED_VALUE"""),45851.99861111111)</f>
        <v>45851.99861</v>
      </c>
      <c r="I927" s="433">
        <f>IFERROR(__xludf.DUMMYFUNCTION("""COMPUTED_VALUE"""),2943.3603)</f>
        <v>2943.3603</v>
      </c>
    </row>
    <row r="928">
      <c r="A928" s="434">
        <f>IFERROR(__xludf.DUMMYFUNCTION("""COMPUTED_VALUE"""),43564.99861111111)</f>
        <v>43564.99861</v>
      </c>
      <c r="B928" s="433">
        <f>IFERROR(__xludf.DUMMYFUNCTION("""COMPUTED_VALUE"""),5199.502)</f>
        <v>5199.502</v>
      </c>
      <c r="C928" s="434">
        <f>IFERROR(__xludf.DUMMYFUNCTION("""COMPUTED_VALUE"""),43149.99861111111)</f>
        <v>43149.99861</v>
      </c>
      <c r="D928" s="433">
        <f>IFERROR(__xludf.DUMMYFUNCTION("""COMPUTED_VALUE"""),973.3489)</f>
        <v>973.3489</v>
      </c>
      <c r="F928" s="434">
        <f>IFERROR(__xludf.DUMMYFUNCTION("""COMPUTED_VALUE"""),45854.99861111111)</f>
        <v>45854.99861</v>
      </c>
      <c r="G928" s="433">
        <f>IFERROR(__xludf.DUMMYFUNCTION("""COMPUTED_VALUE"""),117489.6)</f>
        <v>117489.6</v>
      </c>
      <c r="H928" s="434">
        <f>IFERROR(__xludf.DUMMYFUNCTION("""COMPUTED_VALUE"""),45852.99861111111)</f>
        <v>45852.99861</v>
      </c>
      <c r="I928" s="433">
        <f>IFERROR(__xludf.DUMMYFUNCTION("""COMPUTED_VALUE"""),2973.0976)</f>
        <v>2973.0976</v>
      </c>
    </row>
    <row r="929">
      <c r="A929" s="434">
        <f>IFERROR(__xludf.DUMMYFUNCTION("""COMPUTED_VALUE"""),43565.99861111111)</f>
        <v>43565.99861</v>
      </c>
      <c r="B929" s="433">
        <f>IFERROR(__xludf.DUMMYFUNCTION("""COMPUTED_VALUE"""),5312.551)</f>
        <v>5312.551</v>
      </c>
      <c r="C929" s="434">
        <f>IFERROR(__xludf.DUMMYFUNCTION("""COMPUTED_VALUE"""),43150.99861111111)</f>
        <v>43150.99861</v>
      </c>
      <c r="D929" s="433">
        <f>IFERROR(__xludf.DUMMYFUNCTION("""COMPUTED_VALUE"""),921.6677)</f>
        <v>921.6677</v>
      </c>
      <c r="F929" s="434">
        <f>IFERROR(__xludf.DUMMYFUNCTION("""COMPUTED_VALUE"""),45855.99861111111)</f>
        <v>45855.99861</v>
      </c>
      <c r="G929" s="433">
        <f>IFERROR(__xludf.DUMMYFUNCTION("""COMPUTED_VALUE"""),118070.4)</f>
        <v>118070.4</v>
      </c>
      <c r="H929" s="434">
        <f>IFERROR(__xludf.DUMMYFUNCTION("""COMPUTED_VALUE"""),45853.99861111111)</f>
        <v>45853.99861</v>
      </c>
      <c r="I929" s="433">
        <f>IFERROR(__xludf.DUMMYFUNCTION("""COMPUTED_VALUE"""),3014.076)</f>
        <v>3014.076</v>
      </c>
    </row>
    <row r="930">
      <c r="A930" s="434">
        <f>IFERROR(__xludf.DUMMYFUNCTION("""COMPUTED_VALUE"""),43566.99861111111)</f>
        <v>43566.99861</v>
      </c>
      <c r="B930" s="433">
        <f>IFERROR(__xludf.DUMMYFUNCTION("""COMPUTED_VALUE"""),5039.996)</f>
        <v>5039.996</v>
      </c>
      <c r="C930" s="434">
        <f>IFERROR(__xludf.DUMMYFUNCTION("""COMPUTED_VALUE"""),43151.99861111111)</f>
        <v>43151.99861</v>
      </c>
      <c r="D930" s="433">
        <f>IFERROR(__xludf.DUMMYFUNCTION("""COMPUTED_VALUE"""),943.5671)</f>
        <v>943.5671</v>
      </c>
      <c r="F930" s="434">
        <f>IFERROR(__xludf.DUMMYFUNCTION("""COMPUTED_VALUE"""),45856.99861111111)</f>
        <v>45856.99861</v>
      </c>
      <c r="G930" s="433">
        <f>IFERROR(__xludf.DUMMYFUNCTION("""COMPUTED_VALUE"""),120280.7)</f>
        <v>120280.7</v>
      </c>
      <c r="H930" s="434">
        <f>IFERROR(__xludf.DUMMYFUNCTION("""COMPUTED_VALUE"""),45854.99861111111)</f>
        <v>45854.99861</v>
      </c>
      <c r="I930" s="433">
        <f>IFERROR(__xludf.DUMMYFUNCTION("""COMPUTED_VALUE"""),3139.9861)</f>
        <v>3139.9861</v>
      </c>
    </row>
    <row r="931">
      <c r="A931" s="434">
        <f>IFERROR(__xludf.DUMMYFUNCTION("""COMPUTED_VALUE"""),43567.99861111111)</f>
        <v>43567.99861</v>
      </c>
      <c r="B931" s="433">
        <f>IFERROR(__xludf.DUMMYFUNCTION("""COMPUTED_VALUE"""),5087.412)</f>
        <v>5087.412</v>
      </c>
      <c r="C931" s="434">
        <f>IFERROR(__xludf.DUMMYFUNCTION("""COMPUTED_VALUE"""),43152.99861111111)</f>
        <v>43152.99861</v>
      </c>
      <c r="D931" s="433">
        <f>IFERROR(__xludf.DUMMYFUNCTION("""COMPUTED_VALUE"""),894.1351)</f>
        <v>894.1351</v>
      </c>
      <c r="F931" s="434">
        <f>IFERROR(__xludf.DUMMYFUNCTION("""COMPUTED_VALUE"""),45857.99861111111)</f>
        <v>45857.99861</v>
      </c>
      <c r="G931" s="433">
        <f>IFERROR(__xludf.DUMMYFUNCTION("""COMPUTED_VALUE"""),118353.3)</f>
        <v>118353.3</v>
      </c>
      <c r="H931" s="434">
        <f>IFERROR(__xludf.DUMMYFUNCTION("""COMPUTED_VALUE"""),45855.99861111111)</f>
        <v>45855.99861</v>
      </c>
      <c r="I931" s="433">
        <f>IFERROR(__xludf.DUMMYFUNCTION("""COMPUTED_VALUE"""),3372.7927)</f>
        <v>3372.7927</v>
      </c>
    </row>
    <row r="932">
      <c r="A932" s="434">
        <f>IFERROR(__xludf.DUMMYFUNCTION("""COMPUTED_VALUE"""),43568.99861111111)</f>
        <v>43568.99861</v>
      </c>
      <c r="B932" s="433">
        <f>IFERROR(__xludf.DUMMYFUNCTION("""COMPUTED_VALUE"""),5067.361)</f>
        <v>5067.361</v>
      </c>
      <c r="C932" s="434">
        <f>IFERROR(__xludf.DUMMYFUNCTION("""COMPUTED_VALUE"""),43153.99861111111)</f>
        <v>43153.99861</v>
      </c>
      <c r="D932" s="433">
        <f>IFERROR(__xludf.DUMMYFUNCTION("""COMPUTED_VALUE"""),849.2624)</f>
        <v>849.2624</v>
      </c>
      <c r="F932" s="434">
        <f>IFERROR(__xludf.DUMMYFUNCTION("""COMPUTED_VALUE"""),45858.99861111111)</f>
        <v>45858.99861</v>
      </c>
      <c r="G932" s="433">
        <f>IFERROR(__xludf.DUMMYFUNCTION("""COMPUTED_VALUE"""),117985.7)</f>
        <v>117985.7</v>
      </c>
      <c r="H932" s="434">
        <f>IFERROR(__xludf.DUMMYFUNCTION("""COMPUTED_VALUE"""),45856.99861111111)</f>
        <v>45856.99861</v>
      </c>
      <c r="I932" s="433">
        <f>IFERROR(__xludf.DUMMYFUNCTION("""COMPUTED_VALUE"""),3477.2607)</f>
        <v>3477.2607</v>
      </c>
    </row>
    <row r="933">
      <c r="A933" s="434">
        <f>IFERROR(__xludf.DUMMYFUNCTION("""COMPUTED_VALUE"""),43569.99861111111)</f>
        <v>43569.99861</v>
      </c>
      <c r="B933" s="433">
        <f>IFERROR(__xludf.DUMMYFUNCTION("""COMPUTED_VALUE"""),5173.506)</f>
        <v>5173.506</v>
      </c>
      <c r="C933" s="434">
        <f>IFERROR(__xludf.DUMMYFUNCTION("""COMPUTED_VALUE"""),43154.99861111111)</f>
        <v>43154.99861</v>
      </c>
      <c r="D933" s="433">
        <f>IFERROR(__xludf.DUMMYFUNCTION("""COMPUTED_VALUE"""),811.5845)</f>
        <v>811.5845</v>
      </c>
      <c r="F933" s="434">
        <f>IFERROR(__xludf.DUMMYFUNCTION("""COMPUTED_VALUE"""),45859.99861111111)</f>
        <v>45859.99861</v>
      </c>
      <c r="G933" s="433">
        <f>IFERROR(__xludf.DUMMYFUNCTION("""COMPUTED_VALUE"""),118429.2)</f>
        <v>118429.2</v>
      </c>
      <c r="H933" s="434">
        <f>IFERROR(__xludf.DUMMYFUNCTION("""COMPUTED_VALUE"""),45857.99861111111)</f>
        <v>45857.99861</v>
      </c>
      <c r="I933" s="433">
        <f>IFERROR(__xludf.DUMMYFUNCTION("""COMPUTED_VALUE"""),3547.9487)</f>
        <v>3547.9487</v>
      </c>
    </row>
    <row r="934">
      <c r="A934" s="434">
        <f>IFERROR(__xludf.DUMMYFUNCTION("""COMPUTED_VALUE"""),43570.99861111111)</f>
        <v>43570.99861</v>
      </c>
      <c r="B934" s="433">
        <f>IFERROR(__xludf.DUMMYFUNCTION("""COMPUTED_VALUE"""),5037.448)</f>
        <v>5037.448</v>
      </c>
      <c r="C934" s="434">
        <f>IFERROR(__xludf.DUMMYFUNCTION("""COMPUTED_VALUE"""),43155.99861111111)</f>
        <v>43155.99861</v>
      </c>
      <c r="D934" s="433">
        <f>IFERROR(__xludf.DUMMYFUNCTION("""COMPUTED_VALUE"""),861.593)</f>
        <v>861.593</v>
      </c>
      <c r="F934" s="434">
        <f>IFERROR(__xludf.DUMMYFUNCTION("""COMPUTED_VALUE"""),45860.99861111111)</f>
        <v>45860.99861</v>
      </c>
      <c r="G934" s="433">
        <f>IFERROR(__xludf.DUMMYFUNCTION("""COMPUTED_VALUE"""),117213.8)</f>
        <v>117213.8</v>
      </c>
      <c r="H934" s="434">
        <f>IFERROR(__xludf.DUMMYFUNCTION("""COMPUTED_VALUE"""),45858.99861111111)</f>
        <v>45858.99861</v>
      </c>
      <c r="I934" s="433">
        <f>IFERROR(__xludf.DUMMYFUNCTION("""COMPUTED_VALUE"""),3594.5704)</f>
        <v>3594.5704</v>
      </c>
    </row>
    <row r="935">
      <c r="A935" s="434">
        <f>IFERROR(__xludf.DUMMYFUNCTION("""COMPUTED_VALUE"""),43571.99861111111)</f>
        <v>43571.99861</v>
      </c>
      <c r="B935" s="433">
        <f>IFERROR(__xludf.DUMMYFUNCTION("""COMPUTED_VALUE"""),5202.311)</f>
        <v>5202.311</v>
      </c>
      <c r="C935" s="434">
        <f>IFERROR(__xludf.DUMMYFUNCTION("""COMPUTED_VALUE"""),43156.99861111111)</f>
        <v>43156.99861</v>
      </c>
      <c r="D935" s="433">
        <f>IFERROR(__xludf.DUMMYFUNCTION("""COMPUTED_VALUE"""),839.4593)</f>
        <v>839.4593</v>
      </c>
      <c r="F935" s="434">
        <f>IFERROR(__xludf.DUMMYFUNCTION("""COMPUTED_VALUE"""),45861.99861111111)</f>
        <v>45861.99861</v>
      </c>
      <c r="G935" s="433">
        <f>IFERROR(__xludf.DUMMYFUNCTION("""COMPUTED_VALUE"""),118637.6)</f>
        <v>118637.6</v>
      </c>
      <c r="H935" s="434">
        <f>IFERROR(__xludf.DUMMYFUNCTION("""COMPUTED_VALUE"""),45859.99861111111)</f>
        <v>45859.99861</v>
      </c>
      <c r="I935" s="433">
        <f>IFERROR(__xludf.DUMMYFUNCTION("""COMPUTED_VALUE"""),3759.5285)</f>
        <v>3759.5285</v>
      </c>
    </row>
    <row r="936">
      <c r="A936" s="434">
        <f>IFERROR(__xludf.DUMMYFUNCTION("""COMPUTED_VALUE"""),43572.99861111111)</f>
        <v>43572.99861</v>
      </c>
      <c r="B936" s="433">
        <f>IFERROR(__xludf.DUMMYFUNCTION("""COMPUTED_VALUE"""),5237.68)</f>
        <v>5237.68</v>
      </c>
      <c r="C936" s="434">
        <f>IFERROR(__xludf.DUMMYFUNCTION("""COMPUTED_VALUE"""),43157.99861111111)</f>
        <v>43157.99861</v>
      </c>
      <c r="D936" s="433">
        <f>IFERROR(__xludf.DUMMYFUNCTION("""COMPUTED_VALUE"""),845.2784)</f>
        <v>845.2784</v>
      </c>
      <c r="F936" s="434">
        <f>IFERROR(__xludf.DUMMYFUNCTION("""COMPUTED_VALUE"""),45862.99861111111)</f>
        <v>45862.99861</v>
      </c>
      <c r="G936" s="433">
        <f>IFERROR(__xludf.DUMMYFUNCTION("""COMPUTED_VALUE"""),118580.6)</f>
        <v>118580.6</v>
      </c>
      <c r="H936" s="434">
        <f>IFERROR(__xludf.DUMMYFUNCTION("""COMPUTED_VALUE"""),45860.99861111111)</f>
        <v>45860.99861</v>
      </c>
      <c r="I936" s="433">
        <f>IFERROR(__xludf.DUMMYFUNCTION("""COMPUTED_VALUE"""),3763.3644)</f>
        <v>3763.3644</v>
      </c>
    </row>
    <row r="937">
      <c r="A937" s="434">
        <f>IFERROR(__xludf.DUMMYFUNCTION("""COMPUTED_VALUE"""),43573.99861111111)</f>
        <v>43573.99861</v>
      </c>
      <c r="B937" s="433">
        <f>IFERROR(__xludf.DUMMYFUNCTION("""COMPUTED_VALUE"""),5288.075)</f>
        <v>5288.075</v>
      </c>
      <c r="C937" s="434">
        <f>IFERROR(__xludf.DUMMYFUNCTION("""COMPUTED_VALUE"""),43158.99861111111)</f>
        <v>43158.99861</v>
      </c>
      <c r="D937" s="433">
        <f>IFERROR(__xludf.DUMMYFUNCTION("""COMPUTED_VALUE"""),870.3654)</f>
        <v>870.3654</v>
      </c>
      <c r="F937" s="434">
        <f>IFERROR(__xludf.DUMMYFUNCTION("""COMPUTED_VALUE"""),45863.99861111111)</f>
        <v>45863.99861</v>
      </c>
      <c r="G937" s="433">
        <f>IFERROR(__xludf.DUMMYFUNCTION("""COMPUTED_VALUE"""),115420.2)</f>
        <v>115420.2</v>
      </c>
      <c r="H937" s="434">
        <f>IFERROR(__xludf.DUMMYFUNCTION("""COMPUTED_VALUE"""),45861.99861111111)</f>
        <v>45861.99861</v>
      </c>
      <c r="I937" s="433">
        <f>IFERROR(__xludf.DUMMYFUNCTION("""COMPUTED_VALUE"""),3748.7085)</f>
        <v>3748.7085</v>
      </c>
    </row>
    <row r="938">
      <c r="A938" s="434">
        <f>IFERROR(__xludf.DUMMYFUNCTION("""COMPUTED_VALUE"""),43574.99861111111)</f>
        <v>43574.99861</v>
      </c>
      <c r="B938" s="433">
        <f>IFERROR(__xludf.DUMMYFUNCTION("""COMPUTED_VALUE"""),5299.659)</f>
        <v>5299.659</v>
      </c>
      <c r="C938" s="434">
        <f>IFERROR(__xludf.DUMMYFUNCTION("""COMPUTED_VALUE"""),43159.99861111111)</f>
        <v>43159.99861</v>
      </c>
      <c r="D938" s="433">
        <f>IFERROR(__xludf.DUMMYFUNCTION("""COMPUTED_VALUE"""),877.9338)</f>
        <v>877.9338</v>
      </c>
      <c r="F938" s="434">
        <f>IFERROR(__xludf.DUMMYFUNCTION("""COMPUTED_VALUE"""),45864.99861111111)</f>
        <v>45864.99861</v>
      </c>
      <c r="G938" s="433">
        <f>IFERROR(__xludf.DUMMYFUNCTION("""COMPUTED_VALUE"""),117570.6)</f>
        <v>117570.6</v>
      </c>
      <c r="H938" s="434">
        <f>IFERROR(__xludf.DUMMYFUNCTION("""COMPUTED_VALUE"""),45862.99861111111)</f>
        <v>45862.99861</v>
      </c>
      <c r="I938" s="433">
        <f>IFERROR(__xludf.DUMMYFUNCTION("""COMPUTED_VALUE"""),3629.3296)</f>
        <v>3629.3296</v>
      </c>
    </row>
    <row r="939">
      <c r="A939" s="434">
        <f>IFERROR(__xludf.DUMMYFUNCTION("""COMPUTED_VALUE"""),43575.99861111111)</f>
        <v>43575.99861</v>
      </c>
      <c r="B939" s="433">
        <f>IFERROR(__xludf.DUMMYFUNCTION("""COMPUTED_VALUE"""),5327.135)</f>
        <v>5327.135</v>
      </c>
      <c r="C939" s="434">
        <f>IFERROR(__xludf.DUMMYFUNCTION("""COMPUTED_VALUE"""),43160.99861111111)</f>
        <v>43160.99861</v>
      </c>
      <c r="D939" s="433">
        <f>IFERROR(__xludf.DUMMYFUNCTION("""COMPUTED_VALUE"""),856.0125)</f>
        <v>856.0125</v>
      </c>
      <c r="F939" s="434">
        <f>IFERROR(__xludf.DUMMYFUNCTION("""COMPUTED_VALUE"""),45865.99861111111)</f>
        <v>45865.99861</v>
      </c>
      <c r="G939" s="433">
        <f>IFERROR(__xludf.DUMMYFUNCTION("""COMPUTED_VALUE"""),118208.3)</f>
        <v>118208.3</v>
      </c>
      <c r="H939" s="434">
        <f>IFERROR(__xludf.DUMMYFUNCTION("""COMPUTED_VALUE"""),45863.99861111111)</f>
        <v>45863.99861</v>
      </c>
      <c r="I939" s="433">
        <f>IFERROR(__xludf.DUMMYFUNCTION("""COMPUTED_VALUE"""),3707.1296)</f>
        <v>3707.1296</v>
      </c>
    </row>
    <row r="940">
      <c r="A940" s="434">
        <f>IFERROR(__xludf.DUMMYFUNCTION("""COMPUTED_VALUE"""),43576.99861111111)</f>
        <v>43576.99861</v>
      </c>
      <c r="B940" s="433">
        <f>IFERROR(__xludf.DUMMYFUNCTION("""COMPUTED_VALUE"""),5306.332)</f>
        <v>5306.332</v>
      </c>
      <c r="C940" s="434">
        <f>IFERROR(__xludf.DUMMYFUNCTION("""COMPUTED_VALUE"""),43161.99861111111)</f>
        <v>43161.99861</v>
      </c>
      <c r="D940" s="433">
        <f>IFERROR(__xludf.DUMMYFUNCTION("""COMPUTED_VALUE"""),871.7639)</f>
        <v>871.7639</v>
      </c>
      <c r="F940" s="434">
        <f>IFERROR(__xludf.DUMMYFUNCTION("""COMPUTED_VALUE"""),45866.99861111111)</f>
        <v>45866.99861</v>
      </c>
      <c r="G940" s="433">
        <f>IFERROR(__xludf.DUMMYFUNCTION("""COMPUTED_VALUE"""),119283.7)</f>
        <v>119283.7</v>
      </c>
      <c r="H940" s="434">
        <f>IFERROR(__xludf.DUMMYFUNCTION("""COMPUTED_VALUE"""),45864.99861111111)</f>
        <v>45864.99861</v>
      </c>
      <c r="I940" s="433">
        <f>IFERROR(__xludf.DUMMYFUNCTION("""COMPUTED_VALUE"""),3726.0089)</f>
        <v>3726.0089</v>
      </c>
    </row>
    <row r="941">
      <c r="A941" s="434">
        <f>IFERROR(__xludf.DUMMYFUNCTION("""COMPUTED_VALUE"""),43577.99861111111)</f>
        <v>43577.99861</v>
      </c>
      <c r="B941" s="433">
        <f>IFERROR(__xludf.DUMMYFUNCTION("""COMPUTED_VALUE"""),5396.643)</f>
        <v>5396.643</v>
      </c>
      <c r="C941" s="434">
        <f>IFERROR(__xludf.DUMMYFUNCTION("""COMPUTED_VALUE"""),43162.99861111111)</f>
        <v>43162.99861</v>
      </c>
      <c r="D941" s="433">
        <f>IFERROR(__xludf.DUMMYFUNCTION("""COMPUTED_VALUE"""),856.7106)</f>
        <v>856.7106</v>
      </c>
      <c r="F941" s="434">
        <f>IFERROR(__xludf.DUMMYFUNCTION("""COMPUTED_VALUE"""),45867.99861111111)</f>
        <v>45867.99861</v>
      </c>
      <c r="G941" s="433">
        <f>IFERROR(__xludf.DUMMYFUNCTION("""COMPUTED_VALUE"""),118757.1)</f>
        <v>118757.1</v>
      </c>
      <c r="H941" s="434">
        <f>IFERROR(__xludf.DUMMYFUNCTION("""COMPUTED_VALUE"""),45865.99861111111)</f>
        <v>45865.99861</v>
      </c>
      <c r="I941" s="433">
        <f>IFERROR(__xludf.DUMMYFUNCTION("""COMPUTED_VALUE"""),3742.1645)</f>
        <v>3742.1645</v>
      </c>
    </row>
    <row r="942">
      <c r="A942" s="434">
        <f>IFERROR(__xludf.DUMMYFUNCTION("""COMPUTED_VALUE"""),43578.99861111111)</f>
        <v>43578.99861</v>
      </c>
      <c r="B942" s="433">
        <f>IFERROR(__xludf.DUMMYFUNCTION("""COMPUTED_VALUE"""),5526.234)</f>
        <v>5526.234</v>
      </c>
      <c r="C942" s="434">
        <f>IFERROR(__xludf.DUMMYFUNCTION("""COMPUTED_VALUE"""),43163.99861111111)</f>
        <v>43163.99861</v>
      </c>
      <c r="D942" s="433">
        <f>IFERROR(__xludf.DUMMYFUNCTION("""COMPUTED_VALUE"""),856.1855)</f>
        <v>856.1855</v>
      </c>
      <c r="F942" s="434">
        <f>IFERROR(__xludf.DUMMYFUNCTION("""COMPUTED_VALUE"""),45868.99861111111)</f>
        <v>45868.99861</v>
      </c>
      <c r="G942" s="433">
        <f>IFERROR(__xludf.DUMMYFUNCTION("""COMPUTED_VALUE"""),118176.2)</f>
        <v>118176.2</v>
      </c>
      <c r="H942" s="434">
        <f>IFERROR(__xludf.DUMMYFUNCTION("""COMPUTED_VALUE"""),45866.99861111111)</f>
        <v>45866.99861</v>
      </c>
      <c r="I942" s="433">
        <f>IFERROR(__xludf.DUMMYFUNCTION("""COMPUTED_VALUE"""),3874.6976)</f>
        <v>3874.6976</v>
      </c>
    </row>
    <row r="943">
      <c r="A943" s="434">
        <f>IFERROR(__xludf.DUMMYFUNCTION("""COMPUTED_VALUE"""),43579.99861111111)</f>
        <v>43579.99861</v>
      </c>
      <c r="B943" s="433">
        <f>IFERROR(__xludf.DUMMYFUNCTION("""COMPUTED_VALUE"""),5436.695)</f>
        <v>5436.695</v>
      </c>
      <c r="C943" s="434">
        <f>IFERROR(__xludf.DUMMYFUNCTION("""COMPUTED_VALUE"""),43164.99861111111)</f>
        <v>43164.99861</v>
      </c>
      <c r="D943" s="433">
        <f>IFERROR(__xludf.DUMMYFUNCTION("""COMPUTED_VALUE"""),866.8456)</f>
        <v>866.8456</v>
      </c>
      <c r="F943" s="434">
        <f>IFERROR(__xludf.DUMMYFUNCTION("""COMPUTED_VALUE"""),45869.99861111111)</f>
        <v>45869.99861</v>
      </c>
      <c r="G943" s="433">
        <f>IFERROR(__xludf.DUMMYFUNCTION("""COMPUTED_VALUE"""),118454.4)</f>
        <v>118454.4</v>
      </c>
      <c r="H943" s="434">
        <f>IFERROR(__xludf.DUMMYFUNCTION("""COMPUTED_VALUE"""),45867.99861111111)</f>
        <v>45867.99861</v>
      </c>
      <c r="I943" s="433">
        <f>IFERROR(__xludf.DUMMYFUNCTION("""COMPUTED_VALUE"""),3795.9018)</f>
        <v>3795.9018</v>
      </c>
    </row>
    <row r="944">
      <c r="A944" s="434">
        <f>IFERROR(__xludf.DUMMYFUNCTION("""COMPUTED_VALUE"""),43580.99861111111)</f>
        <v>43580.99861</v>
      </c>
      <c r="B944" s="433">
        <f>IFERROR(__xludf.DUMMYFUNCTION("""COMPUTED_VALUE"""),5157.866)</f>
        <v>5157.866</v>
      </c>
      <c r="C944" s="434">
        <f>IFERROR(__xludf.DUMMYFUNCTION("""COMPUTED_VALUE"""),43165.99861111111)</f>
        <v>43165.99861</v>
      </c>
      <c r="D944" s="433">
        <f>IFERROR(__xludf.DUMMYFUNCTION("""COMPUTED_VALUE"""),853.8171)</f>
        <v>853.8171</v>
      </c>
      <c r="F944" s="434">
        <f>IFERROR(__xludf.DUMMYFUNCTION("""COMPUTED_VALUE"""),45870.99861111111)</f>
        <v>45870.99861</v>
      </c>
      <c r="G944" s="433">
        <f>IFERROR(__xludf.DUMMYFUNCTION("""COMPUTED_VALUE"""),115672.4)</f>
        <v>115672.4</v>
      </c>
      <c r="H944" s="434">
        <f>IFERROR(__xludf.DUMMYFUNCTION("""COMPUTED_VALUE"""),45868.99861111111)</f>
        <v>45868.99861</v>
      </c>
      <c r="I944" s="433">
        <f>IFERROR(__xludf.DUMMYFUNCTION("""COMPUTED_VALUE"""),3793.1021)</f>
        <v>3793.1021</v>
      </c>
    </row>
    <row r="945">
      <c r="A945" s="434">
        <f>IFERROR(__xludf.DUMMYFUNCTION("""COMPUTED_VALUE"""),43581.99861111111)</f>
        <v>43581.99861</v>
      </c>
      <c r="B945" s="433">
        <f>IFERROR(__xludf.DUMMYFUNCTION("""COMPUTED_VALUE"""),5205.166)</f>
        <v>5205.166</v>
      </c>
      <c r="C945" s="434">
        <f>IFERROR(__xludf.DUMMYFUNCTION("""COMPUTED_VALUE"""),43166.99861111111)</f>
        <v>43166.99861</v>
      </c>
      <c r="D945" s="433">
        <f>IFERROR(__xludf.DUMMYFUNCTION("""COMPUTED_VALUE"""),816.2712)</f>
        <v>816.2712</v>
      </c>
      <c r="F945" s="434">
        <f>IFERROR(__xludf.DUMMYFUNCTION("""COMPUTED_VALUE"""),45871.99861111111)</f>
        <v>45871.99861</v>
      </c>
      <c r="G945" s="433">
        <f>IFERROR(__xludf.DUMMYFUNCTION("""COMPUTED_VALUE"""),113941.1)</f>
        <v>113941.1</v>
      </c>
      <c r="H945" s="434">
        <f>IFERROR(__xludf.DUMMYFUNCTION("""COMPUTED_VALUE"""),45869.99861111111)</f>
        <v>45869.99861</v>
      </c>
      <c r="I945" s="433">
        <f>IFERROR(__xludf.DUMMYFUNCTION("""COMPUTED_VALUE"""),3808.8875)</f>
        <v>3808.8875</v>
      </c>
    </row>
    <row r="946">
      <c r="A946" s="434">
        <f>IFERROR(__xludf.DUMMYFUNCTION("""COMPUTED_VALUE"""),43582.99861111111)</f>
        <v>43582.99861</v>
      </c>
      <c r="B946" s="433">
        <f>IFERROR(__xludf.DUMMYFUNCTION("""COMPUTED_VALUE"""),5183.623)</f>
        <v>5183.623</v>
      </c>
      <c r="C946" s="434">
        <f>IFERROR(__xludf.DUMMYFUNCTION("""COMPUTED_VALUE"""),43167.99861111111)</f>
        <v>43167.99861</v>
      </c>
      <c r="D946" s="433">
        <f>IFERROR(__xludf.DUMMYFUNCTION("""COMPUTED_VALUE"""),752.5704)</f>
        <v>752.5704</v>
      </c>
      <c r="F946" s="434">
        <f>IFERROR(__xludf.DUMMYFUNCTION("""COMPUTED_VALUE"""),45872.99861111111)</f>
        <v>45872.99861</v>
      </c>
      <c r="G946" s="433">
        <f>IFERROR(__xludf.DUMMYFUNCTION("""COMPUTED_VALUE"""),113730.6)</f>
        <v>113730.6</v>
      </c>
      <c r="H946" s="434">
        <f>IFERROR(__xludf.DUMMYFUNCTION("""COMPUTED_VALUE"""),45870.99861111111)</f>
        <v>45870.99861</v>
      </c>
      <c r="I946" s="433">
        <f>IFERROR(__xludf.DUMMYFUNCTION("""COMPUTED_VALUE"""),3697.7407)</f>
        <v>3697.7407</v>
      </c>
    </row>
    <row r="947">
      <c r="A947" s="434">
        <f>IFERROR(__xludf.DUMMYFUNCTION("""COMPUTED_VALUE"""),43583.99861111111)</f>
        <v>43583.99861</v>
      </c>
      <c r="B947" s="433">
        <f>IFERROR(__xludf.DUMMYFUNCTION("""COMPUTED_VALUE"""),5180.474)</f>
        <v>5180.474</v>
      </c>
      <c r="C947" s="434">
        <f>IFERROR(__xludf.DUMMYFUNCTION("""COMPUTED_VALUE"""),43168.99861111111)</f>
        <v>43168.99861</v>
      </c>
      <c r="D947" s="433">
        <f>IFERROR(__xludf.DUMMYFUNCTION("""COMPUTED_VALUE"""),702.1974)</f>
        <v>702.1974</v>
      </c>
      <c r="F947" s="434">
        <f>IFERROR(__xludf.DUMMYFUNCTION("""COMPUTED_VALUE"""),45873.99861111111)</f>
        <v>45873.99861</v>
      </c>
      <c r="G947" s="433">
        <f>IFERROR(__xludf.DUMMYFUNCTION("""COMPUTED_VALUE"""),114696.1)</f>
        <v>114696.1</v>
      </c>
      <c r="H947" s="434">
        <f>IFERROR(__xludf.DUMMYFUNCTION("""COMPUTED_VALUE"""),45871.99861111111)</f>
        <v>45871.99861</v>
      </c>
      <c r="I947" s="433">
        <f>IFERROR(__xludf.DUMMYFUNCTION("""COMPUTED_VALUE"""),3486.9697)</f>
        <v>3486.9697</v>
      </c>
    </row>
    <row r="948">
      <c r="A948" s="434">
        <f>IFERROR(__xludf.DUMMYFUNCTION("""COMPUTED_VALUE"""),43584.99861111111)</f>
        <v>43584.99861</v>
      </c>
      <c r="B948" s="433">
        <f>IFERROR(__xludf.DUMMYFUNCTION("""COMPUTED_VALUE"""),5167.4)</f>
        <v>5167.4</v>
      </c>
      <c r="C948" s="434">
        <f>IFERROR(__xludf.DUMMYFUNCTION("""COMPUTED_VALUE"""),43169.99861111111)</f>
        <v>43169.99861</v>
      </c>
      <c r="D948" s="433">
        <f>IFERROR(__xludf.DUMMYFUNCTION("""COMPUTED_VALUE"""),730.1597)</f>
        <v>730.1597</v>
      </c>
      <c r="F948" s="434">
        <f>IFERROR(__xludf.DUMMYFUNCTION("""COMPUTED_VALUE"""),45874.99861111111)</f>
        <v>45874.99861</v>
      </c>
      <c r="G948" s="433">
        <f>IFERROR(__xludf.DUMMYFUNCTION("""COMPUTED_VALUE"""),114348.2)</f>
        <v>114348.2</v>
      </c>
      <c r="H948" s="434">
        <f>IFERROR(__xludf.DUMMYFUNCTION("""COMPUTED_VALUE"""),45872.99861111111)</f>
        <v>45872.99861</v>
      </c>
      <c r="I948" s="433">
        <f>IFERROR(__xludf.DUMMYFUNCTION("""COMPUTED_VALUE"""),3392.9631)</f>
        <v>3392.9631</v>
      </c>
    </row>
    <row r="949">
      <c r="A949" s="434">
        <f>IFERROR(__xludf.DUMMYFUNCTION("""COMPUTED_VALUE"""),43585.99861111111)</f>
        <v>43585.99861</v>
      </c>
      <c r="B949" s="433">
        <f>IFERROR(__xludf.DUMMYFUNCTION("""COMPUTED_VALUE"""),5286.545)</f>
        <v>5286.545</v>
      </c>
      <c r="C949" s="434">
        <f>IFERROR(__xludf.DUMMYFUNCTION("""COMPUTED_VALUE"""),43170.99861111111)</f>
        <v>43170.99861</v>
      </c>
      <c r="D949" s="433">
        <f>IFERROR(__xludf.DUMMYFUNCTION("""COMPUTED_VALUE"""),685.3121)</f>
        <v>685.3121</v>
      </c>
      <c r="F949" s="434">
        <f>IFERROR(__xludf.DUMMYFUNCTION("""COMPUTED_VALUE"""),45875.99861111111)</f>
        <v>45875.99861</v>
      </c>
      <c r="G949" s="433">
        <f>IFERROR(__xludf.DUMMYFUNCTION("""COMPUTED_VALUE"""),113574.9)</f>
        <v>113574.9</v>
      </c>
      <c r="H949" s="434">
        <f>IFERROR(__xludf.DUMMYFUNCTION("""COMPUTED_VALUE"""),45873.99861111111)</f>
        <v>45873.99861</v>
      </c>
      <c r="I949" s="433">
        <f>IFERROR(__xludf.DUMMYFUNCTION("""COMPUTED_VALUE"""),3497.2822)</f>
        <v>3497.2822</v>
      </c>
    </row>
    <row r="950">
      <c r="A950" s="434">
        <f>IFERROR(__xludf.DUMMYFUNCTION("""COMPUTED_VALUE"""),43586.99861111111)</f>
        <v>43586.99861</v>
      </c>
      <c r="B950" s="433">
        <f>IFERROR(__xludf.DUMMYFUNCTION("""COMPUTED_VALUE"""),5352.741)</f>
        <v>5352.741</v>
      </c>
      <c r="C950" s="434">
        <f>IFERROR(__xludf.DUMMYFUNCTION("""COMPUTED_VALUE"""),43171.99861111111)</f>
        <v>43171.99861</v>
      </c>
      <c r="D950" s="433">
        <f>IFERROR(__xludf.DUMMYFUNCTION("""COMPUTED_VALUE"""),724.4057)</f>
        <v>724.4057</v>
      </c>
      <c r="F950" s="434">
        <f>IFERROR(__xludf.DUMMYFUNCTION("""COMPUTED_VALUE"""),45876.99861111111)</f>
        <v>45876.99861</v>
      </c>
      <c r="G950" s="433">
        <f>IFERROR(__xludf.DUMMYFUNCTION("""COMPUTED_VALUE"""),114485.2)</f>
        <v>114485.2</v>
      </c>
      <c r="H950" s="434">
        <f>IFERROR(__xludf.DUMMYFUNCTION("""COMPUTED_VALUE"""),45874.99861111111)</f>
        <v>45874.99861</v>
      </c>
      <c r="I950" s="433">
        <f>IFERROR(__xludf.DUMMYFUNCTION("""COMPUTED_VALUE"""),3720.3463)</f>
        <v>3720.3463</v>
      </c>
    </row>
    <row r="951">
      <c r="A951" s="434">
        <f>IFERROR(__xludf.DUMMYFUNCTION("""COMPUTED_VALUE"""),43587.99861111111)</f>
        <v>43587.99861</v>
      </c>
      <c r="B951" s="433">
        <f>IFERROR(__xludf.DUMMYFUNCTION("""COMPUTED_VALUE"""),5404.646)</f>
        <v>5404.646</v>
      </c>
      <c r="C951" s="434">
        <f>IFERROR(__xludf.DUMMYFUNCTION("""COMPUTED_VALUE"""),43172.99861111111)</f>
        <v>43172.99861</v>
      </c>
      <c r="D951" s="433">
        <f>IFERROR(__xludf.DUMMYFUNCTION("""COMPUTED_VALUE"""),698.1527)</f>
        <v>698.1527</v>
      </c>
      <c r="F951" s="434">
        <f>IFERROR(__xludf.DUMMYFUNCTION("""COMPUTED_VALUE"""),45877.99861111111)</f>
        <v>45877.99861</v>
      </c>
      <c r="G951" s="433">
        <f>IFERROR(__xludf.DUMMYFUNCTION("""COMPUTED_VALUE"""),116770.3)</f>
        <v>116770.3</v>
      </c>
      <c r="H951" s="434">
        <f>IFERROR(__xludf.DUMMYFUNCTION("""COMPUTED_VALUE"""),45875.99861111111)</f>
        <v>45875.99861</v>
      </c>
      <c r="I951" s="433">
        <f>IFERROR(__xludf.DUMMYFUNCTION("""COMPUTED_VALUE"""),3611.8177)</f>
        <v>3611.8177</v>
      </c>
    </row>
    <row r="952">
      <c r="A952" s="434">
        <f>IFERROR(__xludf.DUMMYFUNCTION("""COMPUTED_VALUE"""),43588.99861111111)</f>
        <v>43588.99861</v>
      </c>
      <c r="B952" s="433">
        <f>IFERROR(__xludf.DUMMYFUNCTION("""COMPUTED_VALUE"""),5681.206)</f>
        <v>5681.206</v>
      </c>
      <c r="C952" s="434">
        <f>IFERROR(__xludf.DUMMYFUNCTION("""COMPUTED_VALUE"""),43173.99861111111)</f>
        <v>43173.99861</v>
      </c>
      <c r="D952" s="433">
        <f>IFERROR(__xludf.DUMMYFUNCTION("""COMPUTED_VALUE"""),691.2195)</f>
        <v>691.2195</v>
      </c>
      <c r="F952" s="434">
        <f>IFERROR(__xludf.DUMMYFUNCTION("""COMPUTED_VALUE"""),45878.99861111111)</f>
        <v>45878.99861</v>
      </c>
      <c r="G952" s="433">
        <f>IFERROR(__xludf.DUMMYFUNCTION("""COMPUTED_VALUE"""),116364.7)</f>
        <v>116364.7</v>
      </c>
      <c r="H952" s="434">
        <f>IFERROR(__xludf.DUMMYFUNCTION("""COMPUTED_VALUE"""),45876.99861111111)</f>
        <v>45876.99861</v>
      </c>
      <c r="I952" s="433">
        <f>IFERROR(__xludf.DUMMYFUNCTION("""COMPUTED_VALUE"""),3683.6838)</f>
        <v>3683.6838</v>
      </c>
    </row>
    <row r="953">
      <c r="A953" s="434">
        <f>IFERROR(__xludf.DUMMYFUNCTION("""COMPUTED_VALUE"""),43589.99861111111)</f>
        <v>43589.99861</v>
      </c>
      <c r="B953" s="433">
        <f>IFERROR(__xludf.DUMMYFUNCTION("""COMPUTED_VALUE"""),5798.636)</f>
        <v>5798.636</v>
      </c>
      <c r="C953" s="434">
        <f>IFERROR(__xludf.DUMMYFUNCTION("""COMPUTED_VALUE"""),43174.99861111111)</f>
        <v>43174.99861</v>
      </c>
      <c r="D953" s="433">
        <f>IFERROR(__xludf.DUMMYFUNCTION("""COMPUTED_VALUE"""),614.8391)</f>
        <v>614.8391</v>
      </c>
      <c r="F953" s="434">
        <f>IFERROR(__xludf.DUMMYFUNCTION("""COMPUTED_VALUE"""),45879.99861111111)</f>
        <v>45879.99861</v>
      </c>
      <c r="G953" s="433">
        <f>IFERROR(__xludf.DUMMYFUNCTION("""COMPUTED_VALUE"""),118231.9)</f>
        <v>118231.9</v>
      </c>
      <c r="H953" s="434">
        <f>IFERROR(__xludf.DUMMYFUNCTION("""COMPUTED_VALUE"""),45877.99861111111)</f>
        <v>45877.99861</v>
      </c>
      <c r="I953" s="433">
        <f>IFERROR(__xludf.DUMMYFUNCTION("""COMPUTED_VALUE"""),3912.5898)</f>
        <v>3912.5898</v>
      </c>
    </row>
    <row r="954">
      <c r="A954" s="434">
        <f>IFERROR(__xludf.DUMMYFUNCTION("""COMPUTED_VALUE"""),43590.99861111111)</f>
        <v>43590.99861</v>
      </c>
      <c r="B954" s="433">
        <f>IFERROR(__xludf.DUMMYFUNCTION("""COMPUTED_VALUE"""),5720.7)</f>
        <v>5720.7</v>
      </c>
      <c r="C954" s="434">
        <f>IFERROR(__xludf.DUMMYFUNCTION("""COMPUTED_VALUE"""),43175.99861111111)</f>
        <v>43175.99861</v>
      </c>
      <c r="D954" s="433">
        <f>IFERROR(__xludf.DUMMYFUNCTION("""COMPUTED_VALUE"""),611.7775)</f>
        <v>611.7775</v>
      </c>
      <c r="F954" s="434">
        <f>IFERROR(__xludf.DUMMYFUNCTION("""COMPUTED_VALUE"""),45880.99861111111)</f>
        <v>45880.99861</v>
      </c>
      <c r="G954" s="433">
        <f>IFERROR(__xludf.DUMMYFUNCTION("""COMPUTED_VALUE"""),121660.9)</f>
        <v>121660.9</v>
      </c>
      <c r="H954" s="434">
        <f>IFERROR(__xludf.DUMMYFUNCTION("""COMPUTED_VALUE"""),45878.99861111111)</f>
        <v>45878.99861</v>
      </c>
      <c r="I954" s="433">
        <f>IFERROR(__xludf.DUMMYFUNCTION("""COMPUTED_VALUE"""),4009.8132)</f>
        <v>4009.8132</v>
      </c>
    </row>
    <row r="955">
      <c r="A955" s="434">
        <f>IFERROR(__xludf.DUMMYFUNCTION("""COMPUTED_VALUE"""),43591.99861111111)</f>
        <v>43591.99861</v>
      </c>
      <c r="B955" s="433">
        <f>IFERROR(__xludf.DUMMYFUNCTION("""COMPUTED_VALUE"""),5693.083)</f>
        <v>5693.083</v>
      </c>
      <c r="C955" s="434">
        <f>IFERROR(__xludf.DUMMYFUNCTION("""COMPUTED_VALUE"""),43176.99861111111)</f>
        <v>43176.99861</v>
      </c>
      <c r="D955" s="433">
        <f>IFERROR(__xludf.DUMMYFUNCTION("""COMPUTED_VALUE"""),601.6779)</f>
        <v>601.6779</v>
      </c>
      <c r="F955" s="434">
        <f>IFERROR(__xludf.DUMMYFUNCTION("""COMPUTED_VALUE"""),45881.99861111111)</f>
        <v>45881.99861</v>
      </c>
      <c r="G955" s="433">
        <f>IFERROR(__xludf.DUMMYFUNCTION("""COMPUTED_VALUE"""),118849.0)</f>
        <v>118849</v>
      </c>
      <c r="H955" s="434">
        <f>IFERROR(__xludf.DUMMYFUNCTION("""COMPUTED_VALUE"""),45879.99861111111)</f>
        <v>45879.99861</v>
      </c>
      <c r="I955" s="433">
        <f>IFERROR(__xludf.DUMMYFUNCTION("""COMPUTED_VALUE"""),4263.3621)</f>
        <v>4263.3621</v>
      </c>
    </row>
    <row r="956">
      <c r="A956" s="434">
        <f>IFERROR(__xludf.DUMMYFUNCTION("""COMPUTED_VALUE"""),43592.99861111111)</f>
        <v>43592.99861</v>
      </c>
      <c r="B956" s="433">
        <f>IFERROR(__xludf.DUMMYFUNCTION("""COMPUTED_VALUE"""),5763.569)</f>
        <v>5763.569</v>
      </c>
      <c r="C956" s="434">
        <f>IFERROR(__xludf.DUMMYFUNCTION("""COMPUTED_VALUE"""),43177.99861111111)</f>
        <v>43177.99861</v>
      </c>
      <c r="D956" s="433">
        <f>IFERROR(__xludf.DUMMYFUNCTION("""COMPUTED_VALUE"""),551.6396)</f>
        <v>551.6396</v>
      </c>
      <c r="F956" s="434">
        <f>IFERROR(__xludf.DUMMYFUNCTION("""COMPUTED_VALUE"""),45882.99861111111)</f>
        <v>45882.99861</v>
      </c>
      <c r="G956" s="433">
        <f>IFERROR(__xludf.DUMMYFUNCTION("""COMPUTED_VALUE"""),119442.5)</f>
        <v>119442.5</v>
      </c>
      <c r="H956" s="434">
        <f>IFERROR(__xludf.DUMMYFUNCTION("""COMPUTED_VALUE"""),45880.99861111111)</f>
        <v>45880.99861</v>
      </c>
      <c r="I956" s="433">
        <f>IFERROR(__xludf.DUMMYFUNCTION("""COMPUTED_VALUE"""),4251.6856)</f>
        <v>4251.6856</v>
      </c>
    </row>
    <row r="957">
      <c r="A957" s="434">
        <f>IFERROR(__xludf.DUMMYFUNCTION("""COMPUTED_VALUE"""),43593.99861111111)</f>
        <v>43593.99861</v>
      </c>
      <c r="B957" s="433">
        <f>IFERROR(__xludf.DUMMYFUNCTION("""COMPUTED_VALUE"""),5957.77)</f>
        <v>5957.77</v>
      </c>
      <c r="C957" s="434">
        <f>IFERROR(__xludf.DUMMYFUNCTION("""COMPUTED_VALUE"""),43178.99861111111)</f>
        <v>43178.99861</v>
      </c>
      <c r="D957" s="433">
        <f>IFERROR(__xludf.DUMMYFUNCTION("""COMPUTED_VALUE"""),546.6264)</f>
        <v>546.6264</v>
      </c>
      <c r="F957" s="434">
        <f>IFERROR(__xludf.DUMMYFUNCTION("""COMPUTED_VALUE"""),45883.99861111111)</f>
        <v>45883.99861</v>
      </c>
      <c r="G957" s="433">
        <f>IFERROR(__xludf.DUMMYFUNCTION("""COMPUTED_VALUE"""),123332.0)</f>
        <v>123332</v>
      </c>
      <c r="H957" s="434">
        <f>IFERROR(__xludf.DUMMYFUNCTION("""COMPUTED_VALUE"""),45881.99861111111)</f>
        <v>45881.99861</v>
      </c>
      <c r="I957" s="433">
        <f>IFERROR(__xludf.DUMMYFUNCTION("""COMPUTED_VALUE"""),4224.9312)</f>
        <v>4224.9312</v>
      </c>
    </row>
    <row r="958">
      <c r="A958" s="434">
        <f>IFERROR(__xludf.DUMMYFUNCTION("""COMPUTED_VALUE"""),43594.99861111111)</f>
        <v>43594.99861</v>
      </c>
      <c r="B958" s="433">
        <f>IFERROR(__xludf.DUMMYFUNCTION("""COMPUTED_VALUE"""),6161.655)</f>
        <v>6161.655</v>
      </c>
      <c r="C958" s="434">
        <f>IFERROR(__xludf.DUMMYFUNCTION("""COMPUTED_VALUE"""),43179.99861111111)</f>
        <v>43179.99861</v>
      </c>
      <c r="D958" s="433">
        <f>IFERROR(__xludf.DUMMYFUNCTION("""COMPUTED_VALUE"""),556.7222)</f>
        <v>556.7222</v>
      </c>
      <c r="F958" s="434">
        <f>IFERROR(__xludf.DUMMYFUNCTION("""COMPUTED_VALUE"""),45884.99861111111)</f>
        <v>45884.99861</v>
      </c>
      <c r="G958" s="433">
        <f>IFERROR(__xludf.DUMMYFUNCTION("""COMPUTED_VALUE"""),119074.5)</f>
        <v>119074.5</v>
      </c>
      <c r="H958" s="434">
        <f>IFERROR(__xludf.DUMMYFUNCTION("""COMPUTED_VALUE"""),45882.99861111111)</f>
        <v>45882.99861</v>
      </c>
      <c r="I958" s="433">
        <f>IFERROR(__xludf.DUMMYFUNCTION("""COMPUTED_VALUE"""),4589.8184)</f>
        <v>4589.8184</v>
      </c>
    </row>
    <row r="959">
      <c r="A959" s="434">
        <f>IFERROR(__xludf.DUMMYFUNCTION("""COMPUTED_VALUE"""),43595.99861111111)</f>
        <v>43595.99861</v>
      </c>
      <c r="B959" s="433">
        <f>IFERROR(__xludf.DUMMYFUNCTION("""COMPUTED_VALUE"""),6358.179)</f>
        <v>6358.179</v>
      </c>
      <c r="C959" s="434">
        <f>IFERROR(__xludf.DUMMYFUNCTION("""COMPUTED_VALUE"""),43180.99861111111)</f>
        <v>43180.99861</v>
      </c>
      <c r="D959" s="433">
        <f>IFERROR(__xludf.DUMMYFUNCTION("""COMPUTED_VALUE"""),559.1003)</f>
        <v>559.1003</v>
      </c>
      <c r="F959" s="434">
        <f>IFERROR(__xludf.DUMMYFUNCTION("""COMPUTED_VALUE"""),45885.99861111111)</f>
        <v>45885.99861</v>
      </c>
      <c r="G959" s="433">
        <f>IFERROR(__xludf.DUMMYFUNCTION("""COMPUTED_VALUE"""),117555.5)</f>
        <v>117555.5</v>
      </c>
      <c r="H959" s="434">
        <f>IFERROR(__xludf.DUMMYFUNCTION("""COMPUTED_VALUE"""),45883.99861111111)</f>
        <v>45883.99861</v>
      </c>
      <c r="I959" s="433">
        <f>IFERROR(__xludf.DUMMYFUNCTION("""COMPUTED_VALUE"""),4750.0277)</f>
        <v>4750.0277</v>
      </c>
    </row>
    <row r="960">
      <c r="A960" s="434">
        <f>IFERROR(__xludf.DUMMYFUNCTION("""COMPUTED_VALUE"""),43596.99861111111)</f>
        <v>43596.99861</v>
      </c>
      <c r="B960" s="433">
        <f>IFERROR(__xludf.DUMMYFUNCTION("""COMPUTED_VALUE"""),7187.249)</f>
        <v>7187.249</v>
      </c>
      <c r="C960" s="434">
        <f>IFERROR(__xludf.DUMMYFUNCTION("""COMPUTED_VALUE"""),43181.99861111111)</f>
        <v>43181.99861</v>
      </c>
      <c r="D960" s="433">
        <f>IFERROR(__xludf.DUMMYFUNCTION("""COMPUTED_VALUE"""),562.1027)</f>
        <v>562.1027</v>
      </c>
      <c r="F960" s="434">
        <f>IFERROR(__xludf.DUMMYFUNCTION("""COMPUTED_VALUE"""),45886.99861111111)</f>
        <v>45886.99861</v>
      </c>
      <c r="G960" s="433">
        <f>IFERROR(__xludf.DUMMYFUNCTION("""COMPUTED_VALUE"""),117792.9)</f>
        <v>117792.9</v>
      </c>
      <c r="H960" s="434">
        <f>IFERROR(__xludf.DUMMYFUNCTION("""COMPUTED_VALUE"""),45884.99861111111)</f>
        <v>45884.99861</v>
      </c>
      <c r="I960" s="433">
        <f>IFERROR(__xludf.DUMMYFUNCTION("""COMPUTED_VALUE"""),4549.6703)</f>
        <v>4549.6703</v>
      </c>
    </row>
    <row r="961">
      <c r="A961" s="434">
        <f>IFERROR(__xludf.DUMMYFUNCTION("""COMPUTED_VALUE"""),43597.99861111111)</f>
        <v>43597.99861</v>
      </c>
      <c r="B961" s="433">
        <f>IFERROR(__xludf.DUMMYFUNCTION("""COMPUTED_VALUE"""),6978.169)</f>
        <v>6978.169</v>
      </c>
      <c r="C961" s="434">
        <f>IFERROR(__xludf.DUMMYFUNCTION("""COMPUTED_VALUE"""),43182.99861111111)</f>
        <v>43182.99861</v>
      </c>
      <c r="D961" s="433">
        <f>IFERROR(__xludf.DUMMYFUNCTION("""COMPUTED_VALUE"""),539.8642)</f>
        <v>539.8642</v>
      </c>
      <c r="F961" s="434">
        <f>IFERROR(__xludf.DUMMYFUNCTION("""COMPUTED_VALUE"""),45887.99861111111)</f>
        <v>45887.99861</v>
      </c>
      <c r="G961" s="433">
        <f>IFERROR(__xludf.DUMMYFUNCTION("""COMPUTED_VALUE"""),115416.2)</f>
        <v>115416.2</v>
      </c>
      <c r="H961" s="434">
        <f>IFERROR(__xludf.DUMMYFUNCTION("""COMPUTED_VALUE"""),45885.99861111111)</f>
        <v>45885.99861</v>
      </c>
      <c r="I961" s="433">
        <f>IFERROR(__xludf.DUMMYFUNCTION("""COMPUTED_VALUE"""),4443.2395)</f>
        <v>4443.2395</v>
      </c>
    </row>
    <row r="962">
      <c r="A962" s="434">
        <f>IFERROR(__xludf.DUMMYFUNCTION("""COMPUTED_VALUE"""),43598.99861111111)</f>
        <v>43598.99861</v>
      </c>
      <c r="B962" s="433">
        <f>IFERROR(__xludf.DUMMYFUNCTION("""COMPUTED_VALUE"""),7809.004)</f>
        <v>7809.004</v>
      </c>
      <c r="C962" s="434">
        <f>IFERROR(__xludf.DUMMYFUNCTION("""COMPUTED_VALUE"""),43183.99861111111)</f>
        <v>43183.99861</v>
      </c>
      <c r="D962" s="433">
        <f>IFERROR(__xludf.DUMMYFUNCTION("""COMPUTED_VALUE"""),542.5718)</f>
        <v>542.5718</v>
      </c>
      <c r="F962" s="434">
        <f>IFERROR(__xludf.DUMMYFUNCTION("""COMPUTED_VALUE"""),45888.99861111111)</f>
        <v>45888.99861</v>
      </c>
      <c r="G962" s="433">
        <f>IFERROR(__xludf.DUMMYFUNCTION("""COMPUTED_VALUE"""),114931.1)</f>
        <v>114931.1</v>
      </c>
      <c r="H962" s="434">
        <f>IFERROR(__xludf.DUMMYFUNCTION("""COMPUTED_VALUE"""),45886.99861111111)</f>
        <v>45886.99861</v>
      </c>
      <c r="I962" s="433">
        <f>IFERROR(__xludf.DUMMYFUNCTION("""COMPUTED_VALUE"""),4424.8349)</f>
        <v>4424.8349</v>
      </c>
    </row>
    <row r="963">
      <c r="A963" s="434">
        <f>IFERROR(__xludf.DUMMYFUNCTION("""COMPUTED_VALUE"""),43599.99861111111)</f>
        <v>43599.99861</v>
      </c>
      <c r="B963" s="433">
        <f>IFERROR(__xludf.DUMMYFUNCTION("""COMPUTED_VALUE"""),7991.535)</f>
        <v>7991.535</v>
      </c>
      <c r="C963" s="434">
        <f>IFERROR(__xludf.DUMMYFUNCTION("""COMPUTED_VALUE"""),43184.99861111111)</f>
        <v>43184.99861</v>
      </c>
      <c r="D963" s="433">
        <f>IFERROR(__xludf.DUMMYFUNCTION("""COMPUTED_VALUE"""),522.7034)</f>
        <v>522.7034</v>
      </c>
      <c r="F963" s="434">
        <f>IFERROR(__xludf.DUMMYFUNCTION("""COMPUTED_VALUE"""),45889.99861111111)</f>
        <v>45889.99861</v>
      </c>
      <c r="G963" s="433">
        <f>IFERROR(__xludf.DUMMYFUNCTION("""COMPUTED_VALUE"""),113569.7)</f>
        <v>113569.7</v>
      </c>
      <c r="H963" s="434">
        <f>IFERROR(__xludf.DUMMYFUNCTION("""COMPUTED_VALUE"""),45887.99861111111)</f>
        <v>45887.99861</v>
      </c>
      <c r="I963" s="433">
        <f>IFERROR(__xludf.DUMMYFUNCTION("""COMPUTED_VALUE"""),4475.4367)</f>
        <v>4475.4367</v>
      </c>
    </row>
    <row r="964">
      <c r="A964" s="434">
        <f>IFERROR(__xludf.DUMMYFUNCTION("""COMPUTED_VALUE"""),43600.99861111111)</f>
        <v>43600.99861</v>
      </c>
      <c r="B964" s="433">
        <f>IFERROR(__xludf.DUMMYFUNCTION("""COMPUTED_VALUE"""),8182.613)</f>
        <v>8182.613</v>
      </c>
      <c r="C964" s="434">
        <f>IFERROR(__xludf.DUMMYFUNCTION("""COMPUTED_VALUE"""),43185.99861111111)</f>
        <v>43185.99861</v>
      </c>
      <c r="D964" s="433">
        <f>IFERROR(__xludf.DUMMYFUNCTION("""COMPUTED_VALUE"""),524.2869)</f>
        <v>524.2869</v>
      </c>
      <c r="F964" s="434">
        <f>IFERROR(__xludf.DUMMYFUNCTION("""COMPUTED_VALUE"""),45890.99861111111)</f>
        <v>45890.99861</v>
      </c>
      <c r="G964" s="433">
        <f>IFERROR(__xludf.DUMMYFUNCTION("""COMPUTED_VALUE"""),114004.5)</f>
        <v>114004.5</v>
      </c>
      <c r="H964" s="434">
        <f>IFERROR(__xludf.DUMMYFUNCTION("""COMPUTED_VALUE"""),45888.99861111111)</f>
        <v>45888.99861</v>
      </c>
      <c r="I964" s="433">
        <f>IFERROR(__xludf.DUMMYFUNCTION("""COMPUTED_VALUE"""),4314.7441)</f>
        <v>4314.7441</v>
      </c>
    </row>
    <row r="965">
      <c r="A965" s="434">
        <f>IFERROR(__xludf.DUMMYFUNCTION("""COMPUTED_VALUE"""),43601.99861111111)</f>
        <v>43601.99861</v>
      </c>
      <c r="B965" s="433">
        <f>IFERROR(__xludf.DUMMYFUNCTION("""COMPUTED_VALUE"""),7875.48)</f>
        <v>7875.48</v>
      </c>
      <c r="C965" s="434">
        <f>IFERROR(__xludf.DUMMYFUNCTION("""COMPUTED_VALUE"""),43186.99861111111)</f>
        <v>43186.99861</v>
      </c>
      <c r="D965" s="433">
        <f>IFERROR(__xludf.DUMMYFUNCTION("""COMPUTED_VALUE"""),489.5896)</f>
        <v>489.5896</v>
      </c>
      <c r="F965" s="434">
        <f>IFERROR(__xludf.DUMMYFUNCTION("""COMPUTED_VALUE"""),45891.99861111111)</f>
        <v>45891.99861</v>
      </c>
      <c r="G965" s="433">
        <f>IFERROR(__xludf.DUMMYFUNCTION("""COMPUTED_VALUE"""),112946.4)</f>
        <v>112946.4</v>
      </c>
      <c r="H965" s="434">
        <f>IFERROR(__xludf.DUMMYFUNCTION("""COMPUTED_VALUE"""),45889.99861111111)</f>
        <v>45889.99861</v>
      </c>
      <c r="I965" s="433">
        <f>IFERROR(__xludf.DUMMYFUNCTION("""COMPUTED_VALUE"""),4075.0828)</f>
        <v>4075.0828</v>
      </c>
    </row>
    <row r="966">
      <c r="A966" s="434">
        <f>IFERROR(__xludf.DUMMYFUNCTION("""COMPUTED_VALUE"""),43602.99861111111)</f>
        <v>43602.99861</v>
      </c>
      <c r="B966" s="433">
        <f>IFERROR(__xludf.DUMMYFUNCTION("""COMPUTED_VALUE"""),7372.684)</f>
        <v>7372.684</v>
      </c>
      <c r="C966" s="434">
        <f>IFERROR(__xludf.DUMMYFUNCTION("""COMPUTED_VALUE"""),43187.99861111111)</f>
        <v>43187.99861</v>
      </c>
      <c r="D966" s="433">
        <f>IFERROR(__xludf.DUMMYFUNCTION("""COMPUTED_VALUE"""),450.2909)</f>
        <v>450.2909</v>
      </c>
      <c r="F966" s="434">
        <f>IFERROR(__xludf.DUMMYFUNCTION("""COMPUTED_VALUE"""),45892.99861111111)</f>
        <v>45892.99861</v>
      </c>
      <c r="G966" s="433">
        <f>IFERROR(__xludf.DUMMYFUNCTION("""COMPUTED_VALUE"""),115468.4)</f>
        <v>115468.4</v>
      </c>
      <c r="H966" s="434">
        <f>IFERROR(__xludf.DUMMYFUNCTION("""COMPUTED_VALUE"""),45890.99861111111)</f>
        <v>45890.99861</v>
      </c>
      <c r="I966" s="433">
        <f>IFERROR(__xludf.DUMMYFUNCTION("""COMPUTED_VALUE"""),4335.266)</f>
        <v>4335.266</v>
      </c>
    </row>
    <row r="967">
      <c r="A967" s="434">
        <f>IFERROR(__xludf.DUMMYFUNCTION("""COMPUTED_VALUE"""),43603.99861111111)</f>
        <v>43603.99861</v>
      </c>
      <c r="B967" s="433">
        <f>IFERROR(__xludf.DUMMYFUNCTION("""COMPUTED_VALUE"""),7261.926)</f>
        <v>7261.926</v>
      </c>
      <c r="C967" s="434">
        <f>IFERROR(__xludf.DUMMYFUNCTION("""COMPUTED_VALUE"""),43188.99861111111)</f>
        <v>43188.99861</v>
      </c>
      <c r="D967" s="433">
        <f>IFERROR(__xludf.DUMMYFUNCTION("""COMPUTED_VALUE"""),448.0753)</f>
        <v>448.0753</v>
      </c>
      <c r="F967" s="434">
        <f>IFERROR(__xludf.DUMMYFUNCTION("""COMPUTED_VALUE"""),45893.99861111111)</f>
        <v>45893.99861</v>
      </c>
      <c r="G967" s="433">
        <f>IFERROR(__xludf.DUMMYFUNCTION("""COMPUTED_VALUE"""),114920.5)</f>
        <v>114920.5</v>
      </c>
      <c r="H967" s="434">
        <f>IFERROR(__xludf.DUMMYFUNCTION("""COMPUTED_VALUE"""),45891.99861111111)</f>
        <v>45891.99861</v>
      </c>
      <c r="I967" s="433">
        <f>IFERROR(__xludf.DUMMYFUNCTION("""COMPUTED_VALUE"""),4224.3914)</f>
        <v>4224.3914</v>
      </c>
    </row>
    <row r="968">
      <c r="A968" s="434">
        <f>IFERROR(__xludf.DUMMYFUNCTION("""COMPUTED_VALUE"""),43604.99861111111)</f>
        <v>43604.99861</v>
      </c>
      <c r="B968" s="433">
        <f>IFERROR(__xludf.DUMMYFUNCTION("""COMPUTED_VALUE"""),8180.666)</f>
        <v>8180.666</v>
      </c>
      <c r="C968" s="434">
        <f>IFERROR(__xludf.DUMMYFUNCTION("""COMPUTED_VALUE"""),43189.99861111111)</f>
        <v>43189.99861</v>
      </c>
      <c r="D968" s="433">
        <f>IFERROR(__xludf.DUMMYFUNCTION("""COMPUTED_VALUE"""),385.9054)</f>
        <v>385.9054</v>
      </c>
      <c r="F968" s="434">
        <f>IFERROR(__xludf.DUMMYFUNCTION("""COMPUTED_VALUE"""),45894.99861111111)</f>
        <v>45894.99861</v>
      </c>
      <c r="G968" s="433">
        <f>IFERROR(__xludf.DUMMYFUNCTION("""COMPUTED_VALUE"""),113044.1)</f>
        <v>113044.1</v>
      </c>
      <c r="H968" s="434">
        <f>IFERROR(__xludf.DUMMYFUNCTION("""COMPUTED_VALUE"""),45892.99861111111)</f>
        <v>45892.99861</v>
      </c>
      <c r="I968" s="433">
        <f>IFERROR(__xludf.DUMMYFUNCTION("""COMPUTED_VALUE"""),4830.0706)</f>
        <v>4830.0706</v>
      </c>
    </row>
    <row r="969">
      <c r="A969" s="434">
        <f>IFERROR(__xludf.DUMMYFUNCTION("""COMPUTED_VALUE"""),43605.99861111111)</f>
        <v>43605.99861</v>
      </c>
      <c r="B969" s="433">
        <f>IFERROR(__xludf.DUMMYFUNCTION("""COMPUTED_VALUE"""),7980.215)</f>
        <v>7980.215</v>
      </c>
      <c r="C969" s="434">
        <f>IFERROR(__xludf.DUMMYFUNCTION("""COMPUTED_VALUE"""),43190.99861111111)</f>
        <v>43190.99861</v>
      </c>
      <c r="D969" s="433">
        <f>IFERROR(__xludf.DUMMYFUNCTION("""COMPUTED_VALUE"""),395.0042)</f>
        <v>395.0042</v>
      </c>
      <c r="F969" s="434">
        <f>IFERROR(__xludf.DUMMYFUNCTION("""COMPUTED_VALUE"""),45895.99861111111)</f>
        <v>45895.99861</v>
      </c>
      <c r="G969" s="433">
        <f>IFERROR(__xludf.DUMMYFUNCTION("""COMPUTED_VALUE"""),109923.5)</f>
        <v>109923.5</v>
      </c>
      <c r="H969" s="434">
        <f>IFERROR(__xludf.DUMMYFUNCTION("""COMPUTED_VALUE"""),45893.99861111111)</f>
        <v>45893.99861</v>
      </c>
      <c r="I969" s="433">
        <f>IFERROR(__xludf.DUMMYFUNCTION("""COMPUTED_VALUE"""),4776.4888)</f>
        <v>4776.4888</v>
      </c>
    </row>
    <row r="970">
      <c r="A970" s="434">
        <f>IFERROR(__xludf.DUMMYFUNCTION("""COMPUTED_VALUE"""),43606.99861111111)</f>
        <v>43606.99861</v>
      </c>
      <c r="B970" s="433">
        <f>IFERROR(__xludf.DUMMYFUNCTION("""COMPUTED_VALUE"""),7944.941)</f>
        <v>7944.941</v>
      </c>
      <c r="C970" s="434">
        <f>IFERROR(__xludf.DUMMYFUNCTION("""COMPUTED_VALUE"""),43191.99861111111)</f>
        <v>43191.99861</v>
      </c>
      <c r="D970" s="433">
        <f>IFERROR(__xludf.DUMMYFUNCTION("""COMPUTED_VALUE"""),397.2544)</f>
        <v>397.2544</v>
      </c>
      <c r="F970" s="434">
        <f>IFERROR(__xludf.DUMMYFUNCTION("""COMPUTED_VALUE"""),45896.99861111111)</f>
        <v>45896.99861</v>
      </c>
      <c r="G970" s="433">
        <f>IFERROR(__xludf.DUMMYFUNCTION("""COMPUTED_VALUE"""),111478.5)</f>
        <v>111478.5</v>
      </c>
      <c r="H970" s="434">
        <f>IFERROR(__xludf.DUMMYFUNCTION("""COMPUTED_VALUE"""),45894.99861111111)</f>
        <v>45894.99861</v>
      </c>
      <c r="I970" s="433">
        <f>IFERROR(__xludf.DUMMYFUNCTION("""COMPUTED_VALUE"""),4779.5706)</f>
        <v>4779.5706</v>
      </c>
    </row>
    <row r="971">
      <c r="A971" s="434">
        <f>IFERROR(__xludf.DUMMYFUNCTION("""COMPUTED_VALUE"""),43607.99861111111)</f>
        <v>43607.99861</v>
      </c>
      <c r="B971" s="433">
        <f>IFERROR(__xludf.DUMMYFUNCTION("""COMPUTED_VALUE"""),7624.847)</f>
        <v>7624.847</v>
      </c>
      <c r="C971" s="434">
        <f>IFERROR(__xludf.DUMMYFUNCTION("""COMPUTED_VALUE"""),43192.99861111111)</f>
        <v>43192.99861</v>
      </c>
      <c r="D971" s="433">
        <f>IFERROR(__xludf.DUMMYFUNCTION("""COMPUTED_VALUE"""),379.6991)</f>
        <v>379.6991</v>
      </c>
      <c r="F971" s="434">
        <f>IFERROR(__xludf.DUMMYFUNCTION("""COMPUTED_VALUE"""),45897.99861111111)</f>
        <v>45897.99861</v>
      </c>
      <c r="G971" s="433">
        <f>IFERROR(__xludf.DUMMYFUNCTION("""COMPUTED_VALUE"""),112032.0)</f>
        <v>112032</v>
      </c>
      <c r="H971" s="434">
        <f>IFERROR(__xludf.DUMMYFUNCTION("""COMPUTED_VALUE"""),45895.99861111111)</f>
        <v>45895.99861</v>
      </c>
      <c r="I971" s="433">
        <f>IFERROR(__xludf.DUMMYFUNCTION("""COMPUTED_VALUE"""),4376.2445)</f>
        <v>4376.2445</v>
      </c>
    </row>
    <row r="972">
      <c r="A972" s="434">
        <f>IFERROR(__xludf.DUMMYFUNCTION("""COMPUTED_VALUE"""),43608.99861111111)</f>
        <v>43608.99861</v>
      </c>
      <c r="B972" s="433">
        <f>IFERROR(__xludf.DUMMYFUNCTION("""COMPUTED_VALUE"""),7862.905)</f>
        <v>7862.905</v>
      </c>
      <c r="C972" s="434">
        <f>IFERROR(__xludf.DUMMYFUNCTION("""COMPUTED_VALUE"""),43193.99861111111)</f>
        <v>43193.99861</v>
      </c>
      <c r="D972" s="433">
        <f>IFERROR(__xludf.DUMMYFUNCTION("""COMPUTED_VALUE"""),387.3123)</f>
        <v>387.3123</v>
      </c>
      <c r="F972" s="434">
        <f>IFERROR(__xludf.DUMMYFUNCTION("""COMPUTED_VALUE"""),45898.99861111111)</f>
        <v>45898.99861</v>
      </c>
      <c r="G972" s="433">
        <f>IFERROR(__xludf.DUMMYFUNCTION("""COMPUTED_VALUE"""),111769.5)</f>
        <v>111769.5</v>
      </c>
      <c r="H972" s="434">
        <f>IFERROR(__xludf.DUMMYFUNCTION("""COMPUTED_VALUE"""),45896.99861111111)</f>
        <v>45896.99861</v>
      </c>
      <c r="I972" s="433">
        <f>IFERROR(__xludf.DUMMYFUNCTION("""COMPUTED_VALUE"""),4601.0363)</f>
        <v>4601.0363</v>
      </c>
    </row>
    <row r="973">
      <c r="A973" s="434">
        <f>IFERROR(__xludf.DUMMYFUNCTION("""COMPUTED_VALUE"""),43609.99861111111)</f>
        <v>43609.99861</v>
      </c>
      <c r="B973" s="433">
        <f>IFERROR(__xludf.DUMMYFUNCTION("""COMPUTED_VALUE"""),7998.16)</f>
        <v>7998.16</v>
      </c>
      <c r="C973" s="434">
        <f>IFERROR(__xludf.DUMMYFUNCTION("""COMPUTED_VALUE"""),43194.99861111111)</f>
        <v>43194.99861</v>
      </c>
      <c r="D973" s="433">
        <f>IFERROR(__xludf.DUMMYFUNCTION("""COMPUTED_VALUE"""),416.4853)</f>
        <v>416.4853</v>
      </c>
      <c r="F973" s="434">
        <f>IFERROR(__xludf.DUMMYFUNCTION("""COMPUTED_VALUE"""),45899.99861111111)</f>
        <v>45899.99861</v>
      </c>
      <c r="G973" s="433">
        <f>IFERROR(__xludf.DUMMYFUNCTION("""COMPUTED_VALUE"""),108454.4)</f>
        <v>108454.4</v>
      </c>
      <c r="H973" s="434">
        <f>IFERROR(__xludf.DUMMYFUNCTION("""COMPUTED_VALUE"""),45897.99861111111)</f>
        <v>45897.99861</v>
      </c>
      <c r="I973" s="433">
        <f>IFERROR(__xludf.DUMMYFUNCTION("""COMPUTED_VALUE"""),4506.868)</f>
        <v>4506.868</v>
      </c>
    </row>
    <row r="974">
      <c r="A974" s="434">
        <f>IFERROR(__xludf.DUMMYFUNCTION("""COMPUTED_VALUE"""),43610.99861111111)</f>
        <v>43610.99861</v>
      </c>
      <c r="B974" s="433">
        <f>IFERROR(__xludf.DUMMYFUNCTION("""COMPUTED_VALUE"""),8053.577)</f>
        <v>8053.577</v>
      </c>
      <c r="C974" s="434">
        <f>IFERROR(__xludf.DUMMYFUNCTION("""COMPUTED_VALUE"""),43195.99861111111)</f>
        <v>43195.99861</v>
      </c>
      <c r="D974" s="433">
        <f>IFERROR(__xludf.DUMMYFUNCTION("""COMPUTED_VALUE"""),379.947)</f>
        <v>379.947</v>
      </c>
      <c r="F974" s="434">
        <f>IFERROR(__xludf.DUMMYFUNCTION("""COMPUTED_VALUE"""),45900.99861111111)</f>
        <v>45900.99861</v>
      </c>
      <c r="G974" s="433">
        <f>IFERROR(__xludf.DUMMYFUNCTION("""COMPUTED_VALUE"""),109251.6)</f>
        <v>109251.6</v>
      </c>
      <c r="H974" s="434">
        <f>IFERROR(__xludf.DUMMYFUNCTION("""COMPUTED_VALUE"""),45898.99861111111)</f>
        <v>45898.99861</v>
      </c>
      <c r="I974" s="433">
        <f>IFERROR(__xludf.DUMMYFUNCTION("""COMPUTED_VALUE"""),4512.5661)</f>
        <v>4512.5661</v>
      </c>
    </row>
    <row r="975">
      <c r="A975" s="434">
        <f>IFERROR(__xludf.DUMMYFUNCTION("""COMPUTED_VALUE"""),43611.99861111111)</f>
        <v>43611.99861</v>
      </c>
      <c r="B975" s="433">
        <f>IFERROR(__xludf.DUMMYFUNCTION("""COMPUTED_VALUE"""),8699.422)</f>
        <v>8699.422</v>
      </c>
      <c r="C975" s="434">
        <f>IFERROR(__xludf.DUMMYFUNCTION("""COMPUTED_VALUE"""),43196.99861111111)</f>
        <v>43196.99861</v>
      </c>
      <c r="D975" s="433">
        <f>IFERROR(__xludf.DUMMYFUNCTION("""COMPUTED_VALUE"""),382.7311)</f>
        <v>382.7311</v>
      </c>
      <c r="F975" s="434">
        <f>IFERROR(__xludf.DUMMYFUNCTION("""COMPUTED_VALUE"""),45901.99861111111)</f>
        <v>45901.99861</v>
      </c>
      <c r="G975" s="433">
        <f>IFERROR(__xludf.DUMMYFUNCTION("""COMPUTED_VALUE"""),107694.3)</f>
        <v>107694.3</v>
      </c>
      <c r="H975" s="434">
        <f>IFERROR(__xludf.DUMMYFUNCTION("""COMPUTED_VALUE"""),45899.99861111111)</f>
        <v>45899.99861</v>
      </c>
      <c r="I975" s="433">
        <f>IFERROR(__xludf.DUMMYFUNCTION("""COMPUTED_VALUE"""),4359.9902)</f>
        <v>4359.9902</v>
      </c>
    </row>
    <row r="976">
      <c r="A976" s="434">
        <f>IFERROR(__xludf.DUMMYFUNCTION("""COMPUTED_VALUE"""),43612.99861111111)</f>
        <v>43612.99861</v>
      </c>
      <c r="B976" s="433">
        <f>IFERROR(__xludf.DUMMYFUNCTION("""COMPUTED_VALUE"""),8770.217)</f>
        <v>8770.217</v>
      </c>
      <c r="C976" s="434">
        <f>IFERROR(__xludf.DUMMYFUNCTION("""COMPUTED_VALUE"""),43197.99861111111)</f>
        <v>43197.99861</v>
      </c>
      <c r="D976" s="433">
        <f>IFERROR(__xludf.DUMMYFUNCTION("""COMPUTED_VALUE"""),370.3804)</f>
        <v>370.3804</v>
      </c>
      <c r="F976" s="434">
        <f>IFERROR(__xludf.DUMMYFUNCTION("""COMPUTED_VALUE"""),45902.99861111111)</f>
        <v>45902.99861</v>
      </c>
      <c r="G976" s="433">
        <f>IFERROR(__xludf.DUMMYFUNCTION("""COMPUTED_VALUE"""),110374.9)</f>
        <v>110374.9</v>
      </c>
      <c r="H976" s="434">
        <f>IFERROR(__xludf.DUMMYFUNCTION("""COMPUTED_VALUE"""),45900.99861111111)</f>
        <v>45900.99861</v>
      </c>
      <c r="I976" s="433">
        <f>IFERROR(__xludf.DUMMYFUNCTION("""COMPUTED_VALUE"""),4374.415)</f>
        <v>4374.415</v>
      </c>
    </row>
    <row r="977">
      <c r="A977" s="434">
        <f>IFERROR(__xludf.DUMMYFUNCTION("""COMPUTED_VALUE"""),43613.99861111111)</f>
        <v>43613.99861</v>
      </c>
      <c r="B977" s="433">
        <f>IFERROR(__xludf.DUMMYFUNCTION("""COMPUTED_VALUE"""),8719.517)</f>
        <v>8719.517</v>
      </c>
      <c r="C977" s="434">
        <f>IFERROR(__xludf.DUMMYFUNCTION("""COMPUTED_VALUE"""),43198.99861111111)</f>
        <v>43198.99861</v>
      </c>
      <c r="D977" s="433">
        <f>IFERROR(__xludf.DUMMYFUNCTION("""COMPUTED_VALUE"""),385.7433)</f>
        <v>385.7433</v>
      </c>
      <c r="F977" s="434">
        <f>IFERROR(__xludf.DUMMYFUNCTION("""COMPUTED_VALUE"""),45903.99861111111)</f>
        <v>45903.99861</v>
      </c>
      <c r="G977" s="433">
        <f>IFERROR(__xludf.DUMMYFUNCTION("""COMPUTED_VALUE"""),111092.6)</f>
        <v>111092.6</v>
      </c>
      <c r="H977" s="434">
        <f>IFERROR(__xludf.DUMMYFUNCTION("""COMPUTED_VALUE"""),45901.99861111111)</f>
        <v>45901.99861</v>
      </c>
      <c r="I977" s="433">
        <f>IFERROR(__xludf.DUMMYFUNCTION("""COMPUTED_VALUE"""),4391.1808)</f>
        <v>4391.1808</v>
      </c>
    </row>
    <row r="978">
      <c r="A978" s="434">
        <f>IFERROR(__xludf.DUMMYFUNCTION("""COMPUTED_VALUE"""),43614.99861111111)</f>
        <v>43614.99861</v>
      </c>
      <c r="B978" s="433">
        <f>IFERROR(__xludf.DUMMYFUNCTION("""COMPUTED_VALUE"""),8658.063)</f>
        <v>8658.063</v>
      </c>
      <c r="C978" s="434">
        <f>IFERROR(__xludf.DUMMYFUNCTION("""COMPUTED_VALUE"""),43199.99861111111)</f>
        <v>43199.99861</v>
      </c>
      <c r="D978" s="433">
        <f>IFERROR(__xludf.DUMMYFUNCTION("""COMPUTED_VALUE"""),400.8575)</f>
        <v>400.8575</v>
      </c>
      <c r="F978" s="434">
        <f>IFERROR(__xludf.DUMMYFUNCTION("""COMPUTED_VALUE"""),45904.99861111111)</f>
        <v>45904.99861</v>
      </c>
      <c r="G978" s="433">
        <f>IFERROR(__xludf.DUMMYFUNCTION("""COMPUTED_VALUE"""),111195.7)</f>
        <v>111195.7</v>
      </c>
      <c r="H978" s="434">
        <f>IFERROR(__xludf.DUMMYFUNCTION("""COMPUTED_VALUE"""),45902.99861111111)</f>
        <v>45902.99861</v>
      </c>
      <c r="I978" s="433">
        <f>IFERROR(__xludf.DUMMYFUNCTION("""COMPUTED_VALUE"""),4314.3356)</f>
        <v>4314.3356</v>
      </c>
    </row>
    <row r="979">
      <c r="A979" s="434">
        <f>IFERROR(__xludf.DUMMYFUNCTION("""COMPUTED_VALUE"""),43615.99861111111)</f>
        <v>43615.99861</v>
      </c>
      <c r="B979" s="433">
        <f>IFERROR(__xludf.DUMMYFUNCTION("""COMPUTED_VALUE"""),8273.329)</f>
        <v>8273.329</v>
      </c>
      <c r="C979" s="434">
        <f>IFERROR(__xludf.DUMMYFUNCTION("""COMPUTED_VALUE"""),43200.99861111111)</f>
        <v>43200.99861</v>
      </c>
      <c r="D979" s="433">
        <f>IFERROR(__xludf.DUMMYFUNCTION("""COMPUTED_VALUE"""),399.4113)</f>
        <v>399.4113</v>
      </c>
      <c r="F979" s="434">
        <f>IFERROR(__xludf.DUMMYFUNCTION("""COMPUTED_VALUE"""),45905.99861111111)</f>
        <v>45905.99861</v>
      </c>
      <c r="G979" s="433">
        <f>IFERROR(__xludf.DUMMYFUNCTION("""COMPUTED_VALUE"""),111318.7)</f>
        <v>111318.7</v>
      </c>
      <c r="H979" s="434">
        <f>IFERROR(__xludf.DUMMYFUNCTION("""COMPUTED_VALUE"""),45903.99861111111)</f>
        <v>45903.99861</v>
      </c>
      <c r="I979" s="433">
        <f>IFERROR(__xludf.DUMMYFUNCTION("""COMPUTED_VALUE"""),4326.2954)</f>
        <v>4326.2954</v>
      </c>
    </row>
    <row r="980">
      <c r="A980" s="434">
        <f>IFERROR(__xludf.DUMMYFUNCTION("""COMPUTED_VALUE"""),43616.99861111111)</f>
        <v>43616.99861</v>
      </c>
      <c r="B980" s="433">
        <f>IFERROR(__xludf.DUMMYFUNCTION("""COMPUTED_VALUE"""),8554.387)</f>
        <v>8554.387</v>
      </c>
      <c r="C980" s="434">
        <f>IFERROR(__xludf.DUMMYFUNCTION("""COMPUTED_VALUE"""),43201.99861111111)</f>
        <v>43201.99861</v>
      </c>
      <c r="D980" s="433">
        <f>IFERROR(__xludf.DUMMYFUNCTION("""COMPUTED_VALUE"""),415.0237)</f>
        <v>415.0237</v>
      </c>
      <c r="F980" s="434">
        <f>IFERROR(__xludf.DUMMYFUNCTION("""COMPUTED_VALUE"""),45906.99861111111)</f>
        <v>45906.99861</v>
      </c>
      <c r="G980" s="433">
        <f>IFERROR(__xludf.DUMMYFUNCTION("""COMPUTED_VALUE"""),111097.1)</f>
        <v>111097.1</v>
      </c>
      <c r="H980" s="434">
        <f>IFERROR(__xludf.DUMMYFUNCTION("""COMPUTED_VALUE"""),45904.99861111111)</f>
        <v>45904.99861</v>
      </c>
      <c r="I980" s="433">
        <f>IFERROR(__xludf.DUMMYFUNCTION("""COMPUTED_VALUE"""),4452.362)</f>
        <v>4452.362</v>
      </c>
    </row>
    <row r="981">
      <c r="A981" s="434">
        <f>IFERROR(__xludf.DUMMYFUNCTION("""COMPUTED_VALUE"""),43617.99861111111)</f>
        <v>43617.99861</v>
      </c>
      <c r="B981" s="433">
        <f>IFERROR(__xludf.DUMMYFUNCTION("""COMPUTED_VALUE"""),8552.642)</f>
        <v>8552.642</v>
      </c>
      <c r="C981" s="434">
        <f>IFERROR(__xludf.DUMMYFUNCTION("""COMPUTED_VALUE"""),43202.99861111111)</f>
        <v>43202.99861</v>
      </c>
      <c r="D981" s="433">
        <f>IFERROR(__xludf.DUMMYFUNCTION("""COMPUTED_VALUE"""),430.1613)</f>
        <v>430.1613</v>
      </c>
      <c r="F981" s="434">
        <f>IFERROR(__xludf.DUMMYFUNCTION("""COMPUTED_VALUE"""),45907.99861111111)</f>
        <v>45907.99861</v>
      </c>
      <c r="G981" s="433">
        <f>IFERROR(__xludf.DUMMYFUNCTION("""COMPUTED_VALUE"""),110679.5)</f>
        <v>110679.5</v>
      </c>
      <c r="H981" s="434">
        <f>IFERROR(__xludf.DUMMYFUNCTION("""COMPUTED_VALUE"""),45905.99861111111)</f>
        <v>45905.99861</v>
      </c>
      <c r="I981" s="433">
        <f>IFERROR(__xludf.DUMMYFUNCTION("""COMPUTED_VALUE"""),4299.3214)</f>
        <v>4299.3214</v>
      </c>
    </row>
    <row r="982">
      <c r="A982" s="434">
        <f>IFERROR(__xludf.DUMMYFUNCTION("""COMPUTED_VALUE"""),43618.99861111111)</f>
        <v>43618.99861</v>
      </c>
      <c r="B982" s="433">
        <f>IFERROR(__xludf.DUMMYFUNCTION("""COMPUTED_VALUE"""),8735.978)</f>
        <v>8735.978</v>
      </c>
      <c r="C982" s="434">
        <f>IFERROR(__xludf.DUMMYFUNCTION("""COMPUTED_VALUE"""),43203.99861111111)</f>
        <v>43203.99861</v>
      </c>
      <c r="D982" s="433">
        <f>IFERROR(__xludf.DUMMYFUNCTION("""COMPUTED_VALUE"""),493.1596)</f>
        <v>493.1596</v>
      </c>
      <c r="F982" s="434">
        <f>IFERROR(__xludf.DUMMYFUNCTION("""COMPUTED_VALUE"""),45908.99861111111)</f>
        <v>45908.99861</v>
      </c>
      <c r="G982" s="433">
        <f>IFERROR(__xludf.DUMMYFUNCTION("""COMPUTED_VALUE"""),111083.6)</f>
        <v>111083.6</v>
      </c>
      <c r="H982" s="434">
        <f>IFERROR(__xludf.DUMMYFUNCTION("""COMPUTED_VALUE"""),45906.99861111111)</f>
        <v>45906.99861</v>
      </c>
      <c r="I982" s="433">
        <f>IFERROR(__xludf.DUMMYFUNCTION("""COMPUTED_VALUE"""),4306.8732)</f>
        <v>4306.8732</v>
      </c>
    </row>
    <row r="983">
      <c r="A983" s="434">
        <f>IFERROR(__xludf.DUMMYFUNCTION("""COMPUTED_VALUE"""),43619.99861111111)</f>
        <v>43619.99861</v>
      </c>
      <c r="B983" s="433">
        <f>IFERROR(__xludf.DUMMYFUNCTION("""COMPUTED_VALUE"""),8110.814)</f>
        <v>8110.814</v>
      </c>
      <c r="C983" s="434">
        <f>IFERROR(__xludf.DUMMYFUNCTION("""COMPUTED_VALUE"""),43204.99861111111)</f>
        <v>43204.99861</v>
      </c>
      <c r="D983" s="433">
        <f>IFERROR(__xludf.DUMMYFUNCTION("""COMPUTED_VALUE"""),492.5804)</f>
        <v>492.5804</v>
      </c>
      <c r="F983" s="434">
        <f>IFERROR(__xludf.DUMMYFUNCTION("""COMPUTED_VALUE"""),45909.99861111111)</f>
        <v>45909.99861</v>
      </c>
      <c r="G983" s="433">
        <f>IFERROR(__xludf.DUMMYFUNCTION("""COMPUTED_VALUE"""),111718.2)</f>
        <v>111718.2</v>
      </c>
      <c r="H983" s="434">
        <f>IFERROR(__xludf.DUMMYFUNCTION("""COMPUTED_VALUE"""),45907.99861111111)</f>
        <v>45907.99861</v>
      </c>
      <c r="I983" s="433">
        <f>IFERROR(__xludf.DUMMYFUNCTION("""COMPUTED_VALUE"""),4273.7839)</f>
        <v>4273.7839</v>
      </c>
    </row>
    <row r="984">
      <c r="A984" s="434">
        <f>IFERROR(__xludf.DUMMYFUNCTION("""COMPUTED_VALUE"""),43620.99861111111)</f>
        <v>43620.99861</v>
      </c>
      <c r="B984" s="433">
        <f>IFERROR(__xludf.DUMMYFUNCTION("""COMPUTED_VALUE"""),7675.762)</f>
        <v>7675.762</v>
      </c>
      <c r="C984" s="434">
        <f>IFERROR(__xludf.DUMMYFUNCTION("""COMPUTED_VALUE"""),43205.99861111111)</f>
        <v>43205.99861</v>
      </c>
      <c r="D984" s="433">
        <f>IFERROR(__xludf.DUMMYFUNCTION("""COMPUTED_VALUE"""),502.88)</f>
        <v>502.88</v>
      </c>
      <c r="F984" s="434">
        <f>IFERROR(__xludf.DUMMYFUNCTION("""COMPUTED_VALUE"""),45910.99861111111)</f>
        <v>45910.99861</v>
      </c>
      <c r="G984" s="433">
        <f>IFERROR(__xludf.DUMMYFUNCTION("""COMPUTED_VALUE"""),111504.8)</f>
        <v>111504.8</v>
      </c>
      <c r="H984" s="434">
        <f>IFERROR(__xludf.DUMMYFUNCTION("""COMPUTED_VALUE"""),45908.99861111111)</f>
        <v>45908.99861</v>
      </c>
      <c r="I984" s="433">
        <f>IFERROR(__xludf.DUMMYFUNCTION("""COMPUTED_VALUE"""),4305.597)</f>
        <v>4305.597</v>
      </c>
    </row>
    <row r="985">
      <c r="A985" s="434">
        <f>IFERROR(__xludf.DUMMYFUNCTION("""COMPUTED_VALUE"""),43621.99861111111)</f>
        <v>43621.99861</v>
      </c>
      <c r="B985" s="433">
        <f>IFERROR(__xludf.DUMMYFUNCTION("""COMPUTED_VALUE"""),7788.414)</f>
        <v>7788.414</v>
      </c>
      <c r="C985" s="434">
        <f>IFERROR(__xludf.DUMMYFUNCTION("""COMPUTED_VALUE"""),43206.99861111111)</f>
        <v>43206.99861</v>
      </c>
      <c r="D985" s="433">
        <f>IFERROR(__xludf.DUMMYFUNCTION("""COMPUTED_VALUE"""),532.0739)</f>
        <v>532.0739</v>
      </c>
      <c r="F985" s="434">
        <f>IFERROR(__xludf.DUMMYFUNCTION("""COMPUTED_VALUE"""),45911.99861111111)</f>
        <v>45911.99861</v>
      </c>
      <c r="G985" s="433">
        <f>IFERROR(__xludf.DUMMYFUNCTION("""COMPUTED_VALUE"""),114409.8)</f>
        <v>114409.8</v>
      </c>
      <c r="H985" s="434">
        <f>IFERROR(__xludf.DUMMYFUNCTION("""COMPUTED_VALUE"""),45909.99861111111)</f>
        <v>45909.99861</v>
      </c>
      <c r="I985" s="433">
        <f>IFERROR(__xludf.DUMMYFUNCTION("""COMPUTED_VALUE"""),4306.7074)</f>
        <v>4306.7074</v>
      </c>
    </row>
    <row r="986">
      <c r="A986" s="434">
        <f>IFERROR(__xludf.DUMMYFUNCTION("""COMPUTED_VALUE"""),43622.99861111111)</f>
        <v>43622.99861</v>
      </c>
      <c r="B986" s="433">
        <f>IFERROR(__xludf.DUMMYFUNCTION("""COMPUTED_VALUE"""),7803.107)</f>
        <v>7803.107</v>
      </c>
      <c r="C986" s="434">
        <f>IFERROR(__xludf.DUMMYFUNCTION("""COMPUTED_VALUE"""),43207.99861111111)</f>
        <v>43207.99861</v>
      </c>
      <c r="D986" s="433">
        <f>IFERROR(__xludf.DUMMYFUNCTION("""COMPUTED_VALUE"""),511.145)</f>
        <v>511.145</v>
      </c>
      <c r="F986" s="434">
        <f>IFERROR(__xludf.DUMMYFUNCTION("""COMPUTED_VALUE"""),45912.99861111111)</f>
        <v>45912.99861</v>
      </c>
      <c r="G986" s="433">
        <f>IFERROR(__xludf.DUMMYFUNCTION("""COMPUTED_VALUE"""),115269.0)</f>
        <v>115269</v>
      </c>
      <c r="H986" s="434">
        <f>IFERROR(__xludf.DUMMYFUNCTION("""COMPUTED_VALUE"""),45910.99861111111)</f>
        <v>45910.99861</v>
      </c>
      <c r="I986" s="433">
        <f>IFERROR(__xludf.DUMMYFUNCTION("""COMPUTED_VALUE"""),4310.136)</f>
        <v>4310.136</v>
      </c>
    </row>
    <row r="987">
      <c r="A987" s="434">
        <f>IFERROR(__xludf.DUMMYFUNCTION("""COMPUTED_VALUE"""),43623.99861111111)</f>
        <v>43623.99861</v>
      </c>
      <c r="B987" s="433">
        <f>IFERROR(__xludf.DUMMYFUNCTION("""COMPUTED_VALUE"""),8007.554)</f>
        <v>8007.554</v>
      </c>
      <c r="C987" s="434">
        <f>IFERROR(__xludf.DUMMYFUNCTION("""COMPUTED_VALUE"""),43208.99861111111)</f>
        <v>43208.99861</v>
      </c>
      <c r="D987" s="433">
        <f>IFERROR(__xludf.DUMMYFUNCTION("""COMPUTED_VALUE"""),503.3094)</f>
        <v>503.3094</v>
      </c>
      <c r="F987" s="434">
        <f>IFERROR(__xludf.DUMMYFUNCTION("""COMPUTED_VALUE"""),45913.99861111111)</f>
        <v>45913.99861</v>
      </c>
      <c r="G987" s="433">
        <f>IFERROR(__xludf.DUMMYFUNCTION("""COMPUTED_VALUE"""),115966.3)</f>
        <v>115966.3</v>
      </c>
      <c r="H987" s="434">
        <f>IFERROR(__xludf.DUMMYFUNCTION("""COMPUTED_VALUE"""),45911.99861111111)</f>
        <v>45911.99861</v>
      </c>
      <c r="I987" s="433">
        <f>IFERROR(__xludf.DUMMYFUNCTION("""COMPUTED_VALUE"""),4348.6803)</f>
        <v>4348.6803</v>
      </c>
    </row>
    <row r="988">
      <c r="A988" s="434">
        <f>IFERROR(__xludf.DUMMYFUNCTION("""COMPUTED_VALUE"""),43624.99861111111)</f>
        <v>43624.99861</v>
      </c>
      <c r="B988" s="433">
        <f>IFERROR(__xludf.DUMMYFUNCTION("""COMPUTED_VALUE"""),7927.408)</f>
        <v>7927.408</v>
      </c>
      <c r="C988" s="434">
        <f>IFERROR(__xludf.DUMMYFUNCTION("""COMPUTED_VALUE"""),43209.99861111111)</f>
        <v>43209.99861</v>
      </c>
      <c r="D988" s="433">
        <f>IFERROR(__xludf.DUMMYFUNCTION("""COMPUTED_VALUE"""),524.0376)</f>
        <v>524.0376</v>
      </c>
      <c r="F988" s="434">
        <f>IFERROR(__xludf.DUMMYFUNCTION("""COMPUTED_VALUE"""),45914.99861111111)</f>
        <v>45914.99861</v>
      </c>
      <c r="G988" s="433">
        <f>IFERROR(__xludf.DUMMYFUNCTION("""COMPUTED_VALUE"""),115717.9)</f>
        <v>115717.9</v>
      </c>
      <c r="H988" s="434">
        <f>IFERROR(__xludf.DUMMYFUNCTION("""COMPUTED_VALUE"""),45912.99861111111)</f>
        <v>45912.99861</v>
      </c>
      <c r="I988" s="433">
        <f>IFERROR(__xludf.DUMMYFUNCTION("""COMPUTED_VALUE"""),4461.0563)</f>
        <v>4461.0563</v>
      </c>
    </row>
    <row r="989">
      <c r="A989" s="434">
        <f>IFERROR(__xludf.DUMMYFUNCTION("""COMPUTED_VALUE"""),43625.99861111111)</f>
        <v>43625.99861</v>
      </c>
      <c r="B989" s="433">
        <f>IFERROR(__xludf.DUMMYFUNCTION("""COMPUTED_VALUE"""),7636.332)</f>
        <v>7636.332</v>
      </c>
      <c r="C989" s="434">
        <f>IFERROR(__xludf.DUMMYFUNCTION("""COMPUTED_VALUE"""),43210.99861111111)</f>
        <v>43210.99861</v>
      </c>
      <c r="D989" s="433">
        <f>IFERROR(__xludf.DUMMYFUNCTION("""COMPUTED_VALUE"""),567.9893)</f>
        <v>567.9893</v>
      </c>
      <c r="F989" s="434">
        <f>IFERROR(__xludf.DUMMYFUNCTION("""COMPUTED_VALUE"""),45915.99861111111)</f>
        <v>45915.99861</v>
      </c>
      <c r="G989" s="433">
        <f>IFERROR(__xludf.DUMMYFUNCTION("""COMPUTED_VALUE"""),115537.4)</f>
        <v>115537.4</v>
      </c>
      <c r="H989" s="434">
        <f>IFERROR(__xludf.DUMMYFUNCTION("""COMPUTED_VALUE"""),45913.99861111111)</f>
        <v>45913.99861</v>
      </c>
      <c r="I989" s="433">
        <f>IFERROR(__xludf.DUMMYFUNCTION("""COMPUTED_VALUE"""),4715.1874)</f>
        <v>4715.1874</v>
      </c>
    </row>
    <row r="990">
      <c r="A990" s="434">
        <f>IFERROR(__xludf.DUMMYFUNCTION("""COMPUTED_VALUE"""),43626.99861111111)</f>
        <v>43626.99861</v>
      </c>
      <c r="B990" s="433">
        <f>IFERROR(__xludf.DUMMYFUNCTION("""COMPUTED_VALUE"""),8007.007)</f>
        <v>8007.007</v>
      </c>
      <c r="C990" s="434">
        <f>IFERROR(__xludf.DUMMYFUNCTION("""COMPUTED_VALUE"""),43211.99861111111)</f>
        <v>43211.99861</v>
      </c>
      <c r="D990" s="433">
        <f>IFERROR(__xludf.DUMMYFUNCTION("""COMPUTED_VALUE"""),616.0041)</f>
        <v>616.0041</v>
      </c>
      <c r="F990" s="434">
        <f>IFERROR(__xludf.DUMMYFUNCTION("""COMPUTED_VALUE"""),45916.99861111111)</f>
        <v>45916.99861</v>
      </c>
      <c r="G990" s="433">
        <f>IFERROR(__xludf.DUMMYFUNCTION("""COMPUTED_VALUE"""),115383.4)</f>
        <v>115383.4</v>
      </c>
      <c r="H990" s="434">
        <f>IFERROR(__xludf.DUMMYFUNCTION("""COMPUTED_VALUE"""),45914.99861111111)</f>
        <v>45914.99861</v>
      </c>
      <c r="I990" s="433">
        <f>IFERROR(__xludf.DUMMYFUNCTION("""COMPUTED_VALUE"""),4668.3273)</f>
        <v>4668.3273</v>
      </c>
    </row>
    <row r="991">
      <c r="A991" s="434">
        <f>IFERROR(__xludf.DUMMYFUNCTION("""COMPUTED_VALUE"""),43627.99861111111)</f>
        <v>43627.99861</v>
      </c>
      <c r="B991" s="433">
        <f>IFERROR(__xludf.DUMMYFUNCTION("""COMPUTED_VALUE"""),7911.261)</f>
        <v>7911.261</v>
      </c>
      <c r="C991" s="434">
        <f>IFERROR(__xludf.DUMMYFUNCTION("""COMPUTED_VALUE"""),43212.99861111111)</f>
        <v>43212.99861</v>
      </c>
      <c r="D991" s="433">
        <f>IFERROR(__xludf.DUMMYFUNCTION("""COMPUTED_VALUE"""),606.1194)</f>
        <v>606.1194</v>
      </c>
      <c r="F991" s="434">
        <f>IFERROR(__xludf.DUMMYFUNCTION("""COMPUTED_VALUE"""),45917.99861111111)</f>
        <v>45917.99861</v>
      </c>
      <c r="G991" s="433">
        <f>IFERROR(__xludf.DUMMYFUNCTION("""COMPUTED_VALUE"""),116474.5)</f>
        <v>116474.5</v>
      </c>
      <c r="H991" s="434">
        <f>IFERROR(__xludf.DUMMYFUNCTION("""COMPUTED_VALUE"""),45915.99861111111)</f>
        <v>45915.99861</v>
      </c>
      <c r="I991" s="433">
        <f>IFERROR(__xludf.DUMMYFUNCTION("""COMPUTED_VALUE"""),4608.2422)</f>
        <v>4608.2422</v>
      </c>
    </row>
    <row r="992">
      <c r="A992" s="434">
        <f>IFERROR(__xludf.DUMMYFUNCTION("""COMPUTED_VALUE"""),43628.99861111111)</f>
        <v>43628.99861</v>
      </c>
      <c r="B992" s="433">
        <f>IFERROR(__xludf.DUMMYFUNCTION("""COMPUTED_VALUE"""),8161.967)</f>
        <v>8161.967</v>
      </c>
      <c r="C992" s="434">
        <f>IFERROR(__xludf.DUMMYFUNCTION("""COMPUTED_VALUE"""),43213.99861111111)</f>
        <v>43213.99861</v>
      </c>
      <c r="D992" s="433">
        <f>IFERROR(__xludf.DUMMYFUNCTION("""COMPUTED_VALUE"""),621.1987)</f>
        <v>621.1987</v>
      </c>
      <c r="F992" s="434">
        <f>IFERROR(__xludf.DUMMYFUNCTION("""COMPUTED_VALUE"""),45918.99861111111)</f>
        <v>45918.99861</v>
      </c>
      <c r="G992" s="433">
        <f>IFERROR(__xludf.DUMMYFUNCTION("""COMPUTED_VALUE"""),117656.3)</f>
        <v>117656.3</v>
      </c>
      <c r="H992" s="434">
        <f>IFERROR(__xludf.DUMMYFUNCTION("""COMPUTED_VALUE"""),45916.99861111111)</f>
        <v>45916.99861</v>
      </c>
      <c r="I992" s="433">
        <f>IFERROR(__xludf.DUMMYFUNCTION("""COMPUTED_VALUE"""),4525.4244)</f>
        <v>4525.4244</v>
      </c>
    </row>
    <row r="993">
      <c r="A993" s="434">
        <f>IFERROR(__xludf.DUMMYFUNCTION("""COMPUTED_VALUE"""),43629.99861111111)</f>
        <v>43629.99861</v>
      </c>
      <c r="B993" s="433">
        <f>IFERROR(__xludf.DUMMYFUNCTION("""COMPUTED_VALUE"""),8231.103)</f>
        <v>8231.103</v>
      </c>
      <c r="C993" s="434">
        <f>IFERROR(__xludf.DUMMYFUNCTION("""COMPUTED_VALUE"""),43214.99861111111)</f>
        <v>43214.99861</v>
      </c>
      <c r="D993" s="433">
        <f>IFERROR(__xludf.DUMMYFUNCTION("""COMPUTED_VALUE"""),643.3982)</f>
        <v>643.3982</v>
      </c>
      <c r="F993" s="434">
        <f>IFERROR(__xludf.DUMMYFUNCTION("""COMPUTED_VALUE"""),45919.99861111111)</f>
        <v>45919.99861</v>
      </c>
      <c r="G993" s="433">
        <f>IFERROR(__xludf.DUMMYFUNCTION("""COMPUTED_VALUE"""),117005.3)</f>
        <v>117005.3</v>
      </c>
      <c r="H993" s="434">
        <f>IFERROR(__xludf.DUMMYFUNCTION("""COMPUTED_VALUE"""),45917.99861111111)</f>
        <v>45917.99861</v>
      </c>
      <c r="I993" s="433">
        <f>IFERROR(__xludf.DUMMYFUNCTION("""COMPUTED_VALUE"""),4503.9323)</f>
        <v>4503.9323</v>
      </c>
    </row>
    <row r="994">
      <c r="A994" s="434">
        <f>IFERROR(__xludf.DUMMYFUNCTION("""COMPUTED_VALUE"""),43630.99861111111)</f>
        <v>43630.99861</v>
      </c>
      <c r="B994" s="433">
        <f>IFERROR(__xludf.DUMMYFUNCTION("""COMPUTED_VALUE"""),8693.585)</f>
        <v>8693.585</v>
      </c>
      <c r="C994" s="434">
        <f>IFERROR(__xludf.DUMMYFUNCTION("""COMPUTED_VALUE"""),43215.99861111111)</f>
        <v>43215.99861</v>
      </c>
      <c r="D994" s="433">
        <f>IFERROR(__xludf.DUMMYFUNCTION("""COMPUTED_VALUE"""),707.0625)</f>
        <v>707.0625</v>
      </c>
      <c r="F994" s="434">
        <f>IFERROR(__xludf.DUMMYFUNCTION("""COMPUTED_VALUE"""),45920.99861111111)</f>
        <v>45920.99861</v>
      </c>
      <c r="G994" s="433">
        <f>IFERROR(__xludf.DUMMYFUNCTION("""COMPUTED_VALUE"""),115543.5)</f>
        <v>115543.5</v>
      </c>
      <c r="H994" s="434">
        <f>IFERROR(__xludf.DUMMYFUNCTION("""COMPUTED_VALUE"""),45918.99861111111)</f>
        <v>45918.99861</v>
      </c>
      <c r="I994" s="433">
        <f>IFERROR(__xludf.DUMMYFUNCTION("""COMPUTED_VALUE"""),4592.6435)</f>
        <v>4592.6435</v>
      </c>
    </row>
    <row r="995">
      <c r="A995" s="434">
        <f>IFERROR(__xludf.DUMMYFUNCTION("""COMPUTED_VALUE"""),43631.99861111111)</f>
        <v>43631.99861</v>
      </c>
      <c r="B995" s="433">
        <f>IFERROR(__xludf.DUMMYFUNCTION("""COMPUTED_VALUE"""),8852.57)</f>
        <v>8852.57</v>
      </c>
      <c r="C995" s="434">
        <f>IFERROR(__xludf.DUMMYFUNCTION("""COMPUTED_VALUE"""),43216.99861111111)</f>
        <v>43216.99861</v>
      </c>
      <c r="D995" s="433">
        <f>IFERROR(__xludf.DUMMYFUNCTION("""COMPUTED_VALUE"""),618.0788)</f>
        <v>618.0788</v>
      </c>
      <c r="F995" s="434">
        <f>IFERROR(__xludf.DUMMYFUNCTION("""COMPUTED_VALUE"""),45921.99861111111)</f>
        <v>45921.99861</v>
      </c>
      <c r="G995" s="433">
        <f>IFERROR(__xludf.DUMMYFUNCTION("""COMPUTED_VALUE"""),115706.1)</f>
        <v>115706.1</v>
      </c>
      <c r="H995" s="434">
        <f>IFERROR(__xludf.DUMMYFUNCTION("""COMPUTED_VALUE"""),45919.99861111111)</f>
        <v>45919.99861</v>
      </c>
      <c r="I995" s="433">
        <f>IFERROR(__xludf.DUMMYFUNCTION("""COMPUTED_VALUE"""),4589.552)</f>
        <v>4589.552</v>
      </c>
    </row>
    <row r="996">
      <c r="A996" s="434">
        <f>IFERROR(__xludf.DUMMYFUNCTION("""COMPUTED_VALUE"""),43632.99861111111)</f>
        <v>43632.99861</v>
      </c>
      <c r="B996" s="433">
        <f>IFERROR(__xludf.DUMMYFUNCTION("""COMPUTED_VALUE"""),8973.007)</f>
        <v>8973.007</v>
      </c>
      <c r="C996" s="434">
        <f>IFERROR(__xludf.DUMMYFUNCTION("""COMPUTED_VALUE"""),43217.99861111111)</f>
        <v>43217.99861</v>
      </c>
      <c r="D996" s="433">
        <f>IFERROR(__xludf.DUMMYFUNCTION("""COMPUTED_VALUE"""),662.1093)</f>
        <v>662.1093</v>
      </c>
      <c r="F996" s="434">
        <f>IFERROR(__xludf.DUMMYFUNCTION("""COMPUTED_VALUE"""),45922.99861111111)</f>
        <v>45922.99861</v>
      </c>
      <c r="G996" s="433">
        <f>IFERROR(__xludf.DUMMYFUNCTION("""COMPUTED_VALUE"""),114688.9)</f>
        <v>114688.9</v>
      </c>
      <c r="H996" s="434">
        <f>IFERROR(__xludf.DUMMYFUNCTION("""COMPUTED_VALUE"""),45920.99861111111)</f>
        <v>45920.99861</v>
      </c>
      <c r="I996" s="433">
        <f>IFERROR(__xludf.DUMMYFUNCTION("""COMPUTED_VALUE"""),4471.1467)</f>
        <v>4471.1467</v>
      </c>
    </row>
    <row r="997">
      <c r="A997" s="434">
        <f>IFERROR(__xludf.DUMMYFUNCTION("""COMPUTED_VALUE"""),43633.99861111111)</f>
        <v>43633.99861</v>
      </c>
      <c r="B997" s="433">
        <f>IFERROR(__xludf.DUMMYFUNCTION("""COMPUTED_VALUE"""),9331.599)</f>
        <v>9331.599</v>
      </c>
      <c r="C997" s="434">
        <f>IFERROR(__xludf.DUMMYFUNCTION("""COMPUTED_VALUE"""),43218.99861111111)</f>
        <v>43218.99861</v>
      </c>
      <c r="D997" s="433">
        <f>IFERROR(__xludf.DUMMYFUNCTION("""COMPUTED_VALUE"""),644.6458)</f>
        <v>644.6458</v>
      </c>
      <c r="F997" s="434">
        <f>IFERROR(__xludf.DUMMYFUNCTION("""COMPUTED_VALUE"""),45923.99861111111)</f>
        <v>45923.99861</v>
      </c>
      <c r="G997" s="433">
        <f>IFERROR(__xludf.DUMMYFUNCTION("""COMPUTED_VALUE"""),112387.7)</f>
        <v>112387.7</v>
      </c>
      <c r="H997" s="434">
        <f>IFERROR(__xludf.DUMMYFUNCTION("""COMPUTED_VALUE"""),45921.99861111111)</f>
        <v>45921.99861</v>
      </c>
      <c r="I997" s="433">
        <f>IFERROR(__xludf.DUMMYFUNCTION("""COMPUTED_VALUE"""),4482.1679)</f>
        <v>4482.1679</v>
      </c>
    </row>
    <row r="998">
      <c r="A998" s="434">
        <f>IFERROR(__xludf.DUMMYFUNCTION("""COMPUTED_VALUE"""),43634.99861111111)</f>
        <v>43634.99861</v>
      </c>
      <c r="B998" s="433">
        <f>IFERROR(__xludf.DUMMYFUNCTION("""COMPUTED_VALUE"""),9074.902)</f>
        <v>9074.902</v>
      </c>
      <c r="C998" s="434">
        <f>IFERROR(__xludf.DUMMYFUNCTION("""COMPUTED_VALUE"""),43219.99861111111)</f>
        <v>43219.99861</v>
      </c>
      <c r="D998" s="433">
        <f>IFERROR(__xludf.DUMMYFUNCTION("""COMPUTED_VALUE"""),683.9116)</f>
        <v>683.9116</v>
      </c>
      <c r="F998" s="434">
        <f>IFERROR(__xludf.DUMMYFUNCTION("""COMPUTED_VALUE"""),45924.99861111111)</f>
        <v>45924.99861</v>
      </c>
      <c r="G998" s="433">
        <f>IFERROR(__xludf.DUMMYFUNCTION("""COMPUTED_VALUE"""),111792.0)</f>
        <v>111792</v>
      </c>
      <c r="H998" s="434">
        <f>IFERROR(__xludf.DUMMYFUNCTION("""COMPUTED_VALUE"""),45922.99861111111)</f>
        <v>45922.99861</v>
      </c>
      <c r="I998" s="433">
        <f>IFERROR(__xludf.DUMMYFUNCTION("""COMPUTED_VALUE"""),4447.8268)</f>
        <v>4447.8268</v>
      </c>
    </row>
    <row r="999">
      <c r="A999" s="434">
        <f>IFERROR(__xludf.DUMMYFUNCTION("""COMPUTED_VALUE"""),43635.99861111111)</f>
        <v>43635.99861</v>
      </c>
      <c r="B999" s="433">
        <f>IFERROR(__xludf.DUMMYFUNCTION("""COMPUTED_VALUE"""),9276.275)</f>
        <v>9276.275</v>
      </c>
      <c r="C999" s="434">
        <f>IFERROR(__xludf.DUMMYFUNCTION("""COMPUTED_VALUE"""),43220.99861111111)</f>
        <v>43220.99861</v>
      </c>
      <c r="D999" s="433">
        <f>IFERROR(__xludf.DUMMYFUNCTION("""COMPUTED_VALUE"""),689.7611)</f>
        <v>689.7611</v>
      </c>
      <c r="F999" s="434">
        <f>IFERROR(__xludf.DUMMYFUNCTION("""COMPUTED_VALUE"""),45925.99861111111)</f>
        <v>45925.99861</v>
      </c>
      <c r="G999" s="433">
        <f>IFERROR(__xludf.DUMMYFUNCTION("""COMPUTED_VALUE"""),112605.5)</f>
        <v>112605.5</v>
      </c>
      <c r="H999" s="434">
        <f>IFERROR(__xludf.DUMMYFUNCTION("""COMPUTED_VALUE"""),45923.99861111111)</f>
        <v>45923.99861</v>
      </c>
      <c r="I999" s="433">
        <f>IFERROR(__xludf.DUMMYFUNCTION("""COMPUTED_VALUE"""),4203.0342)</f>
        <v>4203.0342</v>
      </c>
    </row>
    <row r="1000">
      <c r="A1000" s="434">
        <f>IFERROR(__xludf.DUMMYFUNCTION("""COMPUTED_VALUE"""),43636.99861111111)</f>
        <v>43636.99861</v>
      </c>
      <c r="B1000" s="433">
        <f>IFERROR(__xludf.DUMMYFUNCTION("""COMPUTED_VALUE"""),9534.129)</f>
        <v>9534.129</v>
      </c>
      <c r="C1000" s="434">
        <f>IFERROR(__xludf.DUMMYFUNCTION("""COMPUTED_VALUE"""),43221.99861111111)</f>
        <v>43221.99861</v>
      </c>
      <c r="D1000" s="433">
        <f>IFERROR(__xludf.DUMMYFUNCTION("""COMPUTED_VALUE"""),670.4634)</f>
        <v>670.4634</v>
      </c>
      <c r="F1000" s="434">
        <f>IFERROR(__xludf.DUMMYFUNCTION("""COMPUTED_VALUE"""),45926.99861111111)</f>
        <v>45926.99861</v>
      </c>
      <c r="G1000" s="433">
        <f>IFERROR(__xludf.DUMMYFUNCTION("""COMPUTED_VALUE"""),109653.5)</f>
        <v>109653.5</v>
      </c>
      <c r="H1000" s="434">
        <f>IFERROR(__xludf.DUMMYFUNCTION("""COMPUTED_VALUE"""),45924.99861111111)</f>
        <v>45924.99861</v>
      </c>
      <c r="I1000" s="433">
        <f>IFERROR(__xludf.DUMMYFUNCTION("""COMPUTED_VALUE"""),4164.8868)</f>
        <v>4164.8868</v>
      </c>
    </row>
    <row r="1001">
      <c r="A1001" s="434">
        <f>IFERROR(__xludf.DUMMYFUNCTION("""COMPUTED_VALUE"""),43637.99861111111)</f>
        <v>43637.99861</v>
      </c>
      <c r="B1001" s="433">
        <f>IFERROR(__xludf.DUMMYFUNCTION("""COMPUTED_VALUE"""),10210.77)</f>
        <v>10210.77</v>
      </c>
      <c r="C1001" s="434">
        <f>IFERROR(__xludf.DUMMYFUNCTION("""COMPUTED_VALUE"""),43222.99861111111)</f>
        <v>43222.99861</v>
      </c>
      <c r="D1001" s="433">
        <f>IFERROR(__xludf.DUMMYFUNCTION("""COMPUTED_VALUE"""),674.0751)</f>
        <v>674.0751</v>
      </c>
      <c r="F1001" s="434">
        <f>IFERROR(__xludf.DUMMYFUNCTION("""COMPUTED_VALUE"""),45927.99861111111)</f>
        <v>45927.99861</v>
      </c>
      <c r="G1001" s="433">
        <f>IFERROR(__xludf.DUMMYFUNCTION("""COMPUTED_VALUE"""),109648.7)</f>
        <v>109648.7</v>
      </c>
      <c r="H1001" s="434">
        <f>IFERROR(__xludf.DUMMYFUNCTION("""COMPUTED_VALUE"""),45925.99861111111)</f>
        <v>45925.99861</v>
      </c>
      <c r="I1001" s="433">
        <f>IFERROR(__xludf.DUMMYFUNCTION("""COMPUTED_VALUE"""),4153.8879)</f>
        <v>4153.8879</v>
      </c>
    </row>
    <row r="1002">
      <c r="A1002" s="434">
        <f>IFERROR(__xludf.DUMMYFUNCTION("""COMPUTED_VALUE"""),43638.99861111111)</f>
        <v>43638.99861</v>
      </c>
      <c r="B1002" s="433">
        <f>IFERROR(__xludf.DUMMYFUNCTION("""COMPUTED_VALUE"""),10703.1)</f>
        <v>10703.1</v>
      </c>
      <c r="C1002" s="434">
        <f>IFERROR(__xludf.DUMMYFUNCTION("""COMPUTED_VALUE"""),43223.99861111111)</f>
        <v>43223.99861</v>
      </c>
      <c r="D1002" s="433">
        <f>IFERROR(__xludf.DUMMYFUNCTION("""COMPUTED_VALUE"""),686.5909)</f>
        <v>686.5909</v>
      </c>
      <c r="F1002" s="434">
        <f>IFERROR(__xludf.DUMMYFUNCTION("""COMPUTED_VALUE"""),45928.99861111111)</f>
        <v>45928.99861</v>
      </c>
      <c r="G1002" s="433">
        <f>IFERROR(__xludf.DUMMYFUNCTION("""COMPUTED_VALUE"""),109587.9)</f>
        <v>109587.9</v>
      </c>
      <c r="H1002" s="434">
        <f>IFERROR(__xludf.DUMMYFUNCTION("""COMPUTED_VALUE"""),45926.99861111111)</f>
        <v>45926.99861</v>
      </c>
      <c r="I1002" s="433">
        <f>IFERROR(__xludf.DUMMYFUNCTION("""COMPUTED_VALUE"""),3873.3985)</f>
        <v>3873.3985</v>
      </c>
    </row>
    <row r="1003">
      <c r="A1003" s="434">
        <f>IFERROR(__xludf.DUMMYFUNCTION("""COMPUTED_VALUE"""),43639.99861111111)</f>
        <v>43639.99861</v>
      </c>
      <c r="B1003" s="433">
        <f>IFERROR(__xludf.DUMMYFUNCTION("""COMPUTED_VALUE"""),10859.55)</f>
        <v>10859.55</v>
      </c>
      <c r="C1003" s="434">
        <f>IFERROR(__xludf.DUMMYFUNCTION("""COMPUTED_VALUE"""),43224.99861111111)</f>
        <v>43224.99861</v>
      </c>
      <c r="D1003" s="433">
        <f>IFERROR(__xludf.DUMMYFUNCTION("""COMPUTED_VALUE"""),776.7747)</f>
        <v>776.7747</v>
      </c>
      <c r="F1003" s="434">
        <f>IFERROR(__xludf.DUMMYFUNCTION("""COMPUTED_VALUE"""),45929.99861111111)</f>
        <v>45929.99861</v>
      </c>
      <c r="G1003" s="433">
        <f>IFERROR(__xludf.DUMMYFUNCTION("""COMPUTED_VALUE"""),111908.8)</f>
        <v>111908.8</v>
      </c>
      <c r="H1003" s="434">
        <f>IFERROR(__xludf.DUMMYFUNCTION("""COMPUTED_VALUE"""),45927.99861111111)</f>
        <v>45927.99861</v>
      </c>
      <c r="I1003" s="433">
        <f>IFERROR(__xludf.DUMMYFUNCTION("""COMPUTED_VALUE"""),4035.4631)</f>
        <v>4035.4631</v>
      </c>
    </row>
    <row r="1004">
      <c r="A1004" s="434">
        <f>IFERROR(__xludf.DUMMYFUNCTION("""COMPUTED_VALUE"""),43640.99861111111)</f>
        <v>43640.99861</v>
      </c>
      <c r="B1004" s="433">
        <f>IFERROR(__xludf.DUMMYFUNCTION("""COMPUTED_VALUE"""),11037.08)</f>
        <v>11037.08</v>
      </c>
      <c r="C1004" s="434">
        <f>IFERROR(__xludf.DUMMYFUNCTION("""COMPUTED_VALUE"""),43225.99861111111)</f>
        <v>43225.99861</v>
      </c>
      <c r="D1004" s="433">
        <f>IFERROR(__xludf.DUMMYFUNCTION("""COMPUTED_VALUE"""),784.5829)</f>
        <v>784.5829</v>
      </c>
      <c r="F1004" s="434">
        <f>IFERROR(__xludf.DUMMYFUNCTION("""COMPUTED_VALUE"""),45930.99861111111)</f>
        <v>45930.99861</v>
      </c>
      <c r="G1004" s="433">
        <f>IFERROR(__xludf.DUMMYFUNCTION("""COMPUTED_VALUE"""),114433.1)</f>
        <v>114433.1</v>
      </c>
      <c r="H1004" s="434">
        <f>IFERROR(__xludf.DUMMYFUNCTION("""COMPUTED_VALUE"""),45928.99861111111)</f>
        <v>45928.99861</v>
      </c>
      <c r="I1004" s="433">
        <f>IFERROR(__xludf.DUMMYFUNCTION("""COMPUTED_VALUE"""),4019.5165)</f>
        <v>4019.5165</v>
      </c>
    </row>
    <row r="1005">
      <c r="A1005" s="434">
        <f>IFERROR(__xludf.DUMMYFUNCTION("""COMPUTED_VALUE"""),43641.99861111111)</f>
        <v>43641.99861</v>
      </c>
      <c r="B1005" s="433">
        <f>IFERROR(__xludf.DUMMYFUNCTION("""COMPUTED_VALUE"""),11740.15)</f>
        <v>11740.15</v>
      </c>
      <c r="C1005" s="434">
        <f>IFERROR(__xludf.DUMMYFUNCTION("""COMPUTED_VALUE"""),43226.99861111111)</f>
        <v>43226.99861</v>
      </c>
      <c r="D1005" s="433">
        <f>IFERROR(__xludf.DUMMYFUNCTION("""COMPUTED_VALUE"""),816.0876)</f>
        <v>816.0876</v>
      </c>
      <c r="F1005" s="434">
        <f>IFERROR(__xludf.DUMMYFUNCTION("""COMPUTED_VALUE"""),45931.99861111111)</f>
        <v>45931.99861</v>
      </c>
      <c r="G1005" s="433">
        <f>IFERROR(__xludf.DUMMYFUNCTION("""COMPUTED_VALUE"""),114193.7)</f>
        <v>114193.7</v>
      </c>
      <c r="H1005" s="434">
        <f>IFERROR(__xludf.DUMMYFUNCTION("""COMPUTED_VALUE"""),45929.99861111111)</f>
        <v>45929.99861</v>
      </c>
      <c r="I1005" s="433">
        <f>IFERROR(__xludf.DUMMYFUNCTION("""COMPUTED_VALUE"""),4144.5016)</f>
        <v>4144.5016</v>
      </c>
    </row>
    <row r="1006">
      <c r="A1006" s="434">
        <f>IFERROR(__xludf.DUMMYFUNCTION("""COMPUTED_VALUE"""),43642.99861111111)</f>
        <v>43642.99861</v>
      </c>
      <c r="B1006" s="433">
        <f>IFERROR(__xludf.DUMMYFUNCTION("""COMPUTED_VALUE"""),12938.37)</f>
        <v>12938.37</v>
      </c>
      <c r="C1006" s="434">
        <f>IFERROR(__xludf.DUMMYFUNCTION("""COMPUTED_VALUE"""),43227.99861111111)</f>
        <v>43227.99861</v>
      </c>
      <c r="D1006" s="433">
        <f>IFERROR(__xludf.DUMMYFUNCTION("""COMPUTED_VALUE"""),793.3393)</f>
        <v>793.3393</v>
      </c>
      <c r="F1006" s="434">
        <f>IFERROR(__xludf.DUMMYFUNCTION("""COMPUTED_VALUE"""),45932.99861111111)</f>
        <v>45932.99861</v>
      </c>
      <c r="G1006" s="433">
        <f>IFERROR(__xludf.DUMMYFUNCTION("""COMPUTED_VALUE"""),118786.4)</f>
        <v>118786.4</v>
      </c>
      <c r="H1006" s="434">
        <f>IFERROR(__xludf.DUMMYFUNCTION("""COMPUTED_VALUE"""),45930.99861111111)</f>
        <v>45930.99861</v>
      </c>
      <c r="I1006" s="433">
        <f>IFERROR(__xludf.DUMMYFUNCTION("""COMPUTED_VALUE"""),4217.5902)</f>
        <v>4217.5902</v>
      </c>
    </row>
    <row r="1007">
      <c r="A1007" s="434">
        <f>IFERROR(__xludf.DUMMYFUNCTION("""COMPUTED_VALUE"""),43643.99861111111)</f>
        <v>43643.99861</v>
      </c>
      <c r="B1007" s="433">
        <f>IFERROR(__xludf.DUMMYFUNCTION("""COMPUTED_VALUE"""),11133.89)</f>
        <v>11133.89</v>
      </c>
      <c r="C1007" s="434">
        <f>IFERROR(__xludf.DUMMYFUNCTION("""COMPUTED_VALUE"""),43228.99861111111)</f>
        <v>43228.99861</v>
      </c>
      <c r="D1007" s="433">
        <f>IFERROR(__xludf.DUMMYFUNCTION("""COMPUTED_VALUE"""),755.009)</f>
        <v>755.009</v>
      </c>
      <c r="F1007" s="434">
        <f>IFERROR(__xludf.DUMMYFUNCTION("""COMPUTED_VALUE"""),45933.99861111111)</f>
        <v>45933.99861</v>
      </c>
      <c r="G1007" s="433">
        <f>IFERROR(__xludf.DUMMYFUNCTION("""COMPUTED_VALUE"""),120281.6)</f>
        <v>120281.6</v>
      </c>
      <c r="H1007" s="434">
        <f>IFERROR(__xludf.DUMMYFUNCTION("""COMPUTED_VALUE"""),45931.99861111111)</f>
        <v>45931.99861</v>
      </c>
      <c r="I1007" s="433">
        <f>IFERROR(__xludf.DUMMYFUNCTION("""COMPUTED_VALUE"""),4145.6462)</f>
        <v>4145.6462</v>
      </c>
    </row>
    <row r="1008">
      <c r="A1008" s="434">
        <f>IFERROR(__xludf.DUMMYFUNCTION("""COMPUTED_VALUE"""),43644.99861111111)</f>
        <v>43644.99861</v>
      </c>
      <c r="B1008" s="433">
        <f>IFERROR(__xludf.DUMMYFUNCTION("""COMPUTED_VALUE"""),12363.4)</f>
        <v>12363.4</v>
      </c>
      <c r="C1008" s="434">
        <f>IFERROR(__xludf.DUMMYFUNCTION("""COMPUTED_VALUE"""),43229.99861111111)</f>
        <v>43229.99861</v>
      </c>
      <c r="D1008" s="433">
        <f>IFERROR(__xludf.DUMMYFUNCTION("""COMPUTED_VALUE"""),752.9022)</f>
        <v>752.9022</v>
      </c>
      <c r="F1008" s="434">
        <f>IFERROR(__xludf.DUMMYFUNCTION("""COMPUTED_VALUE"""),45934.99861111111)</f>
        <v>45934.99861</v>
      </c>
      <c r="G1008" s="433">
        <f>IFERROR(__xludf.DUMMYFUNCTION("""COMPUTED_VALUE"""),122260.8)</f>
        <v>122260.8</v>
      </c>
      <c r="H1008" s="434">
        <f>IFERROR(__xludf.DUMMYFUNCTION("""COMPUTED_VALUE"""),45932.99861111111)</f>
        <v>45932.99861</v>
      </c>
      <c r="I1008" s="433">
        <f>IFERROR(__xludf.DUMMYFUNCTION("""COMPUTED_VALUE"""),4349.7263)</f>
        <v>4349.7263</v>
      </c>
    </row>
    <row r="1009">
      <c r="A1009" s="434">
        <f>IFERROR(__xludf.DUMMYFUNCTION("""COMPUTED_VALUE"""),43645.99861111111)</f>
        <v>43645.99861</v>
      </c>
      <c r="B1009" s="433">
        <f>IFERROR(__xludf.DUMMYFUNCTION("""COMPUTED_VALUE"""),11893.99)</f>
        <v>11893.99</v>
      </c>
      <c r="C1009" s="434">
        <f>IFERROR(__xludf.DUMMYFUNCTION("""COMPUTED_VALUE"""),43230.99861111111)</f>
        <v>43230.99861</v>
      </c>
      <c r="D1009" s="433">
        <f>IFERROR(__xludf.DUMMYFUNCTION("""COMPUTED_VALUE"""),752.5793)</f>
        <v>752.5793</v>
      </c>
      <c r="F1009" s="434">
        <f>IFERROR(__xludf.DUMMYFUNCTION("""COMPUTED_VALUE"""),45935.99861111111)</f>
        <v>45935.99861</v>
      </c>
      <c r="G1009" s="433">
        <f>IFERROR(__xludf.DUMMYFUNCTION("""COMPUTED_VALUE"""),123742.9)</f>
        <v>123742.9</v>
      </c>
      <c r="H1009" s="434">
        <f>IFERROR(__xludf.DUMMYFUNCTION("""COMPUTED_VALUE"""),45933.99861111111)</f>
        <v>45933.99861</v>
      </c>
      <c r="I1009" s="433">
        <f>IFERROR(__xludf.DUMMYFUNCTION("""COMPUTED_VALUE"""),4487.2723)</f>
        <v>4487.2723</v>
      </c>
    </row>
    <row r="1010">
      <c r="A1010" s="434">
        <f>IFERROR(__xludf.DUMMYFUNCTION("""COMPUTED_VALUE"""),43646.99861111111)</f>
        <v>43646.99861</v>
      </c>
      <c r="B1010" s="433">
        <f>IFERROR(__xludf.DUMMYFUNCTION("""COMPUTED_VALUE"""),10769.18)</f>
        <v>10769.18</v>
      </c>
      <c r="C1010" s="434">
        <f>IFERROR(__xludf.DUMMYFUNCTION("""COMPUTED_VALUE"""),43231.99861111111)</f>
        <v>43231.99861</v>
      </c>
      <c r="D1010" s="433">
        <f>IFERROR(__xludf.DUMMYFUNCTION("""COMPUTED_VALUE"""),727.0125)</f>
        <v>727.0125</v>
      </c>
      <c r="F1010" s="434">
        <f>IFERROR(__xludf.DUMMYFUNCTION("""COMPUTED_VALUE"""),45936.99861111111)</f>
        <v>45936.99861</v>
      </c>
      <c r="G1010" s="433">
        <f>IFERROR(__xludf.DUMMYFUNCTION("""COMPUTED_VALUE"""),123857.1)</f>
        <v>123857.1</v>
      </c>
      <c r="H1010" s="434">
        <f>IFERROR(__xludf.DUMMYFUNCTION("""COMPUTED_VALUE"""),45934.99861111111)</f>
        <v>45934.99861</v>
      </c>
      <c r="I1010" s="433">
        <f>IFERROR(__xludf.DUMMYFUNCTION("""COMPUTED_VALUE"""),4514.7874)</f>
        <v>4514.7874</v>
      </c>
    </row>
    <row r="1011">
      <c r="A1011" s="434">
        <f>IFERROR(__xludf.DUMMYFUNCTION("""COMPUTED_VALUE"""),43647.99861111111)</f>
        <v>43647.99861</v>
      </c>
      <c r="B1011" s="433">
        <f>IFERROR(__xludf.DUMMYFUNCTION("""COMPUTED_VALUE"""),10588.54)</f>
        <v>10588.54</v>
      </c>
      <c r="C1011" s="434">
        <f>IFERROR(__xludf.DUMMYFUNCTION("""COMPUTED_VALUE"""),43232.99861111111)</f>
        <v>43232.99861</v>
      </c>
      <c r="D1011" s="433">
        <f>IFERROR(__xludf.DUMMYFUNCTION("""COMPUTED_VALUE"""),679.8766)</f>
        <v>679.8766</v>
      </c>
      <c r="F1011" s="434">
        <f>IFERROR(__xludf.DUMMYFUNCTION("""COMPUTED_VALUE"""),45937.99861111111)</f>
        <v>45937.99861</v>
      </c>
      <c r="G1011" s="433">
        <f>IFERROR(__xludf.DUMMYFUNCTION("""COMPUTED_VALUE"""),124310.6)</f>
        <v>124310.6</v>
      </c>
      <c r="H1011" s="434">
        <f>IFERROR(__xludf.DUMMYFUNCTION("""COMPUTED_VALUE"""),45935.99861111111)</f>
        <v>45935.99861</v>
      </c>
      <c r="I1011" s="433">
        <f>IFERROR(__xludf.DUMMYFUNCTION("""COMPUTED_VALUE"""),4489.2773)</f>
        <v>4489.2773</v>
      </c>
    </row>
    <row r="1012">
      <c r="A1012" s="434">
        <f>IFERROR(__xludf.DUMMYFUNCTION("""COMPUTED_VALUE"""),43648.99861111111)</f>
        <v>43648.99861</v>
      </c>
      <c r="B1012" s="433">
        <f>IFERROR(__xludf.DUMMYFUNCTION("""COMPUTED_VALUE"""),10837.34)</f>
        <v>10837.34</v>
      </c>
      <c r="C1012" s="434">
        <f>IFERROR(__xludf.DUMMYFUNCTION("""COMPUTED_VALUE"""),43233.99861111111)</f>
        <v>43233.99861</v>
      </c>
      <c r="D1012" s="433">
        <f>IFERROR(__xludf.DUMMYFUNCTION("""COMPUTED_VALUE"""),687.1748)</f>
        <v>687.1748</v>
      </c>
      <c r="F1012" s="434">
        <f>IFERROR(__xludf.DUMMYFUNCTION("""COMPUTED_VALUE"""),45938.99861111111)</f>
        <v>45938.99861</v>
      </c>
      <c r="G1012" s="433">
        <f>IFERROR(__xludf.DUMMYFUNCTION("""COMPUTED_VALUE"""),121424.4)</f>
        <v>121424.4</v>
      </c>
      <c r="H1012" s="434">
        <f>IFERROR(__xludf.DUMMYFUNCTION("""COMPUTED_VALUE"""),45936.99861111111)</f>
        <v>45936.99861</v>
      </c>
      <c r="I1012" s="433">
        <f>IFERROR(__xludf.DUMMYFUNCTION("""COMPUTED_VALUE"""),4515.222)</f>
        <v>4515.222</v>
      </c>
    </row>
    <row r="1013">
      <c r="A1013" s="434">
        <f>IFERROR(__xludf.DUMMYFUNCTION("""COMPUTED_VALUE"""),43649.99861111111)</f>
        <v>43649.99861</v>
      </c>
      <c r="B1013" s="433">
        <f>IFERROR(__xludf.DUMMYFUNCTION("""COMPUTED_VALUE"""),11972.06)</f>
        <v>11972.06</v>
      </c>
      <c r="C1013" s="434">
        <f>IFERROR(__xludf.DUMMYFUNCTION("""COMPUTED_VALUE"""),43234.99861111111)</f>
        <v>43234.99861</v>
      </c>
      <c r="D1013" s="433">
        <f>IFERROR(__xludf.DUMMYFUNCTION("""COMPUTED_VALUE"""),732.7333)</f>
        <v>732.7333</v>
      </c>
      <c r="F1013" s="434">
        <f>IFERROR(__xludf.DUMMYFUNCTION("""COMPUTED_VALUE"""),45939.99861111111)</f>
        <v>45939.99861</v>
      </c>
      <c r="G1013" s="433">
        <f>IFERROR(__xludf.DUMMYFUNCTION("""COMPUTED_VALUE"""),122059.6)</f>
        <v>122059.6</v>
      </c>
      <c r="H1013" s="434">
        <f>IFERROR(__xludf.DUMMYFUNCTION("""COMPUTED_VALUE"""),45937.99861111111)</f>
        <v>45937.99861</v>
      </c>
      <c r="I1013" s="433">
        <f>IFERROR(__xludf.DUMMYFUNCTION("""COMPUTED_VALUE"""),4686.2962)</f>
        <v>4686.2962</v>
      </c>
    </row>
    <row r="1014">
      <c r="A1014" s="434">
        <f>IFERROR(__xludf.DUMMYFUNCTION("""COMPUTED_VALUE"""),43650.99861111111)</f>
        <v>43650.99861</v>
      </c>
      <c r="B1014" s="433">
        <f>IFERROR(__xludf.DUMMYFUNCTION("""COMPUTED_VALUE"""),11159.69)</f>
        <v>11159.69</v>
      </c>
      <c r="C1014" s="434">
        <f>IFERROR(__xludf.DUMMYFUNCTION("""COMPUTED_VALUE"""),43235.99861111111)</f>
        <v>43235.99861</v>
      </c>
      <c r="D1014" s="433">
        <f>IFERROR(__xludf.DUMMYFUNCTION("""COMPUTED_VALUE"""),731.1435)</f>
        <v>731.1435</v>
      </c>
      <c r="F1014" s="434">
        <f>IFERROR(__xludf.DUMMYFUNCTION("""COMPUTED_VALUE"""),45940.99861111111)</f>
        <v>45940.99861</v>
      </c>
      <c r="G1014" s="433">
        <f>IFERROR(__xludf.DUMMYFUNCTION("""COMPUTED_VALUE"""),121146.0)</f>
        <v>121146</v>
      </c>
      <c r="H1014" s="434">
        <f>IFERROR(__xludf.DUMMYFUNCTION("""COMPUTED_VALUE"""),45938.99861111111)</f>
        <v>45938.99861</v>
      </c>
      <c r="I1014" s="433">
        <f>IFERROR(__xludf.DUMMYFUNCTION("""COMPUTED_VALUE"""),4450.3588)</f>
        <v>4450.3588</v>
      </c>
    </row>
    <row r="1015">
      <c r="A1015" s="434">
        <f>IFERROR(__xludf.DUMMYFUNCTION("""COMPUTED_VALUE"""),43651.99861111111)</f>
        <v>43651.99861</v>
      </c>
      <c r="B1015" s="433">
        <f>IFERROR(__xludf.DUMMYFUNCTION("""COMPUTED_VALUE"""),10982.98)</f>
        <v>10982.98</v>
      </c>
      <c r="C1015" s="434">
        <f>IFERROR(__xludf.DUMMYFUNCTION("""COMPUTED_VALUE"""),43236.99861111111)</f>
        <v>43236.99861</v>
      </c>
      <c r="D1015" s="433">
        <f>IFERROR(__xludf.DUMMYFUNCTION("""COMPUTED_VALUE"""),708.0873)</f>
        <v>708.0873</v>
      </c>
      <c r="F1015" s="434">
        <f>IFERROR(__xludf.DUMMYFUNCTION("""COMPUTED_VALUE"""),45941.99861111111)</f>
        <v>45941.99861</v>
      </c>
      <c r="G1015" s="433">
        <f>IFERROR(__xludf.DUMMYFUNCTION("""COMPUTED_VALUE"""),112580.3)</f>
        <v>112580.3</v>
      </c>
      <c r="H1015" s="434">
        <f>IFERROR(__xludf.DUMMYFUNCTION("""COMPUTED_VALUE"""),45939.99861111111)</f>
        <v>45939.99861</v>
      </c>
      <c r="I1015" s="433">
        <f>IFERROR(__xludf.DUMMYFUNCTION("""COMPUTED_VALUE"""),4527.281)</f>
        <v>4527.281</v>
      </c>
    </row>
    <row r="1016">
      <c r="A1016" s="434">
        <f>IFERROR(__xludf.DUMMYFUNCTION("""COMPUTED_VALUE"""),43652.99861111111)</f>
        <v>43652.99861</v>
      </c>
      <c r="B1016" s="433">
        <f>IFERROR(__xludf.DUMMYFUNCTION("""COMPUTED_VALUE"""),11250.14)</f>
        <v>11250.14</v>
      </c>
      <c r="C1016" s="434">
        <f>IFERROR(__xludf.DUMMYFUNCTION("""COMPUTED_VALUE"""),43237.99861111111)</f>
        <v>43237.99861</v>
      </c>
      <c r="D1016" s="433">
        <f>IFERROR(__xludf.DUMMYFUNCTION("""COMPUTED_VALUE"""),708.7184)</f>
        <v>708.7184</v>
      </c>
      <c r="F1016" s="434">
        <f>IFERROR(__xludf.DUMMYFUNCTION("""COMPUTED_VALUE"""),45942.99861111111)</f>
        <v>45942.99861</v>
      </c>
      <c r="G1016" s="433">
        <f>IFERROR(__xludf.DUMMYFUNCTION("""COMPUTED_VALUE"""),111039.5)</f>
        <v>111039.5</v>
      </c>
      <c r="H1016" s="434">
        <f>IFERROR(__xludf.DUMMYFUNCTION("""COMPUTED_VALUE"""),45940.99861111111)</f>
        <v>45940.99861</v>
      </c>
      <c r="I1016" s="433">
        <f>IFERROR(__xludf.DUMMYFUNCTION("""COMPUTED_VALUE"""),4370.3656)</f>
        <v>4370.3656</v>
      </c>
    </row>
    <row r="1017">
      <c r="A1017" s="434">
        <f>IFERROR(__xludf.DUMMYFUNCTION("""COMPUTED_VALUE"""),43653.99861111111)</f>
        <v>43653.99861</v>
      </c>
      <c r="B1017" s="433">
        <f>IFERROR(__xludf.DUMMYFUNCTION("""COMPUTED_VALUE"""),11472.0)</f>
        <v>11472</v>
      </c>
      <c r="C1017" s="434">
        <f>IFERROR(__xludf.DUMMYFUNCTION("""COMPUTED_VALUE"""),43238.99861111111)</f>
        <v>43238.99861</v>
      </c>
      <c r="D1017" s="433">
        <f>IFERROR(__xludf.DUMMYFUNCTION("""COMPUTED_VALUE"""),672.1015)</f>
        <v>672.1015</v>
      </c>
      <c r="F1017" s="434">
        <f>IFERROR(__xludf.DUMMYFUNCTION("""COMPUTED_VALUE"""),45943.99861111111)</f>
        <v>45943.99861</v>
      </c>
      <c r="G1017" s="433">
        <f>IFERROR(__xludf.DUMMYFUNCTION("""COMPUTED_VALUE"""),114934.2)</f>
        <v>114934.2</v>
      </c>
      <c r="H1017" s="434">
        <f>IFERROR(__xludf.DUMMYFUNCTION("""COMPUTED_VALUE"""),45941.99861111111)</f>
        <v>45941.99861</v>
      </c>
      <c r="I1017" s="433">
        <f>IFERROR(__xludf.DUMMYFUNCTION("""COMPUTED_VALUE"""),3836.3903)</f>
        <v>3836.3903</v>
      </c>
    </row>
    <row r="1018">
      <c r="A1018" s="434">
        <f>IFERROR(__xludf.DUMMYFUNCTION("""COMPUTED_VALUE"""),43654.99861111111)</f>
        <v>43654.99861</v>
      </c>
      <c r="B1018" s="433">
        <f>IFERROR(__xludf.DUMMYFUNCTION("""COMPUTED_VALUE"""),12286.77)</f>
        <v>12286.77</v>
      </c>
      <c r="C1018" s="434">
        <f>IFERROR(__xludf.DUMMYFUNCTION("""COMPUTED_VALUE"""),43239.99861111111)</f>
        <v>43239.99861</v>
      </c>
      <c r="D1018" s="433">
        <f>IFERROR(__xludf.DUMMYFUNCTION("""COMPUTED_VALUE"""),695.072)</f>
        <v>695.072</v>
      </c>
      <c r="F1018" s="434">
        <f>IFERROR(__xludf.DUMMYFUNCTION("""COMPUTED_VALUE"""),45944.99861111111)</f>
        <v>45944.99861</v>
      </c>
      <c r="G1018" s="433">
        <f>IFERROR(__xludf.DUMMYFUNCTION("""COMPUTED_VALUE"""),113612.7)</f>
        <v>113612.7</v>
      </c>
      <c r="H1018" s="434">
        <f>IFERROR(__xludf.DUMMYFUNCTION("""COMPUTED_VALUE"""),45942.99861111111)</f>
        <v>45942.99861</v>
      </c>
      <c r="I1018" s="433">
        <f>IFERROR(__xludf.DUMMYFUNCTION("""COMPUTED_VALUE"""),3750.0349)</f>
        <v>3750.0349</v>
      </c>
    </row>
    <row r="1019">
      <c r="A1019" s="434">
        <f>IFERROR(__xludf.DUMMYFUNCTION("""COMPUTED_VALUE"""),43655.99861111111)</f>
        <v>43655.99861</v>
      </c>
      <c r="B1019" s="433">
        <f>IFERROR(__xludf.DUMMYFUNCTION("""COMPUTED_VALUE"""),12558.42)</f>
        <v>12558.42</v>
      </c>
      <c r="C1019" s="434">
        <f>IFERROR(__xludf.DUMMYFUNCTION("""COMPUTED_VALUE"""),43240.99861111111)</f>
        <v>43240.99861</v>
      </c>
      <c r="D1019" s="433">
        <f>IFERROR(__xludf.DUMMYFUNCTION("""COMPUTED_VALUE"""),697.9226)</f>
        <v>697.9226</v>
      </c>
      <c r="F1019" s="434">
        <f>IFERROR(__xludf.DUMMYFUNCTION("""COMPUTED_VALUE"""),45945.99861111111)</f>
        <v>45945.99861</v>
      </c>
      <c r="G1019" s="433">
        <f>IFERROR(__xludf.DUMMYFUNCTION("""COMPUTED_VALUE"""),112138.6)</f>
        <v>112138.6</v>
      </c>
      <c r="H1019" s="434">
        <f>IFERROR(__xludf.DUMMYFUNCTION("""COMPUTED_VALUE"""),45943.99861111111)</f>
        <v>45943.99861</v>
      </c>
      <c r="I1019" s="433">
        <f>IFERROR(__xludf.DUMMYFUNCTION("""COMPUTED_VALUE"""),4159.2164)</f>
        <v>4159.2164</v>
      </c>
    </row>
    <row r="1020">
      <c r="A1020" s="434">
        <f>IFERROR(__xludf.DUMMYFUNCTION("""COMPUTED_VALUE"""),43656.99861111111)</f>
        <v>43656.99861</v>
      </c>
      <c r="B1020" s="433">
        <f>IFERROR(__xludf.DUMMYFUNCTION("""COMPUTED_VALUE"""),12101.73)</f>
        <v>12101.73</v>
      </c>
      <c r="C1020" s="434">
        <f>IFERROR(__xludf.DUMMYFUNCTION("""COMPUTED_VALUE"""),43241.99861111111)</f>
        <v>43241.99861</v>
      </c>
      <c r="D1020" s="433">
        <f>IFERROR(__xludf.DUMMYFUNCTION("""COMPUTED_VALUE"""),717.1925)</f>
        <v>717.1925</v>
      </c>
      <c r="F1020" s="434">
        <f>IFERROR(__xludf.DUMMYFUNCTION("""COMPUTED_VALUE"""),45946.99861111111)</f>
        <v>45946.99861</v>
      </c>
      <c r="G1020" s="433">
        <f>IFERROR(__xludf.DUMMYFUNCTION("""COMPUTED_VALUE"""),111449.5)</f>
        <v>111449.5</v>
      </c>
      <c r="H1020" s="434">
        <f>IFERROR(__xludf.DUMMYFUNCTION("""COMPUTED_VALUE"""),45944.99861111111)</f>
        <v>45944.99861</v>
      </c>
      <c r="I1020" s="433">
        <f>IFERROR(__xludf.DUMMYFUNCTION("""COMPUTED_VALUE"""),4244.8602)</f>
        <v>4244.8602</v>
      </c>
    </row>
    <row r="1021">
      <c r="A1021" s="434">
        <f>IFERROR(__xludf.DUMMYFUNCTION("""COMPUTED_VALUE"""),43657.99861111111)</f>
        <v>43657.99861</v>
      </c>
      <c r="B1021" s="433">
        <f>IFERROR(__xludf.DUMMYFUNCTION("""COMPUTED_VALUE"""),11350.24)</f>
        <v>11350.24</v>
      </c>
      <c r="C1021" s="434">
        <f>IFERROR(__xludf.DUMMYFUNCTION("""COMPUTED_VALUE"""),43242.99861111111)</f>
        <v>43242.99861</v>
      </c>
      <c r="D1021" s="433">
        <f>IFERROR(__xludf.DUMMYFUNCTION("""COMPUTED_VALUE"""),700.1783)</f>
        <v>700.1783</v>
      </c>
      <c r="F1021" s="434">
        <f>IFERROR(__xludf.DUMMYFUNCTION("""COMPUTED_VALUE"""),45947.99861111111)</f>
        <v>45947.99861</v>
      </c>
      <c r="G1021" s="433">
        <f>IFERROR(__xludf.DUMMYFUNCTION("""COMPUTED_VALUE"""),109176.5)</f>
        <v>109176.5</v>
      </c>
      <c r="H1021" s="434">
        <f>IFERROR(__xludf.DUMMYFUNCTION("""COMPUTED_VALUE"""),45945.99861111111)</f>
        <v>45945.99861</v>
      </c>
      <c r="I1021" s="433">
        <f>IFERROR(__xludf.DUMMYFUNCTION("""COMPUTED_VALUE"""),4126.7263)</f>
        <v>4126.7263</v>
      </c>
    </row>
    <row r="1022">
      <c r="A1022" s="434">
        <f>IFERROR(__xludf.DUMMYFUNCTION("""COMPUTED_VALUE"""),43658.99861111111)</f>
        <v>43658.99861</v>
      </c>
      <c r="B1022" s="433">
        <f>IFERROR(__xludf.DUMMYFUNCTION("""COMPUTED_VALUE"""),11803.48)</f>
        <v>11803.48</v>
      </c>
      <c r="C1022" s="434">
        <f>IFERROR(__xludf.DUMMYFUNCTION("""COMPUTED_VALUE"""),43243.99861111111)</f>
        <v>43243.99861</v>
      </c>
      <c r="D1022" s="433">
        <f>IFERROR(__xludf.DUMMYFUNCTION("""COMPUTED_VALUE"""),646.6697)</f>
        <v>646.6697</v>
      </c>
      <c r="F1022" s="434">
        <f>IFERROR(__xludf.DUMMYFUNCTION("""COMPUTED_VALUE"""),45948.99861111111)</f>
        <v>45948.99861</v>
      </c>
      <c r="G1022" s="433">
        <f>IFERROR(__xludf.DUMMYFUNCTION("""COMPUTED_VALUE"""),107158.5)</f>
        <v>107158.5</v>
      </c>
      <c r="H1022" s="434">
        <f>IFERROR(__xludf.DUMMYFUNCTION("""COMPUTED_VALUE"""),45946.99861111111)</f>
        <v>45946.99861</v>
      </c>
      <c r="I1022" s="433">
        <f>IFERROR(__xludf.DUMMYFUNCTION("""COMPUTED_VALUE"""),3987.2977)</f>
        <v>3987.2977</v>
      </c>
    </row>
    <row r="1023">
      <c r="A1023" s="434">
        <f>IFERROR(__xludf.DUMMYFUNCTION("""COMPUTED_VALUE"""),43659.99861111111)</f>
        <v>43659.99861</v>
      </c>
      <c r="B1023" s="433">
        <f>IFERROR(__xludf.DUMMYFUNCTION("""COMPUTED_VALUE"""),11364.7)</f>
        <v>11364.7</v>
      </c>
      <c r="C1023" s="434">
        <f>IFERROR(__xludf.DUMMYFUNCTION("""COMPUTED_VALUE"""),43244.99861111111)</f>
        <v>43244.99861</v>
      </c>
      <c r="D1023" s="433">
        <f>IFERROR(__xludf.DUMMYFUNCTION("""COMPUTED_VALUE"""),584.5363)</f>
        <v>584.5363</v>
      </c>
      <c r="F1023" s="434">
        <f>IFERROR(__xludf.DUMMYFUNCTION("""COMPUTED_VALUE"""),45949.99861111111)</f>
        <v>45949.99861</v>
      </c>
      <c r="G1023" s="433">
        <f>IFERROR(__xludf.DUMMYFUNCTION("""COMPUTED_VALUE"""),107365.6)</f>
        <v>107365.6</v>
      </c>
      <c r="H1023" s="434">
        <f>IFERROR(__xludf.DUMMYFUNCTION("""COMPUTED_VALUE"""),45947.99861111111)</f>
        <v>45947.99861</v>
      </c>
      <c r="I1023" s="433">
        <f>IFERROR(__xludf.DUMMYFUNCTION("""COMPUTED_VALUE"""),3895.2631)</f>
        <v>3895.2631</v>
      </c>
    </row>
    <row r="1024">
      <c r="A1024" s="434">
        <f>IFERROR(__xludf.DUMMYFUNCTION("""COMPUTED_VALUE"""),43660.99861111111)</f>
        <v>43660.99861</v>
      </c>
      <c r="B1024" s="433">
        <f>IFERROR(__xludf.DUMMYFUNCTION("""COMPUTED_VALUE"""),10211.42)</f>
        <v>10211.42</v>
      </c>
      <c r="C1024" s="434">
        <f>IFERROR(__xludf.DUMMYFUNCTION("""COMPUTED_VALUE"""),43245.99861111111)</f>
        <v>43245.99861</v>
      </c>
      <c r="D1024" s="433">
        <f>IFERROR(__xludf.DUMMYFUNCTION("""COMPUTED_VALUE"""),602.1395)</f>
        <v>602.1395</v>
      </c>
      <c r="F1024" s="434">
        <f>IFERROR(__xludf.DUMMYFUNCTION("""COMPUTED_VALUE"""),45950.99861111111)</f>
        <v>45950.99861</v>
      </c>
      <c r="G1024" s="433">
        <f>IFERROR(__xludf.DUMMYFUNCTION("""COMPUTED_VALUE"""),110245.1)</f>
        <v>110245.1</v>
      </c>
      <c r="H1024" s="434">
        <f>IFERROR(__xludf.DUMMYFUNCTION("""COMPUTED_VALUE"""),45948.99861111111)</f>
        <v>45948.99861</v>
      </c>
      <c r="I1024" s="433">
        <f>IFERROR(__xludf.DUMMYFUNCTION("""COMPUTED_VALUE"""),3832.7979)</f>
        <v>3832.7979</v>
      </c>
    </row>
    <row r="1025">
      <c r="A1025" s="434">
        <f>IFERROR(__xludf.DUMMYFUNCTION("""COMPUTED_VALUE"""),43661.99861111111)</f>
        <v>43661.99861</v>
      </c>
      <c r="B1025" s="433">
        <f>IFERROR(__xludf.DUMMYFUNCTION("""COMPUTED_VALUE"""),10846.35)</f>
        <v>10846.35</v>
      </c>
      <c r="C1025" s="434">
        <f>IFERROR(__xludf.DUMMYFUNCTION("""COMPUTED_VALUE"""),43246.99861111111)</f>
        <v>43246.99861</v>
      </c>
      <c r="D1025" s="433">
        <f>IFERROR(__xludf.DUMMYFUNCTION("""COMPUTED_VALUE"""),587.4258)</f>
        <v>587.4258</v>
      </c>
      <c r="F1025" s="434">
        <f>IFERROR(__xludf.DUMMYFUNCTION("""COMPUTED_VALUE"""),45951.99861111111)</f>
        <v>45951.99861</v>
      </c>
      <c r="G1025" s="433">
        <f>IFERROR(__xludf.DUMMYFUNCTION("""COMPUTED_VALUE"""),109157.9)</f>
        <v>109157.9</v>
      </c>
      <c r="H1025" s="434">
        <f>IFERROR(__xludf.DUMMYFUNCTION("""COMPUTED_VALUE"""),45949.99861111111)</f>
        <v>45949.99861</v>
      </c>
      <c r="I1025" s="433">
        <f>IFERROR(__xludf.DUMMYFUNCTION("""COMPUTED_VALUE"""),3890.1239)</f>
        <v>3890.1239</v>
      </c>
    </row>
    <row r="1026">
      <c r="A1026" s="434">
        <f>IFERROR(__xludf.DUMMYFUNCTION("""COMPUTED_VALUE"""),43662.99861111111)</f>
        <v>43662.99861</v>
      </c>
      <c r="B1026" s="433">
        <f>IFERROR(__xludf.DUMMYFUNCTION("""COMPUTED_VALUE"""),9425.55)</f>
        <v>9425.55</v>
      </c>
      <c r="C1026" s="434">
        <f>IFERROR(__xludf.DUMMYFUNCTION("""COMPUTED_VALUE"""),43247.99861111111)</f>
        <v>43247.99861</v>
      </c>
      <c r="D1026" s="433">
        <f>IFERROR(__xludf.DUMMYFUNCTION("""COMPUTED_VALUE"""),588.5197)</f>
        <v>588.5197</v>
      </c>
      <c r="F1026" s="434">
        <f>IFERROR(__xludf.DUMMYFUNCTION("""COMPUTED_VALUE"""),45952.99861111111)</f>
        <v>45952.99861</v>
      </c>
      <c r="G1026" s="433">
        <f>IFERROR(__xludf.DUMMYFUNCTION("""COMPUTED_VALUE"""),108213.7)</f>
        <v>108213.7</v>
      </c>
      <c r="H1026" s="434">
        <f>IFERROR(__xludf.DUMMYFUNCTION("""COMPUTED_VALUE"""),45950.99861111111)</f>
        <v>45950.99861</v>
      </c>
      <c r="I1026" s="433">
        <f>IFERROR(__xludf.DUMMYFUNCTION("""COMPUTED_VALUE"""),3984.0428)</f>
        <v>3984.0428</v>
      </c>
    </row>
    <row r="1027">
      <c r="A1027" s="434">
        <f>IFERROR(__xludf.DUMMYFUNCTION("""COMPUTED_VALUE"""),43663.99861111111)</f>
        <v>43663.99861</v>
      </c>
      <c r="B1027" s="433">
        <f>IFERROR(__xludf.DUMMYFUNCTION("""COMPUTED_VALUE"""),9684.662)</f>
        <v>9684.662</v>
      </c>
      <c r="C1027" s="434">
        <f>IFERROR(__xludf.DUMMYFUNCTION("""COMPUTED_VALUE"""),43248.99861111111)</f>
        <v>43248.99861</v>
      </c>
      <c r="D1027" s="433">
        <f>IFERROR(__xludf.DUMMYFUNCTION("""COMPUTED_VALUE"""),573.0451)</f>
        <v>573.0451</v>
      </c>
      <c r="F1027" s="434">
        <f>IFERROR(__xludf.DUMMYFUNCTION("""COMPUTED_VALUE"""),45953.99861111111)</f>
        <v>45953.99861</v>
      </c>
      <c r="G1027" s="433">
        <f>IFERROR(__xludf.DUMMYFUNCTION("""COMPUTED_VALUE"""),108418.6)</f>
        <v>108418.6</v>
      </c>
      <c r="H1027" s="434">
        <f>IFERROR(__xludf.DUMMYFUNCTION("""COMPUTED_VALUE"""),45951.99861111111)</f>
        <v>45951.99861</v>
      </c>
      <c r="I1027" s="433">
        <f>IFERROR(__xludf.DUMMYFUNCTION("""COMPUTED_VALUE"""),3980.7405)</f>
        <v>3980.7405</v>
      </c>
    </row>
    <row r="1028">
      <c r="A1028" s="434">
        <f>IFERROR(__xludf.DUMMYFUNCTION("""COMPUTED_VALUE"""),43664.99861111111)</f>
        <v>43664.99861</v>
      </c>
      <c r="B1028" s="433">
        <f>IFERROR(__xludf.DUMMYFUNCTION("""COMPUTED_VALUE"""),10631.28)</f>
        <v>10631.28</v>
      </c>
      <c r="C1028" s="434">
        <f>IFERROR(__xludf.DUMMYFUNCTION("""COMPUTED_VALUE"""),43249.99861111111)</f>
        <v>43249.99861</v>
      </c>
      <c r="D1028" s="433">
        <f>IFERROR(__xludf.DUMMYFUNCTION("""COMPUTED_VALUE"""),516.1484)</f>
        <v>516.1484</v>
      </c>
      <c r="F1028" s="434">
        <f>IFERROR(__xludf.DUMMYFUNCTION("""COMPUTED_VALUE"""),45954.99861111111)</f>
        <v>45954.99861</v>
      </c>
      <c r="G1028" s="433">
        <f>IFERROR(__xludf.DUMMYFUNCTION("""COMPUTED_VALUE"""),110466.5)</f>
        <v>110466.5</v>
      </c>
      <c r="H1028" s="434">
        <f>IFERROR(__xludf.DUMMYFUNCTION("""COMPUTED_VALUE"""),45952.99861111111)</f>
        <v>45952.99861</v>
      </c>
      <c r="I1028" s="433">
        <f>IFERROR(__xludf.DUMMYFUNCTION("""COMPUTED_VALUE"""),3874.5996)</f>
        <v>3874.5996</v>
      </c>
    </row>
    <row r="1029">
      <c r="A1029" s="434">
        <f>IFERROR(__xludf.DUMMYFUNCTION("""COMPUTED_VALUE"""),43665.99861111111)</f>
        <v>43665.99861</v>
      </c>
      <c r="B1029" s="433">
        <f>IFERROR(__xludf.DUMMYFUNCTION("""COMPUTED_VALUE"""),10528.37)</f>
        <v>10528.37</v>
      </c>
      <c r="C1029" s="434">
        <f>IFERROR(__xludf.DUMMYFUNCTION("""COMPUTED_VALUE"""),43250.99861111111)</f>
        <v>43250.99861</v>
      </c>
      <c r="D1029" s="433">
        <f>IFERROR(__xludf.DUMMYFUNCTION("""COMPUTED_VALUE"""),566.8303)</f>
        <v>566.8303</v>
      </c>
      <c r="F1029" s="434">
        <f>IFERROR(__xludf.DUMMYFUNCTION("""COMPUTED_VALUE"""),45955.99861111111)</f>
        <v>45955.99861</v>
      </c>
      <c r="G1029" s="433">
        <f>IFERROR(__xludf.DUMMYFUNCTION("""COMPUTED_VALUE"""),111077.3)</f>
        <v>111077.3</v>
      </c>
      <c r="H1029" s="434">
        <f>IFERROR(__xludf.DUMMYFUNCTION("""COMPUTED_VALUE"""),45953.99861111111)</f>
        <v>45953.99861</v>
      </c>
      <c r="I1029" s="433">
        <f>IFERROR(__xludf.DUMMYFUNCTION("""COMPUTED_VALUE"""),3806.6874)</f>
        <v>3806.6874</v>
      </c>
    </row>
    <row r="1030">
      <c r="A1030" s="434">
        <f>IFERROR(__xludf.DUMMYFUNCTION("""COMPUTED_VALUE"""),43666.99861111111)</f>
        <v>43666.99861</v>
      </c>
      <c r="B1030" s="433">
        <f>IFERROR(__xludf.DUMMYFUNCTION("""COMPUTED_VALUE"""),10749.29)</f>
        <v>10749.29</v>
      </c>
      <c r="C1030" s="434">
        <f>IFERROR(__xludf.DUMMYFUNCTION("""COMPUTED_VALUE"""),43251.99861111111)</f>
        <v>43251.99861</v>
      </c>
      <c r="D1030" s="433">
        <f>IFERROR(__xludf.DUMMYFUNCTION("""COMPUTED_VALUE"""),558.4969)</f>
        <v>558.4969</v>
      </c>
      <c r="F1030" s="434">
        <f>IFERROR(__xludf.DUMMYFUNCTION("""COMPUTED_VALUE"""),45956.99861111111)</f>
        <v>45956.99861</v>
      </c>
      <c r="G1030" s="433">
        <f>IFERROR(__xludf.DUMMYFUNCTION("""COMPUTED_VALUE"""),111284.2)</f>
        <v>111284.2</v>
      </c>
      <c r="H1030" s="434">
        <f>IFERROR(__xludf.DUMMYFUNCTION("""COMPUTED_VALUE"""),45954.99861111111)</f>
        <v>45954.99861</v>
      </c>
      <c r="I1030" s="433">
        <f>IFERROR(__xludf.DUMMYFUNCTION("""COMPUTED_VALUE"""),3857.8172)</f>
        <v>3857.8172</v>
      </c>
    </row>
    <row r="1031">
      <c r="A1031" s="434">
        <f>IFERROR(__xludf.DUMMYFUNCTION("""COMPUTED_VALUE"""),43667.99861111111)</f>
        <v>43667.99861</v>
      </c>
      <c r="B1031" s="433">
        <f>IFERROR(__xludf.DUMMYFUNCTION("""COMPUTED_VALUE"""),10585.77)</f>
        <v>10585.77</v>
      </c>
      <c r="C1031" s="434">
        <f>IFERROR(__xludf.DUMMYFUNCTION("""COMPUTED_VALUE"""),43252.99861111111)</f>
        <v>43252.99861</v>
      </c>
      <c r="D1031" s="433">
        <f>IFERROR(__xludf.DUMMYFUNCTION("""COMPUTED_VALUE"""),578.6723)</f>
        <v>578.6723</v>
      </c>
      <c r="F1031" s="434">
        <f>IFERROR(__xludf.DUMMYFUNCTION("""COMPUTED_VALUE"""),45957.99861111111)</f>
        <v>45957.99861</v>
      </c>
      <c r="G1031" s="433">
        <f>IFERROR(__xludf.DUMMYFUNCTION("""COMPUTED_VALUE"""),114960.8)</f>
        <v>114960.8</v>
      </c>
      <c r="H1031" s="434">
        <f>IFERROR(__xludf.DUMMYFUNCTION("""COMPUTED_VALUE"""),45955.99861111111)</f>
        <v>45955.99861</v>
      </c>
      <c r="I1031" s="433">
        <f>IFERROR(__xludf.DUMMYFUNCTION("""COMPUTED_VALUE"""),3935.2864)</f>
        <v>3935.2864</v>
      </c>
    </row>
    <row r="1032">
      <c r="A1032" s="434">
        <f>IFERROR(__xludf.DUMMYFUNCTION("""COMPUTED_VALUE"""),43668.99861111111)</f>
        <v>43668.99861</v>
      </c>
      <c r="B1032" s="433">
        <f>IFERROR(__xludf.DUMMYFUNCTION("""COMPUTED_VALUE"""),10325.27)</f>
        <v>10325.27</v>
      </c>
      <c r="C1032" s="434">
        <f>IFERROR(__xludf.DUMMYFUNCTION("""COMPUTED_VALUE"""),43253.99861111111)</f>
        <v>43253.99861</v>
      </c>
      <c r="D1032" s="433">
        <f>IFERROR(__xludf.DUMMYFUNCTION("""COMPUTED_VALUE"""),580.4292)</f>
        <v>580.4292</v>
      </c>
      <c r="F1032" s="434">
        <f>IFERROR(__xludf.DUMMYFUNCTION("""COMPUTED_VALUE"""),45958.99861111111)</f>
        <v>45958.99861</v>
      </c>
      <c r="G1032" s="433">
        <f>IFERROR(__xludf.DUMMYFUNCTION("""COMPUTED_VALUE"""),113911.0)</f>
        <v>113911</v>
      </c>
      <c r="H1032" s="434">
        <f>IFERROR(__xludf.DUMMYFUNCTION("""COMPUTED_VALUE"""),45956.99861111111)</f>
        <v>45956.99861</v>
      </c>
      <c r="I1032" s="433">
        <f>IFERROR(__xludf.DUMMYFUNCTION("""COMPUTED_VALUE"""),3953.9167)</f>
        <v>3953.9167</v>
      </c>
    </row>
    <row r="1033">
      <c r="A1033" s="434">
        <f>IFERROR(__xludf.DUMMYFUNCTION("""COMPUTED_VALUE"""),43669.99861111111)</f>
        <v>43669.99861</v>
      </c>
      <c r="B1033" s="433">
        <f>IFERROR(__xludf.DUMMYFUNCTION("""COMPUTED_VALUE"""),9860.352)</f>
        <v>9860.352</v>
      </c>
      <c r="C1033" s="434">
        <f>IFERROR(__xludf.DUMMYFUNCTION("""COMPUTED_VALUE"""),43254.99861111111)</f>
        <v>43254.99861</v>
      </c>
      <c r="D1033" s="433">
        <f>IFERROR(__xludf.DUMMYFUNCTION("""COMPUTED_VALUE"""),591.2589)</f>
        <v>591.2589</v>
      </c>
      <c r="F1033" s="434">
        <f>IFERROR(__xludf.DUMMYFUNCTION("""COMPUTED_VALUE"""),45959.99861111111)</f>
        <v>45959.99861</v>
      </c>
      <c r="G1033" s="433">
        <f>IFERROR(__xludf.DUMMYFUNCTION("""COMPUTED_VALUE"""),112562.7)</f>
        <v>112562.7</v>
      </c>
      <c r="H1033" s="434">
        <f>IFERROR(__xludf.DUMMYFUNCTION("""COMPUTED_VALUE"""),45957.99861111111)</f>
        <v>45957.99861</v>
      </c>
      <c r="I1033" s="433">
        <f>IFERROR(__xludf.DUMMYFUNCTION("""COMPUTED_VALUE"""),4158.9661)</f>
        <v>4158.9661</v>
      </c>
    </row>
    <row r="1034">
      <c r="A1034" s="434">
        <f>IFERROR(__xludf.DUMMYFUNCTION("""COMPUTED_VALUE"""),43670.99861111111)</f>
        <v>43670.99861</v>
      </c>
      <c r="B1034" s="433">
        <f>IFERROR(__xludf.DUMMYFUNCTION("""COMPUTED_VALUE"""),9773.864)</f>
        <v>9773.864</v>
      </c>
      <c r="C1034" s="434">
        <f>IFERROR(__xludf.DUMMYFUNCTION("""COMPUTED_VALUE"""),43255.99861111111)</f>
        <v>43255.99861</v>
      </c>
      <c r="D1034" s="433">
        <f>IFERROR(__xludf.DUMMYFUNCTION("""COMPUTED_VALUE"""),618.0179)</f>
        <v>618.0179</v>
      </c>
      <c r="F1034" s="434">
        <f>IFERROR(__xludf.DUMMYFUNCTION("""COMPUTED_VALUE"""),45960.99861111111)</f>
        <v>45960.99861</v>
      </c>
      <c r="G1034" s="433">
        <f>IFERROR(__xludf.DUMMYFUNCTION("""COMPUTED_VALUE"""),110670.7)</f>
        <v>110670.7</v>
      </c>
      <c r="H1034" s="434">
        <f>IFERROR(__xludf.DUMMYFUNCTION("""COMPUTED_VALUE"""),45958.99861111111)</f>
        <v>45958.99861</v>
      </c>
      <c r="I1034" s="433">
        <f>IFERROR(__xludf.DUMMYFUNCTION("""COMPUTED_VALUE"""),4120.454)</f>
        <v>4120.454</v>
      </c>
    </row>
    <row r="1035">
      <c r="A1035" s="434">
        <f>IFERROR(__xludf.DUMMYFUNCTION("""COMPUTED_VALUE"""),43671.99861111111)</f>
        <v>43671.99861</v>
      </c>
      <c r="B1035" s="433">
        <f>IFERROR(__xludf.DUMMYFUNCTION("""COMPUTED_VALUE"""),9879.488)</f>
        <v>9879.488</v>
      </c>
      <c r="C1035" s="434">
        <f>IFERROR(__xludf.DUMMYFUNCTION("""COMPUTED_VALUE"""),43256.99861111111)</f>
        <v>43256.99861</v>
      </c>
      <c r="D1035" s="433">
        <f>IFERROR(__xludf.DUMMYFUNCTION("""COMPUTED_VALUE"""),593.4057)</f>
        <v>593.4057</v>
      </c>
      <c r="F1035" s="434">
        <f>IFERROR(__xludf.DUMMYFUNCTION("""COMPUTED_VALUE"""),45961.99861111111)</f>
        <v>45961.99861</v>
      </c>
      <c r="G1035" s="433">
        <f>IFERROR(__xludf.DUMMYFUNCTION("""COMPUTED_VALUE"""),109243.2)</f>
        <v>109243.2</v>
      </c>
      <c r="H1035" s="434">
        <f>IFERROR(__xludf.DUMMYFUNCTION("""COMPUTED_VALUE"""),45959.99861111111)</f>
        <v>45959.99861</v>
      </c>
      <c r="I1035" s="433">
        <f>IFERROR(__xludf.DUMMYFUNCTION("""COMPUTED_VALUE"""),3980.9676)</f>
        <v>3980.9676</v>
      </c>
    </row>
    <row r="1036">
      <c r="A1036" s="434">
        <f>IFERROR(__xludf.DUMMYFUNCTION("""COMPUTED_VALUE"""),43672.99861111111)</f>
        <v>43672.99861</v>
      </c>
      <c r="B1036" s="433">
        <f>IFERROR(__xludf.DUMMYFUNCTION("""COMPUTED_VALUE"""),9846.078)</f>
        <v>9846.078</v>
      </c>
      <c r="C1036" s="434">
        <f>IFERROR(__xludf.DUMMYFUNCTION("""COMPUTED_VALUE"""),43257.99861111111)</f>
        <v>43257.99861</v>
      </c>
      <c r="D1036" s="433">
        <f>IFERROR(__xludf.DUMMYFUNCTION("""COMPUTED_VALUE"""),610.2617)</f>
        <v>610.2617</v>
      </c>
      <c r="F1036" s="434">
        <f>IFERROR(__xludf.DUMMYFUNCTION("""COMPUTED_VALUE"""),45962.99861111111)</f>
        <v>45962.99861</v>
      </c>
      <c r="G1036" s="433">
        <f>IFERROR(__xludf.DUMMYFUNCTION("""COMPUTED_VALUE"""),110267.2)</f>
        <v>110267.2</v>
      </c>
      <c r="H1036" s="434">
        <f>IFERROR(__xludf.DUMMYFUNCTION("""COMPUTED_VALUE"""),45960.99861111111)</f>
        <v>45960.99861</v>
      </c>
      <c r="I1036" s="433">
        <f>IFERROR(__xludf.DUMMYFUNCTION("""COMPUTED_VALUE"""),3903.8702)</f>
        <v>3903.8702</v>
      </c>
    </row>
    <row r="1037">
      <c r="A1037" s="434">
        <f>IFERROR(__xludf.DUMMYFUNCTION("""COMPUTED_VALUE"""),43673.99861111111)</f>
        <v>43673.99861</v>
      </c>
      <c r="B1037" s="433">
        <f>IFERROR(__xludf.DUMMYFUNCTION("""COMPUTED_VALUE"""),9472.251)</f>
        <v>9472.251</v>
      </c>
      <c r="C1037" s="434">
        <f>IFERROR(__xludf.DUMMYFUNCTION("""COMPUTED_VALUE"""),43258.99861111111)</f>
        <v>43258.99861</v>
      </c>
      <c r="D1037" s="433">
        <f>IFERROR(__xludf.DUMMYFUNCTION("""COMPUTED_VALUE"""),607.6871)</f>
        <v>607.6871</v>
      </c>
      <c r="F1037" s="434">
        <f>IFERROR(__xludf.DUMMYFUNCTION("""COMPUTED_VALUE"""),45963.99861111111)</f>
        <v>45963.99861</v>
      </c>
      <c r="G1037" s="433">
        <f>IFERROR(__xludf.DUMMYFUNCTION("""COMPUTED_VALUE"""),110087.4)</f>
        <v>110087.4</v>
      </c>
      <c r="H1037" s="434">
        <f>IFERROR(__xludf.DUMMYFUNCTION("""COMPUTED_VALUE"""),45961.99861111111)</f>
        <v>45961.99861</v>
      </c>
      <c r="I1037" s="433">
        <f>IFERROR(__xludf.DUMMYFUNCTION("""COMPUTED_VALUE"""),3803.2569)</f>
        <v>3803.2569</v>
      </c>
    </row>
    <row r="1038">
      <c r="A1038" s="434">
        <f>IFERROR(__xludf.DUMMYFUNCTION("""COMPUTED_VALUE"""),43674.99861111111)</f>
        <v>43674.99861</v>
      </c>
      <c r="B1038" s="433">
        <f>IFERROR(__xludf.DUMMYFUNCTION("""COMPUTED_VALUE"""),9525.349)</f>
        <v>9525.349</v>
      </c>
      <c r="C1038" s="434">
        <f>IFERROR(__xludf.DUMMYFUNCTION("""COMPUTED_VALUE"""),43259.99861111111)</f>
        <v>43259.99861</v>
      </c>
      <c r="D1038" s="433">
        <f>IFERROR(__xludf.DUMMYFUNCTION("""COMPUTED_VALUE"""),605.4435)</f>
        <v>605.4435</v>
      </c>
      <c r="F1038" s="434">
        <f>IFERROR(__xludf.DUMMYFUNCTION("""COMPUTED_VALUE"""),45964.99861111111)</f>
        <v>45964.99861</v>
      </c>
      <c r="G1038" s="433">
        <f>IFERROR(__xludf.DUMMYFUNCTION("""COMPUTED_VALUE"""),107870.7)</f>
        <v>107870.7</v>
      </c>
      <c r="H1038" s="434">
        <f>IFERROR(__xludf.DUMMYFUNCTION("""COMPUTED_VALUE"""),45962.99861111111)</f>
        <v>45962.99861</v>
      </c>
      <c r="I1038" s="433">
        <f>IFERROR(__xludf.DUMMYFUNCTION("""COMPUTED_VALUE"""),3847.1126)</f>
        <v>3847.1126</v>
      </c>
    </row>
    <row r="1039">
      <c r="A1039" s="434">
        <f>IFERROR(__xludf.DUMMYFUNCTION("""COMPUTED_VALUE"""),43675.99861111111)</f>
        <v>43675.99861</v>
      </c>
      <c r="B1039" s="433">
        <f>IFERROR(__xludf.DUMMYFUNCTION("""COMPUTED_VALUE"""),9508.112)</f>
        <v>9508.112</v>
      </c>
      <c r="C1039" s="434">
        <f>IFERROR(__xludf.DUMMYFUNCTION("""COMPUTED_VALUE"""),43260.99861111111)</f>
        <v>43260.99861</v>
      </c>
      <c r="D1039" s="433">
        <f>IFERROR(__xludf.DUMMYFUNCTION("""COMPUTED_VALUE"""),600.905)</f>
        <v>600.905</v>
      </c>
      <c r="F1039" s="434">
        <f>IFERROR(__xludf.DUMMYFUNCTION("""COMPUTED_VALUE"""),45965.99861111111)</f>
        <v>45965.99861</v>
      </c>
      <c r="G1039" s="433">
        <f>IFERROR(__xludf.DUMMYFUNCTION("""COMPUTED_VALUE"""),106774.8)</f>
        <v>106774.8</v>
      </c>
      <c r="H1039" s="434">
        <f>IFERROR(__xludf.DUMMYFUNCTION("""COMPUTED_VALUE"""),45963.99861111111)</f>
        <v>45963.99861</v>
      </c>
      <c r="I1039" s="433">
        <f>IFERROR(__xludf.DUMMYFUNCTION("""COMPUTED_VALUE"""),3873.1227)</f>
        <v>3873.1227</v>
      </c>
    </row>
    <row r="1040">
      <c r="A1040" s="434">
        <f>IFERROR(__xludf.DUMMYFUNCTION("""COMPUTED_VALUE"""),43676.99861111111)</f>
        <v>43676.99861</v>
      </c>
      <c r="B1040" s="433">
        <f>IFERROR(__xludf.DUMMYFUNCTION("""COMPUTED_VALUE"""),9591.0)</f>
        <v>9591</v>
      </c>
      <c r="C1040" s="434">
        <f>IFERROR(__xludf.DUMMYFUNCTION("""COMPUTED_VALUE"""),43261.99861111111)</f>
        <v>43261.99861</v>
      </c>
      <c r="D1040" s="433">
        <f>IFERROR(__xludf.DUMMYFUNCTION("""COMPUTED_VALUE"""),594.3455)</f>
        <v>594.3455</v>
      </c>
      <c r="F1040" s="434">
        <f>IFERROR(__xludf.DUMMYFUNCTION("""COMPUTED_VALUE"""),45966.99861111111)</f>
        <v>45966.99861</v>
      </c>
      <c r="G1040" s="433">
        <f>IFERROR(__xludf.DUMMYFUNCTION("""COMPUTED_VALUE"""),101937.4)</f>
        <v>101937.4</v>
      </c>
      <c r="H1040" s="434">
        <f>IFERROR(__xludf.DUMMYFUNCTION("""COMPUTED_VALUE"""),45964.99861111111)</f>
        <v>45964.99861</v>
      </c>
      <c r="I1040" s="433">
        <f>IFERROR(__xludf.DUMMYFUNCTION("""COMPUTED_VALUE"""),3907.7429)</f>
        <v>3907.7429</v>
      </c>
    </row>
    <row r="1041">
      <c r="A1041" s="434">
        <f>IFERROR(__xludf.DUMMYFUNCTION("""COMPUTED_VALUE"""),43677.99861111111)</f>
        <v>43677.99861</v>
      </c>
      <c r="B1041" s="433">
        <f>IFERROR(__xludf.DUMMYFUNCTION("""COMPUTED_VALUE"""),10084.75)</f>
        <v>10084.75</v>
      </c>
      <c r="C1041" s="434">
        <f>IFERROR(__xludf.DUMMYFUNCTION("""COMPUTED_VALUE"""),43262.99861111111)</f>
        <v>43262.99861</v>
      </c>
      <c r="D1041" s="433">
        <f>IFERROR(__xludf.DUMMYFUNCTION("""COMPUTED_VALUE"""),524.8575)</f>
        <v>524.8575</v>
      </c>
      <c r="F1041" s="434">
        <f>IFERROR(__xludf.DUMMYFUNCTION("""COMPUTED_VALUE"""),45967.99861111111)</f>
        <v>45967.99861</v>
      </c>
      <c r="G1041" s="433">
        <f>IFERROR(__xludf.DUMMYFUNCTION("""COMPUTED_VALUE"""),103976.1)</f>
        <v>103976.1</v>
      </c>
      <c r="H1041" s="434">
        <f>IFERROR(__xludf.DUMMYFUNCTION("""COMPUTED_VALUE"""),45965.99861111111)</f>
        <v>45965.99861</v>
      </c>
      <c r="I1041" s="433">
        <f>IFERROR(__xludf.DUMMYFUNCTION("""COMPUTED_VALUE"""),3602.6293)</f>
        <v>3602.6293</v>
      </c>
    </row>
    <row r="1042">
      <c r="A1042" s="434">
        <f>IFERROR(__xludf.DUMMYFUNCTION("""COMPUTED_VALUE"""),43678.99861111111)</f>
        <v>43678.99861</v>
      </c>
      <c r="B1042" s="433">
        <f>IFERROR(__xludf.DUMMYFUNCTION("""COMPUTED_VALUE"""),10400.27)</f>
        <v>10400.27</v>
      </c>
      <c r="C1042" s="434">
        <f>IFERROR(__xludf.DUMMYFUNCTION("""COMPUTED_VALUE"""),43263.99861111111)</f>
        <v>43263.99861</v>
      </c>
      <c r="D1042" s="433">
        <f>IFERROR(__xludf.DUMMYFUNCTION("""COMPUTED_VALUE"""),532.7104)</f>
        <v>532.7104</v>
      </c>
      <c r="F1042" s="434">
        <f>IFERROR(__xludf.DUMMYFUNCTION("""COMPUTED_VALUE"""),45968.99861111111)</f>
        <v>45968.99861</v>
      </c>
      <c r="G1042" s="433">
        <f>IFERROR(__xludf.DUMMYFUNCTION("""COMPUTED_VALUE"""),101913.8)</f>
        <v>101913.8</v>
      </c>
      <c r="H1042" s="434">
        <f>IFERROR(__xludf.DUMMYFUNCTION("""COMPUTED_VALUE"""),45966.99861111111)</f>
        <v>45966.99861</v>
      </c>
      <c r="I1042" s="433">
        <f>IFERROR(__xludf.DUMMYFUNCTION("""COMPUTED_VALUE"""),3288.9695)</f>
        <v>3288.9695</v>
      </c>
    </row>
    <row r="1043">
      <c r="A1043" s="434">
        <f>IFERROR(__xludf.DUMMYFUNCTION("""COMPUTED_VALUE"""),43679.99861111111)</f>
        <v>43679.99861</v>
      </c>
      <c r="B1043" s="433">
        <f>IFERROR(__xludf.DUMMYFUNCTION("""COMPUTED_VALUE"""),10520.34)</f>
        <v>10520.34</v>
      </c>
      <c r="C1043" s="434">
        <f>IFERROR(__xludf.DUMMYFUNCTION("""COMPUTED_VALUE"""),43264.99861111111)</f>
        <v>43264.99861</v>
      </c>
      <c r="D1043" s="433">
        <f>IFERROR(__xludf.DUMMYFUNCTION("""COMPUTED_VALUE"""),498.0176)</f>
        <v>498.0176</v>
      </c>
      <c r="F1043" s="434">
        <f>IFERROR(__xludf.DUMMYFUNCTION("""COMPUTED_VALUE"""),45969.99861111111)</f>
        <v>45969.99861</v>
      </c>
      <c r="G1043" s="433">
        <f>IFERROR(__xludf.DUMMYFUNCTION("""COMPUTED_VALUE"""),102535.7)</f>
        <v>102535.7</v>
      </c>
      <c r="H1043" s="434">
        <f>IFERROR(__xludf.DUMMYFUNCTION("""COMPUTED_VALUE"""),45967.99861111111)</f>
        <v>45967.99861</v>
      </c>
      <c r="I1043" s="433">
        <f>IFERROR(__xludf.DUMMYFUNCTION("""COMPUTED_VALUE"""),3424.459)</f>
        <v>3424.459</v>
      </c>
    </row>
    <row r="1044">
      <c r="A1044" s="434">
        <f>IFERROR(__xludf.DUMMYFUNCTION("""COMPUTED_VALUE"""),43680.99861111111)</f>
        <v>43680.99861</v>
      </c>
      <c r="B1044" s="433">
        <f>IFERROR(__xludf.DUMMYFUNCTION("""COMPUTED_VALUE"""),10815.73)</f>
        <v>10815.73</v>
      </c>
      <c r="C1044" s="434">
        <f>IFERROR(__xludf.DUMMYFUNCTION("""COMPUTED_VALUE"""),43265.99861111111)</f>
        <v>43265.99861</v>
      </c>
      <c r="D1044" s="433">
        <f>IFERROR(__xludf.DUMMYFUNCTION("""COMPUTED_VALUE"""),478.3806)</f>
        <v>478.3806</v>
      </c>
      <c r="F1044" s="434">
        <f>IFERROR(__xludf.DUMMYFUNCTION("""COMPUTED_VALUE"""),45970.99861111111)</f>
        <v>45970.99861</v>
      </c>
      <c r="G1044" s="433">
        <f>IFERROR(__xludf.DUMMYFUNCTION("""COMPUTED_VALUE"""),101740.2)</f>
        <v>101740.2</v>
      </c>
      <c r="H1044" s="434">
        <f>IFERROR(__xludf.DUMMYFUNCTION("""COMPUTED_VALUE"""),45968.99861111111)</f>
        <v>45968.99861</v>
      </c>
      <c r="I1044" s="433">
        <f>IFERROR(__xludf.DUMMYFUNCTION("""COMPUTED_VALUE"""),3313.0633)</f>
        <v>3313.0633</v>
      </c>
    </row>
    <row r="1045">
      <c r="A1045" s="434">
        <f>IFERROR(__xludf.DUMMYFUNCTION("""COMPUTED_VALUE"""),43681.99861111111)</f>
        <v>43681.99861</v>
      </c>
      <c r="B1045" s="433">
        <f>IFERROR(__xludf.DUMMYFUNCTION("""COMPUTED_VALUE"""),10969.55)</f>
        <v>10969.55</v>
      </c>
      <c r="C1045" s="434">
        <f>IFERROR(__xludf.DUMMYFUNCTION("""COMPUTED_VALUE"""),43266.99861111111)</f>
        <v>43266.99861</v>
      </c>
      <c r="D1045" s="433">
        <f>IFERROR(__xludf.DUMMYFUNCTION("""COMPUTED_VALUE"""),520.4802)</f>
        <v>520.4802</v>
      </c>
      <c r="F1045" s="434">
        <f>IFERROR(__xludf.DUMMYFUNCTION("""COMPUTED_VALUE"""),45971.99861111111)</f>
        <v>45971.99861</v>
      </c>
      <c r="G1045" s="433">
        <f>IFERROR(__xludf.DUMMYFUNCTION("""COMPUTED_VALUE"""),106164.8)</f>
        <v>106164.8</v>
      </c>
      <c r="H1045" s="434">
        <f>IFERROR(__xludf.DUMMYFUNCTION("""COMPUTED_VALUE"""),45969.99861111111)</f>
        <v>45969.99861</v>
      </c>
      <c r="I1045" s="433">
        <f>IFERROR(__xludf.DUMMYFUNCTION("""COMPUTED_VALUE"""),3434.3569)</f>
        <v>3434.3569</v>
      </c>
    </row>
    <row r="1046">
      <c r="A1046" s="434">
        <f>IFERROR(__xludf.DUMMYFUNCTION("""COMPUTED_VALUE"""),43682.99861111111)</f>
        <v>43682.99861</v>
      </c>
      <c r="B1046" s="433">
        <f>IFERROR(__xludf.DUMMYFUNCTION("""COMPUTED_VALUE"""),11789.66)</f>
        <v>11789.66</v>
      </c>
      <c r="C1046" s="434">
        <f>IFERROR(__xludf.DUMMYFUNCTION("""COMPUTED_VALUE"""),43267.99861111111)</f>
        <v>43267.99861</v>
      </c>
      <c r="D1046" s="433">
        <f>IFERROR(__xludf.DUMMYFUNCTION("""COMPUTED_VALUE"""),490.4144)</f>
        <v>490.4144</v>
      </c>
      <c r="F1046" s="434">
        <f>IFERROR(__xludf.DUMMYFUNCTION("""COMPUTED_VALUE"""),45972.99861111111)</f>
        <v>45972.99861</v>
      </c>
      <c r="G1046" s="433">
        <f>IFERROR(__xludf.DUMMYFUNCTION("""COMPUTED_VALUE"""),105733.0)</f>
        <v>105733</v>
      </c>
      <c r="H1046" s="434">
        <f>IFERROR(__xludf.DUMMYFUNCTION("""COMPUTED_VALUE"""),45970.99861111111)</f>
        <v>45970.99861</v>
      </c>
      <c r="I1046" s="433">
        <f>IFERROR(__xludf.DUMMYFUNCTION("""COMPUTED_VALUE"""),3400.5466)</f>
        <v>3400.5466</v>
      </c>
    </row>
    <row r="1047">
      <c r="A1047" s="434">
        <f>IFERROR(__xludf.DUMMYFUNCTION("""COMPUTED_VALUE"""),43683.99861111111)</f>
        <v>43683.99861</v>
      </c>
      <c r="B1047" s="433">
        <f>IFERROR(__xludf.DUMMYFUNCTION("""COMPUTED_VALUE"""),11467.66)</f>
        <v>11467.66</v>
      </c>
      <c r="C1047" s="434">
        <f>IFERROR(__xludf.DUMMYFUNCTION("""COMPUTED_VALUE"""),43268.99861111111)</f>
        <v>43268.99861</v>
      </c>
      <c r="D1047" s="433">
        <f>IFERROR(__xludf.DUMMYFUNCTION("""COMPUTED_VALUE"""),499.4602)</f>
        <v>499.4602</v>
      </c>
      <c r="F1047" s="434">
        <f>IFERROR(__xludf.DUMMYFUNCTION("""COMPUTED_VALUE"""),45973.99861111111)</f>
        <v>45973.99861</v>
      </c>
      <c r="G1047" s="433">
        <f>IFERROR(__xludf.DUMMYFUNCTION("""COMPUTED_VALUE"""),103227.0)</f>
        <v>103227</v>
      </c>
      <c r="H1047" s="434">
        <f>IFERROR(__xludf.DUMMYFUNCTION("""COMPUTED_VALUE"""),45971.99861111111)</f>
        <v>45971.99861</v>
      </c>
      <c r="I1047" s="433">
        <f>IFERROR(__xludf.DUMMYFUNCTION("""COMPUTED_VALUE"""),3583.5815)</f>
        <v>3583.5815</v>
      </c>
    </row>
    <row r="1048">
      <c r="A1048" s="434">
        <f>IFERROR(__xludf.DUMMYFUNCTION("""COMPUTED_VALUE"""),43684.99861111111)</f>
        <v>43684.99861</v>
      </c>
      <c r="B1048" s="433">
        <f>IFERROR(__xludf.DUMMYFUNCTION("""COMPUTED_VALUE"""),11934.21)</f>
        <v>11934.21</v>
      </c>
      <c r="C1048" s="434">
        <f>IFERROR(__xludf.DUMMYFUNCTION("""COMPUTED_VALUE"""),43269.99861111111)</f>
        <v>43269.99861</v>
      </c>
      <c r="D1048" s="433">
        <f>IFERROR(__xludf.DUMMYFUNCTION("""COMPUTED_VALUE"""),499.3827)</f>
        <v>499.3827</v>
      </c>
      <c r="F1048" s="434">
        <f>IFERROR(__xludf.DUMMYFUNCTION("""COMPUTED_VALUE"""),45974.99861111111)</f>
        <v>45974.99861</v>
      </c>
      <c r="G1048" s="433">
        <f>IFERROR(__xludf.DUMMYFUNCTION("""COMPUTED_VALUE"""),102177.3)</f>
        <v>102177.3</v>
      </c>
      <c r="H1048" s="434">
        <f>IFERROR(__xludf.DUMMYFUNCTION("""COMPUTED_VALUE"""),45972.99861111111)</f>
        <v>45972.99861</v>
      </c>
      <c r="I1048" s="433">
        <f>IFERROR(__xludf.DUMMYFUNCTION("""COMPUTED_VALUE"""),3566.513)</f>
        <v>3566.513</v>
      </c>
    </row>
    <row r="1049">
      <c r="A1049" s="434">
        <f>IFERROR(__xludf.DUMMYFUNCTION("""COMPUTED_VALUE"""),43685.99861111111)</f>
        <v>43685.99861</v>
      </c>
      <c r="B1049" s="433">
        <f>IFERROR(__xludf.DUMMYFUNCTION("""COMPUTED_VALUE"""),11986.59)</f>
        <v>11986.59</v>
      </c>
      <c r="C1049" s="434">
        <f>IFERROR(__xludf.DUMMYFUNCTION("""COMPUTED_VALUE"""),43270.99861111111)</f>
        <v>43270.99861</v>
      </c>
      <c r="D1049" s="433">
        <f>IFERROR(__xludf.DUMMYFUNCTION("""COMPUTED_VALUE"""),519.0231)</f>
        <v>519.0231</v>
      </c>
      <c r="F1049" s="434">
        <f>IFERROR(__xludf.DUMMYFUNCTION("""COMPUTED_VALUE"""),45975.99861111111)</f>
        <v>45975.99861</v>
      </c>
      <c r="G1049" s="433">
        <f>IFERROR(__xludf.DUMMYFUNCTION("""COMPUTED_VALUE"""),97826.84)</f>
        <v>97826.84</v>
      </c>
      <c r="H1049" s="434">
        <f>IFERROR(__xludf.DUMMYFUNCTION("""COMPUTED_VALUE"""),45973.99861111111)</f>
        <v>45973.99861</v>
      </c>
      <c r="I1049" s="433">
        <f>IFERROR(__xludf.DUMMYFUNCTION("""COMPUTED_VALUE"""),3416.1663)</f>
        <v>3416.1663</v>
      </c>
    </row>
    <row r="1050">
      <c r="A1050" s="434">
        <f>IFERROR(__xludf.DUMMYFUNCTION("""COMPUTED_VALUE"""),43686.99861111111)</f>
        <v>43686.99861</v>
      </c>
      <c r="B1050" s="433">
        <f>IFERROR(__xludf.DUMMYFUNCTION("""COMPUTED_VALUE"""),11854.1)</f>
        <v>11854.1</v>
      </c>
      <c r="C1050" s="434">
        <f>IFERROR(__xludf.DUMMYFUNCTION("""COMPUTED_VALUE"""),43271.99861111111)</f>
        <v>43271.99861</v>
      </c>
      <c r="D1050" s="433">
        <f>IFERROR(__xludf.DUMMYFUNCTION("""COMPUTED_VALUE"""),538.5062)</f>
        <v>538.5062</v>
      </c>
      <c r="F1050" s="434">
        <f>IFERROR(__xludf.DUMMYFUNCTION("""COMPUTED_VALUE"""),45976.99861111111)</f>
        <v>45976.99861</v>
      </c>
      <c r="G1050" s="433">
        <f>IFERROR(__xludf.DUMMYFUNCTION("""COMPUTED_VALUE"""),96129.48)</f>
        <v>96129.48</v>
      </c>
      <c r="H1050" s="434">
        <f>IFERROR(__xludf.DUMMYFUNCTION("""COMPUTED_VALUE"""),45974.99861111111)</f>
        <v>45974.99861</v>
      </c>
      <c r="I1050" s="433">
        <f>IFERROR(__xludf.DUMMYFUNCTION("""COMPUTED_VALUE"""),3413.7924)</f>
        <v>3413.7924</v>
      </c>
    </row>
    <row r="1051">
      <c r="A1051" s="434">
        <f>IFERROR(__xludf.DUMMYFUNCTION("""COMPUTED_VALUE"""),43687.99861111111)</f>
        <v>43687.99861</v>
      </c>
      <c r="B1051" s="433">
        <f>IFERROR(__xludf.DUMMYFUNCTION("""COMPUTED_VALUE"""),11288.67)</f>
        <v>11288.67</v>
      </c>
      <c r="C1051" s="434">
        <f>IFERROR(__xludf.DUMMYFUNCTION("""COMPUTED_VALUE"""),43272.99861111111)</f>
        <v>43272.99861</v>
      </c>
      <c r="D1051" s="433">
        <f>IFERROR(__xludf.DUMMYFUNCTION("""COMPUTED_VALUE"""),536.4466)</f>
        <v>536.4466</v>
      </c>
      <c r="F1051" s="434">
        <f>IFERROR(__xludf.DUMMYFUNCTION("""COMPUTED_VALUE"""),45977.99861111111)</f>
        <v>45977.99861</v>
      </c>
      <c r="G1051" s="433">
        <f>IFERROR(__xludf.DUMMYFUNCTION("""COMPUTED_VALUE"""),95801.09)</f>
        <v>95801.09</v>
      </c>
      <c r="H1051" s="434">
        <f>IFERROR(__xludf.DUMMYFUNCTION("""COMPUTED_VALUE"""),45975.99861111111)</f>
        <v>45975.99861</v>
      </c>
      <c r="I1051" s="433">
        <f>IFERROR(__xludf.DUMMYFUNCTION("""COMPUTED_VALUE"""),3232.7542)</f>
        <v>3232.7542</v>
      </c>
    </row>
    <row r="1052">
      <c r="A1052" s="434">
        <f>IFERROR(__xludf.DUMMYFUNCTION("""COMPUTED_VALUE"""),43688.99861111111)</f>
        <v>43688.99861</v>
      </c>
      <c r="B1052" s="433">
        <f>IFERROR(__xludf.DUMMYFUNCTION("""COMPUTED_VALUE"""),11536.82)</f>
        <v>11536.82</v>
      </c>
      <c r="C1052" s="434">
        <f>IFERROR(__xludf.DUMMYFUNCTION("""COMPUTED_VALUE"""),43273.99861111111)</f>
        <v>43273.99861</v>
      </c>
      <c r="D1052" s="433">
        <f>IFERROR(__xludf.DUMMYFUNCTION("""COMPUTED_VALUE"""),527.1941)</f>
        <v>527.1941</v>
      </c>
      <c r="F1052" s="434">
        <f>IFERROR(__xludf.DUMMYFUNCTION("""COMPUTED_VALUE"""),45978.99861111111)</f>
        <v>45978.99861</v>
      </c>
      <c r="G1052" s="433">
        <f>IFERROR(__xludf.DUMMYFUNCTION("""COMPUTED_VALUE"""),95168.88)</f>
        <v>95168.88</v>
      </c>
      <c r="H1052" s="434">
        <f>IFERROR(__xludf.DUMMYFUNCTION("""COMPUTED_VALUE"""),45976.99861111111)</f>
        <v>45976.99861</v>
      </c>
      <c r="I1052" s="433">
        <f>IFERROR(__xludf.DUMMYFUNCTION("""COMPUTED_VALUE"""),3109.0142)</f>
        <v>3109.0142</v>
      </c>
    </row>
    <row r="1053">
      <c r="A1053" s="434">
        <f>IFERROR(__xludf.DUMMYFUNCTION("""COMPUTED_VALUE"""),43689.99861111111)</f>
        <v>43689.99861</v>
      </c>
      <c r="B1053" s="433">
        <f>IFERROR(__xludf.DUMMYFUNCTION("""COMPUTED_VALUE"""),11388.57)</f>
        <v>11388.57</v>
      </c>
      <c r="C1053" s="434">
        <f>IFERROR(__xludf.DUMMYFUNCTION("""COMPUTED_VALUE"""),43274.99861111111)</f>
        <v>43274.99861</v>
      </c>
      <c r="D1053" s="433">
        <f>IFERROR(__xludf.DUMMYFUNCTION("""COMPUTED_VALUE"""),466.274)</f>
        <v>466.274</v>
      </c>
      <c r="F1053" s="434">
        <f>IFERROR(__xludf.DUMMYFUNCTION("""COMPUTED_VALUE"""),45979.99861111111)</f>
        <v>45979.99861</v>
      </c>
      <c r="G1053" s="433">
        <f>IFERROR(__xludf.DUMMYFUNCTION("""COMPUTED_VALUE"""),90089.49)</f>
        <v>90089.49</v>
      </c>
      <c r="H1053" s="434">
        <f>IFERROR(__xludf.DUMMYFUNCTION("""COMPUTED_VALUE"""),45977.99861111111)</f>
        <v>45977.99861</v>
      </c>
      <c r="I1053" s="433">
        <f>IFERROR(__xludf.DUMMYFUNCTION("""COMPUTED_VALUE"""),3166.5575)</f>
        <v>3166.5575</v>
      </c>
    </row>
    <row r="1054">
      <c r="A1054" s="434">
        <f>IFERROR(__xludf.DUMMYFUNCTION("""COMPUTED_VALUE"""),43690.99861111111)</f>
        <v>43690.99861</v>
      </c>
      <c r="B1054" s="433">
        <f>IFERROR(__xludf.DUMMYFUNCTION("""COMPUTED_VALUE"""),10859.45)</f>
        <v>10859.45</v>
      </c>
      <c r="C1054" s="434">
        <f>IFERROR(__xludf.DUMMYFUNCTION("""COMPUTED_VALUE"""),43275.99861111111)</f>
        <v>43275.99861</v>
      </c>
      <c r="D1054" s="433">
        <f>IFERROR(__xludf.DUMMYFUNCTION("""COMPUTED_VALUE"""),623.0179)</f>
        <v>623.0179</v>
      </c>
      <c r="F1054" s="434">
        <f>IFERROR(__xludf.DUMMYFUNCTION("""COMPUTED_VALUE"""),45980.99861111111)</f>
        <v>45980.99861</v>
      </c>
      <c r="G1054" s="433">
        <f>IFERROR(__xludf.DUMMYFUNCTION("""COMPUTED_VALUE"""),91386.52)</f>
        <v>91386.52</v>
      </c>
      <c r="H1054" s="434">
        <f>IFERROR(__xludf.DUMMYFUNCTION("""COMPUTED_VALUE"""),45978.99861111111)</f>
        <v>45978.99861</v>
      </c>
      <c r="I1054" s="433">
        <f>IFERROR(__xludf.DUMMYFUNCTION("""COMPUTED_VALUE"""),3093.8453)</f>
        <v>3093.8453</v>
      </c>
    </row>
    <row r="1055">
      <c r="A1055" s="434">
        <f>IFERROR(__xludf.DUMMYFUNCTION("""COMPUTED_VALUE"""),43691.99861111111)</f>
        <v>43691.99861</v>
      </c>
      <c r="B1055" s="433">
        <f>IFERROR(__xludf.DUMMYFUNCTION("""COMPUTED_VALUE"""),10045.26)</f>
        <v>10045.26</v>
      </c>
      <c r="C1055" s="434">
        <f>IFERROR(__xludf.DUMMYFUNCTION("""COMPUTED_VALUE"""),43276.99861111111)</f>
        <v>43276.99861</v>
      </c>
      <c r="D1055" s="433">
        <f>IFERROR(__xludf.DUMMYFUNCTION("""COMPUTED_VALUE"""),455.9363)</f>
        <v>455.9363</v>
      </c>
      <c r="F1055" s="434">
        <f>IFERROR(__xludf.DUMMYFUNCTION("""COMPUTED_VALUE"""),45981.99861111111)</f>
        <v>45981.99861</v>
      </c>
      <c r="G1055" s="433">
        <f>IFERROR(__xludf.DUMMYFUNCTION("""COMPUTED_VALUE"""),92760.46)</f>
        <v>92760.46</v>
      </c>
      <c r="H1055" s="434">
        <f>IFERROR(__xludf.DUMMYFUNCTION("""COMPUTED_VALUE"""),45979.99861111111)</f>
        <v>45979.99861</v>
      </c>
      <c r="I1055" s="433">
        <f>IFERROR(__xludf.DUMMYFUNCTION("""COMPUTED_VALUE"""),3026.044)</f>
        <v>3026.044</v>
      </c>
    </row>
    <row r="1056">
      <c r="A1056" s="434">
        <f>IFERROR(__xludf.DUMMYFUNCTION("""COMPUTED_VALUE"""),43692.99861111111)</f>
        <v>43692.99861</v>
      </c>
      <c r="B1056" s="433">
        <f>IFERROR(__xludf.DUMMYFUNCTION("""COMPUTED_VALUE"""),10300.12)</f>
        <v>10300.12</v>
      </c>
      <c r="C1056" s="434">
        <f>IFERROR(__xludf.DUMMYFUNCTION("""COMPUTED_VALUE"""),43277.99861111111)</f>
        <v>43277.99861</v>
      </c>
      <c r="D1056" s="433">
        <f>IFERROR(__xludf.DUMMYFUNCTION("""COMPUTED_VALUE"""),460.733)</f>
        <v>460.733</v>
      </c>
      <c r="F1056" s="434">
        <f>IFERROR(__xludf.DUMMYFUNCTION("""COMPUTED_VALUE"""),45982.99861111111)</f>
        <v>45982.99861</v>
      </c>
      <c r="G1056" s="433">
        <f>IFERROR(__xludf.DUMMYFUNCTION("""COMPUTED_VALUE"""),85973.09)</f>
        <v>85973.09</v>
      </c>
      <c r="H1056" s="434">
        <f>IFERROR(__xludf.DUMMYFUNCTION("""COMPUTED_VALUE"""),45980.99861111111)</f>
        <v>45980.99861</v>
      </c>
      <c r="I1056" s="433">
        <f>IFERROR(__xludf.DUMMYFUNCTION("""COMPUTED_VALUE"""),3122.2504)</f>
        <v>3122.2504</v>
      </c>
    </row>
    <row r="1057">
      <c r="A1057" s="434">
        <f>IFERROR(__xludf.DUMMYFUNCTION("""COMPUTED_VALUE"""),43693.99861111111)</f>
        <v>43693.99861</v>
      </c>
      <c r="B1057" s="433">
        <f>IFERROR(__xludf.DUMMYFUNCTION("""COMPUTED_VALUE"""),10351.36)</f>
        <v>10351.36</v>
      </c>
      <c r="C1057" s="434">
        <f>IFERROR(__xludf.DUMMYFUNCTION("""COMPUTED_VALUE"""),43278.99861111111)</f>
        <v>43278.99861</v>
      </c>
      <c r="D1057" s="433">
        <f>IFERROR(__xludf.DUMMYFUNCTION("""COMPUTED_VALUE"""),432.2435)</f>
        <v>432.2435</v>
      </c>
      <c r="F1057" s="434">
        <f>IFERROR(__xludf.DUMMYFUNCTION("""COMPUTED_VALUE"""),45983.99861111111)</f>
        <v>45983.99861</v>
      </c>
      <c r="G1057" s="433">
        <f>IFERROR(__xludf.DUMMYFUNCTION("""COMPUTED_VALUE"""),84209.42)</f>
        <v>84209.42</v>
      </c>
      <c r="H1057" s="434">
        <f>IFERROR(__xludf.DUMMYFUNCTION("""COMPUTED_VALUE"""),45981.99861111111)</f>
        <v>45981.99861</v>
      </c>
      <c r="I1057" s="433">
        <f>IFERROR(__xludf.DUMMYFUNCTION("""COMPUTED_VALUE"""),3022.7717)</f>
        <v>3022.7717</v>
      </c>
    </row>
    <row r="1058">
      <c r="A1058" s="434">
        <f>IFERROR(__xludf.DUMMYFUNCTION("""COMPUTED_VALUE"""),43694.99861111111)</f>
        <v>43694.99861</v>
      </c>
      <c r="B1058" s="433">
        <f>IFERROR(__xludf.DUMMYFUNCTION("""COMPUTED_VALUE"""),10219.49)</f>
        <v>10219.49</v>
      </c>
      <c r="C1058" s="434">
        <f>IFERROR(__xludf.DUMMYFUNCTION("""COMPUTED_VALUE"""),43279.99861111111)</f>
        <v>43279.99861</v>
      </c>
      <c r="D1058" s="433">
        <f>IFERROR(__xludf.DUMMYFUNCTION("""COMPUTED_VALUE"""),442.29)</f>
        <v>442.29</v>
      </c>
      <c r="F1058" s="434">
        <f>IFERROR(__xludf.DUMMYFUNCTION("""COMPUTED_VALUE"""),45984.99861111111)</f>
        <v>45984.99861</v>
      </c>
      <c r="G1058" s="433">
        <f>IFERROR(__xludf.DUMMYFUNCTION("""COMPUTED_VALUE"""),86540.84)</f>
        <v>86540.84</v>
      </c>
      <c r="H1058" s="434">
        <f>IFERROR(__xludf.DUMMYFUNCTION("""COMPUTED_VALUE"""),45982.99861111111)</f>
        <v>45982.99861</v>
      </c>
      <c r="I1058" s="433">
        <f>IFERROR(__xludf.DUMMYFUNCTION("""COMPUTED_VALUE"""),2830.5724)</f>
        <v>2830.5724</v>
      </c>
    </row>
    <row r="1059">
      <c r="A1059" s="434">
        <f>IFERROR(__xludf.DUMMYFUNCTION("""COMPUTED_VALUE"""),43695.99861111111)</f>
        <v>43695.99861</v>
      </c>
      <c r="B1059" s="433">
        <f>IFERROR(__xludf.DUMMYFUNCTION("""COMPUTED_VALUE"""),10330.88)</f>
        <v>10330.88</v>
      </c>
      <c r="C1059" s="434">
        <f>IFERROR(__xludf.DUMMYFUNCTION("""COMPUTED_VALUE"""),43280.99861111111)</f>
        <v>43280.99861</v>
      </c>
      <c r="D1059" s="433">
        <f>IFERROR(__xludf.DUMMYFUNCTION("""COMPUTED_VALUE"""),422.587)</f>
        <v>422.587</v>
      </c>
      <c r="F1059" s="434">
        <f>IFERROR(__xludf.DUMMYFUNCTION("""COMPUTED_VALUE"""),45985.99861111111)</f>
        <v>45985.99861</v>
      </c>
      <c r="G1059" s="433">
        <f>IFERROR(__xludf.DUMMYFUNCTION("""COMPUTED_VALUE"""),86719.09)</f>
        <v>86719.09</v>
      </c>
      <c r="H1059" s="434">
        <f>IFERROR(__xludf.DUMMYFUNCTION("""COMPUTED_VALUE"""),45983.99861111111)</f>
        <v>45983.99861</v>
      </c>
      <c r="I1059" s="433">
        <f>IFERROR(__xludf.DUMMYFUNCTION("""COMPUTED_VALUE"""),2764.6038)</f>
        <v>2764.6038</v>
      </c>
    </row>
    <row r="1060">
      <c r="A1060" s="434">
        <f>IFERROR(__xludf.DUMMYFUNCTION("""COMPUTED_VALUE"""),43696.99861111111)</f>
        <v>43696.99861</v>
      </c>
      <c r="B1060" s="433">
        <f>IFERROR(__xludf.DUMMYFUNCTION("""COMPUTED_VALUE"""),10919.87)</f>
        <v>10919.87</v>
      </c>
      <c r="C1060" s="434">
        <f>IFERROR(__xludf.DUMMYFUNCTION("""COMPUTED_VALUE"""),43281.99861111111)</f>
        <v>43281.99861</v>
      </c>
      <c r="D1060" s="433">
        <f>IFERROR(__xludf.DUMMYFUNCTION("""COMPUTED_VALUE"""),436.209)</f>
        <v>436.209</v>
      </c>
      <c r="F1060" s="434">
        <f>IFERROR(__xludf.DUMMYFUNCTION("""COMPUTED_VALUE"""),45986.99861111111)</f>
        <v>45986.99861</v>
      </c>
      <c r="G1060" s="433">
        <f>IFERROR(__xludf.DUMMYFUNCTION("""COMPUTED_VALUE"""),88321.3)</f>
        <v>88321.3</v>
      </c>
      <c r="H1060" s="434">
        <f>IFERROR(__xludf.DUMMYFUNCTION("""COMPUTED_VALUE"""),45984.99861111111)</f>
        <v>45984.99861</v>
      </c>
      <c r="I1060" s="433">
        <f>IFERROR(__xludf.DUMMYFUNCTION("""COMPUTED_VALUE"""),2768.5177)</f>
        <v>2768.5177</v>
      </c>
    </row>
    <row r="1061">
      <c r="A1061" s="434">
        <f>IFERROR(__xludf.DUMMYFUNCTION("""COMPUTED_VALUE"""),43697.99861111111)</f>
        <v>43697.99861</v>
      </c>
      <c r="B1061" s="433">
        <f>IFERROR(__xludf.DUMMYFUNCTION("""COMPUTED_VALUE"""),10763.62)</f>
        <v>10763.62</v>
      </c>
      <c r="C1061" s="434">
        <f>IFERROR(__xludf.DUMMYFUNCTION("""COMPUTED_VALUE"""),43282.99861111111)</f>
        <v>43282.99861</v>
      </c>
      <c r="D1061" s="433">
        <f>IFERROR(__xludf.DUMMYFUNCTION("""COMPUTED_VALUE"""),455.242)</f>
        <v>455.242</v>
      </c>
      <c r="F1061" s="434">
        <f>IFERROR(__xludf.DUMMYFUNCTION("""COMPUTED_VALUE"""),45987.99861111111)</f>
        <v>45987.99861</v>
      </c>
      <c r="G1061" s="433">
        <f>IFERROR(__xludf.DUMMYFUNCTION("""COMPUTED_VALUE"""),87244.85)</f>
        <v>87244.85</v>
      </c>
      <c r="H1061" s="434">
        <f>IFERROR(__xludf.DUMMYFUNCTION("""COMPUTED_VALUE"""),45985.99861111111)</f>
        <v>45985.99861</v>
      </c>
      <c r="I1061" s="433">
        <f>IFERROR(__xludf.DUMMYFUNCTION("""COMPUTED_VALUE"""),2801.1486)</f>
        <v>2801.1486</v>
      </c>
    </row>
    <row r="1062">
      <c r="A1062" s="434">
        <f>IFERROR(__xludf.DUMMYFUNCTION("""COMPUTED_VALUE"""),43698.99861111111)</f>
        <v>43698.99861</v>
      </c>
      <c r="B1062" s="433">
        <f>IFERROR(__xludf.DUMMYFUNCTION("""COMPUTED_VALUE"""),10131.18)</f>
        <v>10131.18</v>
      </c>
      <c r="C1062" s="434">
        <f>IFERROR(__xludf.DUMMYFUNCTION("""COMPUTED_VALUE"""),43283.99861111111)</f>
        <v>43283.99861</v>
      </c>
      <c r="D1062" s="433">
        <f>IFERROR(__xludf.DUMMYFUNCTION("""COMPUTED_VALUE"""),453.824)</f>
        <v>453.824</v>
      </c>
      <c r="F1062" s="434">
        <f>IFERROR(__xludf.DUMMYFUNCTION("""COMPUTED_VALUE"""),45988.99861111111)</f>
        <v>45988.99861</v>
      </c>
      <c r="G1062" s="433">
        <f>IFERROR(__xludf.DUMMYFUNCTION("""COMPUTED_VALUE"""),91284.55)</f>
        <v>91284.55</v>
      </c>
      <c r="H1062" s="434">
        <f>IFERROR(__xludf.DUMMYFUNCTION("""COMPUTED_VALUE"""),45986.99861111111)</f>
        <v>45986.99861</v>
      </c>
      <c r="I1062" s="433">
        <f>IFERROR(__xludf.DUMMYFUNCTION("""COMPUTED_VALUE"""),2952.5277)</f>
        <v>2952.5277</v>
      </c>
    </row>
    <row r="1063">
      <c r="A1063" s="434">
        <f>IFERROR(__xludf.DUMMYFUNCTION("""COMPUTED_VALUE"""),43699.99861111111)</f>
        <v>43699.99861</v>
      </c>
      <c r="B1063" s="433">
        <f>IFERROR(__xludf.DUMMYFUNCTION("""COMPUTED_VALUE"""),10113.63)</f>
        <v>10113.63</v>
      </c>
      <c r="C1063" s="434">
        <f>IFERROR(__xludf.DUMMYFUNCTION("""COMPUTED_VALUE"""),43284.99861111111)</f>
        <v>43284.99861</v>
      </c>
      <c r="D1063" s="433">
        <f>IFERROR(__xludf.DUMMYFUNCTION("""COMPUTED_VALUE"""),475.386)</f>
        <v>475.386</v>
      </c>
      <c r="F1063" s="434">
        <f>IFERROR(__xludf.DUMMYFUNCTION("""COMPUTED_VALUE"""),45989.99861111111)</f>
        <v>45989.99861</v>
      </c>
      <c r="G1063" s="433">
        <f>IFERROR(__xludf.DUMMYFUNCTION("""COMPUTED_VALUE"""),91452.75)</f>
        <v>91452.75</v>
      </c>
      <c r="H1063" s="434">
        <f>IFERROR(__xludf.DUMMYFUNCTION("""COMPUTED_VALUE"""),45987.99861111111)</f>
        <v>45987.99861</v>
      </c>
      <c r="I1063" s="433">
        <f>IFERROR(__xludf.DUMMYFUNCTION("""COMPUTED_VALUE"""),2959.0879)</f>
        <v>2959.0879</v>
      </c>
    </row>
    <row r="1064">
      <c r="A1064" s="434">
        <f>IFERROR(__xludf.DUMMYFUNCTION("""COMPUTED_VALUE"""),43700.99861111111)</f>
        <v>43700.99861</v>
      </c>
      <c r="B1064" s="433">
        <f>IFERROR(__xludf.DUMMYFUNCTION("""COMPUTED_VALUE"""),10406.7)</f>
        <v>10406.7</v>
      </c>
      <c r="C1064" s="434">
        <f>IFERROR(__xludf.DUMMYFUNCTION("""COMPUTED_VALUE"""),43285.99861111111)</f>
        <v>43285.99861</v>
      </c>
      <c r="D1064" s="433">
        <f>IFERROR(__xludf.DUMMYFUNCTION("""COMPUTED_VALUE"""),464.151)</f>
        <v>464.151</v>
      </c>
      <c r="F1064" s="434">
        <f>IFERROR(__xludf.DUMMYFUNCTION("""COMPUTED_VALUE"""),45990.99861111111)</f>
        <v>45990.99861</v>
      </c>
      <c r="G1064" s="433">
        <f>IFERROR(__xludf.DUMMYFUNCTION("""COMPUTED_VALUE"""),90869.59)</f>
        <v>90869.59</v>
      </c>
      <c r="H1064" s="434">
        <f>IFERROR(__xludf.DUMMYFUNCTION("""COMPUTED_VALUE"""),45988.99861111111)</f>
        <v>45988.99861</v>
      </c>
      <c r="I1064" s="433">
        <f>IFERROR(__xludf.DUMMYFUNCTION("""COMPUTED_VALUE"""),3027.583)</f>
        <v>3027.583</v>
      </c>
    </row>
    <row r="1065">
      <c r="A1065" s="434">
        <f>IFERROR(__xludf.DUMMYFUNCTION("""COMPUTED_VALUE"""),43701.99861111111)</f>
        <v>43701.99861</v>
      </c>
      <c r="B1065" s="433">
        <f>IFERROR(__xludf.DUMMYFUNCTION("""COMPUTED_VALUE"""),10129.1)</f>
        <v>10129.1</v>
      </c>
      <c r="C1065" s="434">
        <f>IFERROR(__xludf.DUMMYFUNCTION("""COMPUTED_VALUE"""),43286.99861111111)</f>
        <v>43286.99861</v>
      </c>
      <c r="D1065" s="433">
        <f>IFERROR(__xludf.DUMMYFUNCTION("""COMPUTED_VALUE"""),467.287)</f>
        <v>467.287</v>
      </c>
      <c r="F1065" s="434">
        <f>IFERROR(__xludf.DUMMYFUNCTION("""COMPUTED_VALUE"""),45991.99861111111)</f>
        <v>45991.99861</v>
      </c>
      <c r="G1065" s="433">
        <f>IFERROR(__xludf.DUMMYFUNCTION("""COMPUTED_VALUE"""),90899.38)</f>
        <v>90899.38</v>
      </c>
      <c r="H1065" s="434">
        <f>IFERROR(__xludf.DUMMYFUNCTION("""COMPUTED_VALUE"""),45989.99861111111)</f>
        <v>45989.99861</v>
      </c>
      <c r="I1065" s="433">
        <f>IFERROR(__xludf.DUMMYFUNCTION("""COMPUTED_VALUE"""),3015.0114)</f>
        <v>3015.0114</v>
      </c>
    </row>
    <row r="1066">
      <c r="A1066" s="434">
        <f>IFERROR(__xludf.DUMMYFUNCTION("""COMPUTED_VALUE"""),43702.99861111111)</f>
        <v>43702.99861</v>
      </c>
      <c r="B1066" s="433">
        <f>IFERROR(__xludf.DUMMYFUNCTION("""COMPUTED_VALUE"""),10139.37)</f>
        <v>10139.37</v>
      </c>
      <c r="C1066" s="434">
        <f>IFERROR(__xludf.DUMMYFUNCTION("""COMPUTED_VALUE"""),43287.99861111111)</f>
        <v>43287.99861</v>
      </c>
      <c r="D1066" s="433">
        <f>IFERROR(__xludf.DUMMYFUNCTION("""COMPUTED_VALUE"""),474.357)</f>
        <v>474.357</v>
      </c>
      <c r="F1066" s="434">
        <f>IFERROR(__xludf.DUMMYFUNCTION("""COMPUTED_VALUE"""),45992.99861111111)</f>
        <v>45992.99861</v>
      </c>
      <c r="G1066" s="433">
        <f>IFERROR(__xludf.DUMMYFUNCTION("""COMPUTED_VALUE"""),85807.97)</f>
        <v>85807.97</v>
      </c>
      <c r="H1066" s="434">
        <f>IFERROR(__xludf.DUMMYFUNCTION("""COMPUTED_VALUE"""),45990.99861111111)</f>
        <v>45990.99861</v>
      </c>
      <c r="I1066" s="433">
        <f>IFERROR(__xludf.DUMMYFUNCTION("""COMPUTED_VALUE"""),3032.1419)</f>
        <v>3032.1419</v>
      </c>
    </row>
    <row r="1067">
      <c r="A1067" s="434">
        <f>IFERROR(__xludf.DUMMYFUNCTION("""COMPUTED_VALUE"""),43703.99861111111)</f>
        <v>43703.99861</v>
      </c>
      <c r="B1067" s="433">
        <f>IFERROR(__xludf.DUMMYFUNCTION("""COMPUTED_VALUE"""),10341.79)</f>
        <v>10341.79</v>
      </c>
      <c r="C1067" s="434">
        <f>IFERROR(__xludf.DUMMYFUNCTION("""COMPUTED_VALUE"""),43288.99861111111)</f>
        <v>43288.99861</v>
      </c>
      <c r="D1067" s="433">
        <f>IFERROR(__xludf.DUMMYFUNCTION("""COMPUTED_VALUE"""),474.057)</f>
        <v>474.057</v>
      </c>
      <c r="F1067" s="434">
        <f>IFERROR(__xludf.DUMMYFUNCTION("""COMPUTED_VALUE"""),45993.99861111111)</f>
        <v>45993.99861</v>
      </c>
      <c r="G1067" s="433">
        <f>IFERROR(__xludf.DUMMYFUNCTION("""COMPUTED_VALUE"""),86966.17)</f>
        <v>86966.17</v>
      </c>
      <c r="H1067" s="434">
        <f>IFERROR(__xludf.DUMMYFUNCTION("""COMPUTED_VALUE"""),45991.99861111111)</f>
        <v>45991.99861</v>
      </c>
      <c r="I1067" s="433">
        <f>IFERROR(__xludf.DUMMYFUNCTION("""COMPUTED_VALUE"""),2990.8361)</f>
        <v>2990.8361</v>
      </c>
    </row>
    <row r="1068">
      <c r="A1068" s="434">
        <f>IFERROR(__xludf.DUMMYFUNCTION("""COMPUTED_VALUE"""),43704.99861111111)</f>
        <v>43704.99861</v>
      </c>
      <c r="B1068" s="433">
        <f>IFERROR(__xludf.DUMMYFUNCTION("""COMPUTED_VALUE"""),10179.44)</f>
        <v>10179.44</v>
      </c>
      <c r="C1068" s="434">
        <f>IFERROR(__xludf.DUMMYFUNCTION("""COMPUTED_VALUE"""),43289.99861111111)</f>
        <v>43289.99861</v>
      </c>
      <c r="D1068" s="433">
        <f>IFERROR(__xludf.DUMMYFUNCTION("""COMPUTED_VALUE"""),492.068)</f>
        <v>492.068</v>
      </c>
      <c r="F1068" s="434">
        <f>IFERROR(__xludf.DUMMYFUNCTION("""COMPUTED_VALUE"""),45994.99861111111)</f>
        <v>45994.99861</v>
      </c>
      <c r="G1068" s="433">
        <f>IFERROR(__xludf.DUMMYFUNCTION("""COMPUTED_VALUE"""),93258.06)</f>
        <v>93258.06</v>
      </c>
      <c r="H1068" s="434">
        <f>IFERROR(__xludf.DUMMYFUNCTION("""COMPUTED_VALUE"""),45992.99861111111)</f>
        <v>45992.99861</v>
      </c>
      <c r="I1068" s="433">
        <f>IFERROR(__xludf.DUMMYFUNCTION("""COMPUTED_VALUE"""),2991.9503)</f>
        <v>2991.9503</v>
      </c>
    </row>
    <row r="1069">
      <c r="A1069" s="434">
        <f>IFERROR(__xludf.DUMMYFUNCTION("""COMPUTED_VALUE"""),43705.99861111111)</f>
        <v>43705.99861</v>
      </c>
      <c r="B1069" s="433">
        <f>IFERROR(__xludf.DUMMYFUNCTION("""COMPUTED_VALUE"""),9724.275)</f>
        <v>9724.275</v>
      </c>
      <c r="C1069" s="434">
        <f>IFERROR(__xludf.DUMMYFUNCTION("""COMPUTED_VALUE"""),43290.99861111111)</f>
        <v>43290.99861</v>
      </c>
      <c r="D1069" s="433">
        <f>IFERROR(__xludf.DUMMYFUNCTION("""COMPUTED_VALUE"""),488.878)</f>
        <v>488.878</v>
      </c>
      <c r="F1069" s="434">
        <f>IFERROR(__xludf.DUMMYFUNCTION("""COMPUTED_VALUE"""),45995.99861111111)</f>
        <v>45995.99861</v>
      </c>
      <c r="G1069" s="433">
        <f>IFERROR(__xludf.DUMMYFUNCTION("""COMPUTED_VALUE"""),93346.89)</f>
        <v>93346.89</v>
      </c>
      <c r="H1069" s="434">
        <f>IFERROR(__xludf.DUMMYFUNCTION("""COMPUTED_VALUE"""),45993.99861111111)</f>
        <v>45993.99861</v>
      </c>
      <c r="I1069" s="433">
        <f>IFERROR(__xludf.DUMMYFUNCTION("""COMPUTED_VALUE"""),2799.8389)</f>
        <v>2799.8389</v>
      </c>
    </row>
    <row r="1070">
      <c r="A1070" s="434">
        <f>IFERROR(__xludf.DUMMYFUNCTION("""COMPUTED_VALUE"""),43706.99861111111)</f>
        <v>43706.99861</v>
      </c>
      <c r="B1070" s="433">
        <f>IFERROR(__xludf.DUMMYFUNCTION("""COMPUTED_VALUE"""),9468.333)</f>
        <v>9468.333</v>
      </c>
      <c r="C1070" s="434">
        <f>IFERROR(__xludf.DUMMYFUNCTION("""COMPUTED_VALUE"""),43291.99861111111)</f>
        <v>43291.99861</v>
      </c>
      <c r="D1070" s="433">
        <f>IFERROR(__xludf.DUMMYFUNCTION("""COMPUTED_VALUE"""),476.162)</f>
        <v>476.162</v>
      </c>
      <c r="F1070" s="434">
        <f>IFERROR(__xludf.DUMMYFUNCTION("""COMPUTED_VALUE"""),45996.99861111111)</f>
        <v>45996.99861</v>
      </c>
      <c r="G1070" s="433">
        <f>IFERROR(__xludf.DUMMYFUNCTION("""COMPUTED_VALUE"""),92027.11)</f>
        <v>92027.11</v>
      </c>
      <c r="H1070" s="434">
        <f>IFERROR(__xludf.DUMMYFUNCTION("""COMPUTED_VALUE"""),45994.99861111111)</f>
        <v>45994.99861</v>
      </c>
      <c r="I1070" s="433">
        <f>IFERROR(__xludf.DUMMYFUNCTION("""COMPUTED_VALUE"""),2997.8038)</f>
        <v>2997.8038</v>
      </c>
    </row>
    <row r="1071">
      <c r="A1071" s="434">
        <f>IFERROR(__xludf.DUMMYFUNCTION("""COMPUTED_VALUE"""),43707.99861111111)</f>
        <v>43707.99861</v>
      </c>
      <c r="B1071" s="433">
        <f>IFERROR(__xludf.DUMMYFUNCTION("""COMPUTED_VALUE"""),9585.251)</f>
        <v>9585.251</v>
      </c>
      <c r="C1071" s="434">
        <f>IFERROR(__xludf.DUMMYFUNCTION("""COMPUTED_VALUE"""),43292.99861111111)</f>
        <v>43292.99861</v>
      </c>
      <c r="D1071" s="433">
        <f>IFERROR(__xludf.DUMMYFUNCTION("""COMPUTED_VALUE"""),434.515)</f>
        <v>434.515</v>
      </c>
      <c r="F1071" s="434">
        <f>IFERROR(__xludf.DUMMYFUNCTION("""COMPUTED_VALUE"""),45997.99861111111)</f>
        <v>45997.99861</v>
      </c>
      <c r="G1071" s="433">
        <f>IFERROR(__xludf.DUMMYFUNCTION("""COMPUTED_VALUE"""),89708.7)</f>
        <v>89708.7</v>
      </c>
      <c r="H1071" s="434">
        <f>IFERROR(__xludf.DUMMYFUNCTION("""COMPUTED_VALUE"""),45995.99861111111)</f>
        <v>45995.99861</v>
      </c>
      <c r="I1071" s="433">
        <f>IFERROR(__xludf.DUMMYFUNCTION("""COMPUTED_VALUE"""),3189.2553)</f>
        <v>3189.2553</v>
      </c>
    </row>
    <row r="1072">
      <c r="A1072" s="434">
        <f>IFERROR(__xludf.DUMMYFUNCTION("""COMPUTED_VALUE"""),43708.99861111111)</f>
        <v>43708.99861</v>
      </c>
      <c r="B1072" s="433">
        <f>IFERROR(__xludf.DUMMYFUNCTION("""COMPUTED_VALUE"""),9619.062)</f>
        <v>9619.062</v>
      </c>
      <c r="C1072" s="434">
        <f>IFERROR(__xludf.DUMMYFUNCTION("""COMPUTED_VALUE"""),43293.99861111111)</f>
        <v>43293.99861</v>
      </c>
      <c r="D1072" s="433">
        <f>IFERROR(__xludf.DUMMYFUNCTION("""COMPUTED_VALUE"""),446.502)</f>
        <v>446.502</v>
      </c>
      <c r="F1072" s="434">
        <f>IFERROR(__xludf.DUMMYFUNCTION("""COMPUTED_VALUE"""),45998.99861111111)</f>
        <v>45998.99861</v>
      </c>
      <c r="G1072" s="433">
        <f>IFERROR(__xludf.DUMMYFUNCTION("""COMPUTED_VALUE"""),89579.54)</f>
        <v>89579.54</v>
      </c>
      <c r="H1072" s="434">
        <f>IFERROR(__xludf.DUMMYFUNCTION("""COMPUTED_VALUE"""),45996.99861111111)</f>
        <v>45996.99861</v>
      </c>
      <c r="I1072" s="433">
        <f>IFERROR(__xludf.DUMMYFUNCTION("""COMPUTED_VALUE"""),3134.1826)</f>
        <v>3134.1826</v>
      </c>
    </row>
    <row r="1073">
      <c r="A1073" s="434">
        <f>IFERROR(__xludf.DUMMYFUNCTION("""COMPUTED_VALUE"""),43709.99861111111)</f>
        <v>43709.99861</v>
      </c>
      <c r="B1073" s="433">
        <f>IFERROR(__xludf.DUMMYFUNCTION("""COMPUTED_VALUE"""),9776.468)</f>
        <v>9776.468</v>
      </c>
      <c r="C1073" s="434">
        <f>IFERROR(__xludf.DUMMYFUNCTION("""COMPUTED_VALUE"""),43294.99861111111)</f>
        <v>43294.99861</v>
      </c>
      <c r="D1073" s="433">
        <f>IFERROR(__xludf.DUMMYFUNCTION("""COMPUTED_VALUE"""),430.741)</f>
        <v>430.741</v>
      </c>
      <c r="F1073" s="434">
        <f>IFERROR(__xludf.DUMMYFUNCTION("""COMPUTED_VALUE"""),45999.99861111111)</f>
        <v>45999.99861</v>
      </c>
      <c r="G1073" s="433">
        <f>IFERROR(__xludf.DUMMYFUNCTION("""COMPUTED_VALUE"""),91282.38)</f>
        <v>91282.38</v>
      </c>
      <c r="H1073" s="434">
        <f>IFERROR(__xludf.DUMMYFUNCTION("""COMPUTED_VALUE"""),45997.99861111111)</f>
        <v>45997.99861</v>
      </c>
      <c r="I1073" s="433">
        <f>IFERROR(__xludf.DUMMYFUNCTION("""COMPUTED_VALUE"""),3023.2399)</f>
        <v>3023.2399</v>
      </c>
    </row>
    <row r="1074">
      <c r="A1074" s="434">
        <f>IFERROR(__xludf.DUMMYFUNCTION("""COMPUTED_VALUE"""),43710.99861111111)</f>
        <v>43710.99861</v>
      </c>
      <c r="B1074" s="433">
        <f>IFERROR(__xludf.DUMMYFUNCTION("""COMPUTED_VALUE"""),10358.08)</f>
        <v>10358.08</v>
      </c>
      <c r="C1074" s="434">
        <f>IFERROR(__xludf.DUMMYFUNCTION("""COMPUTED_VALUE"""),43295.99861111111)</f>
        <v>43295.99861</v>
      </c>
      <c r="D1074" s="433">
        <f>IFERROR(__xludf.DUMMYFUNCTION("""COMPUTED_VALUE"""),434.511)</f>
        <v>434.511</v>
      </c>
      <c r="F1074" s="434">
        <f>IFERROR(__xludf.DUMMYFUNCTION("""COMPUTED_VALUE"""),46000.99861111111)</f>
        <v>46000.99861</v>
      </c>
      <c r="G1074" s="433">
        <f>IFERROR(__xludf.DUMMYFUNCTION("""COMPUTED_VALUE"""),89955.87)</f>
        <v>89955.87</v>
      </c>
      <c r="H1074" s="434">
        <f>IFERROR(__xludf.DUMMYFUNCTION("""COMPUTED_VALUE"""),45998.99861111111)</f>
        <v>45998.99861</v>
      </c>
      <c r="I1074" s="433">
        <f>IFERROR(__xludf.DUMMYFUNCTION("""COMPUTED_VALUE"""),3039.3452)</f>
        <v>3039.3452</v>
      </c>
    </row>
    <row r="1075">
      <c r="A1075" s="434">
        <f>IFERROR(__xludf.DUMMYFUNCTION("""COMPUTED_VALUE"""),43711.99861111111)</f>
        <v>43711.99861</v>
      </c>
      <c r="B1075" s="433">
        <f>IFERROR(__xludf.DUMMYFUNCTION("""COMPUTED_VALUE"""),10615.84)</f>
        <v>10615.84</v>
      </c>
      <c r="C1075" s="434">
        <f>IFERROR(__xludf.DUMMYFUNCTION("""COMPUTED_VALUE"""),43296.99861111111)</f>
        <v>43296.99861</v>
      </c>
      <c r="D1075" s="433">
        <f>IFERROR(__xludf.DUMMYFUNCTION("""COMPUTED_VALUE"""),435.883)</f>
        <v>435.883</v>
      </c>
      <c r="F1075" s="434">
        <f>IFERROR(__xludf.DUMMYFUNCTION("""COMPUTED_VALUE"""),46001.99861111111)</f>
        <v>46001.99861</v>
      </c>
      <c r="G1075" s="433">
        <f>IFERROR(__xludf.DUMMYFUNCTION("""COMPUTED_VALUE"""),92571.52)</f>
        <v>92571.52</v>
      </c>
      <c r="H1075" s="434">
        <f>IFERROR(__xludf.DUMMYFUNCTION("""COMPUTED_VALUE"""),45999.99861111111)</f>
        <v>45999.99861</v>
      </c>
      <c r="I1075" s="433">
        <f>IFERROR(__xludf.DUMMYFUNCTION("""COMPUTED_VALUE"""),3061.862)</f>
        <v>3061.862</v>
      </c>
    </row>
    <row r="1076">
      <c r="A1076" s="434">
        <f>IFERROR(__xludf.DUMMYFUNCTION("""COMPUTED_VALUE"""),43712.99861111111)</f>
        <v>43712.99861</v>
      </c>
      <c r="B1076" s="433">
        <f>IFERROR(__xludf.DUMMYFUNCTION("""COMPUTED_VALUE"""),10571.67)</f>
        <v>10571.67</v>
      </c>
      <c r="C1076" s="434">
        <f>IFERROR(__xludf.DUMMYFUNCTION("""COMPUTED_VALUE"""),43297.99861111111)</f>
        <v>43297.99861</v>
      </c>
      <c r="D1076" s="433">
        <f>IFERROR(__xludf.DUMMYFUNCTION("""COMPUTED_VALUE"""),450.425)</f>
        <v>450.425</v>
      </c>
      <c r="F1076" s="434">
        <f>IFERROR(__xludf.DUMMYFUNCTION("""COMPUTED_VALUE"""),46002.99861111111)</f>
        <v>46002.99861</v>
      </c>
      <c r="G1076" s="433">
        <f>IFERROR(__xludf.DUMMYFUNCTION("""COMPUTED_VALUE"""),90467.98)</f>
        <v>90467.98</v>
      </c>
      <c r="H1076" s="434">
        <f>IFERROR(__xludf.DUMMYFUNCTION("""COMPUTED_VALUE"""),46000.99861111111)</f>
        <v>46000.99861</v>
      </c>
      <c r="I1076" s="433">
        <f>IFERROR(__xludf.DUMMYFUNCTION("""COMPUTED_VALUE"""),3124.7185)</f>
        <v>3124.7185</v>
      </c>
    </row>
    <row r="1077">
      <c r="A1077" s="434">
        <f>IFERROR(__xludf.DUMMYFUNCTION("""COMPUTED_VALUE"""),43713.99861111111)</f>
        <v>43713.99861</v>
      </c>
      <c r="B1077" s="433">
        <f>IFERROR(__xludf.DUMMYFUNCTION("""COMPUTED_VALUE"""),10583.4)</f>
        <v>10583.4</v>
      </c>
      <c r="C1077" s="434">
        <f>IFERROR(__xludf.DUMMYFUNCTION("""COMPUTED_VALUE"""),43298.99861111111)</f>
        <v>43298.99861</v>
      </c>
      <c r="D1077" s="433">
        <f>IFERROR(__xludf.DUMMYFUNCTION("""COMPUTED_VALUE"""),480.077)</f>
        <v>480.077</v>
      </c>
      <c r="F1077" s="434">
        <f>IFERROR(__xludf.DUMMYFUNCTION("""COMPUTED_VALUE"""),46003.99861111111)</f>
        <v>46003.99861</v>
      </c>
      <c r="G1077" s="433">
        <f>IFERROR(__xludf.DUMMYFUNCTION("""COMPUTED_VALUE"""),92399.02)</f>
        <v>92399.02</v>
      </c>
      <c r="H1077" s="434">
        <f>IFERROR(__xludf.DUMMYFUNCTION("""COMPUTED_VALUE"""),46001.99861111111)</f>
        <v>46001.99861</v>
      </c>
      <c r="I1077" s="433">
        <f>IFERROR(__xludf.DUMMYFUNCTION("""COMPUTED_VALUE"""),3320.3273)</f>
        <v>3320.3273</v>
      </c>
    </row>
    <row r="1078">
      <c r="A1078" s="434">
        <f>IFERROR(__xludf.DUMMYFUNCTION("""COMPUTED_VALUE"""),43714.99861111111)</f>
        <v>43714.99861</v>
      </c>
      <c r="B1078" s="433">
        <f>IFERROR(__xludf.DUMMYFUNCTION("""COMPUTED_VALUE"""),10310.99)</f>
        <v>10310.99</v>
      </c>
      <c r="C1078" s="434">
        <f>IFERROR(__xludf.DUMMYFUNCTION("""COMPUTED_VALUE"""),43299.99861111111)</f>
        <v>43299.99861</v>
      </c>
      <c r="D1078" s="433">
        <f>IFERROR(__xludf.DUMMYFUNCTION("""COMPUTED_VALUE"""),500.838)</f>
        <v>500.838</v>
      </c>
      <c r="F1078" s="434">
        <f>IFERROR(__xludf.DUMMYFUNCTION("""COMPUTED_VALUE"""),46004.99861111111)</f>
        <v>46004.99861</v>
      </c>
      <c r="G1078" s="433">
        <f>IFERROR(__xludf.DUMMYFUNCTION("""COMPUTED_VALUE"""),90401.97)</f>
        <v>90401.97</v>
      </c>
      <c r="H1078" s="434">
        <f>IFERROR(__xludf.DUMMYFUNCTION("""COMPUTED_VALUE"""),46002.99861111111)</f>
        <v>46002.99861</v>
      </c>
      <c r="I1078" s="433">
        <f>IFERROR(__xludf.DUMMYFUNCTION("""COMPUTED_VALUE"""),3324.5266)</f>
        <v>3324.5266</v>
      </c>
    </row>
    <row r="1079">
      <c r="A1079" s="434">
        <f>IFERROR(__xludf.DUMMYFUNCTION("""COMPUTED_VALUE"""),43715.99861111111)</f>
        <v>43715.99861</v>
      </c>
      <c r="B1079" s="433">
        <f>IFERROR(__xludf.DUMMYFUNCTION("""COMPUTED_VALUE"""),10480.91)</f>
        <v>10480.91</v>
      </c>
      <c r="C1079" s="434">
        <f>IFERROR(__xludf.DUMMYFUNCTION("""COMPUTED_VALUE"""),43300.99861111111)</f>
        <v>43300.99861</v>
      </c>
      <c r="D1079" s="433">
        <f>IFERROR(__xludf.DUMMYFUNCTION("""COMPUTED_VALUE"""),480.628)</f>
        <v>480.628</v>
      </c>
      <c r="F1079" s="434">
        <f>IFERROR(__xludf.DUMMYFUNCTION("""COMPUTED_VALUE"""),46005.99861111111)</f>
        <v>46005.99861</v>
      </c>
      <c r="G1079" s="433">
        <f>IFERROR(__xludf.DUMMYFUNCTION("""COMPUTED_VALUE"""),90207.59)</f>
        <v>90207.59</v>
      </c>
      <c r="H1079" s="434">
        <f>IFERROR(__xludf.DUMMYFUNCTION("""COMPUTED_VALUE"""),46003.99861111111)</f>
        <v>46003.99861</v>
      </c>
      <c r="I1079" s="433">
        <f>IFERROR(__xludf.DUMMYFUNCTION("""COMPUTED_VALUE"""),3237.5367)</f>
        <v>3237.5367</v>
      </c>
    </row>
    <row r="1080">
      <c r="A1080" s="434">
        <f>IFERROR(__xludf.DUMMYFUNCTION("""COMPUTED_VALUE"""),43716.99861111111)</f>
        <v>43716.99861</v>
      </c>
      <c r="B1080" s="433">
        <f>IFERROR(__xludf.DUMMYFUNCTION("""COMPUTED_VALUE"""),10422.59)</f>
        <v>10422.59</v>
      </c>
      <c r="C1080" s="434">
        <f>IFERROR(__xludf.DUMMYFUNCTION("""COMPUTED_VALUE"""),43301.99861111111)</f>
        <v>43301.99861</v>
      </c>
      <c r="D1080" s="433">
        <f>IFERROR(__xludf.DUMMYFUNCTION("""COMPUTED_VALUE"""),469.307)</f>
        <v>469.307</v>
      </c>
      <c r="F1080" s="434">
        <f>IFERROR(__xludf.DUMMYFUNCTION("""COMPUTED_VALUE"""),46006.99861111111)</f>
        <v>46006.99861</v>
      </c>
      <c r="G1080" s="433">
        <f>IFERROR(__xludf.DUMMYFUNCTION("""COMPUTED_VALUE"""),89679.57)</f>
        <v>89679.57</v>
      </c>
      <c r="H1080" s="434">
        <f>IFERROR(__xludf.DUMMYFUNCTION("""COMPUTED_VALUE"""),46004.99861111111)</f>
        <v>46004.99861</v>
      </c>
      <c r="I1080" s="433">
        <f>IFERROR(__xludf.DUMMYFUNCTION("""COMPUTED_VALUE"""),3084.9185)</f>
        <v>3084.9185</v>
      </c>
    </row>
    <row r="1081">
      <c r="A1081" s="434">
        <f>IFERROR(__xludf.DUMMYFUNCTION("""COMPUTED_VALUE"""),43717.99861111111)</f>
        <v>43717.99861</v>
      </c>
      <c r="B1081" s="433">
        <f>IFERROR(__xludf.DUMMYFUNCTION("""COMPUTED_VALUE"""),10302.1)</f>
        <v>10302.1</v>
      </c>
      <c r="C1081" s="434">
        <f>IFERROR(__xludf.DUMMYFUNCTION("""COMPUTED_VALUE"""),43302.99861111111)</f>
        <v>43302.99861</v>
      </c>
      <c r="D1081" s="433">
        <f>IFERROR(__xludf.DUMMYFUNCTION("""COMPUTED_VALUE"""),450.679)</f>
        <v>450.679</v>
      </c>
      <c r="F1081" s="434">
        <f>IFERROR(__xludf.DUMMYFUNCTION("""COMPUTED_VALUE"""),46007.99861111111)</f>
        <v>46007.99861</v>
      </c>
      <c r="G1081" s="433">
        <f>IFERROR(__xludf.DUMMYFUNCTION("""COMPUTED_VALUE"""),85827.9)</f>
        <v>85827.9</v>
      </c>
      <c r="H1081" s="434">
        <f>IFERROR(__xludf.DUMMYFUNCTION("""COMPUTED_VALUE"""),46005.99861111111)</f>
        <v>46005.99861</v>
      </c>
      <c r="I1081" s="433">
        <f>IFERROR(__xludf.DUMMYFUNCTION("""COMPUTED_VALUE"""),3115.3374)</f>
        <v>3115.3374</v>
      </c>
    </row>
    <row r="1082">
      <c r="A1082" s="434">
        <f>IFERROR(__xludf.DUMMYFUNCTION("""COMPUTED_VALUE"""),43718.99861111111)</f>
        <v>43718.99861</v>
      </c>
      <c r="B1082" s="433">
        <f>IFERROR(__xludf.DUMMYFUNCTION("""COMPUTED_VALUE"""),10092.41)</f>
        <v>10092.41</v>
      </c>
      <c r="C1082" s="434">
        <f>IFERROR(__xludf.DUMMYFUNCTION("""COMPUTED_VALUE"""),43303.99861111111)</f>
        <v>43303.99861</v>
      </c>
      <c r="D1082" s="433">
        <f>IFERROR(__xludf.DUMMYFUNCTION("""COMPUTED_VALUE"""),462.438)</f>
        <v>462.438</v>
      </c>
      <c r="F1082" s="434">
        <f>IFERROR(__xludf.DUMMYFUNCTION("""COMPUTED_VALUE"""),46008.99861111111)</f>
        <v>46008.99861</v>
      </c>
      <c r="G1082" s="433">
        <f>IFERROR(__xludf.DUMMYFUNCTION("""COMPUTED_VALUE"""),86794.84)</f>
        <v>86794.84</v>
      </c>
      <c r="H1082" s="434">
        <f>IFERROR(__xludf.DUMMYFUNCTION("""COMPUTED_VALUE"""),46006.99861111111)</f>
        <v>46006.99861</v>
      </c>
      <c r="I1082" s="433">
        <f>IFERROR(__xludf.DUMMYFUNCTION("""COMPUTED_VALUE"""),3062.0306)</f>
        <v>3062.0306</v>
      </c>
    </row>
    <row r="1083">
      <c r="A1083" s="434">
        <f>IFERROR(__xludf.DUMMYFUNCTION("""COMPUTED_VALUE"""),43719.99861111111)</f>
        <v>43719.99861</v>
      </c>
      <c r="B1083" s="433">
        <f>IFERROR(__xludf.DUMMYFUNCTION("""COMPUTED_VALUE"""),10132.68)</f>
        <v>10132.68</v>
      </c>
      <c r="C1083" s="434">
        <f>IFERROR(__xludf.DUMMYFUNCTION("""COMPUTED_VALUE"""),43304.99861111111)</f>
        <v>43304.99861</v>
      </c>
      <c r="D1083" s="433">
        <f>IFERROR(__xludf.DUMMYFUNCTION("""COMPUTED_VALUE"""),459.439)</f>
        <v>459.439</v>
      </c>
      <c r="F1083" s="434">
        <f>IFERROR(__xludf.DUMMYFUNCTION("""COMPUTED_VALUE"""),46009.99861111111)</f>
        <v>46009.99861</v>
      </c>
      <c r="G1083" s="433">
        <f>IFERROR(__xludf.DUMMYFUNCTION("""COMPUTED_VALUE"""),86757.41)</f>
        <v>86757.41</v>
      </c>
      <c r="H1083" s="434">
        <f>IFERROR(__xludf.DUMMYFUNCTION("""COMPUTED_VALUE"""),46007.99861111111)</f>
        <v>46007.99861</v>
      </c>
      <c r="I1083" s="433">
        <f>IFERROR(__xludf.DUMMYFUNCTION("""COMPUTED_VALUE"""),2964.3119)</f>
        <v>2964.3119</v>
      </c>
    </row>
    <row r="1084">
      <c r="A1084" s="434">
        <f>IFERROR(__xludf.DUMMYFUNCTION("""COMPUTED_VALUE"""),43720.99861111111)</f>
        <v>43720.99861</v>
      </c>
      <c r="B1084" s="433">
        <f>IFERROR(__xludf.DUMMYFUNCTION("""COMPUTED_VALUE"""),10414.72)</f>
        <v>10414.72</v>
      </c>
      <c r="C1084" s="434">
        <f>IFERROR(__xludf.DUMMYFUNCTION("""COMPUTED_VALUE"""),43305.99861111111)</f>
        <v>43305.99861</v>
      </c>
      <c r="D1084" s="433">
        <f>IFERROR(__xludf.DUMMYFUNCTION("""COMPUTED_VALUE"""),451.136)</f>
        <v>451.136</v>
      </c>
      <c r="F1084" s="434">
        <f>IFERROR(__xludf.DUMMYFUNCTION("""COMPUTED_VALUE"""),46010.99861111111)</f>
        <v>46010.99861</v>
      </c>
      <c r="G1084" s="433">
        <f>IFERROR(__xludf.DUMMYFUNCTION("""COMPUTED_VALUE"""),87073.13)</f>
        <v>87073.13</v>
      </c>
      <c r="H1084" s="434">
        <f>IFERROR(__xludf.DUMMYFUNCTION("""COMPUTED_VALUE"""),46008.99861111111)</f>
        <v>46008.99861</v>
      </c>
      <c r="I1084" s="433">
        <f>IFERROR(__xludf.DUMMYFUNCTION("""COMPUTED_VALUE"""),2962.6311)</f>
        <v>2962.6311</v>
      </c>
    </row>
    <row r="1085">
      <c r="A1085" s="434">
        <f>IFERROR(__xludf.DUMMYFUNCTION("""COMPUTED_VALUE"""),43721.99861111111)</f>
        <v>43721.99861</v>
      </c>
      <c r="B1085" s="433">
        <f>IFERROR(__xludf.DUMMYFUNCTION("""COMPUTED_VALUE"""),10359.73)</f>
        <v>10359.73</v>
      </c>
      <c r="C1085" s="434">
        <f>IFERROR(__xludf.DUMMYFUNCTION("""COMPUTED_VALUE"""),43306.99861111111)</f>
        <v>43306.99861</v>
      </c>
      <c r="D1085" s="433">
        <f>IFERROR(__xludf.DUMMYFUNCTION("""COMPUTED_VALUE"""),479.906)</f>
        <v>479.906</v>
      </c>
      <c r="F1085" s="434">
        <f>IFERROR(__xludf.DUMMYFUNCTION("""COMPUTED_VALUE"""),46011.99861111111)</f>
        <v>46011.99861</v>
      </c>
      <c r="G1085" s="433">
        <f>IFERROR(__xludf.DUMMYFUNCTION("""COMPUTED_VALUE"""),88252.01)</f>
        <v>88252.01</v>
      </c>
      <c r="H1085" s="434">
        <f>IFERROR(__xludf.DUMMYFUNCTION("""COMPUTED_VALUE"""),46009.99861111111)</f>
        <v>46009.99861</v>
      </c>
      <c r="I1085" s="433">
        <f>IFERROR(__xludf.DUMMYFUNCTION("""COMPUTED_VALUE"""),2832.8202)</f>
        <v>2832.8202</v>
      </c>
    </row>
    <row r="1086">
      <c r="A1086" s="434">
        <f>IFERROR(__xludf.DUMMYFUNCTION("""COMPUTED_VALUE"""),43722.99861111111)</f>
        <v>43722.99861</v>
      </c>
      <c r="B1086" s="433">
        <f>IFERROR(__xludf.DUMMYFUNCTION("""COMPUTED_VALUE"""),10357.74)</f>
        <v>10357.74</v>
      </c>
      <c r="C1086" s="434">
        <f>IFERROR(__xludf.DUMMYFUNCTION("""COMPUTED_VALUE"""),43307.99861111111)</f>
        <v>43307.99861</v>
      </c>
      <c r="D1086" s="433">
        <f>IFERROR(__xludf.DUMMYFUNCTION("""COMPUTED_VALUE"""),472.331)</f>
        <v>472.331</v>
      </c>
      <c r="F1086" s="434">
        <f>IFERROR(__xludf.DUMMYFUNCTION("""COMPUTED_VALUE"""),46012.99861111111)</f>
        <v>46012.99861</v>
      </c>
      <c r="G1086" s="433">
        <f>IFERROR(__xludf.DUMMYFUNCTION("""COMPUTED_VALUE"""),88081.58)</f>
        <v>88081.58</v>
      </c>
      <c r="H1086" s="434">
        <f>IFERROR(__xludf.DUMMYFUNCTION("""COMPUTED_VALUE"""),46010.99861111111)</f>
        <v>46010.99861</v>
      </c>
      <c r="I1086" s="433">
        <f>IFERROR(__xludf.DUMMYFUNCTION("""COMPUTED_VALUE"""),2826.9698)</f>
        <v>2826.9698</v>
      </c>
    </row>
    <row r="1087">
      <c r="A1087" s="434">
        <f>IFERROR(__xludf.DUMMYFUNCTION("""COMPUTED_VALUE"""),43723.99861111111)</f>
        <v>43723.99861</v>
      </c>
      <c r="B1087" s="433">
        <f>IFERROR(__xludf.DUMMYFUNCTION("""COMPUTED_VALUE"""),10316.15)</f>
        <v>10316.15</v>
      </c>
      <c r="C1087" s="434">
        <f>IFERROR(__xludf.DUMMYFUNCTION("""COMPUTED_VALUE"""),43308.99861111111)</f>
        <v>43308.99861</v>
      </c>
      <c r="D1087" s="433">
        <f>IFERROR(__xludf.DUMMYFUNCTION("""COMPUTED_VALUE"""),464.009)</f>
        <v>464.009</v>
      </c>
      <c r="F1087" s="434">
        <f>IFERROR(__xludf.DUMMYFUNCTION("""COMPUTED_VALUE"""),46013.99861111111)</f>
        <v>46013.99861</v>
      </c>
      <c r="G1087" s="433">
        <f>IFERROR(__xludf.DUMMYFUNCTION("""COMPUTED_VALUE"""),88877.88)</f>
        <v>88877.88</v>
      </c>
      <c r="H1087" s="434">
        <f>IFERROR(__xludf.DUMMYFUNCTION("""COMPUTED_VALUE"""),46011.99861111111)</f>
        <v>46011.99861</v>
      </c>
      <c r="I1087" s="433">
        <f>IFERROR(__xludf.DUMMYFUNCTION("""COMPUTED_VALUE"""),2977.7854)</f>
        <v>2977.7854</v>
      </c>
    </row>
    <row r="1088">
      <c r="A1088" s="434">
        <f>IFERROR(__xludf.DUMMYFUNCTION("""COMPUTED_VALUE"""),43724.99861111111)</f>
        <v>43724.99861</v>
      </c>
      <c r="B1088" s="433">
        <f>IFERROR(__xludf.DUMMYFUNCTION("""COMPUTED_VALUE"""),10260.93)</f>
        <v>10260.93</v>
      </c>
      <c r="C1088" s="434">
        <f>IFERROR(__xludf.DUMMYFUNCTION("""COMPUTED_VALUE"""),43310.99861111111)</f>
        <v>43310.99861</v>
      </c>
      <c r="D1088" s="433">
        <f>IFERROR(__xludf.DUMMYFUNCTION("""COMPUTED_VALUE"""),466.915)</f>
        <v>466.915</v>
      </c>
      <c r="F1088" s="434">
        <f>IFERROR(__xludf.DUMMYFUNCTION("""COMPUTED_VALUE"""),46014.99861111111)</f>
        <v>46014.99861</v>
      </c>
      <c r="G1088" s="433">
        <f>IFERROR(__xludf.DUMMYFUNCTION("""COMPUTED_VALUE"""),87973.69)</f>
        <v>87973.69</v>
      </c>
      <c r="H1088" s="434">
        <f>IFERROR(__xludf.DUMMYFUNCTION("""COMPUTED_VALUE"""),46012.99861111111)</f>
        <v>46012.99861</v>
      </c>
      <c r="I1088" s="433">
        <f>IFERROR(__xludf.DUMMYFUNCTION("""COMPUTED_VALUE"""),2977.1031)</f>
        <v>2977.1031</v>
      </c>
    </row>
    <row r="1089">
      <c r="A1089" s="434">
        <f>IFERROR(__xludf.DUMMYFUNCTION("""COMPUTED_VALUE"""),43725.99861111111)</f>
        <v>43725.99861</v>
      </c>
      <c r="B1089" s="433">
        <f>IFERROR(__xludf.DUMMYFUNCTION("""COMPUTED_VALUE"""),10183.79)</f>
        <v>10183.79</v>
      </c>
      <c r="C1089" s="434">
        <f>IFERROR(__xludf.DUMMYFUNCTION("""COMPUTED_VALUE"""),43311.99861111111)</f>
        <v>43311.99861</v>
      </c>
      <c r="D1089" s="433">
        <f>IFERROR(__xludf.DUMMYFUNCTION("""COMPUTED_VALUE"""),466.827)</f>
        <v>466.827</v>
      </c>
      <c r="F1089" s="434">
        <f>IFERROR(__xludf.DUMMYFUNCTION("""COMPUTED_VALUE"""),46015.99861111111)</f>
        <v>46015.99861</v>
      </c>
      <c r="G1089" s="433">
        <f>IFERROR(__xludf.DUMMYFUNCTION("""COMPUTED_VALUE"""),87095.54)</f>
        <v>87095.54</v>
      </c>
      <c r="H1089" s="434">
        <f>IFERROR(__xludf.DUMMYFUNCTION("""COMPUTED_VALUE"""),46013.99861111111)</f>
        <v>46013.99861</v>
      </c>
      <c r="I1089" s="433">
        <f>IFERROR(__xludf.DUMMYFUNCTION("""COMPUTED_VALUE"""),3001.3031)</f>
        <v>3001.3031</v>
      </c>
    </row>
    <row r="1090">
      <c r="A1090" s="434">
        <f>IFERROR(__xludf.DUMMYFUNCTION("""COMPUTED_VALUE"""),43726.99861111111)</f>
        <v>43726.99861</v>
      </c>
      <c r="B1090" s="433">
        <f>IFERROR(__xludf.DUMMYFUNCTION("""COMPUTED_VALUE"""),10148.07)</f>
        <v>10148.07</v>
      </c>
      <c r="C1090" s="434">
        <f>IFERROR(__xludf.DUMMYFUNCTION("""COMPUTED_VALUE"""),43312.99861111111)</f>
        <v>43312.99861</v>
      </c>
      <c r="D1090" s="433">
        <f>IFERROR(__xludf.DUMMYFUNCTION("""COMPUTED_VALUE"""),457.2452)</f>
        <v>457.2452</v>
      </c>
      <c r="F1090" s="434">
        <f>IFERROR(__xludf.DUMMYFUNCTION("""COMPUTED_VALUE"""),46016.99861111111)</f>
        <v>46016.99861</v>
      </c>
      <c r="G1090" s="433">
        <f>IFERROR(__xludf.DUMMYFUNCTION("""COMPUTED_VALUE"""),87768.72)</f>
        <v>87768.72</v>
      </c>
      <c r="H1090" s="434">
        <f>IFERROR(__xludf.DUMMYFUNCTION("""COMPUTED_VALUE"""),46014.99861111111)</f>
        <v>46014.99861</v>
      </c>
      <c r="I1090" s="433">
        <f>IFERROR(__xludf.DUMMYFUNCTION("""COMPUTED_VALUE"""),3007.1294)</f>
        <v>3007.1294</v>
      </c>
    </row>
    <row r="1091">
      <c r="A1091" s="434">
        <f>IFERROR(__xludf.DUMMYFUNCTION("""COMPUTED_VALUE"""),43727.99861111111)</f>
        <v>43727.99861</v>
      </c>
      <c r="B1091" s="433">
        <f>IFERROR(__xludf.DUMMYFUNCTION("""COMPUTED_VALUE"""),10264.86)</f>
        <v>10264.86</v>
      </c>
      <c r="C1091" s="434">
        <f>IFERROR(__xludf.DUMMYFUNCTION("""COMPUTED_VALUE"""),43313.99861111111)</f>
        <v>43313.99861</v>
      </c>
      <c r="D1091" s="433">
        <f>IFERROR(__xludf.DUMMYFUNCTION("""COMPUTED_VALUE"""),433.8689)</f>
        <v>433.8689</v>
      </c>
      <c r="F1091" s="434">
        <f>IFERROR(__xludf.DUMMYFUNCTION("""COMPUTED_VALUE"""),46017.99861111111)</f>
        <v>46017.99861</v>
      </c>
      <c r="G1091" s="433">
        <f>IFERROR(__xludf.DUMMYFUNCTION("""COMPUTED_VALUE"""),88915.34)</f>
        <v>88915.34</v>
      </c>
      <c r="H1091" s="434">
        <f>IFERROR(__xludf.DUMMYFUNCTION("""COMPUTED_VALUE"""),46015.99861111111)</f>
        <v>46015.99861</v>
      </c>
      <c r="I1091" s="433">
        <f>IFERROR(__xludf.DUMMYFUNCTION("""COMPUTED_VALUE"""),2962.77)</f>
        <v>2962.77</v>
      </c>
    </row>
    <row r="1092">
      <c r="A1092" s="434">
        <f>IFERROR(__xludf.DUMMYFUNCTION("""COMPUTED_VALUE"""),43728.99861111111)</f>
        <v>43728.99861</v>
      </c>
      <c r="B1092" s="433">
        <f>IFERROR(__xludf.DUMMYFUNCTION("""COMPUTED_VALUE"""),10167.48)</f>
        <v>10167.48</v>
      </c>
      <c r="C1092" s="434">
        <f>IFERROR(__xludf.DUMMYFUNCTION("""COMPUTED_VALUE"""),43314.99861111111)</f>
        <v>43314.99861</v>
      </c>
      <c r="D1092" s="433">
        <f>IFERROR(__xludf.DUMMYFUNCTION("""COMPUTED_VALUE"""),420.8063)</f>
        <v>420.8063</v>
      </c>
      <c r="F1092" s="434">
        <f>IFERROR(__xludf.DUMMYFUNCTION("""COMPUTED_VALUE"""),46018.99861111111)</f>
        <v>46018.99861</v>
      </c>
      <c r="G1092" s="433">
        <f>IFERROR(__xludf.DUMMYFUNCTION("""COMPUTED_VALUE"""),87459.36)</f>
        <v>87459.36</v>
      </c>
      <c r="H1092" s="434">
        <f>IFERROR(__xludf.DUMMYFUNCTION("""COMPUTED_VALUE"""),46016.99861111111)</f>
        <v>46016.99861</v>
      </c>
      <c r="I1092" s="433">
        <f>IFERROR(__xludf.DUMMYFUNCTION("""COMPUTED_VALUE"""),2945.4006)</f>
        <v>2945.4006</v>
      </c>
    </row>
    <row r="1093">
      <c r="A1093" s="434">
        <f>IFERROR(__xludf.DUMMYFUNCTION("""COMPUTED_VALUE"""),43729.99861111111)</f>
        <v>43729.99861</v>
      </c>
      <c r="B1093" s="433">
        <f>IFERROR(__xludf.DUMMYFUNCTION("""COMPUTED_VALUE"""),9971.226)</f>
        <v>9971.226</v>
      </c>
      <c r="C1093" s="434">
        <f>IFERROR(__xludf.DUMMYFUNCTION("""COMPUTED_VALUE"""),43315.99861111111)</f>
        <v>43315.99861</v>
      </c>
      <c r="D1093" s="433">
        <f>IFERROR(__xludf.DUMMYFUNCTION("""COMPUTED_VALUE"""),412.5669)</f>
        <v>412.5669</v>
      </c>
      <c r="F1093" s="434">
        <f>IFERROR(__xludf.DUMMYFUNCTION("""COMPUTED_VALUE"""),46019.99861111111)</f>
        <v>46019.99861</v>
      </c>
      <c r="G1093" s="433">
        <f>IFERROR(__xludf.DUMMYFUNCTION("""COMPUTED_VALUE"""),87687.36)</f>
        <v>87687.36</v>
      </c>
      <c r="H1093" s="434">
        <f>IFERROR(__xludf.DUMMYFUNCTION("""COMPUTED_VALUE"""),46017.99861111111)</f>
        <v>46017.99861</v>
      </c>
      <c r="I1093" s="433">
        <f>IFERROR(__xludf.DUMMYFUNCTION("""COMPUTED_VALUE"""),2902.6057)</f>
        <v>2902.6057</v>
      </c>
    </row>
    <row r="1094">
      <c r="A1094" s="434">
        <f>IFERROR(__xludf.DUMMYFUNCTION("""COMPUTED_VALUE"""),43730.99861111111)</f>
        <v>43730.99861</v>
      </c>
      <c r="B1094" s="433">
        <f>IFERROR(__xludf.DUMMYFUNCTION("""COMPUTED_VALUE"""),10021.93)</f>
        <v>10021.93</v>
      </c>
      <c r="C1094" s="434">
        <f>IFERROR(__xludf.DUMMYFUNCTION("""COMPUTED_VALUE"""),43316.99861111111)</f>
        <v>43316.99861</v>
      </c>
      <c r="D1094" s="433">
        <f>IFERROR(__xludf.DUMMYFUNCTION("""COMPUTED_VALUE"""),418.2367)</f>
        <v>418.2367</v>
      </c>
      <c r="F1094" s="434">
        <f>IFERROR(__xludf.DUMMYFUNCTION("""COMPUTED_VALUE"""),46020.99861111111)</f>
        <v>46020.99861</v>
      </c>
      <c r="G1094" s="433">
        <f>IFERROR(__xludf.DUMMYFUNCTION("""COMPUTED_VALUE"""),90085.48)</f>
        <v>90085.48</v>
      </c>
      <c r="H1094" s="434">
        <f>IFERROR(__xludf.DUMMYFUNCTION("""COMPUTED_VALUE"""),46018.99861111111)</f>
        <v>46018.99861</v>
      </c>
      <c r="I1094" s="433">
        <f>IFERROR(__xludf.DUMMYFUNCTION("""COMPUTED_VALUE"""),2925.7526)</f>
        <v>2925.7526</v>
      </c>
    </row>
    <row r="1095">
      <c r="A1095" s="434">
        <f>IFERROR(__xludf.DUMMYFUNCTION("""COMPUTED_VALUE"""),43731.99861111111)</f>
        <v>43731.99861</v>
      </c>
      <c r="B1095" s="433">
        <f>IFERROR(__xludf.DUMMYFUNCTION("""COMPUTED_VALUE"""),9687.155)</f>
        <v>9687.155</v>
      </c>
      <c r="C1095" s="434">
        <f>IFERROR(__xludf.DUMMYFUNCTION("""COMPUTED_VALUE"""),43317.99861111111)</f>
        <v>43317.99861</v>
      </c>
      <c r="D1095" s="433">
        <f>IFERROR(__xludf.DUMMYFUNCTION("""COMPUTED_VALUE"""),407.346)</f>
        <v>407.346</v>
      </c>
      <c r="F1095" s="434">
        <f>IFERROR(__xludf.DUMMYFUNCTION("""COMPUTED_VALUE"""),46021.99861111111)</f>
        <v>46021.99861</v>
      </c>
      <c r="G1095" s="433">
        <f>IFERROR(__xludf.DUMMYFUNCTION("""COMPUTED_VALUE"""),87222.09)</f>
        <v>87222.09</v>
      </c>
      <c r="H1095" s="434">
        <f>IFERROR(__xludf.DUMMYFUNCTION("""COMPUTED_VALUE"""),46019.99861111111)</f>
        <v>46019.99861</v>
      </c>
      <c r="I1095" s="433">
        <f>IFERROR(__xludf.DUMMYFUNCTION("""COMPUTED_VALUE"""),2946.7609)</f>
        <v>2946.7609</v>
      </c>
    </row>
    <row r="1096">
      <c r="A1096" s="434">
        <f>IFERROR(__xludf.DUMMYFUNCTION("""COMPUTED_VALUE"""),43732.99861111111)</f>
        <v>43732.99861</v>
      </c>
      <c r="B1096" s="433">
        <f>IFERROR(__xludf.DUMMYFUNCTION("""COMPUTED_VALUE"""),8534.465)</f>
        <v>8534.465</v>
      </c>
      <c r="C1096" s="434">
        <f>IFERROR(__xludf.DUMMYFUNCTION("""COMPUTED_VALUE"""),43318.99861111111)</f>
        <v>43318.99861</v>
      </c>
      <c r="D1096" s="433">
        <f>IFERROR(__xludf.DUMMYFUNCTION("""COMPUTED_VALUE"""),410.5669)</f>
        <v>410.5669</v>
      </c>
      <c r="F1096" s="434">
        <f>IFERROR(__xludf.DUMMYFUNCTION("""COMPUTED_VALUE"""),46022.99861111111)</f>
        <v>46022.99861</v>
      </c>
      <c r="G1096" s="433">
        <f>IFERROR(__xludf.DUMMYFUNCTION("""COMPUTED_VALUE"""),88262.84)</f>
        <v>88262.84</v>
      </c>
      <c r="H1096" s="434">
        <f>IFERROR(__xludf.DUMMYFUNCTION("""COMPUTED_VALUE"""),46020.99861111111)</f>
        <v>46020.99861</v>
      </c>
      <c r="I1096" s="433">
        <f>IFERROR(__xludf.DUMMYFUNCTION("""COMPUTED_VALUE"""),2948.633)</f>
        <v>2948.633</v>
      </c>
    </row>
    <row r="1097">
      <c r="A1097" s="434">
        <f>IFERROR(__xludf.DUMMYFUNCTION("""COMPUTED_VALUE"""),43733.99861111111)</f>
        <v>43733.99861</v>
      </c>
      <c r="B1097" s="433">
        <f>IFERROR(__xludf.DUMMYFUNCTION("""COMPUTED_VALUE"""),8433.447)</f>
        <v>8433.447</v>
      </c>
      <c r="C1097" s="434">
        <f>IFERROR(__xludf.DUMMYFUNCTION("""COMPUTED_VALUE"""),43319.99861111111)</f>
        <v>43319.99861</v>
      </c>
      <c r="D1097" s="433">
        <f>IFERROR(__xludf.DUMMYFUNCTION("""COMPUTED_VALUE"""),406.8015)</f>
        <v>406.8015</v>
      </c>
      <c r="F1097" s="434">
        <f>IFERROR(__xludf.DUMMYFUNCTION("""COMPUTED_VALUE"""),46023.99861111111)</f>
        <v>46023.99861</v>
      </c>
      <c r="G1097" s="433">
        <f>IFERROR(__xludf.DUMMYFUNCTION("""COMPUTED_VALUE"""),87412.91)</f>
        <v>87412.91</v>
      </c>
      <c r="H1097" s="434">
        <f>IFERROR(__xludf.DUMMYFUNCTION("""COMPUTED_VALUE"""),46021.99861111111)</f>
        <v>46021.99861</v>
      </c>
      <c r="I1097" s="433">
        <f>IFERROR(__xludf.DUMMYFUNCTION("""COMPUTED_VALUE"""),2935.1436)</f>
        <v>2935.1436</v>
      </c>
    </row>
    <row r="1098">
      <c r="A1098" s="434">
        <f>IFERROR(__xludf.DUMMYFUNCTION("""COMPUTED_VALUE"""),43734.99861111111)</f>
        <v>43734.99861</v>
      </c>
      <c r="B1098" s="433">
        <f>IFERROR(__xludf.DUMMYFUNCTION("""COMPUTED_VALUE"""),8057.581)</f>
        <v>8057.581</v>
      </c>
      <c r="C1098" s="434">
        <f>IFERROR(__xludf.DUMMYFUNCTION("""COMPUTED_VALUE"""),43320.99861111111)</f>
        <v>43320.99861</v>
      </c>
      <c r="D1098" s="433">
        <f>IFERROR(__xludf.DUMMYFUNCTION("""COMPUTED_VALUE"""),379.8923)</f>
        <v>379.8923</v>
      </c>
      <c r="F1098" s="434">
        <f>IFERROR(__xludf.DUMMYFUNCTION("""COMPUTED_VALUE"""),46024.99861111111)</f>
        <v>46024.99861</v>
      </c>
      <c r="G1098" s="433">
        <f>IFERROR(__xludf.DUMMYFUNCTION("""COMPUTED_VALUE"""),88546.95)</f>
        <v>88546.95</v>
      </c>
      <c r="H1098" s="434">
        <f>IFERROR(__xludf.DUMMYFUNCTION("""COMPUTED_VALUE"""),46022.99861111111)</f>
        <v>46022.99861</v>
      </c>
      <c r="I1098" s="433">
        <f>IFERROR(__xludf.DUMMYFUNCTION("""COMPUTED_VALUE"""),2970.6419)</f>
        <v>2970.6419</v>
      </c>
    </row>
    <row r="1099">
      <c r="A1099" s="434">
        <f>IFERROR(__xludf.DUMMYFUNCTION("""COMPUTED_VALUE"""),43735.99861111111)</f>
        <v>43735.99861</v>
      </c>
      <c r="B1099" s="433">
        <f>IFERROR(__xludf.DUMMYFUNCTION("""COMPUTED_VALUE"""),8204.702)</f>
        <v>8204.702</v>
      </c>
      <c r="C1099" s="434">
        <f>IFERROR(__xludf.DUMMYFUNCTION("""COMPUTED_VALUE"""),43321.99861111111)</f>
        <v>43321.99861</v>
      </c>
      <c r="D1099" s="433">
        <f>IFERROR(__xludf.DUMMYFUNCTION("""COMPUTED_VALUE"""),356.9705)</f>
        <v>356.9705</v>
      </c>
      <c r="F1099" s="434">
        <f>IFERROR(__xludf.DUMMYFUNCTION("""COMPUTED_VALUE"""),46025.99861111111)</f>
        <v>46025.99861</v>
      </c>
      <c r="G1099" s="433">
        <f>IFERROR(__xludf.DUMMYFUNCTION("""COMPUTED_VALUE"""),90135.61)</f>
        <v>90135.61</v>
      </c>
      <c r="H1099" s="434">
        <f>IFERROR(__xludf.DUMMYFUNCTION("""COMPUTED_VALUE"""),46023.99861111111)</f>
        <v>46023.99861</v>
      </c>
      <c r="I1099" s="433">
        <f>IFERROR(__xludf.DUMMYFUNCTION("""COMPUTED_VALUE"""),2967.069)</f>
        <v>2967.069</v>
      </c>
    </row>
    <row r="1100">
      <c r="A1100" s="434">
        <f>IFERROR(__xludf.DUMMYFUNCTION("""COMPUTED_VALUE"""),43736.99861111111)</f>
        <v>43736.99861</v>
      </c>
      <c r="B1100" s="433">
        <f>IFERROR(__xludf.DUMMYFUNCTION("""COMPUTED_VALUE"""),8197.79)</f>
        <v>8197.79</v>
      </c>
      <c r="C1100" s="434">
        <f>IFERROR(__xludf.DUMMYFUNCTION("""COMPUTED_VALUE"""),43322.99861111111)</f>
        <v>43322.99861</v>
      </c>
      <c r="D1100" s="433">
        <f>IFERROR(__xludf.DUMMYFUNCTION("""COMPUTED_VALUE"""),365.776)</f>
        <v>365.776</v>
      </c>
      <c r="F1100" s="434">
        <f>IFERROR(__xludf.DUMMYFUNCTION("""COMPUTED_VALUE"""),46026.99861111111)</f>
        <v>46026.99861</v>
      </c>
      <c r="G1100" s="433">
        <f>IFERROR(__xludf.DUMMYFUNCTION("""COMPUTED_VALUE"""),91374.73)</f>
        <v>91374.73</v>
      </c>
      <c r="H1100" s="434">
        <f>IFERROR(__xludf.DUMMYFUNCTION("""COMPUTED_VALUE"""),46024.99861111111)</f>
        <v>46024.99861</v>
      </c>
      <c r="I1100" s="433">
        <f>IFERROR(__xludf.DUMMYFUNCTION("""COMPUTED_VALUE"""),3000.2407)</f>
        <v>3000.2407</v>
      </c>
    </row>
    <row r="1101">
      <c r="A1101" s="434">
        <f>IFERROR(__xludf.DUMMYFUNCTION("""COMPUTED_VALUE"""),43737.99861111111)</f>
        <v>43737.99861</v>
      </c>
      <c r="B1101" s="433">
        <f>IFERROR(__xludf.DUMMYFUNCTION("""COMPUTED_VALUE"""),8056.601)</f>
        <v>8056.601</v>
      </c>
      <c r="C1101" s="434">
        <f>IFERROR(__xludf.DUMMYFUNCTION("""COMPUTED_VALUE"""),43323.99861111111)</f>
        <v>43323.99861</v>
      </c>
      <c r="D1101" s="433">
        <f>IFERROR(__xludf.DUMMYFUNCTION("""COMPUTED_VALUE"""),334.2644)</f>
        <v>334.2644</v>
      </c>
      <c r="F1101" s="434">
        <f>IFERROR(__xludf.DUMMYFUNCTION("""COMPUTED_VALUE"""),46027.99861111111)</f>
        <v>46027.99861</v>
      </c>
      <c r="G1101" s="433">
        <f>IFERROR(__xludf.DUMMYFUNCTION("""COMPUTED_VALUE"""),92558.38)</f>
        <v>92558.38</v>
      </c>
      <c r="H1101" s="434">
        <f>IFERROR(__xludf.DUMMYFUNCTION("""COMPUTED_VALUE"""),46025.99861111111)</f>
        <v>46025.99861</v>
      </c>
      <c r="I1101" s="433">
        <f>IFERROR(__xludf.DUMMYFUNCTION("""COMPUTED_VALUE"""),3124.2036)</f>
        <v>3124.2036</v>
      </c>
    </row>
    <row r="1102">
      <c r="A1102" s="434">
        <f>IFERROR(__xludf.DUMMYFUNCTION("""COMPUTED_VALUE"""),43738.99861111111)</f>
        <v>43738.99861</v>
      </c>
      <c r="B1102" s="433">
        <f>IFERROR(__xludf.DUMMYFUNCTION("""COMPUTED_VALUE"""),8296.118)</f>
        <v>8296.118</v>
      </c>
      <c r="C1102" s="434">
        <f>IFERROR(__xludf.DUMMYFUNCTION("""COMPUTED_VALUE"""),43324.99861111111)</f>
        <v>43324.99861</v>
      </c>
      <c r="D1102" s="433">
        <f>IFERROR(__xludf.DUMMYFUNCTION("""COMPUTED_VALUE"""),320.823)</f>
        <v>320.823</v>
      </c>
      <c r="F1102" s="434">
        <f>IFERROR(__xludf.DUMMYFUNCTION("""COMPUTED_VALUE"""),46028.99861111111)</f>
        <v>46028.99861</v>
      </c>
      <c r="G1102" s="433">
        <f>IFERROR(__xludf.DUMMYFUNCTION("""COMPUTED_VALUE"""),93811.61)</f>
        <v>93811.61</v>
      </c>
      <c r="H1102" s="434">
        <f>IFERROR(__xludf.DUMMYFUNCTION("""COMPUTED_VALUE"""),46026.99861111111)</f>
        <v>46026.99861</v>
      </c>
      <c r="I1102" s="433">
        <f>IFERROR(__xludf.DUMMYFUNCTION("""COMPUTED_VALUE"""),3125.795)</f>
        <v>3125.795</v>
      </c>
    </row>
    <row r="1103">
      <c r="A1103" s="434">
        <f>IFERROR(__xludf.DUMMYFUNCTION("""COMPUTED_VALUE"""),43739.99861111111)</f>
        <v>43739.99861</v>
      </c>
      <c r="B1103" s="433">
        <f>IFERROR(__xludf.DUMMYFUNCTION("""COMPUTED_VALUE"""),8324.089)</f>
        <v>8324.089</v>
      </c>
      <c r="C1103" s="434">
        <f>IFERROR(__xludf.DUMMYFUNCTION("""COMPUTED_VALUE"""),43325.99861111111)</f>
        <v>43325.99861</v>
      </c>
      <c r="D1103" s="433">
        <f>IFERROR(__xludf.DUMMYFUNCTION("""COMPUTED_VALUE"""),320.2099)</f>
        <v>320.2099</v>
      </c>
      <c r="F1103" s="434">
        <f>IFERROR(__xludf.DUMMYFUNCTION("""COMPUTED_VALUE"""),46029.99861111111)</f>
        <v>46029.99861</v>
      </c>
      <c r="G1103" s="433">
        <f>IFERROR(__xludf.DUMMYFUNCTION("""COMPUTED_VALUE"""),92624.93)</f>
        <v>92624.93</v>
      </c>
      <c r="H1103" s="434">
        <f>IFERROR(__xludf.DUMMYFUNCTION("""COMPUTED_VALUE"""),46027.99861111111)</f>
        <v>46027.99861</v>
      </c>
      <c r="I1103" s="433">
        <f>IFERROR(__xludf.DUMMYFUNCTION("""COMPUTED_VALUE"""),3143.2877)</f>
        <v>3143.2877</v>
      </c>
    </row>
    <row r="1104">
      <c r="A1104" s="434">
        <f>IFERROR(__xludf.DUMMYFUNCTION("""COMPUTED_VALUE"""),43740.99861111111)</f>
        <v>43740.99861</v>
      </c>
      <c r="B1104" s="433">
        <f>IFERROR(__xludf.DUMMYFUNCTION("""COMPUTED_VALUE"""),8372.641)</f>
        <v>8372.641</v>
      </c>
      <c r="C1104" s="434">
        <f>IFERROR(__xludf.DUMMYFUNCTION("""COMPUTED_VALUE"""),43326.99861111111)</f>
        <v>43326.99861</v>
      </c>
      <c r="D1104" s="433">
        <f>IFERROR(__xludf.DUMMYFUNCTION("""COMPUTED_VALUE"""),286.3651)</f>
        <v>286.3651</v>
      </c>
      <c r="F1104" s="434">
        <f>IFERROR(__xludf.DUMMYFUNCTION("""COMPUTED_VALUE"""),46030.99861111111)</f>
        <v>46030.99861</v>
      </c>
      <c r="G1104" s="433">
        <f>IFERROR(__xludf.DUMMYFUNCTION("""COMPUTED_VALUE"""),90943.31)</f>
        <v>90943.31</v>
      </c>
      <c r="H1104" s="434">
        <f>IFERROR(__xludf.DUMMYFUNCTION("""COMPUTED_VALUE"""),46028.99861111111)</f>
        <v>46028.99861</v>
      </c>
      <c r="I1104" s="433">
        <f>IFERROR(__xludf.DUMMYFUNCTION("""COMPUTED_VALUE"""),3225.2348)</f>
        <v>3225.2348</v>
      </c>
    </row>
    <row r="1105">
      <c r="A1105" s="434">
        <f>IFERROR(__xludf.DUMMYFUNCTION("""COMPUTED_VALUE"""),43741.99861111111)</f>
        <v>43741.99861</v>
      </c>
      <c r="B1105" s="433">
        <f>IFERROR(__xludf.DUMMYFUNCTION("""COMPUTED_VALUE"""),8241.702)</f>
        <v>8241.702</v>
      </c>
      <c r="C1105" s="434">
        <f>IFERROR(__xludf.DUMMYFUNCTION("""COMPUTED_VALUE"""),43327.99861111111)</f>
        <v>43327.99861</v>
      </c>
      <c r="D1105" s="433">
        <f>IFERROR(__xludf.DUMMYFUNCTION("""COMPUTED_VALUE"""),280.3866)</f>
        <v>280.3866</v>
      </c>
      <c r="F1105" s="434">
        <f>IFERROR(__xludf.DUMMYFUNCTION("""COMPUTED_VALUE"""),46031.99861111111)</f>
        <v>46031.99861</v>
      </c>
      <c r="G1105" s="433">
        <f>IFERROR(__xludf.DUMMYFUNCTION("""COMPUTED_VALUE"""),90943.1)</f>
        <v>90943.1</v>
      </c>
      <c r="H1105" s="434">
        <f>IFERROR(__xludf.DUMMYFUNCTION("""COMPUTED_VALUE"""),46029.99861111111)</f>
        <v>46029.99861</v>
      </c>
      <c r="I1105" s="433">
        <f>IFERROR(__xludf.DUMMYFUNCTION("""COMPUTED_VALUE"""),3295.4064)</f>
        <v>3295.4064</v>
      </c>
    </row>
    <row r="1106">
      <c r="A1106" s="434">
        <f>IFERROR(__xludf.DUMMYFUNCTION("""COMPUTED_VALUE"""),43742.99861111111)</f>
        <v>43742.99861</v>
      </c>
      <c r="B1106" s="433">
        <f>IFERROR(__xludf.DUMMYFUNCTION("""COMPUTED_VALUE"""),8157.721)</f>
        <v>8157.721</v>
      </c>
      <c r="C1106" s="434">
        <f>IFERROR(__xludf.DUMMYFUNCTION("""COMPUTED_VALUE"""),43328.99861111111)</f>
        <v>43328.99861</v>
      </c>
      <c r="D1106" s="433">
        <f>IFERROR(__xludf.DUMMYFUNCTION("""COMPUTED_VALUE"""),282.7408)</f>
        <v>282.7408</v>
      </c>
      <c r="F1106" s="434">
        <f>IFERROR(__xludf.DUMMYFUNCTION("""COMPUTED_VALUE"""),46032.99861111111)</f>
        <v>46032.99861</v>
      </c>
      <c r="G1106" s="433">
        <f>IFERROR(__xludf.DUMMYFUNCTION("""COMPUTED_VALUE"""),90363.65)</f>
        <v>90363.65</v>
      </c>
      <c r="H1106" s="434">
        <f>IFERROR(__xludf.DUMMYFUNCTION("""COMPUTED_VALUE"""),46030.99861111111)</f>
        <v>46030.99861</v>
      </c>
      <c r="I1106" s="433">
        <f>IFERROR(__xludf.DUMMYFUNCTION("""COMPUTED_VALUE"""),3165.8332)</f>
        <v>3165.8332</v>
      </c>
    </row>
    <row r="1107">
      <c r="A1107" s="434">
        <f>IFERROR(__xludf.DUMMYFUNCTION("""COMPUTED_VALUE"""),43743.99861111111)</f>
        <v>43743.99861</v>
      </c>
      <c r="B1107" s="433">
        <f>IFERROR(__xludf.DUMMYFUNCTION("""COMPUTED_VALUE"""),8156.943)</f>
        <v>8156.943</v>
      </c>
      <c r="C1107" s="434">
        <f>IFERROR(__xludf.DUMMYFUNCTION("""COMPUTED_VALUE"""),43329.99861111111)</f>
        <v>43329.99861</v>
      </c>
      <c r="D1107" s="433">
        <f>IFERROR(__xludf.DUMMYFUNCTION("""COMPUTED_VALUE"""),287.6834)</f>
        <v>287.6834</v>
      </c>
      <c r="F1107" s="434">
        <f>IFERROR(__xludf.DUMMYFUNCTION("""COMPUTED_VALUE"""),46033.99861111111)</f>
        <v>46033.99861</v>
      </c>
      <c r="G1107" s="433">
        <f>IFERROR(__xludf.DUMMYFUNCTION("""COMPUTED_VALUE"""),90709.49)</f>
        <v>90709.49</v>
      </c>
      <c r="H1107" s="434">
        <f>IFERROR(__xludf.DUMMYFUNCTION("""COMPUTED_VALUE"""),46031.99861111111)</f>
        <v>46031.99861</v>
      </c>
      <c r="I1107" s="433">
        <f>IFERROR(__xludf.DUMMYFUNCTION("""COMPUTED_VALUE"""),3104.1359)</f>
        <v>3104.1359</v>
      </c>
    </row>
    <row r="1108">
      <c r="A1108" s="434">
        <f>IFERROR(__xludf.DUMMYFUNCTION("""COMPUTED_VALUE"""),43744.99861111111)</f>
        <v>43744.99861</v>
      </c>
      <c r="B1108" s="433">
        <f>IFERROR(__xludf.DUMMYFUNCTION("""COMPUTED_VALUE"""),7874.383)</f>
        <v>7874.383</v>
      </c>
      <c r="C1108" s="434">
        <f>IFERROR(__xludf.DUMMYFUNCTION("""COMPUTED_VALUE"""),43330.99861111111)</f>
        <v>43330.99861</v>
      </c>
      <c r="D1108" s="433">
        <f>IFERROR(__xludf.DUMMYFUNCTION("""COMPUTED_VALUE"""),316.7908)</f>
        <v>316.7908</v>
      </c>
      <c r="F1108" s="434">
        <f>IFERROR(__xludf.DUMMYFUNCTION("""COMPUTED_VALUE"""),46034.99861111111)</f>
        <v>46034.99861</v>
      </c>
      <c r="G1108" s="433">
        <f>IFERROR(__xludf.DUMMYFUNCTION("""COMPUTED_VALUE"""),92059.3)</f>
        <v>92059.3</v>
      </c>
      <c r="H1108" s="434">
        <f>IFERROR(__xludf.DUMMYFUNCTION("""COMPUTED_VALUE"""),46032.99861111111)</f>
        <v>46032.99861</v>
      </c>
      <c r="I1108" s="433">
        <f>IFERROR(__xludf.DUMMYFUNCTION("""COMPUTED_VALUE"""),3083.5847)</f>
        <v>3083.5847</v>
      </c>
    </row>
    <row r="1109">
      <c r="A1109" s="434">
        <f>IFERROR(__xludf.DUMMYFUNCTION("""COMPUTED_VALUE"""),43745.99861111111)</f>
        <v>43745.99861</v>
      </c>
      <c r="B1109" s="433">
        <f>IFERROR(__xludf.DUMMYFUNCTION("""COMPUTED_VALUE"""),8222.817)</f>
        <v>8222.817</v>
      </c>
      <c r="C1109" s="434">
        <f>IFERROR(__xludf.DUMMYFUNCTION("""COMPUTED_VALUE"""),43331.99861111111)</f>
        <v>43331.99861</v>
      </c>
      <c r="D1109" s="433">
        <f>IFERROR(__xludf.DUMMYFUNCTION("""COMPUTED_VALUE"""),295.6701)</f>
        <v>295.6701</v>
      </c>
      <c r="F1109" s="434">
        <f>IFERROR(__xludf.DUMMYFUNCTION("""COMPUTED_VALUE"""),46035.99861111111)</f>
        <v>46035.99861</v>
      </c>
      <c r="G1109" s="433">
        <f>IFERROR(__xludf.DUMMYFUNCTION("""COMPUTED_VALUE"""),91418.2)</f>
        <v>91418.2</v>
      </c>
      <c r="H1109" s="434">
        <f>IFERROR(__xludf.DUMMYFUNCTION("""COMPUTED_VALUE"""),46033.99861111111)</f>
        <v>46033.99861</v>
      </c>
      <c r="I1109" s="433">
        <f>IFERROR(__xludf.DUMMYFUNCTION("""COMPUTED_VALUE"""),3082.3533)</f>
        <v>3082.3533</v>
      </c>
    </row>
    <row r="1110">
      <c r="A1110" s="434">
        <f>IFERROR(__xludf.DUMMYFUNCTION("""COMPUTED_VALUE"""),43746.99861111111)</f>
        <v>43746.99861</v>
      </c>
      <c r="B1110" s="433">
        <f>IFERROR(__xludf.DUMMYFUNCTION("""COMPUTED_VALUE"""),8197.812)</f>
        <v>8197.812</v>
      </c>
      <c r="C1110" s="434">
        <f>IFERROR(__xludf.DUMMYFUNCTION("""COMPUTED_VALUE"""),43332.99861111111)</f>
        <v>43332.99861</v>
      </c>
      <c r="D1110" s="433">
        <f>IFERROR(__xludf.DUMMYFUNCTION("""COMPUTED_VALUE"""),301.3805)</f>
        <v>301.3805</v>
      </c>
      <c r="F1110" s="434">
        <f>IFERROR(__xludf.DUMMYFUNCTION("""COMPUTED_VALUE"""),46036.99861111111)</f>
        <v>46036.99861</v>
      </c>
      <c r="G1110" s="433">
        <f>IFERROR(__xludf.DUMMYFUNCTION("""COMPUTED_VALUE"""),95200.37)</f>
        <v>95200.37</v>
      </c>
      <c r="H1110" s="434">
        <f>IFERROR(__xludf.DUMMYFUNCTION("""COMPUTED_VALUE"""),46034.99861111111)</f>
        <v>46034.99861</v>
      </c>
      <c r="I1110" s="433">
        <f>IFERROR(__xludf.DUMMYFUNCTION("""COMPUTED_VALUE"""),3118.5722)</f>
        <v>3118.5722</v>
      </c>
    </row>
    <row r="1111">
      <c r="A1111" s="434">
        <f>IFERROR(__xludf.DUMMYFUNCTION("""COMPUTED_VALUE"""),43747.99861111111)</f>
        <v>43747.99861</v>
      </c>
      <c r="B1111" s="433">
        <f>IFERROR(__xludf.DUMMYFUNCTION("""COMPUTED_VALUE"""),8596.109)</f>
        <v>8596.109</v>
      </c>
      <c r="C1111" s="434">
        <f>IFERROR(__xludf.DUMMYFUNCTION("""COMPUTED_VALUE"""),43333.99861111111)</f>
        <v>43333.99861</v>
      </c>
      <c r="D1111" s="433">
        <f>IFERROR(__xludf.DUMMYFUNCTION("""COMPUTED_VALUE"""),273.331)</f>
        <v>273.331</v>
      </c>
      <c r="F1111" s="434">
        <f>IFERROR(__xludf.DUMMYFUNCTION("""COMPUTED_VALUE"""),46037.99861111111)</f>
        <v>46037.99861</v>
      </c>
      <c r="G1111" s="433">
        <f>IFERROR(__xludf.DUMMYFUNCTION("""COMPUTED_VALUE"""),96151.22)</f>
        <v>96151.22</v>
      </c>
      <c r="H1111" s="434">
        <f>IFERROR(__xludf.DUMMYFUNCTION("""COMPUTED_VALUE"""),46035.99861111111)</f>
        <v>46035.99861</v>
      </c>
      <c r="I1111" s="433">
        <f>IFERROR(__xludf.DUMMYFUNCTION("""COMPUTED_VALUE"""),3092.3962)</f>
        <v>3092.3962</v>
      </c>
    </row>
    <row r="1112">
      <c r="A1112" s="434">
        <f>IFERROR(__xludf.DUMMYFUNCTION("""COMPUTED_VALUE"""),43748.99861111111)</f>
        <v>43748.99861</v>
      </c>
      <c r="B1112" s="433">
        <f>IFERROR(__xludf.DUMMYFUNCTION("""COMPUTED_VALUE"""),8589.857)</f>
        <v>8589.857</v>
      </c>
      <c r="C1112" s="434">
        <f>IFERROR(__xludf.DUMMYFUNCTION("""COMPUTED_VALUE"""),43334.99861111111)</f>
        <v>43334.99861</v>
      </c>
      <c r="D1112" s="433">
        <f>IFERROR(__xludf.DUMMYFUNCTION("""COMPUTED_VALUE"""),281.9683)</f>
        <v>281.9683</v>
      </c>
      <c r="F1112" s="434">
        <f>IFERROR(__xludf.DUMMYFUNCTION("""COMPUTED_VALUE"""),46038.99861111111)</f>
        <v>46038.99861</v>
      </c>
      <c r="G1112" s="433">
        <f>IFERROR(__xludf.DUMMYFUNCTION("""COMPUTED_VALUE"""),95175.93)</f>
        <v>95175.93</v>
      </c>
      <c r="H1112" s="434">
        <f>IFERROR(__xludf.DUMMYFUNCTION("""COMPUTED_VALUE"""),46036.99861111111)</f>
        <v>46036.99861</v>
      </c>
      <c r="I1112" s="433">
        <f>IFERROR(__xludf.DUMMYFUNCTION("""COMPUTED_VALUE"""),3323.2637)</f>
        <v>3323.2637</v>
      </c>
    </row>
    <row r="1113">
      <c r="A1113" s="434">
        <f>IFERROR(__xludf.DUMMYFUNCTION("""COMPUTED_VALUE"""),43749.99861111111)</f>
        <v>43749.99861</v>
      </c>
      <c r="B1113" s="433">
        <f>IFERROR(__xludf.DUMMYFUNCTION("""COMPUTED_VALUE"""),8270.426)</f>
        <v>8270.426</v>
      </c>
      <c r="C1113" s="434">
        <f>IFERROR(__xludf.DUMMYFUNCTION("""COMPUTED_VALUE"""),43335.99861111111)</f>
        <v>43335.99861</v>
      </c>
      <c r="D1113" s="433">
        <f>IFERROR(__xludf.DUMMYFUNCTION("""COMPUTED_VALUE"""),271.748)</f>
        <v>271.748</v>
      </c>
      <c r="F1113" s="434">
        <f>IFERROR(__xludf.DUMMYFUNCTION("""COMPUTED_VALUE"""),46039.99861111111)</f>
        <v>46039.99861</v>
      </c>
      <c r="G1113" s="433">
        <f>IFERROR(__xludf.DUMMYFUNCTION("""COMPUTED_VALUE"""),95310.19)</f>
        <v>95310.19</v>
      </c>
      <c r="H1113" s="434">
        <f>IFERROR(__xludf.DUMMYFUNCTION("""COMPUTED_VALUE"""),46037.99861111111)</f>
        <v>46037.99861</v>
      </c>
      <c r="I1113" s="433">
        <f>IFERROR(__xludf.DUMMYFUNCTION("""COMPUTED_VALUE"""),3354.8271)</f>
        <v>3354.8271</v>
      </c>
    </row>
    <row r="1114">
      <c r="A1114" s="434">
        <f>IFERROR(__xludf.DUMMYFUNCTION("""COMPUTED_VALUE"""),43750.99861111111)</f>
        <v>43750.99861</v>
      </c>
      <c r="B1114" s="433">
        <f>IFERROR(__xludf.DUMMYFUNCTION("""COMPUTED_VALUE"""),8320.54)</f>
        <v>8320.54</v>
      </c>
      <c r="C1114" s="434">
        <f>IFERROR(__xludf.DUMMYFUNCTION("""COMPUTED_VALUE"""),43336.99861111111)</f>
        <v>43336.99861</v>
      </c>
      <c r="D1114" s="433">
        <f>IFERROR(__xludf.DUMMYFUNCTION("""COMPUTED_VALUE"""),278.1108)</f>
        <v>278.1108</v>
      </c>
      <c r="F1114" s="434">
        <f>IFERROR(__xludf.DUMMYFUNCTION("""COMPUTED_VALUE"""),46040.99861111111)</f>
        <v>46040.99861</v>
      </c>
      <c r="G1114" s="433">
        <f>IFERROR(__xludf.DUMMYFUNCTION("""COMPUTED_VALUE"""),95063.91)</f>
        <v>95063.91</v>
      </c>
      <c r="H1114" s="434">
        <f>IFERROR(__xludf.DUMMYFUNCTION("""COMPUTED_VALUE"""),46038.99861111111)</f>
        <v>46038.99861</v>
      </c>
      <c r="I1114" s="433">
        <f>IFERROR(__xludf.DUMMYFUNCTION("""COMPUTED_VALUE"""),3317.5573)</f>
        <v>3317.5573</v>
      </c>
    </row>
    <row r="1115">
      <c r="A1115" s="434">
        <f>IFERROR(__xludf.DUMMYFUNCTION("""COMPUTED_VALUE"""),43751.99861111111)</f>
        <v>43751.99861</v>
      </c>
      <c r="B1115" s="433">
        <f>IFERROR(__xludf.DUMMYFUNCTION("""COMPUTED_VALUE"""),8297.67)</f>
        <v>8297.67</v>
      </c>
      <c r="C1115" s="434">
        <f>IFERROR(__xludf.DUMMYFUNCTION("""COMPUTED_VALUE"""),43337.99861111111)</f>
        <v>43337.99861</v>
      </c>
      <c r="D1115" s="433">
        <f>IFERROR(__xludf.DUMMYFUNCTION("""COMPUTED_VALUE"""),283.2807)</f>
        <v>283.2807</v>
      </c>
      <c r="F1115" s="434">
        <f>IFERROR(__xludf.DUMMYFUNCTION("""COMPUTED_VALUE"""),46041.99861111111)</f>
        <v>46041.99861</v>
      </c>
      <c r="G1115" s="433">
        <f>IFERROR(__xludf.DUMMYFUNCTION("""COMPUTED_VALUE"""),92683.0)</f>
        <v>92683</v>
      </c>
      <c r="H1115" s="434">
        <f>IFERROR(__xludf.DUMMYFUNCTION("""COMPUTED_VALUE"""),46039.99861111111)</f>
        <v>46039.99861</v>
      </c>
      <c r="I1115" s="433">
        <f>IFERROR(__xludf.DUMMYFUNCTION("""COMPUTED_VALUE"""),3294.8706)</f>
        <v>3294.8706</v>
      </c>
    </row>
    <row r="1116">
      <c r="A1116" s="434">
        <f>IFERROR(__xludf.DUMMYFUNCTION("""COMPUTED_VALUE"""),43752.99861111111)</f>
        <v>43752.99861</v>
      </c>
      <c r="B1116" s="433">
        <f>IFERROR(__xludf.DUMMYFUNCTION("""COMPUTED_VALUE"""),8369.895)</f>
        <v>8369.895</v>
      </c>
      <c r="C1116" s="434">
        <f>IFERROR(__xludf.DUMMYFUNCTION("""COMPUTED_VALUE"""),43338.99861111111)</f>
        <v>43338.99861</v>
      </c>
      <c r="D1116" s="433">
        <f>IFERROR(__xludf.DUMMYFUNCTION("""COMPUTED_VALUE"""),279.525)</f>
        <v>279.525</v>
      </c>
      <c r="F1116" s="434">
        <f>IFERROR(__xludf.DUMMYFUNCTION("""COMPUTED_VALUE"""),46042.99861111111)</f>
        <v>46042.99861</v>
      </c>
      <c r="G1116" s="433">
        <f>IFERROR(__xludf.DUMMYFUNCTION("""COMPUTED_VALUE"""),92019.8)</f>
        <v>92019.8</v>
      </c>
      <c r="H1116" s="434">
        <f>IFERROR(__xludf.DUMMYFUNCTION("""COMPUTED_VALUE"""),46040.99861111111)</f>
        <v>46040.99861</v>
      </c>
      <c r="I1116" s="433">
        <f>IFERROR(__xludf.DUMMYFUNCTION("""COMPUTED_VALUE"""),3309.1597)</f>
        <v>3309.1597</v>
      </c>
    </row>
    <row r="1117">
      <c r="A1117" s="434">
        <f>IFERROR(__xludf.DUMMYFUNCTION("""COMPUTED_VALUE"""),43753.99861111111)</f>
        <v>43753.99861</v>
      </c>
      <c r="B1117" s="433">
        <f>IFERROR(__xludf.DUMMYFUNCTION("""COMPUTED_VALUE"""),8170.248)</f>
        <v>8170.248</v>
      </c>
      <c r="C1117" s="434">
        <f>IFERROR(__xludf.DUMMYFUNCTION("""COMPUTED_VALUE"""),43339.99861111111)</f>
        <v>43339.99861</v>
      </c>
      <c r="D1117" s="433">
        <f>IFERROR(__xludf.DUMMYFUNCTION("""COMPUTED_VALUE"""),275.35)</f>
        <v>275.35</v>
      </c>
      <c r="F1117" s="434">
        <f>IFERROR(__xludf.DUMMYFUNCTION("""COMPUTED_VALUE"""),46043.99861111111)</f>
        <v>46043.99861</v>
      </c>
      <c r="G1117" s="433">
        <f>IFERROR(__xludf.DUMMYFUNCTION("""COMPUTED_VALUE"""),89371.68)</f>
        <v>89371.68</v>
      </c>
      <c r="H1117" s="434">
        <f>IFERROR(__xludf.DUMMYFUNCTION("""COMPUTED_VALUE"""),46041.99861111111)</f>
        <v>46041.99861</v>
      </c>
      <c r="I1117" s="433">
        <f>IFERROR(__xludf.DUMMYFUNCTION("""COMPUTED_VALUE"""),3282.3939)</f>
        <v>3282.3939</v>
      </c>
    </row>
    <row r="1118">
      <c r="A1118" s="434">
        <f>IFERROR(__xludf.DUMMYFUNCTION("""COMPUTED_VALUE"""),43754.99861111111)</f>
        <v>43754.99861</v>
      </c>
      <c r="B1118" s="433">
        <f>IFERROR(__xludf.DUMMYFUNCTION("""COMPUTED_VALUE"""),8004.409)</f>
        <v>8004.409</v>
      </c>
      <c r="C1118" s="434">
        <f>IFERROR(__xludf.DUMMYFUNCTION("""COMPUTED_VALUE"""),43340.99861111111)</f>
        <v>43340.99861</v>
      </c>
      <c r="D1118" s="433">
        <f>IFERROR(__xludf.DUMMYFUNCTION("""COMPUTED_VALUE"""),286.6491)</f>
        <v>286.6491</v>
      </c>
      <c r="F1118" s="434">
        <f>IFERROR(__xludf.DUMMYFUNCTION("""COMPUTED_VALUE"""),46044.99861111111)</f>
        <v>46044.99861</v>
      </c>
      <c r="G1118" s="433">
        <f>IFERROR(__xludf.DUMMYFUNCTION("""COMPUTED_VALUE"""),89965.64)</f>
        <v>89965.64</v>
      </c>
      <c r="H1118" s="434">
        <f>IFERROR(__xludf.DUMMYFUNCTION("""COMPUTED_VALUE"""),46042.99861111111)</f>
        <v>46042.99861</v>
      </c>
      <c r="I1118" s="433">
        <f>IFERROR(__xludf.DUMMYFUNCTION("""COMPUTED_VALUE"""),3186.9599)</f>
        <v>3186.9599</v>
      </c>
    </row>
    <row r="1119">
      <c r="A1119" s="434">
        <f>IFERROR(__xludf.DUMMYFUNCTION("""COMPUTED_VALUE"""),43755.99861111111)</f>
        <v>43755.99861</v>
      </c>
      <c r="B1119" s="433">
        <f>IFERROR(__xludf.DUMMYFUNCTION("""COMPUTED_VALUE"""),8086.304)</f>
        <v>8086.304</v>
      </c>
      <c r="C1119" s="434">
        <f>IFERROR(__xludf.DUMMYFUNCTION("""COMPUTED_VALUE"""),43341.99861111111)</f>
        <v>43341.99861</v>
      </c>
      <c r="D1119" s="433">
        <f>IFERROR(__xludf.DUMMYFUNCTION("""COMPUTED_VALUE"""),296.1631)</f>
        <v>296.1631</v>
      </c>
      <c r="F1119" s="434">
        <f>IFERROR(__xludf.DUMMYFUNCTION("""COMPUTED_VALUE"""),46045.99861111111)</f>
        <v>46045.99861</v>
      </c>
      <c r="G1119" s="433">
        <f>IFERROR(__xludf.DUMMYFUNCTION("""COMPUTED_VALUE"""),89911.09)</f>
        <v>89911.09</v>
      </c>
      <c r="H1119" s="434">
        <f>IFERROR(__xludf.DUMMYFUNCTION("""COMPUTED_VALUE"""),46043.99861111111)</f>
        <v>46043.99861</v>
      </c>
      <c r="I1119" s="433">
        <f>IFERROR(__xludf.DUMMYFUNCTION("""COMPUTED_VALUE"""),2936.2319)</f>
        <v>2936.2319</v>
      </c>
    </row>
    <row r="1120">
      <c r="A1120" s="434">
        <f>IFERROR(__xludf.DUMMYFUNCTION("""COMPUTED_VALUE"""),43756.99861111111)</f>
        <v>43756.99861</v>
      </c>
      <c r="B1120" s="433">
        <f>IFERROR(__xludf.DUMMYFUNCTION("""COMPUTED_VALUE"""),7965.795)</f>
        <v>7965.795</v>
      </c>
      <c r="C1120" s="434">
        <f>IFERROR(__xludf.DUMMYFUNCTION("""COMPUTED_VALUE"""),43342.99861111111)</f>
        <v>43342.99861</v>
      </c>
      <c r="D1120" s="433">
        <f>IFERROR(__xludf.DUMMYFUNCTION("""COMPUTED_VALUE"""),289.7527)</f>
        <v>289.7527</v>
      </c>
      <c r="F1120" s="434">
        <f>IFERROR(__xludf.DUMMYFUNCTION("""COMPUTED_VALUE"""),46046.99861111111)</f>
        <v>46046.99861</v>
      </c>
      <c r="G1120" s="433">
        <f>IFERROR(__xludf.DUMMYFUNCTION("""COMPUTED_VALUE"""),89764.01)</f>
        <v>89764.01</v>
      </c>
      <c r="H1120" s="434">
        <f>IFERROR(__xludf.DUMMYFUNCTION("""COMPUTED_VALUE"""),46044.99861111111)</f>
        <v>46044.99861</v>
      </c>
      <c r="I1120" s="433">
        <f>IFERROR(__xludf.DUMMYFUNCTION("""COMPUTED_VALUE"""),2979.6352)</f>
        <v>2979.6352</v>
      </c>
    </row>
    <row r="1121">
      <c r="A1121" s="434">
        <f>IFERROR(__xludf.DUMMYFUNCTION("""COMPUTED_VALUE"""),43757.99861111111)</f>
        <v>43757.99861</v>
      </c>
      <c r="B1121" s="433">
        <f>IFERROR(__xludf.DUMMYFUNCTION("""COMPUTED_VALUE"""),7972.998)</f>
        <v>7972.998</v>
      </c>
      <c r="C1121" s="434">
        <f>IFERROR(__xludf.DUMMYFUNCTION("""COMPUTED_VALUE"""),43343.99861111111)</f>
        <v>43343.99861</v>
      </c>
      <c r="D1121" s="433">
        <f>IFERROR(__xludf.DUMMYFUNCTION("""COMPUTED_VALUE"""),284.1203)</f>
        <v>284.1203</v>
      </c>
      <c r="F1121" s="434">
        <f>IFERROR(__xludf.DUMMYFUNCTION("""COMPUTED_VALUE"""),46047.99861111111)</f>
        <v>46047.99861</v>
      </c>
      <c r="G1121" s="433">
        <f>IFERROR(__xludf.DUMMYFUNCTION("""COMPUTED_VALUE"""),88937.02)</f>
        <v>88937.02</v>
      </c>
      <c r="H1121" s="434">
        <f>IFERROR(__xludf.DUMMYFUNCTION("""COMPUTED_VALUE"""),46045.99861111111)</f>
        <v>46045.99861</v>
      </c>
      <c r="I1121" s="433">
        <f>IFERROR(__xludf.DUMMYFUNCTION("""COMPUTED_VALUE"""),2949.4176)</f>
        <v>2949.4176</v>
      </c>
    </row>
    <row r="1122">
      <c r="A1122" s="434">
        <f>IFERROR(__xludf.DUMMYFUNCTION("""COMPUTED_VALUE"""),43758.99861111111)</f>
        <v>43758.99861</v>
      </c>
      <c r="B1122" s="433">
        <f>IFERROR(__xludf.DUMMYFUNCTION("""COMPUTED_VALUE"""),8239.474)</f>
        <v>8239.474</v>
      </c>
      <c r="C1122" s="434">
        <f>IFERROR(__xludf.DUMMYFUNCTION("""COMPUTED_VALUE"""),43344.99861111111)</f>
        <v>43344.99861</v>
      </c>
      <c r="D1122" s="433">
        <f>IFERROR(__xludf.DUMMYFUNCTION("""COMPUTED_VALUE"""),283.4964)</f>
        <v>283.4964</v>
      </c>
      <c r="F1122" s="434">
        <f>IFERROR(__xludf.DUMMYFUNCTION("""COMPUTED_VALUE"""),46048.99861111111)</f>
        <v>46048.99861</v>
      </c>
      <c r="G1122" s="433">
        <f>IFERROR(__xludf.DUMMYFUNCTION("""COMPUTED_VALUE"""),87654.15)</f>
        <v>87654.15</v>
      </c>
      <c r="H1122" s="434">
        <f>IFERROR(__xludf.DUMMYFUNCTION("""COMPUTED_VALUE"""),46046.99861111111)</f>
        <v>46046.99861</v>
      </c>
      <c r="I1122" s="433">
        <f>IFERROR(__xludf.DUMMYFUNCTION("""COMPUTED_VALUE"""),2952.7432)</f>
        <v>2952.7432</v>
      </c>
    </row>
    <row r="1123">
      <c r="A1123" s="434">
        <f>IFERROR(__xludf.DUMMYFUNCTION("""COMPUTED_VALUE"""),43759.99861111111)</f>
        <v>43759.99861</v>
      </c>
      <c r="B1123" s="433">
        <f>IFERROR(__xludf.DUMMYFUNCTION("""COMPUTED_VALUE"""),8220.194)</f>
        <v>8220.194</v>
      </c>
      <c r="C1123" s="434">
        <f>IFERROR(__xludf.DUMMYFUNCTION("""COMPUTED_VALUE"""),43345.99861111111)</f>
        <v>43345.99861</v>
      </c>
      <c r="D1123" s="433">
        <f>IFERROR(__xludf.DUMMYFUNCTION("""COMPUTED_VALUE"""),295.4528)</f>
        <v>295.4528</v>
      </c>
      <c r="F1123" s="434">
        <f>IFERROR(__xludf.DUMMYFUNCTION("""COMPUTED_VALUE"""),46049.99861111111)</f>
        <v>46049.99861</v>
      </c>
      <c r="G1123" s="433">
        <f>IFERROR(__xludf.DUMMYFUNCTION("""COMPUTED_VALUE"""),88536.09)</f>
        <v>88536.09</v>
      </c>
      <c r="H1123" s="434">
        <f>IFERROR(__xludf.DUMMYFUNCTION("""COMPUTED_VALUE"""),46047.99861111111)</f>
        <v>46047.99861</v>
      </c>
      <c r="I1123" s="433">
        <f>IFERROR(__xludf.DUMMYFUNCTION("""COMPUTED_VALUE"""),2948.6529)</f>
        <v>2948.6529</v>
      </c>
    </row>
    <row r="1124">
      <c r="A1124" s="434">
        <f>IFERROR(__xludf.DUMMYFUNCTION("""COMPUTED_VALUE"""),43760.99861111111)</f>
        <v>43760.99861</v>
      </c>
      <c r="B1124" s="433">
        <f>IFERROR(__xludf.DUMMYFUNCTION("""COMPUTED_VALUE"""),8033.617)</f>
        <v>8033.617</v>
      </c>
      <c r="C1124" s="434">
        <f>IFERROR(__xludf.DUMMYFUNCTION("""COMPUTED_VALUE"""),43346.99861111111)</f>
        <v>43346.99861</v>
      </c>
      <c r="D1124" s="433">
        <f>IFERROR(__xludf.DUMMYFUNCTION("""COMPUTED_VALUE"""),295.1806)</f>
        <v>295.1806</v>
      </c>
      <c r="F1124" s="434">
        <f>IFERROR(__xludf.DUMMYFUNCTION("""COMPUTED_VALUE"""),46050.99861111111)</f>
        <v>46050.99861</v>
      </c>
      <c r="G1124" s="433">
        <f>IFERROR(__xludf.DUMMYFUNCTION("""COMPUTED_VALUE"""),88897.0)</f>
        <v>88897</v>
      </c>
      <c r="H1124" s="434">
        <f>IFERROR(__xludf.DUMMYFUNCTION("""COMPUTED_VALUE"""),46048.99861111111)</f>
        <v>46048.99861</v>
      </c>
      <c r="I1124" s="433">
        <f>IFERROR(__xludf.DUMMYFUNCTION("""COMPUTED_VALUE"""),2815.3016)</f>
        <v>2815.3016</v>
      </c>
    </row>
    <row r="1125">
      <c r="A1125" s="434">
        <f>IFERROR(__xludf.DUMMYFUNCTION("""COMPUTED_VALUE"""),43761.99861111111)</f>
        <v>43761.99861</v>
      </c>
      <c r="B1125" s="433">
        <f>IFERROR(__xludf.DUMMYFUNCTION("""COMPUTED_VALUE"""),7463.521)</f>
        <v>7463.521</v>
      </c>
      <c r="C1125" s="434">
        <f>IFERROR(__xludf.DUMMYFUNCTION("""COMPUTED_VALUE"""),43347.99861111111)</f>
        <v>43347.99861</v>
      </c>
      <c r="D1125" s="433">
        <f>IFERROR(__xludf.DUMMYFUNCTION("""COMPUTED_VALUE"""),289.2971)</f>
        <v>289.2971</v>
      </c>
      <c r="F1125" s="434">
        <f>IFERROR(__xludf.DUMMYFUNCTION("""COMPUTED_VALUE"""),46051.99861111111)</f>
        <v>46051.99861</v>
      </c>
      <c r="G1125" s="433">
        <f>IFERROR(__xludf.DUMMYFUNCTION("""COMPUTED_VALUE"""),88228.84)</f>
        <v>88228.84</v>
      </c>
      <c r="H1125" s="434">
        <f>IFERROR(__xludf.DUMMYFUNCTION("""COMPUTED_VALUE"""),46049.99861111111)</f>
        <v>46049.99861</v>
      </c>
      <c r="I1125" s="433">
        <f>IFERROR(__xludf.DUMMYFUNCTION("""COMPUTED_VALUE"""),2926.8108)</f>
        <v>2926.8108</v>
      </c>
    </row>
    <row r="1126">
      <c r="A1126" s="434">
        <f>IFERROR(__xludf.DUMMYFUNCTION("""COMPUTED_VALUE"""),43762.99861111111)</f>
        <v>43762.99861</v>
      </c>
      <c r="B1126" s="433">
        <f>IFERROR(__xludf.DUMMYFUNCTION("""COMPUTED_VALUE"""),7439.174)</f>
        <v>7439.174</v>
      </c>
      <c r="C1126" s="434">
        <f>IFERROR(__xludf.DUMMYFUNCTION("""COMPUTED_VALUE"""),43348.99861111111)</f>
        <v>43348.99861</v>
      </c>
      <c r="D1126" s="433">
        <f>IFERROR(__xludf.DUMMYFUNCTION("""COMPUTED_VALUE"""),286.0454)</f>
        <v>286.0454</v>
      </c>
      <c r="F1126" s="434">
        <f>IFERROR(__xludf.DUMMYFUNCTION("""COMPUTED_VALUE"""),46052.99861111111)</f>
        <v>46052.99861</v>
      </c>
      <c r="G1126" s="433">
        <f>IFERROR(__xludf.DUMMYFUNCTION("""COMPUTED_VALUE"""),82837.99)</f>
        <v>82837.99</v>
      </c>
      <c r="H1126" s="434">
        <f>IFERROR(__xludf.DUMMYFUNCTION("""COMPUTED_VALUE"""),46050.99861111111)</f>
        <v>46050.99861</v>
      </c>
      <c r="I1126" s="433">
        <f>IFERROR(__xludf.DUMMYFUNCTION("""COMPUTED_VALUE"""),3022.4949)</f>
        <v>3022.4949</v>
      </c>
    </row>
    <row r="1127">
      <c r="A1127" s="434">
        <f>IFERROR(__xludf.DUMMYFUNCTION("""COMPUTED_VALUE"""),43763.99861111111)</f>
        <v>43763.99861</v>
      </c>
      <c r="B1127" s="433">
        <f>IFERROR(__xludf.DUMMYFUNCTION("""COMPUTED_VALUE"""),8669.673)</f>
        <v>8669.673</v>
      </c>
      <c r="C1127" s="434">
        <f>IFERROR(__xludf.DUMMYFUNCTION("""COMPUTED_VALUE"""),43349.99861111111)</f>
        <v>43349.99861</v>
      </c>
      <c r="D1127" s="433">
        <f>IFERROR(__xludf.DUMMYFUNCTION("""COMPUTED_VALUE"""),231.6482)</f>
        <v>231.6482</v>
      </c>
      <c r="F1127" s="434">
        <f>IFERROR(__xludf.DUMMYFUNCTION("""COMPUTED_VALUE"""),46053.99861111111)</f>
        <v>46053.99861</v>
      </c>
      <c r="G1127" s="433">
        <f>IFERROR(__xludf.DUMMYFUNCTION("""COMPUTED_VALUE"""),83894.56)</f>
        <v>83894.56</v>
      </c>
      <c r="H1127" s="434">
        <f>IFERROR(__xludf.DUMMYFUNCTION("""COMPUTED_VALUE"""),46051.99861111111)</f>
        <v>46051.99861</v>
      </c>
      <c r="I1127" s="433">
        <f>IFERROR(__xludf.DUMMYFUNCTION("""COMPUTED_VALUE"""),3005.8395)</f>
        <v>3005.8395</v>
      </c>
    </row>
    <row r="1128">
      <c r="A1128" s="434">
        <f>IFERROR(__xludf.DUMMYFUNCTION("""COMPUTED_VALUE"""),43764.99861111111)</f>
        <v>43764.99861</v>
      </c>
      <c r="B1128" s="433">
        <f>IFERROR(__xludf.DUMMYFUNCTION("""COMPUTED_VALUE"""),9257.699)</f>
        <v>9257.699</v>
      </c>
      <c r="C1128" s="434">
        <f>IFERROR(__xludf.DUMMYFUNCTION("""COMPUTED_VALUE"""),43350.99861111111)</f>
        <v>43350.99861</v>
      </c>
      <c r="D1128" s="433">
        <f>IFERROR(__xludf.DUMMYFUNCTION("""COMPUTED_VALUE"""),229.5354)</f>
        <v>229.5354</v>
      </c>
      <c r="F1128" s="434">
        <f>IFERROR(__xludf.DUMMYFUNCTION("""COMPUTED_VALUE"""),46054.99861111111)</f>
        <v>46054.99861</v>
      </c>
      <c r="G1128" s="433">
        <f>IFERROR(__xludf.DUMMYFUNCTION("""COMPUTED_VALUE"""),79017.39)</f>
        <v>79017.39</v>
      </c>
      <c r="H1128" s="434">
        <f>IFERROR(__xludf.DUMMYFUNCTION("""COMPUTED_VALUE"""),46052.99861111111)</f>
        <v>46052.99861</v>
      </c>
      <c r="I1128" s="433">
        <f>IFERROR(__xludf.DUMMYFUNCTION("""COMPUTED_VALUE"""),2818.0534)</f>
        <v>2818.0534</v>
      </c>
    </row>
    <row r="1129">
      <c r="A1129" s="434">
        <f>IFERROR(__xludf.DUMMYFUNCTION("""COMPUTED_VALUE"""),43765.99861111111)</f>
        <v>43765.99861</v>
      </c>
      <c r="B1129" s="433">
        <f>IFERROR(__xludf.DUMMYFUNCTION("""COMPUTED_VALUE"""),9550.732)</f>
        <v>9550.732</v>
      </c>
      <c r="C1129" s="434">
        <f>IFERROR(__xludf.DUMMYFUNCTION("""COMPUTED_VALUE"""),43351.99861111111)</f>
        <v>43351.99861</v>
      </c>
      <c r="D1129" s="433">
        <f>IFERROR(__xludf.DUMMYFUNCTION("""COMPUTED_VALUE"""),217.9118)</f>
        <v>217.9118</v>
      </c>
      <c r="F1129" s="434">
        <f>IFERROR(__xludf.DUMMYFUNCTION("""COMPUTED_VALUE"""),46055.99861111111)</f>
        <v>46055.99861</v>
      </c>
      <c r="G1129" s="433">
        <f>IFERROR(__xludf.DUMMYFUNCTION("""COMPUTED_VALUE"""),75874.71)</f>
        <v>75874.71</v>
      </c>
      <c r="H1129" s="434">
        <f>IFERROR(__xludf.DUMMYFUNCTION("""COMPUTED_VALUE"""),46053.99861111111)</f>
        <v>46053.99861</v>
      </c>
      <c r="I1129" s="433">
        <f>IFERROR(__xludf.DUMMYFUNCTION("""COMPUTED_VALUE"""),2702.5158)</f>
        <v>2702.5158</v>
      </c>
    </row>
    <row r="1130">
      <c r="A1130" s="434">
        <f>IFERROR(__xludf.DUMMYFUNCTION("""COMPUTED_VALUE"""),43766.99861111111)</f>
        <v>43766.99861</v>
      </c>
      <c r="B1130" s="433">
        <f>IFERROR(__xludf.DUMMYFUNCTION("""COMPUTED_VALUE"""),9221.572)</f>
        <v>9221.572</v>
      </c>
      <c r="C1130" s="434">
        <f>IFERROR(__xludf.DUMMYFUNCTION("""COMPUTED_VALUE"""),43352.99861111111)</f>
        <v>43352.99861</v>
      </c>
      <c r="D1130" s="433">
        <f>IFERROR(__xludf.DUMMYFUNCTION("""COMPUTED_VALUE"""),198.3848)</f>
        <v>198.3848</v>
      </c>
      <c r="F1130" s="434">
        <f>IFERROR(__xludf.DUMMYFUNCTION("""COMPUTED_VALUE"""),46056.99861111111)</f>
        <v>46056.99861</v>
      </c>
      <c r="G1130" s="433">
        <f>IFERROR(__xludf.DUMMYFUNCTION("""COMPUTED_VALUE"""),78766.83)</f>
        <v>78766.83</v>
      </c>
      <c r="H1130" s="434">
        <f>IFERROR(__xludf.DUMMYFUNCTION("""COMPUTED_VALUE"""),46054.99861111111)</f>
        <v>46054.99861</v>
      </c>
      <c r="I1130" s="433">
        <f>IFERROR(__xludf.DUMMYFUNCTION("""COMPUTED_VALUE"""),2449.217)</f>
        <v>2449.217</v>
      </c>
    </row>
    <row r="1131">
      <c r="A1131" s="434">
        <f>IFERROR(__xludf.DUMMYFUNCTION("""COMPUTED_VALUE"""),43767.99861111111)</f>
        <v>43767.99861</v>
      </c>
      <c r="B1131" s="433">
        <f>IFERROR(__xludf.DUMMYFUNCTION("""COMPUTED_VALUE"""),9433.596)</f>
        <v>9433.596</v>
      </c>
      <c r="C1131" s="434">
        <f>IFERROR(__xludf.DUMMYFUNCTION("""COMPUTED_VALUE"""),43353.99861111111)</f>
        <v>43353.99861</v>
      </c>
      <c r="D1131" s="433">
        <f>IFERROR(__xludf.DUMMYFUNCTION("""COMPUTED_VALUE"""),197.8509)</f>
        <v>197.8509</v>
      </c>
      <c r="F1131" s="434">
        <f>IFERROR(__xludf.DUMMYFUNCTION("""COMPUTED_VALUE"""),46057.99861111111)</f>
        <v>46057.99861</v>
      </c>
      <c r="G1131" s="433">
        <f>IFERROR(__xludf.DUMMYFUNCTION("""COMPUTED_VALUE"""),76405.83)</f>
        <v>76405.83</v>
      </c>
      <c r="H1131" s="434">
        <f>IFERROR(__xludf.DUMMYFUNCTION("""COMPUTED_VALUE"""),46055.99861111111)</f>
        <v>46055.99861</v>
      </c>
      <c r="I1131" s="433">
        <f>IFERROR(__xludf.DUMMYFUNCTION("""COMPUTED_VALUE"""),2267.3401)</f>
        <v>2267.3401</v>
      </c>
    </row>
    <row r="1132">
      <c r="A1132" s="434">
        <f>IFERROR(__xludf.DUMMYFUNCTION("""COMPUTED_VALUE"""),43768.99861111111)</f>
        <v>43768.99861</v>
      </c>
      <c r="B1132" s="433">
        <f>IFERROR(__xludf.DUMMYFUNCTION("""COMPUTED_VALUE"""),9168.93)</f>
        <v>9168.93</v>
      </c>
      <c r="C1132" s="434">
        <f>IFERROR(__xludf.DUMMYFUNCTION("""COMPUTED_VALUE"""),43354.99861111111)</f>
        <v>43354.99861</v>
      </c>
      <c r="D1132" s="433">
        <f>IFERROR(__xludf.DUMMYFUNCTION("""COMPUTED_VALUE"""),198.1767)</f>
        <v>198.1767</v>
      </c>
      <c r="F1132" s="434">
        <f>IFERROR(__xludf.DUMMYFUNCTION("""COMPUTED_VALUE"""),46058.99861111111)</f>
        <v>46058.99861</v>
      </c>
      <c r="G1132" s="433">
        <f>IFERROR(__xludf.DUMMYFUNCTION("""COMPUTED_VALUE"""),70770.99)</f>
        <v>70770.99</v>
      </c>
      <c r="H1132" s="434">
        <f>IFERROR(__xludf.DUMMYFUNCTION("""COMPUTED_VALUE"""),46056.99861111111)</f>
        <v>46056.99861</v>
      </c>
      <c r="I1132" s="433">
        <f>IFERROR(__xludf.DUMMYFUNCTION("""COMPUTED_VALUE"""),2344.6153)</f>
        <v>2344.6153</v>
      </c>
    </row>
    <row r="1133">
      <c r="A1133" s="434">
        <f>IFERROR(__xludf.DUMMYFUNCTION("""COMPUTED_VALUE"""),43769.99861111111)</f>
        <v>43769.99861</v>
      </c>
      <c r="B1133" s="433">
        <f>IFERROR(__xludf.DUMMYFUNCTION("""COMPUTED_VALUE"""),9159.36)</f>
        <v>9159.36</v>
      </c>
      <c r="C1133" s="434">
        <f>IFERROR(__xludf.DUMMYFUNCTION("""COMPUTED_VALUE"""),43355.99861111111)</f>
        <v>43355.99861</v>
      </c>
      <c r="D1133" s="433">
        <f>IFERROR(__xludf.DUMMYFUNCTION("""COMPUTED_VALUE"""),185.4231)</f>
        <v>185.4231</v>
      </c>
      <c r="F1133" s="434">
        <f>IFERROR(__xludf.DUMMYFUNCTION("""COMPUTED_VALUE"""),46059.99861111111)</f>
        <v>46059.99861</v>
      </c>
      <c r="G1133" s="433">
        <f>IFERROR(__xludf.DUMMYFUNCTION("""COMPUTED_VALUE"""),64856.11)</f>
        <v>64856.11</v>
      </c>
      <c r="H1133" s="434">
        <f>IFERROR(__xludf.DUMMYFUNCTION("""COMPUTED_VALUE"""),46057.99861111111)</f>
        <v>46057.99861</v>
      </c>
      <c r="I1133" s="433">
        <f>IFERROR(__xludf.DUMMYFUNCTION("""COMPUTED_VALUE"""),2230.4942)</f>
        <v>2230.4942</v>
      </c>
    </row>
    <row r="1134">
      <c r="A1134" s="434">
        <f>IFERROR(__xludf.DUMMYFUNCTION("""COMPUTED_VALUE"""),43770.99861111111)</f>
        <v>43770.99861</v>
      </c>
      <c r="B1134" s="433">
        <f>IFERROR(__xludf.DUMMYFUNCTION("""COMPUTED_VALUE"""),9257.186)</f>
        <v>9257.186</v>
      </c>
      <c r="C1134" s="434">
        <f>IFERROR(__xludf.DUMMYFUNCTION("""COMPUTED_VALUE"""),43356.99861111111)</f>
        <v>43356.99861</v>
      </c>
      <c r="D1134" s="433">
        <f>IFERROR(__xludf.DUMMYFUNCTION("""COMPUTED_VALUE"""),183.6792)</f>
        <v>183.6792</v>
      </c>
      <c r="F1134" s="434">
        <f>IFERROR(__xludf.DUMMYFUNCTION("""COMPUTED_VALUE"""),46060.99861111111)</f>
        <v>46060.99861</v>
      </c>
      <c r="G1134" s="433">
        <f>IFERROR(__xludf.DUMMYFUNCTION("""COMPUTED_VALUE"""),70748.48)</f>
        <v>70748.48</v>
      </c>
      <c r="H1134" s="434">
        <f>IFERROR(__xludf.DUMMYFUNCTION("""COMPUTED_VALUE"""),46058.99861111111)</f>
        <v>46058.99861</v>
      </c>
      <c r="I1134" s="433">
        <f>IFERROR(__xludf.DUMMYFUNCTION("""COMPUTED_VALUE"""),2143.1853)</f>
        <v>2143.1853</v>
      </c>
    </row>
    <row r="1135">
      <c r="A1135" s="434">
        <f>IFERROR(__xludf.DUMMYFUNCTION("""COMPUTED_VALUE"""),43771.99861111111)</f>
        <v>43771.99861</v>
      </c>
      <c r="B1135" s="433">
        <f>IFERROR(__xludf.DUMMYFUNCTION("""COMPUTED_VALUE"""),9313.13)</f>
        <v>9313.13</v>
      </c>
      <c r="C1135" s="434">
        <f>IFERROR(__xludf.DUMMYFUNCTION("""COMPUTED_VALUE"""),43357.99861111111)</f>
        <v>43357.99861</v>
      </c>
      <c r="D1135" s="433">
        <f>IFERROR(__xludf.DUMMYFUNCTION("""COMPUTED_VALUE"""),212.6694)</f>
        <v>212.6694</v>
      </c>
      <c r="F1135" s="434">
        <f>IFERROR(__xludf.DUMMYFUNCTION("""COMPUTED_VALUE"""),46061.99861111111)</f>
        <v>46061.99861</v>
      </c>
      <c r="G1135" s="433">
        <f>IFERROR(__xludf.DUMMYFUNCTION("""COMPUTED_VALUE"""),69290.04)</f>
        <v>69290.04</v>
      </c>
      <c r="H1135" s="434">
        <f>IFERROR(__xludf.DUMMYFUNCTION("""COMPUTED_VALUE"""),46059.99861111111)</f>
        <v>46059.99861</v>
      </c>
      <c r="I1135" s="433">
        <f>IFERROR(__xludf.DUMMYFUNCTION("""COMPUTED_VALUE"""),1823.2029)</f>
        <v>1823.2029</v>
      </c>
    </row>
    <row r="1136">
      <c r="A1136" s="434">
        <f>IFERROR(__xludf.DUMMYFUNCTION("""COMPUTED_VALUE"""),43772.99861111111)</f>
        <v>43772.99861</v>
      </c>
      <c r="B1136" s="433">
        <f>IFERROR(__xludf.DUMMYFUNCTION("""COMPUTED_VALUE"""),9213.252)</f>
        <v>9213.252</v>
      </c>
      <c r="C1136" s="434">
        <f>IFERROR(__xludf.DUMMYFUNCTION("""COMPUTED_VALUE"""),43358.99861111111)</f>
        <v>43358.99861</v>
      </c>
      <c r="D1136" s="433">
        <f>IFERROR(__xludf.DUMMYFUNCTION("""COMPUTED_VALUE"""),209.8143)</f>
        <v>209.8143</v>
      </c>
      <c r="F1136" s="434">
        <f>IFERROR(__xludf.DUMMYFUNCTION("""COMPUTED_VALUE"""),46062.99861111111)</f>
        <v>46062.99861</v>
      </c>
      <c r="G1136" s="433">
        <f>IFERROR(__xludf.DUMMYFUNCTION("""COMPUTED_VALUE"""),71006.41)</f>
        <v>71006.41</v>
      </c>
      <c r="H1136" s="434">
        <f>IFERROR(__xludf.DUMMYFUNCTION("""COMPUTED_VALUE"""),46060.99861111111)</f>
        <v>46060.99861</v>
      </c>
      <c r="I1136" s="433">
        <f>IFERROR(__xludf.DUMMYFUNCTION("""COMPUTED_VALUE"""),2062.0443)</f>
        <v>2062.0443</v>
      </c>
    </row>
    <row r="1137">
      <c r="A1137" s="434">
        <f>IFERROR(__xludf.DUMMYFUNCTION("""COMPUTED_VALUE"""),43773.99861111111)</f>
        <v>43773.99861</v>
      </c>
      <c r="B1137" s="433">
        <f>IFERROR(__xludf.DUMMYFUNCTION("""COMPUTED_VALUE"""),9423.793)</f>
        <v>9423.793</v>
      </c>
      <c r="C1137" s="434">
        <f>IFERROR(__xludf.DUMMYFUNCTION("""COMPUTED_VALUE"""),43359.99861111111)</f>
        <v>43359.99861</v>
      </c>
      <c r="D1137" s="433">
        <f>IFERROR(__xludf.DUMMYFUNCTION("""COMPUTED_VALUE"""),222.8027)</f>
        <v>222.8027</v>
      </c>
      <c r="F1137" s="434">
        <f>IFERROR(__xludf.DUMMYFUNCTION("""COMPUTED_VALUE"""),46063.99861111111)</f>
        <v>46063.99861</v>
      </c>
      <c r="G1137" s="433">
        <f>IFERROR(__xludf.DUMMYFUNCTION("""COMPUTED_VALUE"""),69832.38)</f>
        <v>69832.38</v>
      </c>
      <c r="H1137" s="434">
        <f>IFERROR(__xludf.DUMMYFUNCTION("""COMPUTED_VALUE"""),46061.99861111111)</f>
        <v>46061.99861</v>
      </c>
      <c r="I1137" s="433">
        <f>IFERROR(__xludf.DUMMYFUNCTION("""COMPUTED_VALUE"""),2089.2157)</f>
        <v>2089.2157</v>
      </c>
    </row>
    <row r="1138">
      <c r="A1138" s="434">
        <f>IFERROR(__xludf.DUMMYFUNCTION("""COMPUTED_VALUE"""),43774.99861111111)</f>
        <v>43774.99861</v>
      </c>
      <c r="B1138" s="433">
        <f>IFERROR(__xludf.DUMMYFUNCTION("""COMPUTED_VALUE"""),9320.99)</f>
        <v>9320.99</v>
      </c>
      <c r="C1138" s="434">
        <f>IFERROR(__xludf.DUMMYFUNCTION("""COMPUTED_VALUE"""),43360.99861111111)</f>
        <v>43360.99861</v>
      </c>
      <c r="D1138" s="433">
        <f>IFERROR(__xludf.DUMMYFUNCTION("""COMPUTED_VALUE"""),221.5823)</f>
        <v>221.5823</v>
      </c>
      <c r="F1138" s="434">
        <f>IFERROR(__xludf.DUMMYFUNCTION("""COMPUTED_VALUE"""),46064.99861111111)</f>
        <v>46064.99861</v>
      </c>
      <c r="G1138" s="433">
        <f>IFERROR(__xludf.DUMMYFUNCTION("""COMPUTED_VALUE"""),67542.55)</f>
        <v>67542.55</v>
      </c>
      <c r="H1138" s="434">
        <f>IFERROR(__xludf.DUMMYFUNCTION("""COMPUTED_VALUE"""),46062.99861111111)</f>
        <v>46062.99861</v>
      </c>
      <c r="I1138" s="433">
        <f>IFERROR(__xludf.DUMMYFUNCTION("""COMPUTED_VALUE"""),2088.9471)</f>
        <v>2088.9471</v>
      </c>
    </row>
    <row r="1139">
      <c r="A1139" s="434">
        <f>IFERROR(__xludf.DUMMYFUNCTION("""COMPUTED_VALUE"""),43775.99861111111)</f>
        <v>43775.99861</v>
      </c>
      <c r="B1139" s="433">
        <f>IFERROR(__xludf.DUMMYFUNCTION("""COMPUTED_VALUE"""),9349.671)</f>
        <v>9349.671</v>
      </c>
      <c r="C1139" s="434">
        <f>IFERROR(__xludf.DUMMYFUNCTION("""COMPUTED_VALUE"""),43361.99861111111)</f>
        <v>43361.99861</v>
      </c>
      <c r="D1139" s="433">
        <f>IFERROR(__xludf.DUMMYFUNCTION("""COMPUTED_VALUE"""),197.0946)</f>
        <v>197.0946</v>
      </c>
      <c r="F1139" s="434">
        <f>IFERROR(__xludf.DUMMYFUNCTION("""COMPUTED_VALUE"""),46065.99861111111)</f>
        <v>46065.99861</v>
      </c>
      <c r="G1139" s="433">
        <f>IFERROR(__xludf.DUMMYFUNCTION("""COMPUTED_VALUE"""),67033.27)</f>
        <v>67033.27</v>
      </c>
      <c r="H1139" s="434">
        <f>IFERROR(__xludf.DUMMYFUNCTION("""COMPUTED_VALUE"""),46063.99861111111)</f>
        <v>46063.99861</v>
      </c>
      <c r="I1139" s="433">
        <f>IFERROR(__xludf.DUMMYFUNCTION("""COMPUTED_VALUE"""),2103.6616)</f>
        <v>2103.6616</v>
      </c>
    </row>
    <row r="1140">
      <c r="A1140" s="434">
        <f>IFERROR(__xludf.DUMMYFUNCTION("""COMPUTED_VALUE"""),43776.99861111111)</f>
        <v>43776.99861</v>
      </c>
      <c r="B1140" s="433">
        <f>IFERROR(__xludf.DUMMYFUNCTION("""COMPUTED_VALUE"""),9204.581)</f>
        <v>9204.581</v>
      </c>
      <c r="C1140" s="434">
        <f>IFERROR(__xludf.DUMMYFUNCTION("""COMPUTED_VALUE"""),43362.99861111111)</f>
        <v>43362.99861</v>
      </c>
      <c r="D1140" s="433">
        <f>IFERROR(__xludf.DUMMYFUNCTION("""COMPUTED_VALUE"""),209.4723)</f>
        <v>209.4723</v>
      </c>
      <c r="F1140" s="434">
        <f>IFERROR(__xludf.DUMMYFUNCTION("""COMPUTED_VALUE"""),46066.99861111111)</f>
        <v>46066.99861</v>
      </c>
      <c r="G1140" s="433">
        <f>IFERROR(__xludf.DUMMYFUNCTION("""COMPUTED_VALUE"""),66371.5)</f>
        <v>66371.5</v>
      </c>
      <c r="H1140" s="434">
        <f>IFERROR(__xludf.DUMMYFUNCTION("""COMPUTED_VALUE"""),46064.99861111111)</f>
        <v>46064.99861</v>
      </c>
      <c r="I1140" s="433">
        <f>IFERROR(__xludf.DUMMYFUNCTION("""COMPUTED_VALUE"""),2020.3572)</f>
        <v>2020.3572</v>
      </c>
    </row>
    <row r="1141">
      <c r="A1141" s="434">
        <f>IFERROR(__xludf.DUMMYFUNCTION("""COMPUTED_VALUE"""),43777.99861111111)</f>
        <v>43777.99861</v>
      </c>
      <c r="B1141" s="433">
        <f>IFERROR(__xludf.DUMMYFUNCTION("""COMPUTED_VALUE"""),8769.167)</f>
        <v>8769.167</v>
      </c>
      <c r="C1141" s="434">
        <f>IFERROR(__xludf.DUMMYFUNCTION("""COMPUTED_VALUE"""),43363.99861111111)</f>
        <v>43363.99861</v>
      </c>
      <c r="D1141" s="433">
        <f>IFERROR(__xludf.DUMMYFUNCTION("""COMPUTED_VALUE"""),210.2883)</f>
        <v>210.2883</v>
      </c>
      <c r="F1141" s="434">
        <f>IFERROR(__xludf.DUMMYFUNCTION("""COMPUTED_VALUE"""),46067.99861111111)</f>
        <v>46067.99861</v>
      </c>
      <c r="G1141" s="433">
        <f>IFERROR(__xludf.DUMMYFUNCTION("""COMPUTED_VALUE"""),68814.16)</f>
        <v>68814.16</v>
      </c>
      <c r="H1141" s="434">
        <f>IFERROR(__xludf.DUMMYFUNCTION("""COMPUTED_VALUE"""),46065.99861111111)</f>
        <v>46065.99861</v>
      </c>
      <c r="I1141" s="433">
        <f>IFERROR(__xludf.DUMMYFUNCTION("""COMPUTED_VALUE"""),1941.2958)</f>
        <v>1941.2958</v>
      </c>
    </row>
    <row r="1142">
      <c r="A1142" s="434">
        <f>IFERROR(__xludf.DUMMYFUNCTION("""COMPUTED_VALUE"""),43778.99861111111)</f>
        <v>43778.99861</v>
      </c>
      <c r="B1142" s="433">
        <f>IFERROR(__xludf.DUMMYFUNCTION("""COMPUTED_VALUE"""),8813.683)</f>
        <v>8813.683</v>
      </c>
      <c r="C1142" s="434">
        <f>IFERROR(__xludf.DUMMYFUNCTION("""COMPUTED_VALUE"""),43364.99861111111)</f>
        <v>43364.99861</v>
      </c>
      <c r="D1142" s="433">
        <f>IFERROR(__xludf.DUMMYFUNCTION("""COMPUTED_VALUE"""),225.2506)</f>
        <v>225.2506</v>
      </c>
      <c r="F1142" s="434">
        <f>IFERROR(__xludf.DUMMYFUNCTION("""COMPUTED_VALUE"""),46068.99861111111)</f>
        <v>46068.99861</v>
      </c>
      <c r="G1142" s="433">
        <f>IFERROR(__xludf.DUMMYFUNCTION("""COMPUTED_VALUE"""),70184.87)</f>
        <v>70184.87</v>
      </c>
      <c r="H1142" s="434">
        <f>IFERROR(__xludf.DUMMYFUNCTION("""COMPUTED_VALUE"""),46066.99861111111)</f>
        <v>46066.99861</v>
      </c>
      <c r="I1142" s="433">
        <f>IFERROR(__xludf.DUMMYFUNCTION("""COMPUTED_VALUE"""),1946.1684)</f>
        <v>1946.1684</v>
      </c>
    </row>
    <row r="1143">
      <c r="A1143" s="434">
        <f>IFERROR(__xludf.DUMMYFUNCTION("""COMPUTED_VALUE"""),43779.99861111111)</f>
        <v>43779.99861</v>
      </c>
      <c r="B1143" s="433">
        <f>IFERROR(__xludf.DUMMYFUNCTION("""COMPUTED_VALUE"""),9046.242)</f>
        <v>9046.242</v>
      </c>
      <c r="C1143" s="434">
        <f>IFERROR(__xludf.DUMMYFUNCTION("""COMPUTED_VALUE"""),43365.99861111111)</f>
        <v>43365.99861</v>
      </c>
      <c r="D1143" s="433">
        <f>IFERROR(__xludf.DUMMYFUNCTION("""COMPUTED_VALUE"""),247.3367)</f>
        <v>247.3367</v>
      </c>
      <c r="F1143" s="434">
        <f>IFERROR(__xludf.DUMMYFUNCTION("""COMPUTED_VALUE"""),46069.99861111111)</f>
        <v>46069.99861</v>
      </c>
      <c r="G1143" s="433">
        <f>IFERROR(__xludf.DUMMYFUNCTION("""COMPUTED_VALUE"""),68865.44)</f>
        <v>68865.44</v>
      </c>
      <c r="H1143" s="434">
        <f>IFERROR(__xludf.DUMMYFUNCTION("""COMPUTED_VALUE"""),46067.99861111111)</f>
        <v>46067.99861</v>
      </c>
      <c r="I1143" s="433">
        <f>IFERROR(__xludf.DUMMYFUNCTION("""COMPUTED_VALUE"""),2048.415)</f>
        <v>2048.415</v>
      </c>
    </row>
    <row r="1144">
      <c r="A1144" s="434">
        <f>IFERROR(__xludf.DUMMYFUNCTION("""COMPUTED_VALUE"""),43780.99861111111)</f>
        <v>43780.99861</v>
      </c>
      <c r="B1144" s="433">
        <f>IFERROR(__xludf.DUMMYFUNCTION("""COMPUTED_VALUE"""),8725.195)</f>
        <v>8725.195</v>
      </c>
      <c r="C1144" s="434">
        <f>IFERROR(__xludf.DUMMYFUNCTION("""COMPUTED_VALUE"""),43366.99861111111)</f>
        <v>43366.99861</v>
      </c>
      <c r="D1144" s="433">
        <f>IFERROR(__xludf.DUMMYFUNCTION("""COMPUTED_VALUE"""),240.9922)</f>
        <v>240.9922</v>
      </c>
      <c r="F1144" s="434">
        <f>IFERROR(__xludf.DUMMYFUNCTION("""COMPUTED_VALUE"""),46070.99861111111)</f>
        <v>46070.99861</v>
      </c>
      <c r="G1144" s="433">
        <f>IFERROR(__xludf.DUMMYFUNCTION("""COMPUTED_VALUE"""),68441.63)</f>
        <v>68441.63</v>
      </c>
      <c r="H1144" s="434">
        <f>IFERROR(__xludf.DUMMYFUNCTION("""COMPUTED_VALUE"""),46068.99861111111)</f>
        <v>46068.99861</v>
      </c>
      <c r="I1144" s="433">
        <f>IFERROR(__xludf.DUMMYFUNCTION("""COMPUTED_VALUE"""),2085.5191)</f>
        <v>2085.5191</v>
      </c>
    </row>
    <row r="1145">
      <c r="A1145" s="434">
        <f>IFERROR(__xludf.DUMMYFUNCTION("""COMPUTED_VALUE"""),43781.99861111111)</f>
        <v>43781.99861</v>
      </c>
      <c r="B1145" s="433">
        <f>IFERROR(__xludf.DUMMYFUNCTION("""COMPUTED_VALUE"""),8813.387)</f>
        <v>8813.387</v>
      </c>
      <c r="C1145" s="434">
        <f>IFERROR(__xludf.DUMMYFUNCTION("""COMPUTED_VALUE"""),43367.99861111111)</f>
        <v>43367.99861</v>
      </c>
      <c r="D1145" s="433">
        <f>IFERROR(__xludf.DUMMYFUNCTION("""COMPUTED_VALUE"""),244.8443)</f>
        <v>244.8443</v>
      </c>
      <c r="F1145" s="434">
        <f>IFERROR(__xludf.DUMMYFUNCTION("""COMPUTED_VALUE"""),46071.99861111111)</f>
        <v>46071.99861</v>
      </c>
      <c r="G1145" s="433">
        <f>IFERROR(__xludf.DUMMYFUNCTION("""COMPUTED_VALUE"""),67804.04)</f>
        <v>67804.04</v>
      </c>
      <c r="H1145" s="434">
        <f>IFERROR(__xludf.DUMMYFUNCTION("""COMPUTED_VALUE"""),46069.99861111111)</f>
        <v>46069.99861</v>
      </c>
      <c r="I1145" s="433">
        <f>IFERROR(__xludf.DUMMYFUNCTION("""COMPUTED_VALUE"""),1965.1317)</f>
        <v>1965.1317</v>
      </c>
    </row>
    <row r="1146">
      <c r="A1146" s="434">
        <f>IFERROR(__xludf.DUMMYFUNCTION("""COMPUTED_VALUE"""),43782.99861111111)</f>
        <v>43782.99861</v>
      </c>
      <c r="B1146" s="433">
        <f>IFERROR(__xludf.DUMMYFUNCTION("""COMPUTED_VALUE"""),8775.16)</f>
        <v>8775.16</v>
      </c>
      <c r="C1146" s="434">
        <f>IFERROR(__xludf.DUMMYFUNCTION("""COMPUTED_VALUE"""),43368.99861111111)</f>
        <v>43368.99861</v>
      </c>
      <c r="D1146" s="433">
        <f>IFERROR(__xludf.DUMMYFUNCTION("""COMPUTED_VALUE"""),228.3275)</f>
        <v>228.3275</v>
      </c>
      <c r="F1146" s="434">
        <f>IFERROR(__xludf.DUMMYFUNCTION("""COMPUTED_VALUE"""),46072.99861111111)</f>
        <v>46072.99861</v>
      </c>
      <c r="G1146" s="433">
        <f>IFERROR(__xludf.DUMMYFUNCTION("""COMPUTED_VALUE"""),66838.42)</f>
        <v>66838.42</v>
      </c>
      <c r="H1146" s="434">
        <f>IFERROR(__xludf.DUMMYFUNCTION("""COMPUTED_VALUE"""),46070.99861111111)</f>
        <v>46070.99861</v>
      </c>
      <c r="I1146" s="433">
        <f>IFERROR(__xludf.DUMMYFUNCTION("""COMPUTED_VALUE"""),1997.8259)</f>
        <v>1997.8259</v>
      </c>
    </row>
    <row r="1147">
      <c r="A1147" s="434">
        <f>IFERROR(__xludf.DUMMYFUNCTION("""COMPUTED_VALUE"""),43783.99861111111)</f>
        <v>43783.99861</v>
      </c>
      <c r="B1147" s="433">
        <f>IFERROR(__xludf.DUMMYFUNCTION("""COMPUTED_VALUE"""),8639.802)</f>
        <v>8639.802</v>
      </c>
      <c r="C1147" s="434">
        <f>IFERROR(__xludf.DUMMYFUNCTION("""COMPUTED_VALUE"""),43369.99861111111)</f>
        <v>43369.99861</v>
      </c>
      <c r="D1147" s="433">
        <f>IFERROR(__xludf.DUMMYFUNCTION("""COMPUTED_VALUE"""),218.6472)</f>
        <v>218.6472</v>
      </c>
      <c r="F1147" s="434">
        <f>IFERROR(__xludf.DUMMYFUNCTION("""COMPUTED_VALUE"""),46073.99861111111)</f>
        <v>46073.99861</v>
      </c>
      <c r="G1147" s="433">
        <f>IFERROR(__xludf.DUMMYFUNCTION("""COMPUTED_VALUE"""),67278.25)</f>
        <v>67278.25</v>
      </c>
      <c r="H1147" s="434">
        <f>IFERROR(__xludf.DUMMYFUNCTION("""COMPUTED_VALUE"""),46071.99861111111)</f>
        <v>46071.99861</v>
      </c>
      <c r="I1147" s="433">
        <f>IFERROR(__xludf.DUMMYFUNCTION("""COMPUTED_VALUE"""),1991.3532)</f>
        <v>1991.3532</v>
      </c>
    </row>
    <row r="1148">
      <c r="A1148" s="434">
        <f>IFERROR(__xludf.DUMMYFUNCTION("""COMPUTED_VALUE"""),43784.99861111111)</f>
        <v>43784.99861</v>
      </c>
      <c r="B1148" s="433">
        <f>IFERROR(__xludf.DUMMYFUNCTION("""COMPUTED_VALUE"""),8466.479)</f>
        <v>8466.479</v>
      </c>
      <c r="C1148" s="434">
        <f>IFERROR(__xludf.DUMMYFUNCTION("""COMPUTED_VALUE"""),43370.99861111111)</f>
        <v>43370.99861</v>
      </c>
      <c r="D1148" s="433">
        <f>IFERROR(__xludf.DUMMYFUNCTION("""COMPUTED_VALUE"""),215.4397)</f>
        <v>215.4397</v>
      </c>
      <c r="F1148" s="434">
        <f>IFERROR(__xludf.DUMMYFUNCTION("""COMPUTED_VALUE"""),46074.99861111111)</f>
        <v>46074.99861</v>
      </c>
      <c r="G1148" s="433">
        <f>IFERROR(__xludf.DUMMYFUNCTION("""COMPUTED_VALUE"""),67823.55)</f>
        <v>67823.55</v>
      </c>
      <c r="H1148" s="434">
        <f>IFERROR(__xludf.DUMMYFUNCTION("""COMPUTED_VALUE"""),46072.99861111111)</f>
        <v>46072.99861</v>
      </c>
      <c r="I1148" s="433">
        <f>IFERROR(__xludf.DUMMYFUNCTION("""COMPUTED_VALUE"""),1954.7398)</f>
        <v>1954.7398</v>
      </c>
    </row>
    <row r="1149">
      <c r="A1149" s="434">
        <f>IFERROR(__xludf.DUMMYFUNCTION("""COMPUTED_VALUE"""),43785.99861111111)</f>
        <v>43785.99861</v>
      </c>
      <c r="B1149" s="433">
        <f>IFERROR(__xludf.DUMMYFUNCTION("""COMPUTED_VALUE"""),8496.651)</f>
        <v>8496.651</v>
      </c>
      <c r="C1149" s="434">
        <f>IFERROR(__xludf.DUMMYFUNCTION("""COMPUTED_VALUE"""),43371.99861111111)</f>
        <v>43371.99861</v>
      </c>
      <c r="D1149" s="433">
        <f>IFERROR(__xludf.DUMMYFUNCTION("""COMPUTED_VALUE"""),229.0412)</f>
        <v>229.0412</v>
      </c>
      <c r="F1149" s="434">
        <f>IFERROR(__xludf.DUMMYFUNCTION("""COMPUTED_VALUE"""),46075.99861111111)</f>
        <v>46075.99861</v>
      </c>
      <c r="G1149" s="433">
        <f>IFERROR(__xludf.DUMMYFUNCTION("""COMPUTED_VALUE"""),67988.04)</f>
        <v>67988.04</v>
      </c>
      <c r="H1149" s="434">
        <f>IFERROR(__xludf.DUMMYFUNCTION("""COMPUTED_VALUE"""),46073.99861111111)</f>
        <v>46073.99861</v>
      </c>
      <c r="I1149" s="433">
        <f>IFERROR(__xludf.DUMMYFUNCTION("""COMPUTED_VALUE"""),1948.3131)</f>
        <v>1948.3131</v>
      </c>
    </row>
    <row r="1150">
      <c r="A1150" s="434">
        <f>IFERROR(__xludf.DUMMYFUNCTION("""COMPUTED_VALUE"""),43786.99861111111)</f>
        <v>43786.99861</v>
      </c>
      <c r="B1150" s="433">
        <f>IFERROR(__xludf.DUMMYFUNCTION("""COMPUTED_VALUE"""),8515.489)</f>
        <v>8515.489</v>
      </c>
      <c r="C1150" s="434">
        <f>IFERROR(__xludf.DUMMYFUNCTION("""COMPUTED_VALUE"""),43372.99861111111)</f>
        <v>43372.99861</v>
      </c>
      <c r="D1150" s="433">
        <f>IFERROR(__xludf.DUMMYFUNCTION("""COMPUTED_VALUE"""),221.705)</f>
        <v>221.705</v>
      </c>
      <c r="F1150" s="434">
        <f>IFERROR(__xludf.DUMMYFUNCTION("""COMPUTED_VALUE"""),46076.99861111111)</f>
        <v>46076.99861</v>
      </c>
      <c r="G1150" s="433">
        <f>IFERROR(__xludf.DUMMYFUNCTION("""COMPUTED_VALUE"""),64845.25)</f>
        <v>64845.25</v>
      </c>
      <c r="H1150" s="434">
        <f>IFERROR(__xludf.DUMMYFUNCTION("""COMPUTED_VALUE"""),46074.99861111111)</f>
        <v>46074.99861</v>
      </c>
      <c r="I1150" s="433">
        <f>IFERROR(__xludf.DUMMYFUNCTION("""COMPUTED_VALUE"""),1968.4521)</f>
        <v>1968.4521</v>
      </c>
    </row>
    <row r="1151">
      <c r="A1151" s="434">
        <f>IFERROR(__xludf.DUMMYFUNCTION("""COMPUTED_VALUE"""),43787.99861111111)</f>
        <v>43787.99861</v>
      </c>
      <c r="B1151" s="433">
        <f>IFERROR(__xludf.DUMMYFUNCTION("""COMPUTED_VALUE"""),8185.337)</f>
        <v>8185.337</v>
      </c>
      <c r="C1151" s="434">
        <f>IFERROR(__xludf.DUMMYFUNCTION("""COMPUTED_VALUE"""),43373.99861111111)</f>
        <v>43373.99861</v>
      </c>
      <c r="D1151" s="433">
        <f>IFERROR(__xludf.DUMMYFUNCTION("""COMPUTED_VALUE"""),231.3295)</f>
        <v>231.3295</v>
      </c>
      <c r="F1151" s="434">
        <f>IFERROR(__xludf.DUMMYFUNCTION("""COMPUTED_VALUE"""),46077.99861111111)</f>
        <v>46077.99861</v>
      </c>
      <c r="G1151" s="433">
        <f>IFERROR(__xludf.DUMMYFUNCTION("""COMPUTED_VALUE"""),63326.75)</f>
        <v>63326.75</v>
      </c>
      <c r="H1151" s="434">
        <f>IFERROR(__xludf.DUMMYFUNCTION("""COMPUTED_VALUE"""),46075.99861111111)</f>
        <v>46075.99861</v>
      </c>
      <c r="I1151" s="433">
        <f>IFERROR(__xludf.DUMMYFUNCTION("""COMPUTED_VALUE"""),1973.2929)</f>
        <v>1973.2929</v>
      </c>
    </row>
    <row r="1152">
      <c r="A1152" s="434">
        <f>IFERROR(__xludf.DUMMYFUNCTION("""COMPUTED_VALUE"""),43788.99861111111)</f>
        <v>43788.99861</v>
      </c>
      <c r="B1152" s="433">
        <f>IFERROR(__xludf.DUMMYFUNCTION("""COMPUTED_VALUE"""),8129.933)</f>
        <v>8129.933</v>
      </c>
      <c r="C1152" s="434">
        <f>IFERROR(__xludf.DUMMYFUNCTION("""COMPUTED_VALUE"""),43374.99861111111)</f>
        <v>43374.99861</v>
      </c>
      <c r="D1152" s="433">
        <f>IFERROR(__xludf.DUMMYFUNCTION("""COMPUTED_VALUE"""),233.22)</f>
        <v>233.22</v>
      </c>
      <c r="F1152" s="434">
        <f>IFERROR(__xludf.DUMMYFUNCTION("""COMPUTED_VALUE"""),46078.99861111111)</f>
        <v>46078.99861</v>
      </c>
      <c r="G1152" s="433">
        <f>IFERROR(__xludf.DUMMYFUNCTION("""COMPUTED_VALUE"""),65449.49)</f>
        <v>65449.49</v>
      </c>
      <c r="H1152" s="434">
        <f>IFERROR(__xludf.DUMMYFUNCTION("""COMPUTED_VALUE"""),46076.99861111111)</f>
        <v>46076.99861</v>
      </c>
      <c r="I1152" s="433">
        <f>IFERROR(__xludf.DUMMYFUNCTION("""COMPUTED_VALUE"""),1956.9404)</f>
        <v>1956.9404</v>
      </c>
    </row>
    <row r="1153">
      <c r="A1153" s="434">
        <f>IFERROR(__xludf.DUMMYFUNCTION("""COMPUTED_VALUE"""),43789.99861111111)</f>
        <v>43789.99861</v>
      </c>
      <c r="B1153" s="433">
        <f>IFERROR(__xludf.DUMMYFUNCTION("""COMPUTED_VALUE"""),8094.492)</f>
        <v>8094.492</v>
      </c>
      <c r="C1153" s="434">
        <f>IFERROR(__xludf.DUMMYFUNCTION("""COMPUTED_VALUE"""),43375.99861111111)</f>
        <v>43375.99861</v>
      </c>
      <c r="D1153" s="433">
        <f>IFERROR(__xludf.DUMMYFUNCTION("""COMPUTED_VALUE"""),231.1001)</f>
        <v>231.1001</v>
      </c>
      <c r="F1153" s="434">
        <f>IFERROR(__xludf.DUMMYFUNCTION("""COMPUTED_VALUE"""),46079.99861111111)</f>
        <v>46079.99861</v>
      </c>
      <c r="G1153" s="433">
        <f>IFERROR(__xludf.DUMMYFUNCTION("""COMPUTED_VALUE"""),68623.96)</f>
        <v>68623.96</v>
      </c>
      <c r="H1153" s="434">
        <f>IFERROR(__xludf.DUMMYFUNCTION("""COMPUTED_VALUE"""),46077.99861111111)</f>
        <v>46077.99861</v>
      </c>
      <c r="I1153" s="433">
        <f>IFERROR(__xludf.DUMMYFUNCTION("""COMPUTED_VALUE"""),1855.8396)</f>
        <v>1855.8396</v>
      </c>
    </row>
    <row r="1154">
      <c r="A1154" s="434">
        <f>IFERROR(__xludf.DUMMYFUNCTION("""COMPUTED_VALUE"""),43790.99861111111)</f>
        <v>43790.99861</v>
      </c>
      <c r="B1154" s="433">
        <f>IFERROR(__xludf.DUMMYFUNCTION("""COMPUTED_VALUE"""),7624.576)</f>
        <v>7624.576</v>
      </c>
      <c r="C1154" s="434">
        <f>IFERROR(__xludf.DUMMYFUNCTION("""COMPUTED_VALUE"""),43376.99861111111)</f>
        <v>43376.99861</v>
      </c>
      <c r="D1154" s="433">
        <f>IFERROR(__xludf.DUMMYFUNCTION("""COMPUTED_VALUE"""),226.4074)</f>
        <v>226.4074</v>
      </c>
      <c r="F1154" s="434">
        <f>IFERROR(__xludf.DUMMYFUNCTION("""COMPUTED_VALUE"""),46080.99861111111)</f>
        <v>46080.99861</v>
      </c>
      <c r="G1154" s="433">
        <f>IFERROR(__xludf.DUMMYFUNCTION("""COMPUTED_VALUE"""),67762.96)</f>
        <v>67762.96</v>
      </c>
      <c r="H1154" s="434">
        <f>IFERROR(__xludf.DUMMYFUNCTION("""COMPUTED_VALUE"""),46078.99861111111)</f>
        <v>46078.99861</v>
      </c>
      <c r="I1154" s="433">
        <f>IFERROR(__xludf.DUMMYFUNCTION("""COMPUTED_VALUE"""),1852.0744)</f>
        <v>1852.0744</v>
      </c>
    </row>
    <row r="1155">
      <c r="A1155" s="434">
        <f>IFERROR(__xludf.DUMMYFUNCTION("""COMPUTED_VALUE"""),43791.99861111111)</f>
        <v>43791.99861</v>
      </c>
      <c r="B1155" s="433">
        <f>IFERROR(__xludf.DUMMYFUNCTION("""COMPUTED_VALUE"""),7290.634)</f>
        <v>7290.634</v>
      </c>
      <c r="C1155" s="434">
        <f>IFERROR(__xludf.DUMMYFUNCTION("""COMPUTED_VALUE"""),43377.99861111111)</f>
        <v>43377.99861</v>
      </c>
      <c r="D1155" s="433">
        <f>IFERROR(__xludf.DUMMYFUNCTION("""COMPUTED_VALUE"""),220.4462)</f>
        <v>220.4462</v>
      </c>
      <c r="F1155" s="434">
        <f>IFERROR(__xludf.DUMMYFUNCTION("""COMPUTED_VALUE"""),46081.99861111111)</f>
        <v>46081.99861</v>
      </c>
      <c r="G1155" s="433">
        <f>IFERROR(__xludf.DUMMYFUNCTION("""COMPUTED_VALUE"""),65696.42)</f>
        <v>65696.42</v>
      </c>
      <c r="H1155" s="434">
        <f>IFERROR(__xludf.DUMMYFUNCTION("""COMPUTED_VALUE"""),46079.99861111111)</f>
        <v>46079.99861</v>
      </c>
      <c r="I1155" s="433">
        <f>IFERROR(__xludf.DUMMYFUNCTION("""COMPUTED_VALUE"""),2056.8534)</f>
        <v>2056.8534</v>
      </c>
    </row>
    <row r="1156">
      <c r="A1156" s="434">
        <f>IFERROR(__xludf.DUMMYFUNCTION("""COMPUTED_VALUE"""),43792.99861111111)</f>
        <v>43792.99861</v>
      </c>
      <c r="B1156" s="433">
        <f>IFERROR(__xludf.DUMMYFUNCTION("""COMPUTED_VALUE"""),7333.467)</f>
        <v>7333.467</v>
      </c>
      <c r="C1156" s="434">
        <f>IFERROR(__xludf.DUMMYFUNCTION("""COMPUTED_VALUE"""),43378.99861111111)</f>
        <v>43378.99861</v>
      </c>
      <c r="D1156" s="433">
        <f>IFERROR(__xludf.DUMMYFUNCTION("""COMPUTED_VALUE"""),222.2666)</f>
        <v>222.2666</v>
      </c>
      <c r="F1156" s="434">
        <f>IFERROR(__xludf.DUMMYFUNCTION("""COMPUTED_VALUE"""),46082.99861111111)</f>
        <v>46082.99861</v>
      </c>
      <c r="G1156" s="433">
        <f>IFERROR(__xludf.DUMMYFUNCTION("""COMPUTED_VALUE"""),67356.82)</f>
        <v>67356.82</v>
      </c>
      <c r="H1156" s="434">
        <f>IFERROR(__xludf.DUMMYFUNCTION("""COMPUTED_VALUE"""),46080.99861111111)</f>
        <v>46080.99861</v>
      </c>
      <c r="I1156" s="433">
        <f>IFERROR(__xludf.DUMMYFUNCTION("""COMPUTED_VALUE"""),2027.4267)</f>
        <v>2027.4267</v>
      </c>
    </row>
    <row r="1157">
      <c r="A1157" s="434">
        <f>IFERROR(__xludf.DUMMYFUNCTION("""COMPUTED_VALUE"""),43793.99861111111)</f>
        <v>43793.99861</v>
      </c>
      <c r="B1157" s="433">
        <f>IFERROR(__xludf.DUMMYFUNCTION("""COMPUTED_VALUE"""),6919.361)</f>
        <v>6919.361</v>
      </c>
      <c r="C1157" s="434">
        <f>IFERROR(__xludf.DUMMYFUNCTION("""COMPUTED_VALUE"""),43379.99861111111)</f>
        <v>43379.99861</v>
      </c>
      <c r="D1157" s="433">
        <f>IFERROR(__xludf.DUMMYFUNCTION("""COMPUTED_VALUE"""),227.5521)</f>
        <v>227.5521</v>
      </c>
      <c r="F1157" s="434">
        <f>IFERROR(__xludf.DUMMYFUNCTION("""COMPUTED_VALUE"""),46083.99861111111)</f>
        <v>46083.99861</v>
      </c>
      <c r="G1157" s="433">
        <f>IFERROR(__xludf.DUMMYFUNCTION("""COMPUTED_VALUE"""),66798.54)</f>
        <v>66798.54</v>
      </c>
      <c r="H1157" s="434">
        <f>IFERROR(__xludf.DUMMYFUNCTION("""COMPUTED_VALUE"""),46081.99861111111)</f>
        <v>46081.99861</v>
      </c>
      <c r="I1157" s="433">
        <f>IFERROR(__xludf.DUMMYFUNCTION("""COMPUTED_VALUE"""),1929.9452)</f>
        <v>1929.9452</v>
      </c>
    </row>
    <row r="1158">
      <c r="A1158" s="434">
        <f>IFERROR(__xludf.DUMMYFUNCTION("""COMPUTED_VALUE"""),43794.99861111111)</f>
        <v>43794.99861</v>
      </c>
      <c r="B1158" s="433">
        <f>IFERROR(__xludf.DUMMYFUNCTION("""COMPUTED_VALUE"""),7135.478)</f>
        <v>7135.478</v>
      </c>
      <c r="C1158" s="434">
        <f>IFERROR(__xludf.DUMMYFUNCTION("""COMPUTED_VALUE"""),43380.99861111111)</f>
        <v>43380.99861</v>
      </c>
      <c r="D1158" s="433">
        <f>IFERROR(__xludf.DUMMYFUNCTION("""COMPUTED_VALUE"""),225.4353)</f>
        <v>225.4353</v>
      </c>
      <c r="F1158" s="434">
        <f>IFERROR(__xludf.DUMMYFUNCTION("""COMPUTED_VALUE"""),46084.99861111111)</f>
        <v>46084.99861</v>
      </c>
      <c r="G1158" s="433">
        <f>IFERROR(__xludf.DUMMYFUNCTION("""COMPUTED_VALUE"""),68141.81)</f>
        <v>68141.81</v>
      </c>
      <c r="H1158" s="434">
        <f>IFERROR(__xludf.DUMMYFUNCTION("""COMPUTED_VALUE"""),46082.99861111111)</f>
        <v>46082.99861</v>
      </c>
      <c r="I1158" s="433">
        <f>IFERROR(__xludf.DUMMYFUNCTION("""COMPUTED_VALUE"""),1964.9397)</f>
        <v>1964.9397</v>
      </c>
    </row>
    <row r="1159">
      <c r="A1159" s="434">
        <f>IFERROR(__xludf.DUMMYFUNCTION("""COMPUTED_VALUE"""),43795.99861111111)</f>
        <v>43795.99861</v>
      </c>
      <c r="B1159" s="433">
        <f>IFERROR(__xludf.DUMMYFUNCTION("""COMPUTED_VALUE"""),7170.994)</f>
        <v>7170.994</v>
      </c>
      <c r="C1159" s="434">
        <f>IFERROR(__xludf.DUMMYFUNCTION("""COMPUTED_VALUE"""),43381.99861111111)</f>
        <v>43381.99861</v>
      </c>
      <c r="D1159" s="433">
        <f>IFERROR(__xludf.DUMMYFUNCTION("""COMPUTED_VALUE"""),226.5093)</f>
        <v>226.5093</v>
      </c>
      <c r="F1159" s="434">
        <f>IFERROR(__xludf.DUMMYFUNCTION("""COMPUTED_VALUE"""),46085.99861111111)</f>
        <v>46085.99861</v>
      </c>
      <c r="G1159" s="433">
        <f>IFERROR(__xludf.DUMMYFUNCTION("""COMPUTED_VALUE"""),67842.73)</f>
        <v>67842.73</v>
      </c>
      <c r="H1159" s="434">
        <f>IFERROR(__xludf.DUMMYFUNCTION("""COMPUTED_VALUE"""),46083.99861111111)</f>
        <v>46083.99861</v>
      </c>
      <c r="I1159" s="433">
        <f>IFERROR(__xludf.DUMMYFUNCTION("""COMPUTED_VALUE"""),1939.4984)</f>
        <v>1939.4984</v>
      </c>
    </row>
    <row r="1160">
      <c r="A1160" s="434">
        <f>IFERROR(__xludf.DUMMYFUNCTION("""COMPUTED_VALUE"""),43796.99861111111)</f>
        <v>43796.99861</v>
      </c>
      <c r="B1160" s="433">
        <f>IFERROR(__xludf.DUMMYFUNCTION("""COMPUTED_VALUE"""),7530.074)</f>
        <v>7530.074</v>
      </c>
      <c r="C1160" s="434">
        <f>IFERROR(__xludf.DUMMYFUNCTION("""COMPUTED_VALUE"""),43382.99861111111)</f>
        <v>43382.99861</v>
      </c>
      <c r="D1160" s="433">
        <f>IFERROR(__xludf.DUMMYFUNCTION("""COMPUTED_VALUE"""),229.7101)</f>
        <v>229.7101</v>
      </c>
      <c r="F1160" s="434">
        <f>IFERROR(__xludf.DUMMYFUNCTION("""COMPUTED_VALUE"""),46086.99861111111)</f>
        <v>46086.99861</v>
      </c>
      <c r="G1160" s="433">
        <f>IFERROR(__xludf.DUMMYFUNCTION("""COMPUTED_VALUE"""),72847.58)</f>
        <v>72847.58</v>
      </c>
      <c r="H1160" s="434">
        <f>IFERROR(__xludf.DUMMYFUNCTION("""COMPUTED_VALUE"""),46084.99861111111)</f>
        <v>46084.99861</v>
      </c>
      <c r="I1160" s="433">
        <f>IFERROR(__xludf.DUMMYFUNCTION("""COMPUTED_VALUE"""),2027.0352)</f>
        <v>2027.0352</v>
      </c>
    </row>
    <row r="1161">
      <c r="A1161" s="434">
        <f>IFERROR(__xludf.DUMMYFUNCTION("""COMPUTED_VALUE"""),43797.99861111111)</f>
        <v>43797.99861</v>
      </c>
      <c r="B1161" s="433">
        <f>IFERROR(__xludf.DUMMYFUNCTION("""COMPUTED_VALUE"""),7439.147)</f>
        <v>7439.147</v>
      </c>
      <c r="C1161" s="434">
        <f>IFERROR(__xludf.DUMMYFUNCTION("""COMPUTED_VALUE"""),43383.99861111111)</f>
        <v>43383.99861</v>
      </c>
      <c r="D1161" s="433">
        <f>IFERROR(__xludf.DUMMYFUNCTION("""COMPUTED_VALUE"""),227.6152)</f>
        <v>227.6152</v>
      </c>
      <c r="F1161" s="434">
        <f>IFERROR(__xludf.DUMMYFUNCTION("""COMPUTED_VALUE"""),46087.99861111111)</f>
        <v>46087.99861</v>
      </c>
      <c r="G1161" s="433">
        <f>IFERROR(__xludf.DUMMYFUNCTION("""COMPUTED_VALUE"""),70602.13)</f>
        <v>70602.13</v>
      </c>
      <c r="H1161" s="434">
        <f>IFERROR(__xludf.DUMMYFUNCTION("""COMPUTED_VALUE"""),46085.99861111111)</f>
        <v>46085.99861</v>
      </c>
      <c r="I1161" s="433">
        <f>IFERROR(__xludf.DUMMYFUNCTION("""COMPUTED_VALUE"""),1982.8788)</f>
        <v>1982.8788</v>
      </c>
    </row>
    <row r="1162">
      <c r="A1162" s="434">
        <f>IFERROR(__xludf.DUMMYFUNCTION("""COMPUTED_VALUE"""),43798.99861111111)</f>
        <v>43798.99861</v>
      </c>
      <c r="B1162" s="433">
        <f>IFERROR(__xludf.DUMMYFUNCTION("""COMPUTED_VALUE"""),7771.982)</f>
        <v>7771.982</v>
      </c>
      <c r="C1162" s="434">
        <f>IFERROR(__xludf.DUMMYFUNCTION("""COMPUTED_VALUE"""),43384.99861111111)</f>
        <v>43384.99861</v>
      </c>
      <c r="D1162" s="433">
        <f>IFERROR(__xludf.DUMMYFUNCTION("""COMPUTED_VALUE"""),225.6096)</f>
        <v>225.6096</v>
      </c>
      <c r="F1162" s="434">
        <f>IFERROR(__xludf.DUMMYFUNCTION("""COMPUTED_VALUE"""),46088.99861111111)</f>
        <v>46088.99861</v>
      </c>
      <c r="G1162" s="433">
        <f>IFERROR(__xludf.DUMMYFUNCTION("""COMPUTED_VALUE"""),68099.83)</f>
        <v>68099.83</v>
      </c>
      <c r="H1162" s="434">
        <f>IFERROR(__xludf.DUMMYFUNCTION("""COMPUTED_VALUE"""),46086.99861111111)</f>
        <v>46086.99861</v>
      </c>
      <c r="I1162" s="433">
        <f>IFERROR(__xludf.DUMMYFUNCTION("""COMPUTED_VALUE"""),2128.6384)</f>
        <v>2128.6384</v>
      </c>
    </row>
    <row r="1163">
      <c r="A1163" s="434">
        <f>IFERROR(__xludf.DUMMYFUNCTION("""COMPUTED_VALUE"""),43799.99861111111)</f>
        <v>43799.99861</v>
      </c>
      <c r="B1163" s="433">
        <f>IFERROR(__xludf.DUMMYFUNCTION("""COMPUTED_VALUE"""),7573.91)</f>
        <v>7573.91</v>
      </c>
      <c r="C1163" s="434">
        <f>IFERROR(__xludf.DUMMYFUNCTION("""COMPUTED_VALUE"""),43385.99861111111)</f>
        <v>43385.99861</v>
      </c>
      <c r="D1163" s="433">
        <f>IFERROR(__xludf.DUMMYFUNCTION("""COMPUTED_VALUE"""),188.7068)</f>
        <v>188.7068</v>
      </c>
      <c r="F1163" s="434">
        <f>IFERROR(__xludf.DUMMYFUNCTION("""COMPUTED_VALUE"""),46089.99861111111)</f>
        <v>46089.99861</v>
      </c>
      <c r="G1163" s="433">
        <f>IFERROR(__xludf.DUMMYFUNCTION("""COMPUTED_VALUE"""),66641.69)</f>
        <v>66641.69</v>
      </c>
      <c r="H1163" s="434">
        <f>IFERROR(__xludf.DUMMYFUNCTION("""COMPUTED_VALUE"""),46087.99861111111)</f>
        <v>46087.99861</v>
      </c>
      <c r="I1163" s="433">
        <f>IFERROR(__xludf.DUMMYFUNCTION("""COMPUTED_VALUE"""),2072.831)</f>
        <v>2072.831</v>
      </c>
    </row>
    <row r="1164">
      <c r="A1164" s="434">
        <f>IFERROR(__xludf.DUMMYFUNCTION("""COMPUTED_VALUE"""),43800.99861111111)</f>
        <v>43800.99861</v>
      </c>
      <c r="B1164" s="433">
        <f>IFERROR(__xludf.DUMMYFUNCTION("""COMPUTED_VALUE"""),7417.492)</f>
        <v>7417.492</v>
      </c>
      <c r="C1164" s="434">
        <f>IFERROR(__xludf.DUMMYFUNCTION("""COMPUTED_VALUE"""),43386.99861111111)</f>
        <v>43386.99861</v>
      </c>
      <c r="D1164" s="433">
        <f>IFERROR(__xludf.DUMMYFUNCTION("""COMPUTED_VALUE"""),196.3639)</f>
        <v>196.3639</v>
      </c>
      <c r="F1164" s="434">
        <f>IFERROR(__xludf.DUMMYFUNCTION("""COMPUTED_VALUE"""),46090.99861111111)</f>
        <v>46090.99861</v>
      </c>
      <c r="G1164" s="433">
        <f>IFERROR(__xludf.DUMMYFUNCTION("""COMPUTED_VALUE"""),67219.71)</f>
        <v>67219.71</v>
      </c>
      <c r="H1164" s="434">
        <f>IFERROR(__xludf.DUMMYFUNCTION("""COMPUTED_VALUE"""),46088.99861111111)</f>
        <v>46088.99861</v>
      </c>
      <c r="I1164" s="433">
        <f>IFERROR(__xludf.DUMMYFUNCTION("""COMPUTED_VALUE"""),1978.5303)</f>
        <v>1978.5303</v>
      </c>
    </row>
    <row r="1165">
      <c r="A1165" s="434">
        <f>IFERROR(__xludf.DUMMYFUNCTION("""COMPUTED_VALUE"""),43801.99861111111)</f>
        <v>43801.99861</v>
      </c>
      <c r="B1165" s="433">
        <f>IFERROR(__xludf.DUMMYFUNCTION("""COMPUTED_VALUE"""),7320.275)</f>
        <v>7320.275</v>
      </c>
      <c r="C1165" s="434">
        <f>IFERROR(__xludf.DUMMYFUNCTION("""COMPUTED_VALUE"""),43387.99861111111)</f>
        <v>43387.99861</v>
      </c>
      <c r="D1165" s="433">
        <f>IFERROR(__xludf.DUMMYFUNCTION("""COMPUTED_VALUE"""),199.6913)</f>
        <v>199.6913</v>
      </c>
      <c r="F1165" s="434">
        <f>IFERROR(__xludf.DUMMYFUNCTION("""COMPUTED_VALUE"""),46091.99861111111)</f>
        <v>46091.99861</v>
      </c>
      <c r="G1165" s="433">
        <f>IFERROR(__xludf.DUMMYFUNCTION("""COMPUTED_VALUE"""),69446.6)</f>
        <v>69446.6</v>
      </c>
      <c r="H1165" s="434">
        <f>IFERROR(__xludf.DUMMYFUNCTION("""COMPUTED_VALUE"""),46089.99861111111)</f>
        <v>46089.99861</v>
      </c>
      <c r="I1165" s="433">
        <f>IFERROR(__xludf.DUMMYFUNCTION("""COMPUTED_VALUE"""),1969.2655)</f>
        <v>1969.2655</v>
      </c>
    </row>
    <row r="1166">
      <c r="A1166" s="434">
        <f>IFERROR(__xludf.DUMMYFUNCTION("""COMPUTED_VALUE"""),43802.99861111111)</f>
        <v>43802.99861</v>
      </c>
      <c r="B1166" s="433">
        <f>IFERROR(__xludf.DUMMYFUNCTION("""COMPUTED_VALUE"""),7309.502)</f>
        <v>7309.502</v>
      </c>
      <c r="C1166" s="434">
        <f>IFERROR(__xludf.DUMMYFUNCTION("""COMPUTED_VALUE"""),43388.99861111111)</f>
        <v>43388.99861</v>
      </c>
      <c r="D1166" s="433">
        <f>IFERROR(__xludf.DUMMYFUNCTION("""COMPUTED_VALUE"""),195.2705)</f>
        <v>195.2705</v>
      </c>
      <c r="F1166" s="434">
        <f>IFERROR(__xludf.DUMMYFUNCTION("""COMPUTED_VALUE"""),46092.99861111111)</f>
        <v>46092.99861</v>
      </c>
      <c r="G1166" s="433">
        <f>IFERROR(__xludf.DUMMYFUNCTION("""COMPUTED_VALUE"""),70211.68)</f>
        <v>70211.68</v>
      </c>
      <c r="H1166" s="434">
        <f>IFERROR(__xludf.DUMMYFUNCTION("""COMPUTED_VALUE"""),46090.99861111111)</f>
        <v>46090.99861</v>
      </c>
      <c r="I1166" s="433">
        <f>IFERROR(__xludf.DUMMYFUNCTION("""COMPUTED_VALUE"""),1937.1028)</f>
        <v>1937.1028</v>
      </c>
    </row>
    <row r="1167">
      <c r="A1167" s="434">
        <f>IFERROR(__xludf.DUMMYFUNCTION("""COMPUTED_VALUE"""),43803.99861111111)</f>
        <v>43803.99861</v>
      </c>
      <c r="B1167" s="433">
        <f>IFERROR(__xludf.DUMMYFUNCTION("""COMPUTED_VALUE"""),7206.325)</f>
        <v>7206.325</v>
      </c>
      <c r="C1167" s="434">
        <f>IFERROR(__xludf.DUMMYFUNCTION("""COMPUTED_VALUE"""),43389.99861111111)</f>
        <v>43389.99861</v>
      </c>
      <c r="D1167" s="433">
        <f>IFERROR(__xludf.DUMMYFUNCTION("""COMPUTED_VALUE"""),209.6281)</f>
        <v>209.6281</v>
      </c>
      <c r="F1167" s="434">
        <f>IFERROR(__xludf.DUMMYFUNCTION("""COMPUTED_VALUE"""),46093.99861111111)</f>
        <v>46093.99861</v>
      </c>
      <c r="G1167" s="433">
        <f>IFERROR(__xludf.DUMMYFUNCTION("""COMPUTED_VALUE"""),70495.54)</f>
        <v>70495.54</v>
      </c>
      <c r="H1167" s="434">
        <f>IFERROR(__xludf.DUMMYFUNCTION("""COMPUTED_VALUE"""),46091.99861111111)</f>
        <v>46091.99861</v>
      </c>
      <c r="I1167" s="433">
        <f>IFERROR(__xludf.DUMMYFUNCTION("""COMPUTED_VALUE"""),1994.3333)</f>
        <v>1994.3333</v>
      </c>
    </row>
    <row r="1168">
      <c r="A1168" s="434">
        <f>IFERROR(__xludf.DUMMYFUNCTION("""COMPUTED_VALUE"""),43804.99861111111)</f>
        <v>43804.99861</v>
      </c>
      <c r="B1168" s="433">
        <f>IFERROR(__xludf.DUMMYFUNCTION("""COMPUTED_VALUE"""),7404.594)</f>
        <v>7404.594</v>
      </c>
      <c r="C1168" s="434">
        <f>IFERROR(__xludf.DUMMYFUNCTION("""COMPUTED_VALUE"""),43390.99861111111)</f>
        <v>43390.99861</v>
      </c>
      <c r="D1168" s="433">
        <f>IFERROR(__xludf.DUMMYFUNCTION("""COMPUTED_VALUE"""),210.2173)</f>
        <v>210.2173</v>
      </c>
      <c r="F1168" s="434">
        <f>IFERROR(__xludf.DUMMYFUNCTION("""COMPUTED_VALUE"""),46094.99861111111)</f>
        <v>46094.99861</v>
      </c>
      <c r="G1168" s="433">
        <f>IFERROR(__xludf.DUMMYFUNCTION("""COMPUTED_VALUE"""),70994.01)</f>
        <v>70994.01</v>
      </c>
      <c r="H1168" s="434">
        <f>IFERROR(__xludf.DUMMYFUNCTION("""COMPUTED_VALUE"""),46092.99861111111)</f>
        <v>46092.99861</v>
      </c>
      <c r="I1168" s="433">
        <f>IFERROR(__xludf.DUMMYFUNCTION("""COMPUTED_VALUE"""),2037.1301)</f>
        <v>2037.1301</v>
      </c>
    </row>
    <row r="1169">
      <c r="A1169" s="434">
        <f>IFERROR(__xludf.DUMMYFUNCTION("""COMPUTED_VALUE"""),43805.99861111111)</f>
        <v>43805.99861</v>
      </c>
      <c r="B1169" s="433">
        <f>IFERROR(__xludf.DUMMYFUNCTION("""COMPUTED_VALUE"""),7556.27)</f>
        <v>7556.27</v>
      </c>
      <c r="C1169" s="434">
        <f>IFERROR(__xludf.DUMMYFUNCTION("""COMPUTED_VALUE"""),43391.99861111111)</f>
        <v>43391.99861</v>
      </c>
      <c r="D1169" s="433">
        <f>IFERROR(__xludf.DUMMYFUNCTION("""COMPUTED_VALUE"""),207.4039)</f>
        <v>207.4039</v>
      </c>
      <c r="H1169" s="434">
        <f>IFERROR(__xludf.DUMMYFUNCTION("""COMPUTED_VALUE"""),46093.99861111111)</f>
        <v>46093.99861</v>
      </c>
      <c r="I1169" s="433">
        <f>IFERROR(__xludf.DUMMYFUNCTION("""COMPUTED_VALUE"""),2052.3809)</f>
        <v>2052.3809</v>
      </c>
    </row>
    <row r="1170">
      <c r="A1170" s="434">
        <f>IFERROR(__xludf.DUMMYFUNCTION("""COMPUTED_VALUE"""),43806.99861111111)</f>
        <v>43806.99861</v>
      </c>
      <c r="B1170" s="433">
        <f>IFERROR(__xludf.DUMMYFUNCTION("""COMPUTED_VALUE"""),7521.311)</f>
        <v>7521.311</v>
      </c>
      <c r="C1170" s="434">
        <f>IFERROR(__xludf.DUMMYFUNCTION("""COMPUTED_VALUE"""),43392.99861111111)</f>
        <v>43392.99861</v>
      </c>
      <c r="D1170" s="433">
        <f>IFERROR(__xludf.DUMMYFUNCTION("""COMPUTED_VALUE"""),203.2567)</f>
        <v>203.2567</v>
      </c>
      <c r="H1170" s="434">
        <f>IFERROR(__xludf.DUMMYFUNCTION("""COMPUTED_VALUE"""),46094.99861111111)</f>
        <v>46094.99861</v>
      </c>
      <c r="I1170" s="433">
        <f>IFERROR(__xludf.DUMMYFUNCTION("""COMPUTED_VALUE"""),2093.362)</f>
        <v>2093.362</v>
      </c>
    </row>
    <row r="1171">
      <c r="A1171" s="434">
        <f>IFERROR(__xludf.DUMMYFUNCTION("""COMPUTED_VALUE"""),43807.99861111111)</f>
        <v>43807.99861</v>
      </c>
      <c r="B1171" s="433">
        <f>IFERROR(__xludf.DUMMYFUNCTION("""COMPUTED_VALUE"""),7542.409)</f>
        <v>7542.409</v>
      </c>
      <c r="C1171" s="434">
        <f>IFERROR(__xludf.DUMMYFUNCTION("""COMPUTED_VALUE"""),43393.99861111111)</f>
        <v>43393.99861</v>
      </c>
      <c r="D1171" s="433">
        <f>IFERROR(__xludf.DUMMYFUNCTION("""COMPUTED_VALUE"""),203.5148)</f>
        <v>203.5148</v>
      </c>
    </row>
    <row r="1172">
      <c r="A1172" s="434">
        <f>IFERROR(__xludf.DUMMYFUNCTION("""COMPUTED_VALUE"""),43808.99861111111)</f>
        <v>43808.99861</v>
      </c>
      <c r="B1172" s="433">
        <f>IFERROR(__xludf.DUMMYFUNCTION("""COMPUTED_VALUE"""),7350.122)</f>
        <v>7350.122</v>
      </c>
      <c r="C1172" s="434">
        <f>IFERROR(__xludf.DUMMYFUNCTION("""COMPUTED_VALUE"""),43394.99861111111)</f>
        <v>43394.99861</v>
      </c>
      <c r="D1172" s="433">
        <f>IFERROR(__xludf.DUMMYFUNCTION("""COMPUTED_VALUE"""),205.3905)</f>
        <v>205.3905</v>
      </c>
    </row>
    <row r="1173">
      <c r="A1173" s="434">
        <f>IFERROR(__xludf.DUMMYFUNCTION("""COMPUTED_VALUE"""),43809.99861111111)</f>
        <v>43809.99861</v>
      </c>
      <c r="B1173" s="433">
        <f>IFERROR(__xludf.DUMMYFUNCTION("""COMPUTED_VALUE"""),7228.046)</f>
        <v>7228.046</v>
      </c>
      <c r="C1173" s="434">
        <f>IFERROR(__xludf.DUMMYFUNCTION("""COMPUTED_VALUE"""),43395.99861111111)</f>
        <v>43395.99861</v>
      </c>
      <c r="D1173" s="433">
        <f>IFERROR(__xludf.DUMMYFUNCTION("""COMPUTED_VALUE"""),205.1741)</f>
        <v>205.1741</v>
      </c>
    </row>
    <row r="1174">
      <c r="A1174" s="434">
        <f>IFERROR(__xludf.DUMMYFUNCTION("""COMPUTED_VALUE"""),43810.99861111111)</f>
        <v>43810.99861</v>
      </c>
      <c r="B1174" s="433">
        <f>IFERROR(__xludf.DUMMYFUNCTION("""COMPUTED_VALUE"""),7211.062)</f>
        <v>7211.062</v>
      </c>
      <c r="C1174" s="434">
        <f>IFERROR(__xludf.DUMMYFUNCTION("""COMPUTED_VALUE"""),43396.99861111111)</f>
        <v>43396.99861</v>
      </c>
      <c r="D1174" s="433">
        <f>IFERROR(__xludf.DUMMYFUNCTION("""COMPUTED_VALUE"""),204.0165)</f>
        <v>204.0165</v>
      </c>
    </row>
    <row r="1175">
      <c r="A1175" s="434">
        <f>IFERROR(__xludf.DUMMYFUNCTION("""COMPUTED_VALUE"""),43811.99861111111)</f>
        <v>43811.99861</v>
      </c>
      <c r="B1175" s="433">
        <f>IFERROR(__xludf.DUMMYFUNCTION("""COMPUTED_VALUE"""),7198.699)</f>
        <v>7198.699</v>
      </c>
      <c r="C1175" s="434">
        <f>IFERROR(__xludf.DUMMYFUNCTION("""COMPUTED_VALUE"""),43397.99861111111)</f>
        <v>43397.99861</v>
      </c>
      <c r="D1175" s="433">
        <f>IFERROR(__xludf.DUMMYFUNCTION("""COMPUTED_VALUE"""),204.1269)</f>
        <v>204.1269</v>
      </c>
    </row>
    <row r="1176">
      <c r="A1176" s="434">
        <f>IFERROR(__xludf.DUMMYFUNCTION("""COMPUTED_VALUE"""),43812.99861111111)</f>
        <v>43812.99861</v>
      </c>
      <c r="B1176" s="433">
        <f>IFERROR(__xludf.DUMMYFUNCTION("""COMPUTED_VALUE"""),7259.227)</f>
        <v>7259.227</v>
      </c>
      <c r="C1176" s="434">
        <f>IFERROR(__xludf.DUMMYFUNCTION("""COMPUTED_VALUE"""),43398.99861111111)</f>
        <v>43398.99861</v>
      </c>
      <c r="D1176" s="433">
        <f>IFERROR(__xludf.DUMMYFUNCTION("""COMPUTED_VALUE"""),203.8679)</f>
        <v>203.8679</v>
      </c>
    </row>
    <row r="1177">
      <c r="A1177" s="434">
        <f>IFERROR(__xludf.DUMMYFUNCTION("""COMPUTED_VALUE"""),43813.99861111111)</f>
        <v>43813.99861</v>
      </c>
      <c r="B1177" s="433">
        <f>IFERROR(__xludf.DUMMYFUNCTION("""COMPUTED_VALUE"""),7079.757)</f>
        <v>7079.757</v>
      </c>
      <c r="C1177" s="434">
        <f>IFERROR(__xludf.DUMMYFUNCTION("""COMPUTED_VALUE"""),43399.99861111111)</f>
        <v>43399.99861</v>
      </c>
      <c r="D1177" s="433">
        <f>IFERROR(__xludf.DUMMYFUNCTION("""COMPUTED_VALUE"""),202.3357)</f>
        <v>202.3357</v>
      </c>
    </row>
    <row r="1178">
      <c r="A1178" s="434">
        <f>IFERROR(__xludf.DUMMYFUNCTION("""COMPUTED_VALUE"""),43814.99861111111)</f>
        <v>43814.99861</v>
      </c>
      <c r="B1178" s="433">
        <f>IFERROR(__xludf.DUMMYFUNCTION("""COMPUTED_VALUE"""),7127.171)</f>
        <v>7127.171</v>
      </c>
      <c r="C1178" s="434">
        <f>IFERROR(__xludf.DUMMYFUNCTION("""COMPUTED_VALUE"""),43400.99861111111)</f>
        <v>43400.99861</v>
      </c>
      <c r="D1178" s="433">
        <f>IFERROR(__xludf.DUMMYFUNCTION("""COMPUTED_VALUE"""),203.3562)</f>
        <v>203.3562</v>
      </c>
    </row>
    <row r="1179">
      <c r="A1179" s="434">
        <f>IFERROR(__xludf.DUMMYFUNCTION("""COMPUTED_VALUE"""),43815.99861111111)</f>
        <v>43815.99861</v>
      </c>
      <c r="B1179" s="433">
        <f>IFERROR(__xludf.DUMMYFUNCTION("""COMPUTED_VALUE"""),6896.028)</f>
        <v>6896.028</v>
      </c>
      <c r="C1179" s="434">
        <f>IFERROR(__xludf.DUMMYFUNCTION("""COMPUTED_VALUE"""),43401.99861111111)</f>
        <v>43401.99861</v>
      </c>
      <c r="D1179" s="433">
        <f>IFERROR(__xludf.DUMMYFUNCTION("""COMPUTED_VALUE"""),204.5097)</f>
        <v>204.5097</v>
      </c>
    </row>
    <row r="1180">
      <c r="A1180" s="434">
        <f>IFERROR(__xludf.DUMMYFUNCTION("""COMPUTED_VALUE"""),43816.99861111111)</f>
        <v>43816.99861</v>
      </c>
      <c r="B1180" s="433">
        <f>IFERROR(__xludf.DUMMYFUNCTION("""COMPUTED_VALUE"""),6625.686)</f>
        <v>6625.686</v>
      </c>
      <c r="C1180" s="434">
        <f>IFERROR(__xludf.DUMMYFUNCTION("""COMPUTED_VALUE"""),43402.99861111111)</f>
        <v>43402.99861</v>
      </c>
      <c r="D1180" s="433">
        <f>IFERROR(__xludf.DUMMYFUNCTION("""COMPUTED_VALUE"""),205.1738)</f>
        <v>205.1738</v>
      </c>
    </row>
    <row r="1181">
      <c r="A1181" s="434">
        <f>IFERROR(__xludf.DUMMYFUNCTION("""COMPUTED_VALUE"""),43817.99861111111)</f>
        <v>43817.99861</v>
      </c>
      <c r="B1181" s="433">
        <f>IFERROR(__xludf.DUMMYFUNCTION("""COMPUTED_VALUE"""),7293.888)</f>
        <v>7293.888</v>
      </c>
      <c r="C1181" s="434">
        <f>IFERROR(__xludf.DUMMYFUNCTION("""COMPUTED_VALUE"""),43403.99861111111)</f>
        <v>43403.99861</v>
      </c>
      <c r="D1181" s="433">
        <f>IFERROR(__xludf.DUMMYFUNCTION("""COMPUTED_VALUE"""),197.2028)</f>
        <v>197.2028</v>
      </c>
    </row>
    <row r="1182">
      <c r="A1182" s="434">
        <f>IFERROR(__xludf.DUMMYFUNCTION("""COMPUTED_VALUE"""),43818.99861111111)</f>
        <v>43818.99861</v>
      </c>
      <c r="B1182" s="433">
        <f>IFERROR(__xludf.DUMMYFUNCTION("""COMPUTED_VALUE"""),7158.255)</f>
        <v>7158.255</v>
      </c>
      <c r="C1182" s="434">
        <f>IFERROR(__xludf.DUMMYFUNCTION("""COMPUTED_VALUE"""),43404.99861111111)</f>
        <v>43404.99861</v>
      </c>
      <c r="D1182" s="433">
        <f>IFERROR(__xludf.DUMMYFUNCTION("""COMPUTED_VALUE"""),197.6494)</f>
        <v>197.6494</v>
      </c>
    </row>
    <row r="1183">
      <c r="A1183" s="434">
        <f>IFERROR(__xludf.DUMMYFUNCTION("""COMPUTED_VALUE"""),43819.99861111111)</f>
        <v>43819.99861</v>
      </c>
      <c r="B1183" s="433">
        <f>IFERROR(__xludf.DUMMYFUNCTION("""COMPUTED_VALUE"""),7204.101)</f>
        <v>7204.101</v>
      </c>
      <c r="C1183" s="434">
        <f>IFERROR(__xludf.DUMMYFUNCTION("""COMPUTED_VALUE"""),43405.99861111111)</f>
        <v>43405.99861</v>
      </c>
      <c r="D1183" s="433">
        <f>IFERROR(__xludf.DUMMYFUNCTION("""COMPUTED_VALUE"""),197.5366)</f>
        <v>197.5366</v>
      </c>
    </row>
    <row r="1184">
      <c r="A1184" s="434">
        <f>IFERROR(__xludf.DUMMYFUNCTION("""COMPUTED_VALUE"""),43820.99861111111)</f>
        <v>43820.99861</v>
      </c>
      <c r="B1184" s="433">
        <f>IFERROR(__xludf.DUMMYFUNCTION("""COMPUTED_VALUE"""),7154.57)</f>
        <v>7154.57</v>
      </c>
      <c r="C1184" s="434">
        <f>IFERROR(__xludf.DUMMYFUNCTION("""COMPUTED_VALUE"""),43406.99861111111)</f>
        <v>43406.99861</v>
      </c>
      <c r="D1184" s="433">
        <f>IFERROR(__xludf.DUMMYFUNCTION("""COMPUTED_VALUE"""),198.9817)</f>
        <v>198.9817</v>
      </c>
    </row>
    <row r="1185">
      <c r="A1185" s="434">
        <f>IFERROR(__xludf.DUMMYFUNCTION("""COMPUTED_VALUE"""),43821.99861111111)</f>
        <v>43821.99861</v>
      </c>
      <c r="B1185" s="433">
        <f>IFERROR(__xludf.DUMMYFUNCTION("""COMPUTED_VALUE"""),7519.568)</f>
        <v>7519.568</v>
      </c>
      <c r="C1185" s="434">
        <f>IFERROR(__xludf.DUMMYFUNCTION("""COMPUTED_VALUE"""),43407.99861111111)</f>
        <v>43407.99861</v>
      </c>
      <c r="D1185" s="433">
        <f>IFERROR(__xludf.DUMMYFUNCTION("""COMPUTED_VALUE"""),200.7396)</f>
        <v>200.7396</v>
      </c>
    </row>
    <row r="1186">
      <c r="A1186" s="434">
        <f>IFERROR(__xludf.DUMMYFUNCTION("""COMPUTED_VALUE"""),43822.99861111111)</f>
        <v>43822.99861</v>
      </c>
      <c r="B1186" s="433">
        <f>IFERROR(__xludf.DUMMYFUNCTION("""COMPUTED_VALUE"""),7322.984)</f>
        <v>7322.984</v>
      </c>
      <c r="C1186" s="434">
        <f>IFERROR(__xludf.DUMMYFUNCTION("""COMPUTED_VALUE"""),43408.99861111111)</f>
        <v>43408.99861</v>
      </c>
      <c r="D1186" s="433">
        <f>IFERROR(__xludf.DUMMYFUNCTION("""COMPUTED_VALUE"""),200.1578)</f>
        <v>200.1578</v>
      </c>
    </row>
    <row r="1187">
      <c r="A1187" s="434">
        <f>IFERROR(__xludf.DUMMYFUNCTION("""COMPUTED_VALUE"""),43823.99861111111)</f>
        <v>43823.99861</v>
      </c>
      <c r="B1187" s="433">
        <f>IFERROR(__xludf.DUMMYFUNCTION("""COMPUTED_VALUE"""),7260.82)</f>
        <v>7260.82</v>
      </c>
      <c r="C1187" s="434">
        <f>IFERROR(__xludf.DUMMYFUNCTION("""COMPUTED_VALUE"""),43409.99861111111)</f>
        <v>43409.99861</v>
      </c>
      <c r="D1187" s="433">
        <f>IFERROR(__xludf.DUMMYFUNCTION("""COMPUTED_VALUE"""),207.1003)</f>
        <v>207.1003</v>
      </c>
    </row>
    <row r="1188">
      <c r="A1188" s="434">
        <f>IFERROR(__xludf.DUMMYFUNCTION("""COMPUTED_VALUE"""),43824.99861111111)</f>
        <v>43824.99861</v>
      </c>
      <c r="B1188" s="433">
        <f>IFERROR(__xludf.DUMMYFUNCTION("""COMPUTED_VALUE"""),7204.073)</f>
        <v>7204.073</v>
      </c>
      <c r="C1188" s="434">
        <f>IFERROR(__xludf.DUMMYFUNCTION("""COMPUTED_VALUE"""),43410.99861111111)</f>
        <v>43410.99861</v>
      </c>
      <c r="D1188" s="433">
        <f>IFERROR(__xludf.DUMMYFUNCTION("""COMPUTED_VALUE"""),209.4744)</f>
        <v>209.4744</v>
      </c>
    </row>
    <row r="1189">
      <c r="A1189" s="434">
        <f>IFERROR(__xludf.DUMMYFUNCTION("""COMPUTED_VALUE"""),43825.99861111111)</f>
        <v>43825.99861</v>
      </c>
      <c r="B1189" s="433">
        <f>IFERROR(__xludf.DUMMYFUNCTION("""COMPUTED_VALUE"""),7204.342)</f>
        <v>7204.342</v>
      </c>
      <c r="C1189" s="434">
        <f>IFERROR(__xludf.DUMMYFUNCTION("""COMPUTED_VALUE"""),43411.99861111111)</f>
        <v>43411.99861</v>
      </c>
      <c r="D1189" s="433">
        <f>IFERROR(__xludf.DUMMYFUNCTION("""COMPUTED_VALUE"""),218.8986)</f>
        <v>218.8986</v>
      </c>
    </row>
    <row r="1190">
      <c r="A1190" s="434">
        <f>IFERROR(__xludf.DUMMYFUNCTION("""COMPUTED_VALUE"""),43826.99861111111)</f>
        <v>43826.99861</v>
      </c>
      <c r="B1190" s="433">
        <f>IFERROR(__xludf.DUMMYFUNCTION("""COMPUTED_VALUE"""),7255.551)</f>
        <v>7255.551</v>
      </c>
      <c r="C1190" s="434">
        <f>IFERROR(__xludf.DUMMYFUNCTION("""COMPUTED_VALUE"""),43412.99861111111)</f>
        <v>43412.99861</v>
      </c>
      <c r="D1190" s="433">
        <f>IFERROR(__xludf.DUMMYFUNCTION("""COMPUTED_VALUE"""),217.3272)</f>
        <v>217.3272</v>
      </c>
    </row>
    <row r="1191">
      <c r="A1191" s="434">
        <f>IFERROR(__xludf.DUMMYFUNCTION("""COMPUTED_VALUE"""),43827.99861111111)</f>
        <v>43827.99861</v>
      </c>
      <c r="B1191" s="433">
        <f>IFERROR(__xludf.DUMMYFUNCTION("""COMPUTED_VALUE"""),7312.049)</f>
        <v>7312.049</v>
      </c>
      <c r="C1191" s="434">
        <f>IFERROR(__xludf.DUMMYFUNCTION("""COMPUTED_VALUE"""),43413.99861111111)</f>
        <v>43413.99861</v>
      </c>
      <c r="D1191" s="433">
        <f>IFERROR(__xludf.DUMMYFUNCTION("""COMPUTED_VALUE"""),211.9869)</f>
        <v>211.9869</v>
      </c>
    </row>
    <row r="1192">
      <c r="A1192" s="434">
        <f>IFERROR(__xludf.DUMMYFUNCTION("""COMPUTED_VALUE"""),43828.99861111111)</f>
        <v>43828.99861</v>
      </c>
      <c r="B1192" s="433">
        <f>IFERROR(__xludf.DUMMYFUNCTION("""COMPUTED_VALUE"""),7388.7)</f>
        <v>7388.7</v>
      </c>
      <c r="C1192" s="434">
        <f>IFERROR(__xludf.DUMMYFUNCTION("""COMPUTED_VALUE"""),43414.99861111111)</f>
        <v>43414.99861</v>
      </c>
      <c r="D1192" s="433">
        <f>IFERROR(__xludf.DUMMYFUNCTION("""COMPUTED_VALUE"""),209.975)</f>
        <v>209.975</v>
      </c>
    </row>
    <row r="1193">
      <c r="A1193" s="434">
        <f>IFERROR(__xludf.DUMMYFUNCTION("""COMPUTED_VALUE"""),43829.99861111111)</f>
        <v>43829.99861</v>
      </c>
      <c r="B1193" s="433">
        <f>IFERROR(__xludf.DUMMYFUNCTION("""COMPUTED_VALUE"""),7229.292)</f>
        <v>7229.292</v>
      </c>
      <c r="C1193" s="434">
        <f>IFERROR(__xludf.DUMMYFUNCTION("""COMPUTED_VALUE"""),43415.99861111111)</f>
        <v>43415.99861</v>
      </c>
      <c r="D1193" s="433">
        <f>IFERROR(__xludf.DUMMYFUNCTION("""COMPUTED_VALUE"""),212.4786)</f>
        <v>212.4786</v>
      </c>
    </row>
    <row r="1194">
      <c r="A1194" s="434">
        <f>IFERROR(__xludf.DUMMYFUNCTION("""COMPUTED_VALUE"""),43830.99861111111)</f>
        <v>43830.99861</v>
      </c>
      <c r="B1194" s="433">
        <f>IFERROR(__xludf.DUMMYFUNCTION("""COMPUTED_VALUE"""),7174.535)</f>
        <v>7174.535</v>
      </c>
      <c r="C1194" s="434">
        <f>IFERROR(__xludf.DUMMYFUNCTION("""COMPUTED_VALUE"""),43416.99861111111)</f>
        <v>43416.99861</v>
      </c>
      <c r="D1194" s="433">
        <f>IFERROR(__xludf.DUMMYFUNCTION("""COMPUTED_VALUE"""),211.5132)</f>
        <v>211.5132</v>
      </c>
    </row>
    <row r="1195">
      <c r="A1195" s="434">
        <f>IFERROR(__xludf.DUMMYFUNCTION("""COMPUTED_VALUE"""),43831.99861111111)</f>
        <v>43831.99861</v>
      </c>
      <c r="B1195" s="433">
        <f>IFERROR(__xludf.DUMMYFUNCTION("""COMPUTED_VALUE"""),7185.444)</f>
        <v>7185.444</v>
      </c>
      <c r="C1195" s="434">
        <f>IFERROR(__xludf.DUMMYFUNCTION("""COMPUTED_VALUE"""),43417.99861111111)</f>
        <v>43417.99861</v>
      </c>
      <c r="D1195" s="433">
        <f>IFERROR(__xludf.DUMMYFUNCTION("""COMPUTED_VALUE"""),210.1489)</f>
        <v>210.1489</v>
      </c>
    </row>
    <row r="1196">
      <c r="A1196" s="434">
        <f>IFERROR(__xludf.DUMMYFUNCTION("""COMPUTED_VALUE"""),43832.99861111111)</f>
        <v>43832.99861</v>
      </c>
      <c r="B1196" s="433">
        <f>IFERROR(__xludf.DUMMYFUNCTION("""COMPUTED_VALUE"""),6957.167)</f>
        <v>6957.167</v>
      </c>
      <c r="C1196" s="434">
        <f>IFERROR(__xludf.DUMMYFUNCTION("""COMPUTED_VALUE"""),43418.99861111111)</f>
        <v>43418.99861</v>
      </c>
      <c r="D1196" s="433">
        <f>IFERROR(__xludf.DUMMYFUNCTION("""COMPUTED_VALUE"""),206.5343)</f>
        <v>206.5343</v>
      </c>
    </row>
    <row r="1197">
      <c r="A1197" s="434">
        <f>IFERROR(__xludf.DUMMYFUNCTION("""COMPUTED_VALUE"""),43833.99861111111)</f>
        <v>43833.99861</v>
      </c>
      <c r="B1197" s="433">
        <f>IFERROR(__xludf.DUMMYFUNCTION("""COMPUTED_VALUE"""),7335.04)</f>
        <v>7335.04</v>
      </c>
      <c r="C1197" s="434">
        <f>IFERROR(__xludf.DUMMYFUNCTION("""COMPUTED_VALUE"""),43419.99861111111)</f>
        <v>43419.99861</v>
      </c>
      <c r="D1197" s="433">
        <f>IFERROR(__xludf.DUMMYFUNCTION("""COMPUTED_VALUE"""),181.8993)</f>
        <v>181.8993</v>
      </c>
    </row>
    <row r="1198">
      <c r="A1198" s="434">
        <f>IFERROR(__xludf.DUMMYFUNCTION("""COMPUTED_VALUE"""),43834.99861111111)</f>
        <v>43834.99861</v>
      </c>
      <c r="B1198" s="433">
        <f>IFERROR(__xludf.DUMMYFUNCTION("""COMPUTED_VALUE"""),7355.388)</f>
        <v>7355.388</v>
      </c>
      <c r="C1198" s="434">
        <f>IFERROR(__xludf.DUMMYFUNCTION("""COMPUTED_VALUE"""),43420.99861111111)</f>
        <v>43420.99861</v>
      </c>
      <c r="D1198" s="433">
        <f>IFERROR(__xludf.DUMMYFUNCTION("""COMPUTED_VALUE"""),180.8646)</f>
        <v>180.8646</v>
      </c>
    </row>
    <row r="1199">
      <c r="A1199" s="434">
        <f>IFERROR(__xludf.DUMMYFUNCTION("""COMPUTED_VALUE"""),43835.99861111111)</f>
        <v>43835.99861</v>
      </c>
      <c r="B1199" s="433">
        <f>IFERROR(__xludf.DUMMYFUNCTION("""COMPUTED_VALUE"""),7353.388)</f>
        <v>7353.388</v>
      </c>
      <c r="C1199" s="434">
        <f>IFERROR(__xludf.DUMMYFUNCTION("""COMPUTED_VALUE"""),43421.99861111111)</f>
        <v>43421.99861</v>
      </c>
      <c r="D1199" s="433">
        <f>IFERROR(__xludf.DUMMYFUNCTION("""COMPUTED_VALUE"""),175.3603)</f>
        <v>175.3603</v>
      </c>
    </row>
    <row r="1200">
      <c r="A1200" s="434">
        <f>IFERROR(__xludf.DUMMYFUNCTION("""COMPUTED_VALUE"""),43836.99861111111)</f>
        <v>43836.99861</v>
      </c>
      <c r="B1200" s="433">
        <f>IFERROR(__xludf.DUMMYFUNCTION("""COMPUTED_VALUE"""),7760.68)</f>
        <v>7760.68</v>
      </c>
      <c r="C1200" s="434">
        <f>IFERROR(__xludf.DUMMYFUNCTION("""COMPUTED_VALUE"""),43422.99861111111)</f>
        <v>43422.99861</v>
      </c>
      <c r="D1200" s="433">
        <f>IFERROR(__xludf.DUMMYFUNCTION("""COMPUTED_VALUE"""),174.1752)</f>
        <v>174.1752</v>
      </c>
    </row>
    <row r="1201">
      <c r="A1201" s="434">
        <f>IFERROR(__xludf.DUMMYFUNCTION("""COMPUTED_VALUE"""),43837.99861111111)</f>
        <v>43837.99861</v>
      </c>
      <c r="B1201" s="433">
        <f>IFERROR(__xludf.DUMMYFUNCTION("""COMPUTED_VALUE"""),8158.987)</f>
        <v>8158.987</v>
      </c>
      <c r="C1201" s="434">
        <f>IFERROR(__xludf.DUMMYFUNCTION("""COMPUTED_VALUE"""),43423.99861111111)</f>
        <v>43423.99861</v>
      </c>
      <c r="D1201" s="433">
        <f>IFERROR(__xludf.DUMMYFUNCTION("""COMPUTED_VALUE"""),177.1795)</f>
        <v>177.1795</v>
      </c>
    </row>
    <row r="1202">
      <c r="A1202" s="434">
        <f>IFERROR(__xludf.DUMMYFUNCTION("""COMPUTED_VALUE"""),43838.99861111111)</f>
        <v>43838.99861</v>
      </c>
      <c r="B1202" s="433">
        <f>IFERROR(__xludf.DUMMYFUNCTION("""COMPUTED_VALUE"""),8043.438)</f>
        <v>8043.438</v>
      </c>
      <c r="C1202" s="434">
        <f>IFERROR(__xludf.DUMMYFUNCTION("""COMPUTED_VALUE"""),43424.99861111111)</f>
        <v>43424.99861</v>
      </c>
      <c r="D1202" s="433">
        <f>IFERROR(__xludf.DUMMYFUNCTION("""COMPUTED_VALUE"""),148.8107)</f>
        <v>148.8107</v>
      </c>
    </row>
    <row r="1203">
      <c r="A1203" s="434">
        <f>IFERROR(__xludf.DUMMYFUNCTION("""COMPUTED_VALUE"""),43839.99861111111)</f>
        <v>43839.99861</v>
      </c>
      <c r="B1203" s="433">
        <f>IFERROR(__xludf.DUMMYFUNCTION("""COMPUTED_VALUE"""),7815.659)</f>
        <v>7815.659</v>
      </c>
      <c r="C1203" s="434">
        <f>IFERROR(__xludf.DUMMYFUNCTION("""COMPUTED_VALUE"""),43425.99861111111)</f>
        <v>43425.99861</v>
      </c>
      <c r="D1203" s="433">
        <f>IFERROR(__xludf.DUMMYFUNCTION("""COMPUTED_VALUE"""),131.1422)</f>
        <v>131.1422</v>
      </c>
    </row>
    <row r="1204">
      <c r="A1204" s="434">
        <f>IFERROR(__xludf.DUMMYFUNCTION("""COMPUTED_VALUE"""),43840.99861111111)</f>
        <v>43840.99861</v>
      </c>
      <c r="B1204" s="433">
        <f>IFERROR(__xludf.DUMMYFUNCTION("""COMPUTED_VALUE"""),8189.217)</f>
        <v>8189.217</v>
      </c>
      <c r="C1204" s="434">
        <f>IFERROR(__xludf.DUMMYFUNCTION("""COMPUTED_VALUE"""),43426.99861111111)</f>
        <v>43426.99861</v>
      </c>
      <c r="D1204" s="433">
        <f>IFERROR(__xludf.DUMMYFUNCTION("""COMPUTED_VALUE"""),136.811)</f>
        <v>136.811</v>
      </c>
    </row>
    <row r="1205">
      <c r="A1205" s="434">
        <f>IFERROR(__xludf.DUMMYFUNCTION("""COMPUTED_VALUE"""),43841.99861111111)</f>
        <v>43841.99861</v>
      </c>
      <c r="B1205" s="433">
        <f>IFERROR(__xludf.DUMMYFUNCTION("""COMPUTED_VALUE"""),8020.982)</f>
        <v>8020.982</v>
      </c>
      <c r="C1205" s="434">
        <f>IFERROR(__xludf.DUMMYFUNCTION("""COMPUTED_VALUE"""),43427.99861111111)</f>
        <v>43427.99861</v>
      </c>
      <c r="D1205" s="433">
        <f>IFERROR(__xludf.DUMMYFUNCTION("""COMPUTED_VALUE"""),126.4192)</f>
        <v>126.4192</v>
      </c>
    </row>
    <row r="1206">
      <c r="A1206" s="434">
        <f>IFERROR(__xludf.DUMMYFUNCTION("""COMPUTED_VALUE"""),43842.99861111111)</f>
        <v>43842.99861</v>
      </c>
      <c r="B1206" s="433">
        <f>IFERROR(__xludf.DUMMYFUNCTION("""COMPUTED_VALUE"""),8179.694)</f>
        <v>8179.694</v>
      </c>
      <c r="C1206" s="434">
        <f>IFERROR(__xludf.DUMMYFUNCTION("""COMPUTED_VALUE"""),43428.99861111111)</f>
        <v>43428.99861</v>
      </c>
      <c r="D1206" s="433">
        <f>IFERROR(__xludf.DUMMYFUNCTION("""COMPUTED_VALUE"""),123.3045)</f>
        <v>123.3045</v>
      </c>
    </row>
    <row r="1207">
      <c r="A1207" s="434">
        <f>IFERROR(__xludf.DUMMYFUNCTION("""COMPUTED_VALUE"""),43843.99861111111)</f>
        <v>43843.99861</v>
      </c>
      <c r="B1207" s="433">
        <f>IFERROR(__xludf.DUMMYFUNCTION("""COMPUTED_VALUE"""),8105.678)</f>
        <v>8105.678</v>
      </c>
      <c r="C1207" s="434">
        <f>IFERROR(__xludf.DUMMYFUNCTION("""COMPUTED_VALUE"""),43429.99861111111)</f>
        <v>43429.99861</v>
      </c>
      <c r="D1207" s="433">
        <f>IFERROR(__xludf.DUMMYFUNCTION("""COMPUTED_VALUE"""),113.1265)</f>
        <v>113.1265</v>
      </c>
    </row>
    <row r="1208">
      <c r="A1208" s="434">
        <f>IFERROR(__xludf.DUMMYFUNCTION("""COMPUTED_VALUE"""),43844.99861111111)</f>
        <v>43844.99861</v>
      </c>
      <c r="B1208" s="433">
        <f>IFERROR(__xludf.DUMMYFUNCTION("""COMPUTED_VALUE"""),8814.651)</f>
        <v>8814.651</v>
      </c>
      <c r="C1208" s="434">
        <f>IFERROR(__xludf.DUMMYFUNCTION("""COMPUTED_VALUE"""),43430.99861111111)</f>
        <v>43430.99861</v>
      </c>
      <c r="D1208" s="433">
        <f>IFERROR(__xludf.DUMMYFUNCTION("""COMPUTED_VALUE"""),116.3432)</f>
        <v>116.3432</v>
      </c>
    </row>
    <row r="1209">
      <c r="A1209" s="434">
        <f>IFERROR(__xludf.DUMMYFUNCTION("""COMPUTED_VALUE"""),43845.99861111111)</f>
        <v>43845.99861</v>
      </c>
      <c r="B1209" s="433">
        <f>IFERROR(__xludf.DUMMYFUNCTION("""COMPUTED_VALUE"""),8809.514)</f>
        <v>8809.514</v>
      </c>
      <c r="C1209" s="434">
        <f>IFERROR(__xludf.DUMMYFUNCTION("""COMPUTED_VALUE"""),43431.99861111111)</f>
        <v>43431.99861</v>
      </c>
      <c r="D1209" s="433">
        <f>IFERROR(__xludf.DUMMYFUNCTION("""COMPUTED_VALUE"""),107.9129)</f>
        <v>107.9129</v>
      </c>
    </row>
    <row r="1210">
      <c r="A1210" s="434">
        <f>IFERROR(__xludf.DUMMYFUNCTION("""COMPUTED_VALUE"""),43846.99861111111)</f>
        <v>43846.99861</v>
      </c>
      <c r="B1210" s="433">
        <f>IFERROR(__xludf.DUMMYFUNCTION("""COMPUTED_VALUE"""),8716.882)</f>
        <v>8716.882</v>
      </c>
      <c r="C1210" s="434">
        <f>IFERROR(__xludf.DUMMYFUNCTION("""COMPUTED_VALUE"""),43432.99861111111)</f>
        <v>43432.99861</v>
      </c>
      <c r="D1210" s="433">
        <f>IFERROR(__xludf.DUMMYFUNCTION("""COMPUTED_VALUE"""),110.1977)</f>
        <v>110.1977</v>
      </c>
    </row>
    <row r="1211">
      <c r="A1211" s="434">
        <f>IFERROR(__xludf.DUMMYFUNCTION("""COMPUTED_VALUE"""),43847.99861111111)</f>
        <v>43847.99861</v>
      </c>
      <c r="B1211" s="433">
        <f>IFERROR(__xludf.DUMMYFUNCTION("""COMPUTED_VALUE"""),8893.163)</f>
        <v>8893.163</v>
      </c>
      <c r="C1211" s="434">
        <f>IFERROR(__xludf.DUMMYFUNCTION("""COMPUTED_VALUE"""),43433.99861111111)</f>
        <v>43433.99861</v>
      </c>
      <c r="D1211" s="433">
        <f>IFERROR(__xludf.DUMMYFUNCTION("""COMPUTED_VALUE"""),122.7215)</f>
        <v>122.7215</v>
      </c>
    </row>
    <row r="1212">
      <c r="A1212" s="434">
        <f>IFERROR(__xludf.DUMMYFUNCTION("""COMPUTED_VALUE"""),43848.99861111111)</f>
        <v>43848.99861</v>
      </c>
      <c r="B1212" s="433">
        <f>IFERROR(__xludf.DUMMYFUNCTION("""COMPUTED_VALUE"""),8910.659)</f>
        <v>8910.659</v>
      </c>
      <c r="C1212" s="434">
        <f>IFERROR(__xludf.DUMMYFUNCTION("""COMPUTED_VALUE"""),43434.99861111111)</f>
        <v>43434.99861</v>
      </c>
      <c r="D1212" s="433">
        <f>IFERROR(__xludf.DUMMYFUNCTION("""COMPUTED_VALUE"""),117.7281)</f>
        <v>117.7281</v>
      </c>
    </row>
    <row r="1213">
      <c r="A1213" s="434">
        <f>IFERROR(__xludf.DUMMYFUNCTION("""COMPUTED_VALUE"""),43849.99861111111)</f>
        <v>43849.99861</v>
      </c>
      <c r="B1213" s="433">
        <f>IFERROR(__xludf.DUMMYFUNCTION("""COMPUTED_VALUE"""),8695.518)</f>
        <v>8695.518</v>
      </c>
      <c r="C1213" s="434">
        <f>IFERROR(__xludf.DUMMYFUNCTION("""COMPUTED_VALUE"""),43435.99861111111)</f>
        <v>43435.99861</v>
      </c>
      <c r="D1213" s="433">
        <f>IFERROR(__xludf.DUMMYFUNCTION("""COMPUTED_VALUE"""),113.3978)</f>
        <v>113.3978</v>
      </c>
    </row>
    <row r="1214">
      <c r="A1214" s="434">
        <f>IFERROR(__xludf.DUMMYFUNCTION("""COMPUTED_VALUE"""),43850.99861111111)</f>
        <v>43850.99861</v>
      </c>
      <c r="B1214" s="433">
        <f>IFERROR(__xludf.DUMMYFUNCTION("""COMPUTED_VALUE"""),8632.108)</f>
        <v>8632.108</v>
      </c>
      <c r="C1214" s="434">
        <f>IFERROR(__xludf.DUMMYFUNCTION("""COMPUTED_VALUE"""),43436.99861111111)</f>
        <v>43436.99861</v>
      </c>
      <c r="D1214" s="433">
        <f>IFERROR(__xludf.DUMMYFUNCTION("""COMPUTED_VALUE"""),118.2682)</f>
        <v>118.2682</v>
      </c>
    </row>
    <row r="1215">
      <c r="A1215" s="434">
        <f>IFERROR(__xludf.DUMMYFUNCTION("""COMPUTED_VALUE"""),43851.99861111111)</f>
        <v>43851.99861</v>
      </c>
      <c r="B1215" s="433">
        <f>IFERROR(__xludf.DUMMYFUNCTION("""COMPUTED_VALUE"""),8726.09)</f>
        <v>8726.09</v>
      </c>
      <c r="C1215" s="434">
        <f>IFERROR(__xludf.DUMMYFUNCTION("""COMPUTED_VALUE"""),43437.99861111111)</f>
        <v>43437.99861</v>
      </c>
      <c r="D1215" s="433">
        <f>IFERROR(__xludf.DUMMYFUNCTION("""COMPUTED_VALUE"""),116.3788)</f>
        <v>116.3788</v>
      </c>
    </row>
    <row r="1216">
      <c r="A1216" s="434">
        <f>IFERROR(__xludf.DUMMYFUNCTION("""COMPUTED_VALUE"""),43852.99861111111)</f>
        <v>43852.99861</v>
      </c>
      <c r="B1216" s="433">
        <f>IFERROR(__xludf.DUMMYFUNCTION("""COMPUTED_VALUE"""),8658.842)</f>
        <v>8658.842</v>
      </c>
      <c r="C1216" s="434">
        <f>IFERROR(__xludf.DUMMYFUNCTION("""COMPUTED_VALUE"""),43438.99861111111)</f>
        <v>43438.99861</v>
      </c>
      <c r="D1216" s="433">
        <f>IFERROR(__xludf.DUMMYFUNCTION("""COMPUTED_VALUE"""),108.8032)</f>
        <v>108.8032</v>
      </c>
    </row>
    <row r="1217">
      <c r="A1217" s="434">
        <f>IFERROR(__xludf.DUMMYFUNCTION("""COMPUTED_VALUE"""),43853.99861111111)</f>
        <v>43853.99861</v>
      </c>
      <c r="B1217" s="433">
        <f>IFERROR(__xludf.DUMMYFUNCTION("""COMPUTED_VALUE"""),8382.628)</f>
        <v>8382.628</v>
      </c>
      <c r="C1217" s="434">
        <f>IFERROR(__xludf.DUMMYFUNCTION("""COMPUTED_VALUE"""),43439.99861111111)</f>
        <v>43439.99861</v>
      </c>
      <c r="D1217" s="433">
        <f>IFERROR(__xludf.DUMMYFUNCTION("""COMPUTED_VALUE"""),110.3355)</f>
        <v>110.3355</v>
      </c>
    </row>
    <row r="1218">
      <c r="A1218" s="434">
        <f>IFERROR(__xludf.DUMMYFUNCTION("""COMPUTED_VALUE"""),43854.99861111111)</f>
        <v>43854.99861</v>
      </c>
      <c r="B1218" s="433">
        <f>IFERROR(__xludf.DUMMYFUNCTION("""COMPUTED_VALUE"""),8429.902)</f>
        <v>8429.902</v>
      </c>
      <c r="C1218" s="434">
        <f>IFERROR(__xludf.DUMMYFUNCTION("""COMPUTED_VALUE"""),43440.99861111111)</f>
        <v>43440.99861</v>
      </c>
      <c r="D1218" s="433">
        <f>IFERROR(__xludf.DUMMYFUNCTION("""COMPUTED_VALUE"""),102.4506)</f>
        <v>102.4506</v>
      </c>
    </row>
    <row r="1219">
      <c r="A1219" s="434">
        <f>IFERROR(__xludf.DUMMYFUNCTION("""COMPUTED_VALUE"""),43855.99861111111)</f>
        <v>43855.99861</v>
      </c>
      <c r="B1219" s="433">
        <f>IFERROR(__xludf.DUMMYFUNCTION("""COMPUTED_VALUE"""),8337.552)</f>
        <v>8337.552</v>
      </c>
      <c r="C1219" s="434">
        <f>IFERROR(__xludf.DUMMYFUNCTION("""COMPUTED_VALUE"""),43441.99861111111)</f>
        <v>43441.99861</v>
      </c>
      <c r="D1219" s="433">
        <f>IFERROR(__xludf.DUMMYFUNCTION("""COMPUTED_VALUE"""),91.6498)</f>
        <v>91.6498</v>
      </c>
    </row>
    <row r="1220">
      <c r="A1220" s="434">
        <f>IFERROR(__xludf.DUMMYFUNCTION("""COMPUTED_VALUE"""),43856.99861111111)</f>
        <v>43856.99861</v>
      </c>
      <c r="B1220" s="433">
        <f>IFERROR(__xludf.DUMMYFUNCTION("""COMPUTED_VALUE"""),8596.776)</f>
        <v>8596.776</v>
      </c>
      <c r="C1220" s="434">
        <f>IFERROR(__xludf.DUMMYFUNCTION("""COMPUTED_VALUE"""),43442.99861111111)</f>
        <v>43442.99861</v>
      </c>
      <c r="D1220" s="433">
        <f>IFERROR(__xludf.DUMMYFUNCTION("""COMPUTED_VALUE"""),93.4101)</f>
        <v>93.4101</v>
      </c>
    </row>
    <row r="1221">
      <c r="A1221" s="434">
        <f>IFERROR(__xludf.DUMMYFUNCTION("""COMPUTED_VALUE"""),43857.99861111111)</f>
        <v>43857.99861</v>
      </c>
      <c r="B1221" s="433">
        <f>IFERROR(__xludf.DUMMYFUNCTION("""COMPUTED_VALUE"""),8897.197)</f>
        <v>8897.197</v>
      </c>
      <c r="C1221" s="434">
        <f>IFERROR(__xludf.DUMMYFUNCTION("""COMPUTED_VALUE"""),43443.99861111111)</f>
        <v>43443.99861</v>
      </c>
      <c r="D1221" s="433">
        <f>IFERROR(__xludf.DUMMYFUNCTION("""COMPUTED_VALUE"""),92.0354)</f>
        <v>92.0354</v>
      </c>
    </row>
    <row r="1222">
      <c r="A1222" s="434">
        <f>IFERROR(__xludf.DUMMYFUNCTION("""COMPUTED_VALUE"""),43858.99861111111)</f>
        <v>43858.99861</v>
      </c>
      <c r="B1222" s="433">
        <f>IFERROR(__xludf.DUMMYFUNCTION("""COMPUTED_VALUE"""),9386.535)</f>
        <v>9386.535</v>
      </c>
      <c r="C1222" s="434">
        <f>IFERROR(__xludf.DUMMYFUNCTION("""COMPUTED_VALUE"""),43444.99861111111)</f>
        <v>43444.99861</v>
      </c>
      <c r="D1222" s="433">
        <f>IFERROR(__xludf.DUMMYFUNCTION("""COMPUTED_VALUE"""),94.9922)</f>
        <v>94.9922</v>
      </c>
    </row>
    <row r="1223">
      <c r="A1223" s="434">
        <f>IFERROR(__xludf.DUMMYFUNCTION("""COMPUTED_VALUE"""),43859.99861111111)</f>
        <v>43859.99861</v>
      </c>
      <c r="B1223" s="433">
        <f>IFERROR(__xludf.DUMMYFUNCTION("""COMPUTED_VALUE"""),9287.392)</f>
        <v>9287.392</v>
      </c>
      <c r="C1223" s="434">
        <f>IFERROR(__xludf.DUMMYFUNCTION("""COMPUTED_VALUE"""),43445.99861111111)</f>
        <v>43445.99861</v>
      </c>
      <c r="D1223" s="433">
        <f>IFERROR(__xludf.DUMMYFUNCTION("""COMPUTED_VALUE"""),91.5789)</f>
        <v>91.5789</v>
      </c>
    </row>
    <row r="1224">
      <c r="A1224" s="434">
        <f>IFERROR(__xludf.DUMMYFUNCTION("""COMPUTED_VALUE"""),43860.99861111111)</f>
        <v>43860.99861</v>
      </c>
      <c r="B1224" s="433">
        <f>IFERROR(__xludf.DUMMYFUNCTION("""COMPUTED_VALUE"""),9502.2)</f>
        <v>9502.2</v>
      </c>
      <c r="C1224" s="434">
        <f>IFERROR(__xludf.DUMMYFUNCTION("""COMPUTED_VALUE"""),43446.99861111111)</f>
        <v>43446.99861</v>
      </c>
      <c r="D1224" s="433">
        <f>IFERROR(__xludf.DUMMYFUNCTION("""COMPUTED_VALUE"""),88.6107)</f>
        <v>88.6107</v>
      </c>
    </row>
    <row r="1225">
      <c r="A1225" s="434">
        <f>IFERROR(__xludf.DUMMYFUNCTION("""COMPUTED_VALUE"""),43861.99861111111)</f>
        <v>43861.99861</v>
      </c>
      <c r="B1225" s="433">
        <f>IFERROR(__xludf.DUMMYFUNCTION("""COMPUTED_VALUE"""),9338.332)</f>
        <v>9338.332</v>
      </c>
      <c r="C1225" s="434">
        <f>IFERROR(__xludf.DUMMYFUNCTION("""COMPUTED_VALUE"""),43447.99861111111)</f>
        <v>43447.99861</v>
      </c>
      <c r="D1225" s="433">
        <f>IFERROR(__xludf.DUMMYFUNCTION("""COMPUTED_VALUE"""),90.6552)</f>
        <v>90.6552</v>
      </c>
    </row>
    <row r="1226">
      <c r="A1226" s="434">
        <f>IFERROR(__xludf.DUMMYFUNCTION("""COMPUTED_VALUE"""),43862.99861111111)</f>
        <v>43862.99861</v>
      </c>
      <c r="B1226" s="433">
        <f>IFERROR(__xludf.DUMMYFUNCTION("""COMPUTED_VALUE"""),9383.33)</f>
        <v>9383.33</v>
      </c>
      <c r="C1226" s="434">
        <f>IFERROR(__xludf.DUMMYFUNCTION("""COMPUTED_VALUE"""),43448.99861111111)</f>
        <v>43448.99861</v>
      </c>
      <c r="D1226" s="433">
        <f>IFERROR(__xludf.DUMMYFUNCTION("""COMPUTED_VALUE"""),86.6304)</f>
        <v>86.6304</v>
      </c>
    </row>
    <row r="1227">
      <c r="A1227" s="434">
        <f>IFERROR(__xludf.DUMMYFUNCTION("""COMPUTED_VALUE"""),43863.99861111111)</f>
        <v>43863.99861</v>
      </c>
      <c r="B1227" s="433">
        <f>IFERROR(__xludf.DUMMYFUNCTION("""COMPUTED_VALUE"""),9333.018)</f>
        <v>9333.018</v>
      </c>
      <c r="C1227" s="434">
        <f>IFERROR(__xludf.DUMMYFUNCTION("""COMPUTED_VALUE"""),43449.99861111111)</f>
        <v>43449.99861</v>
      </c>
      <c r="D1227" s="433">
        <f>IFERROR(__xludf.DUMMYFUNCTION("""COMPUTED_VALUE"""),84.2797)</f>
        <v>84.2797</v>
      </c>
    </row>
    <row r="1228">
      <c r="A1228" s="434">
        <f>IFERROR(__xludf.DUMMYFUNCTION("""COMPUTED_VALUE"""),43864.99861111111)</f>
        <v>43864.99861</v>
      </c>
      <c r="B1228" s="433">
        <f>IFERROR(__xludf.DUMMYFUNCTION("""COMPUTED_VALUE"""),9289.201)</f>
        <v>9289.201</v>
      </c>
      <c r="C1228" s="434">
        <f>IFERROR(__xludf.DUMMYFUNCTION("""COMPUTED_VALUE"""),43450.99861111111)</f>
        <v>43450.99861</v>
      </c>
      <c r="D1228" s="433">
        <f>IFERROR(__xludf.DUMMYFUNCTION("""COMPUTED_VALUE"""),84.4694)</f>
        <v>84.4694</v>
      </c>
    </row>
    <row r="1229">
      <c r="A1229" s="434">
        <f>IFERROR(__xludf.DUMMYFUNCTION("""COMPUTED_VALUE"""),43865.99861111111)</f>
        <v>43865.99861</v>
      </c>
      <c r="B1229" s="433">
        <f>IFERROR(__xludf.DUMMYFUNCTION("""COMPUTED_VALUE"""),9172.433)</f>
        <v>9172.433</v>
      </c>
      <c r="C1229" s="434">
        <f>IFERROR(__xludf.DUMMYFUNCTION("""COMPUTED_VALUE"""),43451.99861111111)</f>
        <v>43451.99861</v>
      </c>
      <c r="D1229" s="433">
        <f>IFERROR(__xludf.DUMMYFUNCTION("""COMPUTED_VALUE"""),85.3821)</f>
        <v>85.3821</v>
      </c>
    </row>
    <row r="1230">
      <c r="A1230" s="434">
        <f>IFERROR(__xludf.DUMMYFUNCTION("""COMPUTED_VALUE"""),43866.99861111111)</f>
        <v>43866.99861</v>
      </c>
      <c r="B1230" s="433">
        <f>IFERROR(__xludf.DUMMYFUNCTION("""COMPUTED_VALUE"""),9610.705)</f>
        <v>9610.705</v>
      </c>
      <c r="C1230" s="434">
        <f>IFERROR(__xludf.DUMMYFUNCTION("""COMPUTED_VALUE"""),43452.99861111111)</f>
        <v>43452.99861</v>
      </c>
      <c r="D1230" s="433">
        <f>IFERROR(__xludf.DUMMYFUNCTION("""COMPUTED_VALUE"""),95.108)</f>
        <v>95.108</v>
      </c>
    </row>
    <row r="1231">
      <c r="A1231" s="434">
        <f>IFERROR(__xludf.DUMMYFUNCTION("""COMPUTED_VALUE"""),43867.99861111111)</f>
        <v>43867.99861</v>
      </c>
      <c r="B1231" s="433">
        <f>IFERROR(__xludf.DUMMYFUNCTION("""COMPUTED_VALUE"""),9756.318)</f>
        <v>9756.318</v>
      </c>
      <c r="C1231" s="434">
        <f>IFERROR(__xludf.DUMMYFUNCTION("""COMPUTED_VALUE"""),43453.99861111111)</f>
        <v>43453.99861</v>
      </c>
      <c r="D1231" s="433">
        <f>IFERROR(__xludf.DUMMYFUNCTION("""COMPUTED_VALUE"""),101.6838)</f>
        <v>101.6838</v>
      </c>
    </row>
    <row r="1232">
      <c r="A1232" s="434">
        <f>IFERROR(__xludf.DUMMYFUNCTION("""COMPUTED_VALUE"""),43868.99861111111)</f>
        <v>43868.99861</v>
      </c>
      <c r="B1232" s="433">
        <f>IFERROR(__xludf.DUMMYFUNCTION("""COMPUTED_VALUE"""),9801.729)</f>
        <v>9801.729</v>
      </c>
      <c r="C1232" s="434">
        <f>IFERROR(__xludf.DUMMYFUNCTION("""COMPUTED_VALUE"""),43454.99861111111)</f>
        <v>43454.99861</v>
      </c>
      <c r="D1232" s="433">
        <f>IFERROR(__xludf.DUMMYFUNCTION("""COMPUTED_VALUE"""),101.0904)</f>
        <v>101.0904</v>
      </c>
    </row>
    <row r="1233">
      <c r="A1233" s="434">
        <f>IFERROR(__xludf.DUMMYFUNCTION("""COMPUTED_VALUE"""),43869.99861111111)</f>
        <v>43869.99861</v>
      </c>
      <c r="B1233" s="433">
        <f>IFERROR(__xludf.DUMMYFUNCTION("""COMPUTED_VALUE"""),9895.129)</f>
        <v>9895.129</v>
      </c>
      <c r="C1233" s="434">
        <f>IFERROR(__xludf.DUMMYFUNCTION("""COMPUTED_VALUE"""),43455.99861111111)</f>
        <v>43455.99861</v>
      </c>
      <c r="D1233" s="433">
        <f>IFERROR(__xludf.DUMMYFUNCTION("""COMPUTED_VALUE"""),115.8354)</f>
        <v>115.8354</v>
      </c>
    </row>
    <row r="1234">
      <c r="A1234" s="434">
        <f>IFERROR(__xludf.DUMMYFUNCTION("""COMPUTED_VALUE"""),43870.99861111111)</f>
        <v>43870.99861</v>
      </c>
      <c r="B1234" s="433">
        <f>IFERROR(__xludf.DUMMYFUNCTION("""COMPUTED_VALUE"""),10156.21)</f>
        <v>10156.21</v>
      </c>
      <c r="C1234" s="434">
        <f>IFERROR(__xludf.DUMMYFUNCTION("""COMPUTED_VALUE"""),43456.99861111111)</f>
        <v>43456.99861</v>
      </c>
      <c r="D1234" s="433">
        <f>IFERROR(__xludf.DUMMYFUNCTION("""COMPUTED_VALUE"""),109.4559)</f>
        <v>109.4559</v>
      </c>
    </row>
    <row r="1235">
      <c r="A1235" s="434">
        <f>IFERROR(__xludf.DUMMYFUNCTION("""COMPUTED_VALUE"""),43871.99861111111)</f>
        <v>43871.99861</v>
      </c>
      <c r="B1235" s="433">
        <f>IFERROR(__xludf.DUMMYFUNCTION("""COMPUTED_VALUE"""),9852.876)</f>
        <v>9852.876</v>
      </c>
      <c r="C1235" s="434">
        <f>IFERROR(__xludf.DUMMYFUNCTION("""COMPUTED_VALUE"""),43457.99861111111)</f>
        <v>43457.99861</v>
      </c>
      <c r="D1235" s="433">
        <f>IFERROR(__xludf.DUMMYFUNCTION("""COMPUTED_VALUE"""),117.2739)</f>
        <v>117.2739</v>
      </c>
    </row>
    <row r="1236">
      <c r="A1236" s="434">
        <f>IFERROR(__xludf.DUMMYFUNCTION("""COMPUTED_VALUE"""),43872.99861111111)</f>
        <v>43872.99861</v>
      </c>
      <c r="B1236" s="433">
        <f>IFERROR(__xludf.DUMMYFUNCTION("""COMPUTED_VALUE"""),10263.26)</f>
        <v>10263.26</v>
      </c>
      <c r="C1236" s="434">
        <f>IFERROR(__xludf.DUMMYFUNCTION("""COMPUTED_VALUE"""),43458.99861111111)</f>
        <v>43458.99861</v>
      </c>
      <c r="D1236" s="433">
        <f>IFERROR(__xludf.DUMMYFUNCTION("""COMPUTED_VALUE"""),130.6417)</f>
        <v>130.6417</v>
      </c>
    </row>
    <row r="1237">
      <c r="A1237" s="434">
        <f>IFERROR(__xludf.DUMMYFUNCTION("""COMPUTED_VALUE"""),43873.99861111111)</f>
        <v>43873.99861</v>
      </c>
      <c r="B1237" s="433">
        <f>IFERROR(__xludf.DUMMYFUNCTION("""COMPUTED_VALUE"""),10345.06)</f>
        <v>10345.06</v>
      </c>
      <c r="C1237" s="434">
        <f>IFERROR(__xludf.DUMMYFUNCTION("""COMPUTED_VALUE"""),43459.99861111111)</f>
        <v>43459.99861</v>
      </c>
      <c r="D1237" s="433">
        <f>IFERROR(__xludf.DUMMYFUNCTION("""COMPUTED_VALUE"""),140.9976)</f>
        <v>140.9976</v>
      </c>
    </row>
    <row r="1238">
      <c r="A1238" s="434">
        <f>IFERROR(__xludf.DUMMYFUNCTION("""COMPUTED_VALUE"""),43874.99861111111)</f>
        <v>43874.99861</v>
      </c>
      <c r="B1238" s="433">
        <f>IFERROR(__xludf.DUMMYFUNCTION("""COMPUTED_VALUE"""),10234.47)</f>
        <v>10234.47</v>
      </c>
      <c r="C1238" s="434">
        <f>IFERROR(__xludf.DUMMYFUNCTION("""COMPUTED_VALUE"""),43460.99861111111)</f>
        <v>43460.99861</v>
      </c>
      <c r="D1238" s="433">
        <f>IFERROR(__xludf.DUMMYFUNCTION("""COMPUTED_VALUE"""),129.8888)</f>
        <v>129.8888</v>
      </c>
    </row>
    <row r="1239">
      <c r="A1239" s="434">
        <f>IFERROR(__xludf.DUMMYFUNCTION("""COMPUTED_VALUE"""),43875.99861111111)</f>
        <v>43875.99861</v>
      </c>
      <c r="B1239" s="433">
        <f>IFERROR(__xludf.DUMMYFUNCTION("""COMPUTED_VALUE"""),10356.59)</f>
        <v>10356.59</v>
      </c>
      <c r="C1239" s="434">
        <f>IFERROR(__xludf.DUMMYFUNCTION("""COMPUTED_VALUE"""),43461.99861111111)</f>
        <v>43461.99861</v>
      </c>
      <c r="D1239" s="433">
        <f>IFERROR(__xludf.DUMMYFUNCTION("""COMPUTED_VALUE"""),131.9236)</f>
        <v>131.9236</v>
      </c>
    </row>
    <row r="1240">
      <c r="A1240" s="434">
        <f>IFERROR(__xludf.DUMMYFUNCTION("""COMPUTED_VALUE"""),43876.99861111111)</f>
        <v>43876.99861</v>
      </c>
      <c r="B1240" s="433">
        <f>IFERROR(__xludf.DUMMYFUNCTION("""COMPUTED_VALUE"""),9903.895)</f>
        <v>9903.895</v>
      </c>
      <c r="C1240" s="434">
        <f>IFERROR(__xludf.DUMMYFUNCTION("""COMPUTED_VALUE"""),43462.99861111111)</f>
        <v>43462.99861</v>
      </c>
      <c r="D1240" s="433">
        <f>IFERROR(__xludf.DUMMYFUNCTION("""COMPUTED_VALUE"""),116.8982)</f>
        <v>116.8982</v>
      </c>
    </row>
    <row r="1241">
      <c r="A1241" s="434">
        <f>IFERROR(__xludf.DUMMYFUNCTION("""COMPUTED_VALUE"""),43877.99861111111)</f>
        <v>43877.99861</v>
      </c>
      <c r="B1241" s="433">
        <f>IFERROR(__xludf.DUMMYFUNCTION("""COMPUTED_VALUE"""),9927.334)</f>
        <v>9927.334</v>
      </c>
      <c r="C1241" s="434">
        <f>IFERROR(__xludf.DUMMYFUNCTION("""COMPUTED_VALUE"""),43463.99861111111)</f>
        <v>43463.99861</v>
      </c>
      <c r="D1241" s="433">
        <f>IFERROR(__xludf.DUMMYFUNCTION("""COMPUTED_VALUE"""),138.4688)</f>
        <v>138.4688</v>
      </c>
    </row>
    <row r="1242">
      <c r="A1242" s="434">
        <f>IFERROR(__xludf.DUMMYFUNCTION("""COMPUTED_VALUE"""),43878.99861111111)</f>
        <v>43878.99861</v>
      </c>
      <c r="B1242" s="433">
        <f>IFERROR(__xludf.DUMMYFUNCTION("""COMPUTED_VALUE"""),9701.267)</f>
        <v>9701.267</v>
      </c>
      <c r="C1242" s="434">
        <f>IFERROR(__xludf.DUMMYFUNCTION("""COMPUTED_VALUE"""),43464.99861111111)</f>
        <v>43464.99861</v>
      </c>
      <c r="D1242" s="433">
        <f>IFERROR(__xludf.DUMMYFUNCTION("""COMPUTED_VALUE"""),137.6275)</f>
        <v>137.6275</v>
      </c>
    </row>
    <row r="1243">
      <c r="A1243" s="434">
        <f>IFERROR(__xludf.DUMMYFUNCTION("""COMPUTED_VALUE"""),43879.99861111111)</f>
        <v>43879.99861</v>
      </c>
      <c r="B1243" s="433">
        <f>IFERROR(__xludf.DUMMYFUNCTION("""COMPUTED_VALUE"""),10169.47)</f>
        <v>10169.47</v>
      </c>
      <c r="C1243" s="434">
        <f>IFERROR(__xludf.DUMMYFUNCTION("""COMPUTED_VALUE"""),43465.99861111111)</f>
        <v>43465.99861</v>
      </c>
      <c r="D1243" s="433">
        <f>IFERROR(__xludf.DUMMYFUNCTION("""COMPUTED_VALUE"""),140.0311)</f>
        <v>140.0311</v>
      </c>
    </row>
    <row r="1244">
      <c r="A1244" s="434">
        <f>IFERROR(__xludf.DUMMYFUNCTION("""COMPUTED_VALUE"""),43880.99861111111)</f>
        <v>43880.99861</v>
      </c>
      <c r="B1244" s="433">
        <f>IFERROR(__xludf.DUMMYFUNCTION("""COMPUTED_VALUE"""),9602.206)</f>
        <v>9602.206</v>
      </c>
      <c r="C1244" s="434">
        <f>IFERROR(__xludf.DUMMYFUNCTION("""COMPUTED_VALUE"""),43466.99861111111)</f>
        <v>43466.99861</v>
      </c>
      <c r="D1244" s="433">
        <f>IFERROR(__xludf.DUMMYFUNCTION("""COMPUTED_VALUE"""),133.4181)</f>
        <v>133.4181</v>
      </c>
    </row>
    <row r="1245">
      <c r="A1245" s="434">
        <f>IFERROR(__xludf.DUMMYFUNCTION("""COMPUTED_VALUE"""),43881.99861111111)</f>
        <v>43881.99861</v>
      </c>
      <c r="B1245" s="433">
        <f>IFERROR(__xludf.DUMMYFUNCTION("""COMPUTED_VALUE"""),9609.387)</f>
        <v>9609.387</v>
      </c>
      <c r="C1245" s="434">
        <f>IFERROR(__xludf.DUMMYFUNCTION("""COMPUTED_VALUE"""),43467.99861111111)</f>
        <v>43467.99861</v>
      </c>
      <c r="D1245" s="433">
        <f>IFERROR(__xludf.DUMMYFUNCTION("""COMPUTED_VALUE"""),141.5195)</f>
        <v>141.5195</v>
      </c>
    </row>
    <row r="1246">
      <c r="A1246" s="434">
        <f>IFERROR(__xludf.DUMMYFUNCTION("""COMPUTED_VALUE"""),43882.99861111111)</f>
        <v>43882.99861</v>
      </c>
      <c r="B1246" s="433">
        <f>IFERROR(__xludf.DUMMYFUNCTION("""COMPUTED_VALUE"""),9691.18)</f>
        <v>9691.18</v>
      </c>
      <c r="C1246" s="434">
        <f>IFERROR(__xludf.DUMMYFUNCTION("""COMPUTED_VALUE"""),43468.99861111111)</f>
        <v>43468.99861</v>
      </c>
      <c r="D1246" s="433">
        <f>IFERROR(__xludf.DUMMYFUNCTION("""COMPUTED_VALUE"""),155.196)</f>
        <v>155.196</v>
      </c>
    </row>
    <row r="1247">
      <c r="A1247" s="434">
        <f>IFERROR(__xludf.DUMMYFUNCTION("""COMPUTED_VALUE"""),43883.99861111111)</f>
        <v>43883.99861</v>
      </c>
      <c r="B1247" s="433">
        <f>IFERROR(__xludf.DUMMYFUNCTION("""COMPUTED_VALUE"""),9667.061)</f>
        <v>9667.061</v>
      </c>
      <c r="C1247" s="434">
        <f>IFERROR(__xludf.DUMMYFUNCTION("""COMPUTED_VALUE"""),43469.99861111111)</f>
        <v>43469.99861</v>
      </c>
      <c r="D1247" s="433">
        <f>IFERROR(__xludf.DUMMYFUNCTION("""COMPUTED_VALUE"""),148.9129)</f>
        <v>148.9129</v>
      </c>
    </row>
    <row r="1248">
      <c r="A1248" s="434">
        <f>IFERROR(__xludf.DUMMYFUNCTION("""COMPUTED_VALUE"""),43884.99861111111)</f>
        <v>43884.99861</v>
      </c>
      <c r="B1248" s="433">
        <f>IFERROR(__xludf.DUMMYFUNCTION("""COMPUTED_VALUE"""),9976.343)</f>
        <v>9976.343</v>
      </c>
      <c r="C1248" s="434">
        <f>IFERROR(__xludf.DUMMYFUNCTION("""COMPUTED_VALUE"""),43470.99861111111)</f>
        <v>43470.99861</v>
      </c>
      <c r="D1248" s="433">
        <f>IFERROR(__xludf.DUMMYFUNCTION("""COMPUTED_VALUE"""),154.3374)</f>
        <v>154.3374</v>
      </c>
    </row>
    <row r="1249">
      <c r="A1249" s="434">
        <f>IFERROR(__xludf.DUMMYFUNCTION("""COMPUTED_VALUE"""),43885.99861111111)</f>
        <v>43885.99861</v>
      </c>
      <c r="B1249" s="433">
        <f>IFERROR(__xludf.DUMMYFUNCTION("""COMPUTED_VALUE"""),9664.999)</f>
        <v>9664.999</v>
      </c>
      <c r="C1249" s="434">
        <f>IFERROR(__xludf.DUMMYFUNCTION("""COMPUTED_VALUE"""),43471.99861111111)</f>
        <v>43471.99861</v>
      </c>
      <c r="D1249" s="433">
        <f>IFERROR(__xludf.DUMMYFUNCTION("""COMPUTED_VALUE"""),155.8042)</f>
        <v>155.8042</v>
      </c>
    </row>
    <row r="1250">
      <c r="A1250" s="434">
        <f>IFERROR(__xludf.DUMMYFUNCTION("""COMPUTED_VALUE"""),43886.99861111111)</f>
        <v>43886.99861</v>
      </c>
      <c r="B1250" s="433">
        <f>IFERROR(__xludf.DUMMYFUNCTION("""COMPUTED_VALUE"""),9314.375)</f>
        <v>9314.375</v>
      </c>
      <c r="C1250" s="434">
        <f>IFERROR(__xludf.DUMMYFUNCTION("""COMPUTED_VALUE"""),43472.99861111111)</f>
        <v>43472.99861</v>
      </c>
      <c r="D1250" s="433">
        <f>IFERROR(__xludf.DUMMYFUNCTION("""COMPUTED_VALUE"""),157.8095)</f>
        <v>157.8095</v>
      </c>
    </row>
    <row r="1251">
      <c r="A1251" s="434">
        <f>IFERROR(__xludf.DUMMYFUNCTION("""COMPUTED_VALUE"""),43887.99861111111)</f>
        <v>43887.99861</v>
      </c>
      <c r="B1251" s="433">
        <f>IFERROR(__xludf.DUMMYFUNCTION("""COMPUTED_VALUE"""),8788.837)</f>
        <v>8788.837</v>
      </c>
      <c r="C1251" s="434">
        <f>IFERROR(__xludf.DUMMYFUNCTION("""COMPUTED_VALUE"""),43473.99861111111)</f>
        <v>43473.99861</v>
      </c>
      <c r="D1251" s="433">
        <f>IFERROR(__xludf.DUMMYFUNCTION("""COMPUTED_VALUE"""),151.9675)</f>
        <v>151.9675</v>
      </c>
    </row>
    <row r="1252">
      <c r="A1252" s="434">
        <f>IFERROR(__xludf.DUMMYFUNCTION("""COMPUTED_VALUE"""),43888.99861111111)</f>
        <v>43888.99861</v>
      </c>
      <c r="B1252" s="433">
        <f>IFERROR(__xludf.DUMMYFUNCTION("""COMPUTED_VALUE"""),8803.93)</f>
        <v>8803.93</v>
      </c>
      <c r="C1252" s="434">
        <f>IFERROR(__xludf.DUMMYFUNCTION("""COMPUTED_VALUE"""),43474.99861111111)</f>
        <v>43474.99861</v>
      </c>
      <c r="D1252" s="433">
        <f>IFERROR(__xludf.DUMMYFUNCTION("""COMPUTED_VALUE"""),150.5547)</f>
        <v>150.5547</v>
      </c>
    </row>
    <row r="1253">
      <c r="A1253" s="434">
        <f>IFERROR(__xludf.DUMMYFUNCTION("""COMPUTED_VALUE"""),43889.99861111111)</f>
        <v>43889.99861</v>
      </c>
      <c r="B1253" s="433">
        <f>IFERROR(__xludf.DUMMYFUNCTION("""COMPUTED_VALUE"""),8712.536)</f>
        <v>8712.536</v>
      </c>
      <c r="C1253" s="434">
        <f>IFERROR(__xludf.DUMMYFUNCTION("""COMPUTED_VALUE"""),43475.99861111111)</f>
        <v>43475.99861</v>
      </c>
      <c r="D1253" s="433">
        <f>IFERROR(__xludf.DUMMYFUNCTION("""COMPUTED_VALUE"""),150.8435)</f>
        <v>150.8435</v>
      </c>
    </row>
    <row r="1254">
      <c r="A1254" s="434">
        <f>IFERROR(__xludf.DUMMYFUNCTION("""COMPUTED_VALUE"""),43890.99861111111)</f>
        <v>43890.99861</v>
      </c>
      <c r="B1254" s="433">
        <f>IFERROR(__xludf.DUMMYFUNCTION("""COMPUTED_VALUE"""),8531.393)</f>
        <v>8531.393</v>
      </c>
      <c r="C1254" s="434">
        <f>IFERROR(__xludf.DUMMYFUNCTION("""COMPUTED_VALUE"""),43476.99861111111)</f>
        <v>43476.99861</v>
      </c>
      <c r="D1254" s="433">
        <f>IFERROR(__xludf.DUMMYFUNCTION("""COMPUTED_VALUE"""),127.814)</f>
        <v>127.814</v>
      </c>
    </row>
    <row r="1255">
      <c r="A1255" s="434">
        <f>IFERROR(__xludf.DUMMYFUNCTION("""COMPUTED_VALUE"""),43891.99861111111)</f>
        <v>43891.99861</v>
      </c>
      <c r="B1255" s="433">
        <f>IFERROR(__xludf.DUMMYFUNCTION("""COMPUTED_VALUE"""),8537.956)</f>
        <v>8537.956</v>
      </c>
      <c r="C1255" s="434">
        <f>IFERROR(__xludf.DUMMYFUNCTION("""COMPUTED_VALUE"""),43477.99861111111)</f>
        <v>43477.99861</v>
      </c>
      <c r="D1255" s="433">
        <f>IFERROR(__xludf.DUMMYFUNCTION("""COMPUTED_VALUE"""),127.5281)</f>
        <v>127.5281</v>
      </c>
    </row>
    <row r="1256">
      <c r="A1256" s="434">
        <f>IFERROR(__xludf.DUMMYFUNCTION("""COMPUTED_VALUE"""),43892.99861111111)</f>
        <v>43892.99861</v>
      </c>
      <c r="B1256" s="433">
        <f>IFERROR(__xludf.DUMMYFUNCTION("""COMPUTED_VALUE"""),8920.73)</f>
        <v>8920.73</v>
      </c>
      <c r="C1256" s="434">
        <f>IFERROR(__xludf.DUMMYFUNCTION("""COMPUTED_VALUE"""),43478.99861111111)</f>
        <v>43478.99861</v>
      </c>
      <c r="D1256" s="433">
        <f>IFERROR(__xludf.DUMMYFUNCTION("""COMPUTED_VALUE"""),125.9072)</f>
        <v>125.9072</v>
      </c>
    </row>
    <row r="1257">
      <c r="A1257" s="434">
        <f>IFERROR(__xludf.DUMMYFUNCTION("""COMPUTED_VALUE"""),43893.99861111111)</f>
        <v>43893.99861</v>
      </c>
      <c r="B1257" s="433">
        <f>IFERROR(__xludf.DUMMYFUNCTION("""COMPUTED_VALUE"""),8765.653)</f>
        <v>8765.653</v>
      </c>
      <c r="C1257" s="434">
        <f>IFERROR(__xludf.DUMMYFUNCTION("""COMPUTED_VALUE"""),43479.99861111111)</f>
        <v>43479.99861</v>
      </c>
      <c r="D1257" s="433">
        <f>IFERROR(__xludf.DUMMYFUNCTION("""COMPUTED_VALUE"""),116.9791)</f>
        <v>116.9791</v>
      </c>
    </row>
    <row r="1258">
      <c r="A1258" s="434">
        <f>IFERROR(__xludf.DUMMYFUNCTION("""COMPUTED_VALUE"""),43894.99861111111)</f>
        <v>43894.99861</v>
      </c>
      <c r="B1258" s="433">
        <f>IFERROR(__xludf.DUMMYFUNCTION("""COMPUTED_VALUE"""),8768.155)</f>
        <v>8768.155</v>
      </c>
      <c r="C1258" s="434">
        <f>IFERROR(__xludf.DUMMYFUNCTION("""COMPUTED_VALUE"""),43480.99861111111)</f>
        <v>43480.99861</v>
      </c>
      <c r="D1258" s="433">
        <f>IFERROR(__xludf.DUMMYFUNCTION("""COMPUTED_VALUE"""),129.1727)</f>
        <v>129.1727</v>
      </c>
    </row>
    <row r="1259">
      <c r="A1259" s="434">
        <f>IFERROR(__xludf.DUMMYFUNCTION("""COMPUTED_VALUE"""),43895.99861111111)</f>
        <v>43895.99861</v>
      </c>
      <c r="B1259" s="433">
        <f>IFERROR(__xludf.DUMMYFUNCTION("""COMPUTED_VALUE"""),9071.605)</f>
        <v>9071.605</v>
      </c>
      <c r="C1259" s="434">
        <f>IFERROR(__xludf.DUMMYFUNCTION("""COMPUTED_VALUE"""),43481.99861111111)</f>
        <v>43481.99861</v>
      </c>
      <c r="D1259" s="433">
        <f>IFERROR(__xludf.DUMMYFUNCTION("""COMPUTED_VALUE"""),121.8092)</f>
        <v>121.8092</v>
      </c>
    </row>
    <row r="1260">
      <c r="A1260" s="434">
        <f>IFERROR(__xludf.DUMMYFUNCTION("""COMPUTED_VALUE"""),43896.99861111111)</f>
        <v>43896.99861</v>
      </c>
      <c r="B1260" s="433">
        <f>IFERROR(__xludf.DUMMYFUNCTION("""COMPUTED_VALUE"""),9163.027)</f>
        <v>9163.027</v>
      </c>
      <c r="C1260" s="434">
        <f>IFERROR(__xludf.DUMMYFUNCTION("""COMPUTED_VALUE"""),43482.99861111111)</f>
        <v>43482.99861</v>
      </c>
      <c r="D1260" s="433">
        <f>IFERROR(__xludf.DUMMYFUNCTION("""COMPUTED_VALUE"""),123.5735)</f>
        <v>123.5735</v>
      </c>
    </row>
    <row r="1261">
      <c r="A1261" s="434">
        <f>IFERROR(__xludf.DUMMYFUNCTION("""COMPUTED_VALUE"""),43897.99861111111)</f>
        <v>43897.99861</v>
      </c>
      <c r="B1261" s="433">
        <f>IFERROR(__xludf.DUMMYFUNCTION("""COMPUTED_VALUE"""),8902.841)</f>
        <v>8902.841</v>
      </c>
      <c r="C1261" s="434">
        <f>IFERROR(__xludf.DUMMYFUNCTION("""COMPUTED_VALUE"""),43483.99861111111)</f>
        <v>43483.99861</v>
      </c>
      <c r="D1261" s="433">
        <f>IFERROR(__xludf.DUMMYFUNCTION("""COMPUTED_VALUE"""),123.6547)</f>
        <v>123.6547</v>
      </c>
    </row>
    <row r="1262">
      <c r="A1262" s="434">
        <f>IFERROR(__xludf.DUMMYFUNCTION("""COMPUTED_VALUE"""),43898.99861111111)</f>
        <v>43898.99861</v>
      </c>
      <c r="B1262" s="433">
        <f>IFERROR(__xludf.DUMMYFUNCTION("""COMPUTED_VALUE"""),8051.938)</f>
        <v>8051.938</v>
      </c>
      <c r="C1262" s="434">
        <f>IFERROR(__xludf.DUMMYFUNCTION("""COMPUTED_VALUE"""),43484.99861111111)</f>
        <v>43484.99861</v>
      </c>
      <c r="D1262" s="433">
        <f>IFERROR(__xludf.DUMMYFUNCTION("""COMPUTED_VALUE"""),121.6144)</f>
        <v>121.6144</v>
      </c>
    </row>
    <row r="1263">
      <c r="A1263" s="434">
        <f>IFERROR(__xludf.DUMMYFUNCTION("""COMPUTED_VALUE"""),43899.99861111111)</f>
        <v>43899.99861</v>
      </c>
      <c r="B1263" s="433">
        <f>IFERROR(__xludf.DUMMYFUNCTION("""COMPUTED_VALUE"""),7936.865)</f>
        <v>7936.865</v>
      </c>
      <c r="C1263" s="434">
        <f>IFERROR(__xludf.DUMMYFUNCTION("""COMPUTED_VALUE"""),43485.99861111111)</f>
        <v>43485.99861</v>
      </c>
      <c r="D1263" s="433">
        <f>IFERROR(__xludf.DUMMYFUNCTION("""COMPUTED_VALUE"""),124.6324)</f>
        <v>124.6324</v>
      </c>
    </row>
    <row r="1264">
      <c r="A1264" s="434">
        <f>IFERROR(__xludf.DUMMYFUNCTION("""COMPUTED_VALUE"""),43900.99861111111)</f>
        <v>43900.99861</v>
      </c>
      <c r="B1264" s="433">
        <f>IFERROR(__xludf.DUMMYFUNCTION("""COMPUTED_VALUE"""),7895.216)</f>
        <v>7895.216</v>
      </c>
      <c r="C1264" s="434">
        <f>IFERROR(__xludf.DUMMYFUNCTION("""COMPUTED_VALUE"""),43486.99861111111)</f>
        <v>43486.99861</v>
      </c>
      <c r="D1264" s="433">
        <f>IFERROR(__xludf.DUMMYFUNCTION("""COMPUTED_VALUE"""),119.6365)</f>
        <v>119.6365</v>
      </c>
    </row>
    <row r="1265">
      <c r="A1265" s="434">
        <f>IFERROR(__xludf.DUMMYFUNCTION("""COMPUTED_VALUE"""),43901.99861111111)</f>
        <v>43901.99861</v>
      </c>
      <c r="B1265" s="433">
        <f>IFERROR(__xludf.DUMMYFUNCTION("""COMPUTED_VALUE"""),7942.892)</f>
        <v>7942.892</v>
      </c>
      <c r="C1265" s="434">
        <f>IFERROR(__xludf.DUMMYFUNCTION("""COMPUTED_VALUE"""),43487.99861111111)</f>
        <v>43487.99861</v>
      </c>
      <c r="D1265" s="433">
        <f>IFERROR(__xludf.DUMMYFUNCTION("""COMPUTED_VALUE"""),117.1108)</f>
        <v>117.1108</v>
      </c>
    </row>
    <row r="1266">
      <c r="A1266" s="434">
        <f>IFERROR(__xludf.DUMMYFUNCTION("""COMPUTED_VALUE"""),43902.99861111111)</f>
        <v>43902.99861</v>
      </c>
      <c r="B1266" s="433">
        <f>IFERROR(__xludf.DUMMYFUNCTION("""COMPUTED_VALUE"""),4854.343)</f>
        <v>4854.343</v>
      </c>
      <c r="C1266" s="434">
        <f>IFERROR(__xludf.DUMMYFUNCTION("""COMPUTED_VALUE"""),43488.99861111111)</f>
        <v>43488.99861</v>
      </c>
      <c r="D1266" s="433">
        <f>IFERROR(__xludf.DUMMYFUNCTION("""COMPUTED_VALUE"""),118.7138)</f>
        <v>118.7138</v>
      </c>
    </row>
    <row r="1267">
      <c r="A1267" s="434">
        <f>IFERROR(__xludf.DUMMYFUNCTION("""COMPUTED_VALUE"""),43903.99861111111)</f>
        <v>43903.99861</v>
      </c>
      <c r="B1267" s="433">
        <f>IFERROR(__xludf.DUMMYFUNCTION("""COMPUTED_VALUE"""),5603.106)</f>
        <v>5603.106</v>
      </c>
      <c r="C1267" s="434">
        <f>IFERROR(__xludf.DUMMYFUNCTION("""COMPUTED_VALUE"""),43489.99861111111)</f>
        <v>43489.99861</v>
      </c>
      <c r="D1267" s="433">
        <f>IFERROR(__xludf.DUMMYFUNCTION("""COMPUTED_VALUE"""),117.4628)</f>
        <v>117.4628</v>
      </c>
    </row>
    <row r="1268">
      <c r="A1268" s="434">
        <f>IFERROR(__xludf.DUMMYFUNCTION("""COMPUTED_VALUE"""),43904.99861111111)</f>
        <v>43904.99861</v>
      </c>
      <c r="B1268" s="433">
        <f>IFERROR(__xludf.DUMMYFUNCTION("""COMPUTED_VALUE"""),5178.858)</f>
        <v>5178.858</v>
      </c>
      <c r="C1268" s="434">
        <f>IFERROR(__xludf.DUMMYFUNCTION("""COMPUTED_VALUE"""),43490.99861111111)</f>
        <v>43490.99861</v>
      </c>
      <c r="D1268" s="433">
        <f>IFERROR(__xludf.DUMMYFUNCTION("""COMPUTED_VALUE"""),117.595)</f>
        <v>117.595</v>
      </c>
    </row>
    <row r="1269">
      <c r="A1269" s="434">
        <f>IFERROR(__xludf.DUMMYFUNCTION("""COMPUTED_VALUE"""),43905.99861111111)</f>
        <v>43905.99861</v>
      </c>
      <c r="B1269" s="433">
        <f>IFERROR(__xludf.DUMMYFUNCTION("""COMPUTED_VALUE"""),5356.116)</f>
        <v>5356.116</v>
      </c>
      <c r="C1269" s="434">
        <f>IFERROR(__xludf.DUMMYFUNCTION("""COMPUTED_VALUE"""),43491.99861111111)</f>
        <v>43491.99861</v>
      </c>
      <c r="D1269" s="433">
        <f>IFERROR(__xludf.DUMMYFUNCTION("""COMPUTED_VALUE"""),116.3735)</f>
        <v>116.3735</v>
      </c>
    </row>
    <row r="1270">
      <c r="A1270" s="434">
        <f>IFERROR(__xludf.DUMMYFUNCTION("""COMPUTED_VALUE"""),43906.99861111111)</f>
        <v>43906.99861</v>
      </c>
      <c r="B1270" s="433">
        <f>IFERROR(__xludf.DUMMYFUNCTION("""COMPUTED_VALUE"""),5032.406)</f>
        <v>5032.406</v>
      </c>
      <c r="C1270" s="434">
        <f>IFERROR(__xludf.DUMMYFUNCTION("""COMPUTED_VALUE"""),43492.99861111111)</f>
        <v>43492.99861</v>
      </c>
      <c r="D1270" s="433">
        <f>IFERROR(__xludf.DUMMYFUNCTION("""COMPUTED_VALUE"""),116.5103)</f>
        <v>116.5103</v>
      </c>
    </row>
    <row r="1271">
      <c r="A1271" s="434">
        <f>IFERROR(__xludf.DUMMYFUNCTION("""COMPUTED_VALUE"""),43907.99861111111)</f>
        <v>43907.99861</v>
      </c>
      <c r="B1271" s="433">
        <f>IFERROR(__xludf.DUMMYFUNCTION("""COMPUTED_VALUE"""),5340.572)</f>
        <v>5340.572</v>
      </c>
      <c r="C1271" s="434">
        <f>IFERROR(__xludf.DUMMYFUNCTION("""COMPUTED_VALUE"""),43493.99861111111)</f>
        <v>43493.99861</v>
      </c>
      <c r="D1271" s="433">
        <f>IFERROR(__xludf.DUMMYFUNCTION("""COMPUTED_VALUE"""),113.2852)</f>
        <v>113.2852</v>
      </c>
    </row>
    <row r="1272">
      <c r="A1272" s="434">
        <f>IFERROR(__xludf.DUMMYFUNCTION("""COMPUTED_VALUE"""),43908.99861111111)</f>
        <v>43908.99861</v>
      </c>
      <c r="B1272" s="433">
        <f>IFERROR(__xludf.DUMMYFUNCTION("""COMPUTED_VALUE"""),5405.399)</f>
        <v>5405.399</v>
      </c>
      <c r="C1272" s="434">
        <f>IFERROR(__xludf.DUMMYFUNCTION("""COMPUTED_VALUE"""),43494.99861111111)</f>
        <v>43494.99861</v>
      </c>
      <c r="D1272" s="433">
        <f>IFERROR(__xludf.DUMMYFUNCTION("""COMPUTED_VALUE"""),106.722)</f>
        <v>106.722</v>
      </c>
    </row>
    <row r="1273">
      <c r="A1273" s="434">
        <f>IFERROR(__xludf.DUMMYFUNCTION("""COMPUTED_VALUE"""),43909.99861111111)</f>
        <v>43909.99861</v>
      </c>
      <c r="B1273" s="433">
        <f>IFERROR(__xludf.DUMMYFUNCTION("""COMPUTED_VALUE"""),6182.357)</f>
        <v>6182.357</v>
      </c>
      <c r="C1273" s="434">
        <f>IFERROR(__xludf.DUMMYFUNCTION("""COMPUTED_VALUE"""),43495.99861111111)</f>
        <v>43495.99861</v>
      </c>
      <c r="D1273" s="433">
        <f>IFERROR(__xludf.DUMMYFUNCTION("""COMPUTED_VALUE"""),105.4072)</f>
        <v>105.4072</v>
      </c>
    </row>
    <row r="1274">
      <c r="A1274" s="434">
        <f>IFERROR(__xludf.DUMMYFUNCTION("""COMPUTED_VALUE"""),43910.99861111111)</f>
        <v>43910.99861</v>
      </c>
      <c r="B1274" s="433">
        <f>IFERROR(__xludf.DUMMYFUNCTION("""COMPUTED_VALUE"""),6200.971)</f>
        <v>6200.971</v>
      </c>
      <c r="C1274" s="434">
        <f>IFERROR(__xludf.DUMMYFUNCTION("""COMPUTED_VALUE"""),43496.99861111111)</f>
        <v>43496.99861</v>
      </c>
      <c r="D1274" s="433">
        <f>IFERROR(__xludf.DUMMYFUNCTION("""COMPUTED_VALUE"""),108.9008)</f>
        <v>108.9008</v>
      </c>
    </row>
    <row r="1275">
      <c r="A1275" s="434">
        <f>IFERROR(__xludf.DUMMYFUNCTION("""COMPUTED_VALUE"""),43911.99861111111)</f>
        <v>43911.99861</v>
      </c>
      <c r="B1275" s="433">
        <f>IFERROR(__xludf.DUMMYFUNCTION("""COMPUTED_VALUE"""),6195.611)</f>
        <v>6195.611</v>
      </c>
      <c r="C1275" s="434">
        <f>IFERROR(__xludf.DUMMYFUNCTION("""COMPUTED_VALUE"""),43497.99861111111)</f>
        <v>43497.99861</v>
      </c>
      <c r="D1275" s="433">
        <f>IFERROR(__xludf.DUMMYFUNCTION("""COMPUTED_VALUE"""),107.1477)</f>
        <v>107.1477</v>
      </c>
    </row>
    <row r="1276">
      <c r="A1276" s="434">
        <f>IFERROR(__xludf.DUMMYFUNCTION("""COMPUTED_VALUE"""),43912.99861111111)</f>
        <v>43912.99861</v>
      </c>
      <c r="B1276" s="433">
        <f>IFERROR(__xludf.DUMMYFUNCTION("""COMPUTED_VALUE"""),5818.745)</f>
        <v>5818.745</v>
      </c>
      <c r="C1276" s="434">
        <f>IFERROR(__xludf.DUMMYFUNCTION("""COMPUTED_VALUE"""),43498.99861111111)</f>
        <v>43498.99861</v>
      </c>
      <c r="D1276" s="433">
        <f>IFERROR(__xludf.DUMMYFUNCTION("""COMPUTED_VALUE"""),107.4664)</f>
        <v>107.4664</v>
      </c>
    </row>
    <row r="1277">
      <c r="A1277" s="434">
        <f>IFERROR(__xludf.DUMMYFUNCTION("""COMPUTED_VALUE"""),43913.99861111111)</f>
        <v>43913.99861</v>
      </c>
      <c r="B1277" s="433">
        <f>IFERROR(__xludf.DUMMYFUNCTION("""COMPUTED_VALUE"""),6496.644)</f>
        <v>6496.644</v>
      </c>
      <c r="C1277" s="434">
        <f>IFERROR(__xludf.DUMMYFUNCTION("""COMPUTED_VALUE"""),43499.99861111111)</f>
        <v>43499.99861</v>
      </c>
      <c r="D1277" s="433">
        <f>IFERROR(__xludf.DUMMYFUNCTION("""COMPUTED_VALUE"""),110.4903)</f>
        <v>110.4903</v>
      </c>
    </row>
    <row r="1278">
      <c r="A1278" s="434">
        <f>IFERROR(__xludf.DUMMYFUNCTION("""COMPUTED_VALUE"""),43914.99861111111)</f>
        <v>43914.99861</v>
      </c>
      <c r="B1278" s="433">
        <f>IFERROR(__xludf.DUMMYFUNCTION("""COMPUTED_VALUE"""),6765.711)</f>
        <v>6765.711</v>
      </c>
      <c r="C1278" s="434">
        <f>IFERROR(__xludf.DUMMYFUNCTION("""COMPUTED_VALUE"""),43500.99861111111)</f>
        <v>43500.99861</v>
      </c>
      <c r="D1278" s="433">
        <f>IFERROR(__xludf.DUMMYFUNCTION("""COMPUTED_VALUE"""),107.6258)</f>
        <v>107.6258</v>
      </c>
    </row>
    <row r="1279">
      <c r="A1279" s="434">
        <f>IFERROR(__xludf.DUMMYFUNCTION("""COMPUTED_VALUE"""),43915.99861111111)</f>
        <v>43915.99861</v>
      </c>
      <c r="B1279" s="433">
        <f>IFERROR(__xludf.DUMMYFUNCTION("""COMPUTED_VALUE"""),6689.439)</f>
        <v>6689.439</v>
      </c>
      <c r="C1279" s="434">
        <f>IFERROR(__xludf.DUMMYFUNCTION("""COMPUTED_VALUE"""),43501.99861111111)</f>
        <v>43501.99861</v>
      </c>
      <c r="D1279" s="433">
        <f>IFERROR(__xludf.DUMMYFUNCTION("""COMPUTED_VALUE"""),107.6282)</f>
        <v>107.6282</v>
      </c>
    </row>
    <row r="1280">
      <c r="A1280" s="434">
        <f>IFERROR(__xludf.DUMMYFUNCTION("""COMPUTED_VALUE"""),43916.99861111111)</f>
        <v>43916.99861</v>
      </c>
      <c r="B1280" s="433">
        <f>IFERROR(__xludf.DUMMYFUNCTION("""COMPUTED_VALUE"""),6756.918)</f>
        <v>6756.918</v>
      </c>
      <c r="C1280" s="434">
        <f>IFERROR(__xludf.DUMMYFUNCTION("""COMPUTED_VALUE"""),43502.99861111111)</f>
        <v>43502.99861</v>
      </c>
      <c r="D1280" s="433">
        <f>IFERROR(__xludf.DUMMYFUNCTION("""COMPUTED_VALUE"""),107.5693)</f>
        <v>107.5693</v>
      </c>
    </row>
    <row r="1281">
      <c r="A1281" s="434">
        <f>IFERROR(__xludf.DUMMYFUNCTION("""COMPUTED_VALUE"""),43917.99861111111)</f>
        <v>43917.99861</v>
      </c>
      <c r="B1281" s="433">
        <f>IFERROR(__xludf.DUMMYFUNCTION("""COMPUTED_VALUE"""),6367.725)</f>
        <v>6367.725</v>
      </c>
      <c r="C1281" s="434">
        <f>IFERROR(__xludf.DUMMYFUNCTION("""COMPUTED_VALUE"""),43503.99861111111)</f>
        <v>43503.99861</v>
      </c>
      <c r="D1281" s="433">
        <f>IFERROR(__xludf.DUMMYFUNCTION("""COMPUTED_VALUE"""),104.8358)</f>
        <v>104.8358</v>
      </c>
    </row>
    <row r="1282">
      <c r="A1282" s="434">
        <f>IFERROR(__xludf.DUMMYFUNCTION("""COMPUTED_VALUE"""),43918.99861111111)</f>
        <v>43918.99861</v>
      </c>
      <c r="B1282" s="433">
        <f>IFERROR(__xludf.DUMMYFUNCTION("""COMPUTED_VALUE"""),6252.42)</f>
        <v>6252.42</v>
      </c>
      <c r="C1282" s="434">
        <f>IFERROR(__xludf.DUMMYFUNCTION("""COMPUTED_VALUE"""),43504.99861111111)</f>
        <v>43504.99861</v>
      </c>
      <c r="D1282" s="433">
        <f>IFERROR(__xludf.DUMMYFUNCTION("""COMPUTED_VALUE"""),104.645)</f>
        <v>104.645</v>
      </c>
    </row>
    <row r="1283">
      <c r="A1283" s="434">
        <f>IFERROR(__xludf.DUMMYFUNCTION("""COMPUTED_VALUE"""),43919.99861111111)</f>
        <v>43919.99861</v>
      </c>
      <c r="B1283" s="433">
        <f>IFERROR(__xludf.DUMMYFUNCTION("""COMPUTED_VALUE"""),5884.482)</f>
        <v>5884.482</v>
      </c>
      <c r="C1283" s="434">
        <f>IFERROR(__xludf.DUMMYFUNCTION("""COMPUTED_VALUE"""),43505.99861111111)</f>
        <v>43505.99861</v>
      </c>
      <c r="D1283" s="433">
        <f>IFERROR(__xludf.DUMMYFUNCTION("""COMPUTED_VALUE"""),119.2141)</f>
        <v>119.2141</v>
      </c>
    </row>
    <row r="1284">
      <c r="A1284" s="434">
        <f>IFERROR(__xludf.DUMMYFUNCTION("""COMPUTED_VALUE"""),43920.99861111111)</f>
        <v>43920.99861</v>
      </c>
      <c r="B1284" s="433">
        <f>IFERROR(__xludf.DUMMYFUNCTION("""COMPUTED_VALUE"""),6404.268)</f>
        <v>6404.268</v>
      </c>
      <c r="C1284" s="434">
        <f>IFERROR(__xludf.DUMMYFUNCTION("""COMPUTED_VALUE"""),43506.99861111111)</f>
        <v>43506.99861</v>
      </c>
      <c r="D1284" s="433">
        <f>IFERROR(__xludf.DUMMYFUNCTION("""COMPUTED_VALUE"""),119.409)</f>
        <v>119.409</v>
      </c>
    </row>
    <row r="1285">
      <c r="A1285" s="434">
        <f>IFERROR(__xludf.DUMMYFUNCTION("""COMPUTED_VALUE"""),43921.99861111111)</f>
        <v>43921.99861</v>
      </c>
      <c r="B1285" s="433">
        <f>IFERROR(__xludf.DUMMYFUNCTION("""COMPUTED_VALUE"""),6422.229)</f>
        <v>6422.229</v>
      </c>
      <c r="C1285" s="434">
        <f>IFERROR(__xludf.DUMMYFUNCTION("""COMPUTED_VALUE"""),43507.99861111111)</f>
        <v>43507.99861</v>
      </c>
      <c r="D1285" s="433">
        <f>IFERROR(__xludf.DUMMYFUNCTION("""COMPUTED_VALUE"""),124.8715)</f>
        <v>124.8715</v>
      </c>
    </row>
    <row r="1286">
      <c r="A1286" s="434">
        <f>IFERROR(__xludf.DUMMYFUNCTION("""COMPUTED_VALUE"""),43922.99861111111)</f>
        <v>43922.99861</v>
      </c>
      <c r="B1286" s="433">
        <f>IFERROR(__xludf.DUMMYFUNCTION("""COMPUTED_VALUE"""),6662.319)</f>
        <v>6662.319</v>
      </c>
      <c r="C1286" s="434">
        <f>IFERROR(__xludf.DUMMYFUNCTION("""COMPUTED_VALUE"""),43508.99861111111)</f>
        <v>43508.99861</v>
      </c>
      <c r="D1286" s="433">
        <f>IFERROR(__xludf.DUMMYFUNCTION("""COMPUTED_VALUE"""),121.1786)</f>
        <v>121.1786</v>
      </c>
    </row>
    <row r="1287">
      <c r="A1287" s="434">
        <f>IFERROR(__xludf.DUMMYFUNCTION("""COMPUTED_VALUE"""),43923.99861111111)</f>
        <v>43923.99861</v>
      </c>
      <c r="B1287" s="433">
        <f>IFERROR(__xludf.DUMMYFUNCTION("""COMPUTED_VALUE"""),6806.137)</f>
        <v>6806.137</v>
      </c>
      <c r="C1287" s="434">
        <f>IFERROR(__xludf.DUMMYFUNCTION("""COMPUTED_VALUE"""),43509.99861111111)</f>
        <v>43509.99861</v>
      </c>
      <c r="D1287" s="433">
        <f>IFERROR(__xludf.DUMMYFUNCTION("""COMPUTED_VALUE"""),122.5443)</f>
        <v>122.5443</v>
      </c>
    </row>
    <row r="1288">
      <c r="A1288" s="434">
        <f>IFERROR(__xludf.DUMMYFUNCTION("""COMPUTED_VALUE"""),43924.99861111111)</f>
        <v>43924.99861</v>
      </c>
      <c r="B1288" s="433">
        <f>IFERROR(__xludf.DUMMYFUNCTION("""COMPUTED_VALUE"""),6739.432)</f>
        <v>6739.432</v>
      </c>
      <c r="C1288" s="434">
        <f>IFERROR(__xludf.DUMMYFUNCTION("""COMPUTED_VALUE"""),43510.99861111111)</f>
        <v>43510.99861</v>
      </c>
      <c r="D1288" s="433">
        <f>IFERROR(__xludf.DUMMYFUNCTION("""COMPUTED_VALUE"""),122.417)</f>
        <v>122.417</v>
      </c>
    </row>
    <row r="1289">
      <c r="A1289" s="434">
        <f>IFERROR(__xludf.DUMMYFUNCTION("""COMPUTED_VALUE"""),43925.99861111111)</f>
        <v>43925.99861</v>
      </c>
      <c r="B1289" s="433">
        <f>IFERROR(__xludf.DUMMYFUNCTION("""COMPUTED_VALUE"""),6872.069)</f>
        <v>6872.069</v>
      </c>
      <c r="C1289" s="434">
        <f>IFERROR(__xludf.DUMMYFUNCTION("""COMPUTED_VALUE"""),43511.99861111111)</f>
        <v>43511.99861</v>
      </c>
      <c r="D1289" s="433">
        <f>IFERROR(__xludf.DUMMYFUNCTION("""COMPUTED_VALUE"""),121.4537)</f>
        <v>121.4537</v>
      </c>
    </row>
    <row r="1290">
      <c r="A1290" s="434">
        <f>IFERROR(__xludf.DUMMYFUNCTION("""COMPUTED_VALUE"""),43926.99861111111)</f>
        <v>43926.99861</v>
      </c>
      <c r="B1290" s="433">
        <f>IFERROR(__xludf.DUMMYFUNCTION("""COMPUTED_VALUE"""),6777.694)</f>
        <v>6777.694</v>
      </c>
      <c r="C1290" s="434">
        <f>IFERROR(__xludf.DUMMYFUNCTION("""COMPUTED_VALUE"""),43512.99861111111)</f>
        <v>43512.99861</v>
      </c>
      <c r="D1290" s="433">
        <f>IFERROR(__xludf.DUMMYFUNCTION("""COMPUTED_VALUE"""),122.3965)</f>
        <v>122.3965</v>
      </c>
    </row>
    <row r="1291">
      <c r="A1291" s="434">
        <f>IFERROR(__xludf.DUMMYFUNCTION("""COMPUTED_VALUE"""),43927.99861111111)</f>
        <v>43927.99861</v>
      </c>
      <c r="B1291" s="433">
        <f>IFERROR(__xludf.DUMMYFUNCTION("""COMPUTED_VALUE"""),7341.988)</f>
        <v>7341.988</v>
      </c>
      <c r="C1291" s="434">
        <f>IFERROR(__xludf.DUMMYFUNCTION("""COMPUTED_VALUE"""),43513.99861111111)</f>
        <v>43513.99861</v>
      </c>
      <c r="D1291" s="433">
        <f>IFERROR(__xludf.DUMMYFUNCTION("""COMPUTED_VALUE"""),123.1821)</f>
        <v>123.1821</v>
      </c>
    </row>
    <row r="1292">
      <c r="A1292" s="434">
        <f>IFERROR(__xludf.DUMMYFUNCTION("""COMPUTED_VALUE"""),43928.99861111111)</f>
        <v>43928.99861</v>
      </c>
      <c r="B1292" s="433">
        <f>IFERROR(__xludf.DUMMYFUNCTION("""COMPUTED_VALUE"""),7200.045)</f>
        <v>7200.045</v>
      </c>
      <c r="C1292" s="434">
        <f>IFERROR(__xludf.DUMMYFUNCTION("""COMPUTED_VALUE"""),43514.99861111111)</f>
        <v>43514.99861</v>
      </c>
      <c r="D1292" s="433">
        <f>IFERROR(__xludf.DUMMYFUNCTION("""COMPUTED_VALUE"""),133.0325)</f>
        <v>133.0325</v>
      </c>
    </row>
    <row r="1293">
      <c r="A1293" s="434">
        <f>IFERROR(__xludf.DUMMYFUNCTION("""COMPUTED_VALUE"""),43929.99861111111)</f>
        <v>43929.99861</v>
      </c>
      <c r="B1293" s="433">
        <f>IFERROR(__xludf.DUMMYFUNCTION("""COMPUTED_VALUE"""),7366.839)</f>
        <v>7366.839</v>
      </c>
      <c r="C1293" s="434">
        <f>IFERROR(__xludf.DUMMYFUNCTION("""COMPUTED_VALUE"""),43515.99861111111)</f>
        <v>43515.99861</v>
      </c>
      <c r="D1293" s="433">
        <f>IFERROR(__xludf.DUMMYFUNCTION("""COMPUTED_VALUE"""),146.3988)</f>
        <v>146.3988</v>
      </c>
    </row>
    <row r="1294">
      <c r="A1294" s="434">
        <f>IFERROR(__xludf.DUMMYFUNCTION("""COMPUTED_VALUE"""),43930.99861111111)</f>
        <v>43930.99861</v>
      </c>
      <c r="B1294" s="433">
        <f>IFERROR(__xludf.DUMMYFUNCTION("""COMPUTED_VALUE"""),7293.389)</f>
        <v>7293.389</v>
      </c>
      <c r="C1294" s="434">
        <f>IFERROR(__xludf.DUMMYFUNCTION("""COMPUTED_VALUE"""),43516.99861111111)</f>
        <v>43516.99861</v>
      </c>
      <c r="D1294" s="433">
        <f>IFERROR(__xludf.DUMMYFUNCTION("""COMPUTED_VALUE"""),145.1727)</f>
        <v>145.1727</v>
      </c>
    </row>
    <row r="1295">
      <c r="A1295" s="434">
        <f>IFERROR(__xludf.DUMMYFUNCTION("""COMPUTED_VALUE"""),43931.99861111111)</f>
        <v>43931.99861</v>
      </c>
      <c r="B1295" s="433">
        <f>IFERROR(__xludf.DUMMYFUNCTION("""COMPUTED_VALUE"""),6872.39)</f>
        <v>6872.39</v>
      </c>
      <c r="C1295" s="434">
        <f>IFERROR(__xludf.DUMMYFUNCTION("""COMPUTED_VALUE"""),43517.99861111111)</f>
        <v>43517.99861</v>
      </c>
      <c r="D1295" s="433">
        <f>IFERROR(__xludf.DUMMYFUNCTION("""COMPUTED_VALUE"""),149.3523)</f>
        <v>149.3523</v>
      </c>
    </row>
    <row r="1296">
      <c r="A1296" s="434">
        <f>IFERROR(__xludf.DUMMYFUNCTION("""COMPUTED_VALUE"""),43932.99861111111)</f>
        <v>43932.99861</v>
      </c>
      <c r="B1296" s="433">
        <f>IFERROR(__xludf.DUMMYFUNCTION("""COMPUTED_VALUE"""),6886.603)</f>
        <v>6886.603</v>
      </c>
      <c r="C1296" s="434">
        <f>IFERROR(__xludf.DUMMYFUNCTION("""COMPUTED_VALUE"""),43518.99861111111)</f>
        <v>43518.99861</v>
      </c>
      <c r="D1296" s="433">
        <f>IFERROR(__xludf.DUMMYFUNCTION("""COMPUTED_VALUE"""),146.0733)</f>
        <v>146.0733</v>
      </c>
    </row>
    <row r="1297">
      <c r="A1297" s="434">
        <f>IFERROR(__xludf.DUMMYFUNCTION("""COMPUTED_VALUE"""),43933.99861111111)</f>
        <v>43933.99861</v>
      </c>
      <c r="B1297" s="433">
        <f>IFERROR(__xludf.DUMMYFUNCTION("""COMPUTED_VALUE"""),6905.015)</f>
        <v>6905.015</v>
      </c>
      <c r="C1297" s="434">
        <f>IFERROR(__xludf.DUMMYFUNCTION("""COMPUTED_VALUE"""),43519.99861111111)</f>
        <v>43519.99861</v>
      </c>
      <c r="D1297" s="433">
        <f>IFERROR(__xludf.DUMMYFUNCTION("""COMPUTED_VALUE"""),148.6766)</f>
        <v>148.6766</v>
      </c>
    </row>
    <row r="1298">
      <c r="A1298" s="434">
        <f>IFERROR(__xludf.DUMMYFUNCTION("""COMPUTED_VALUE"""),43934.99861111111)</f>
        <v>43934.99861</v>
      </c>
      <c r="B1298" s="433">
        <f>IFERROR(__xludf.DUMMYFUNCTION("""COMPUTED_VALUE"""),6857.129)</f>
        <v>6857.129</v>
      </c>
      <c r="C1298" s="434">
        <f>IFERROR(__xludf.DUMMYFUNCTION("""COMPUTED_VALUE"""),43520.99861111111)</f>
        <v>43520.99861</v>
      </c>
      <c r="D1298" s="433">
        <f>IFERROR(__xludf.DUMMYFUNCTION("""COMPUTED_VALUE"""),158.9024)</f>
        <v>158.9024</v>
      </c>
    </row>
    <row r="1299">
      <c r="A1299" s="434">
        <f>IFERROR(__xludf.DUMMYFUNCTION("""COMPUTED_VALUE"""),43935.99861111111)</f>
        <v>43935.99861</v>
      </c>
      <c r="B1299" s="433">
        <f>IFERROR(__xludf.DUMMYFUNCTION("""COMPUTED_VALUE"""),6873.632)</f>
        <v>6873.632</v>
      </c>
      <c r="C1299" s="434">
        <f>IFERROR(__xludf.DUMMYFUNCTION("""COMPUTED_VALUE"""),43521.99861111111)</f>
        <v>43521.99861</v>
      </c>
      <c r="D1299" s="433">
        <f>IFERROR(__xludf.DUMMYFUNCTION("""COMPUTED_VALUE"""),135.4997)</f>
        <v>135.4997</v>
      </c>
    </row>
    <row r="1300">
      <c r="A1300" s="434">
        <f>IFERROR(__xludf.DUMMYFUNCTION("""COMPUTED_VALUE"""),43936.99861111111)</f>
        <v>43936.99861</v>
      </c>
      <c r="B1300" s="433">
        <f>IFERROR(__xludf.DUMMYFUNCTION("""COMPUTED_VALUE"""),6623.9)</f>
        <v>6623.9</v>
      </c>
      <c r="C1300" s="434">
        <f>IFERROR(__xludf.DUMMYFUNCTION("""COMPUTED_VALUE"""),43522.99861111111)</f>
        <v>43522.99861</v>
      </c>
      <c r="D1300" s="433">
        <f>IFERROR(__xludf.DUMMYFUNCTION("""COMPUTED_VALUE"""),139.6461)</f>
        <v>139.6461</v>
      </c>
    </row>
    <row r="1301">
      <c r="A1301" s="434">
        <f>IFERROR(__xludf.DUMMYFUNCTION("""COMPUTED_VALUE"""),43937.99861111111)</f>
        <v>43937.99861</v>
      </c>
      <c r="B1301" s="433">
        <f>IFERROR(__xludf.DUMMYFUNCTION("""COMPUTED_VALUE"""),7112.757)</f>
        <v>7112.757</v>
      </c>
      <c r="C1301" s="434">
        <f>IFERROR(__xludf.DUMMYFUNCTION("""COMPUTED_VALUE"""),43523.99861111111)</f>
        <v>43523.99861</v>
      </c>
      <c r="D1301" s="433">
        <f>IFERROR(__xludf.DUMMYFUNCTION("""COMPUTED_VALUE"""),138.0296)</f>
        <v>138.0296</v>
      </c>
    </row>
    <row r="1302">
      <c r="A1302" s="434">
        <f>IFERROR(__xludf.DUMMYFUNCTION("""COMPUTED_VALUE"""),43938.99861111111)</f>
        <v>43938.99861</v>
      </c>
      <c r="B1302" s="433">
        <f>IFERROR(__xludf.DUMMYFUNCTION("""COMPUTED_VALUE"""),7033.685)</f>
        <v>7033.685</v>
      </c>
      <c r="C1302" s="434">
        <f>IFERROR(__xludf.DUMMYFUNCTION("""COMPUTED_VALUE"""),43524.99861111111)</f>
        <v>43524.99861</v>
      </c>
      <c r="D1302" s="433">
        <f>IFERROR(__xludf.DUMMYFUNCTION("""COMPUTED_VALUE"""),136.2831)</f>
        <v>136.2831</v>
      </c>
    </row>
    <row r="1303">
      <c r="A1303" s="434">
        <f>IFERROR(__xludf.DUMMYFUNCTION("""COMPUTED_VALUE"""),43939.99861111111)</f>
        <v>43939.99861</v>
      </c>
      <c r="B1303" s="433">
        <f>IFERROR(__xludf.DUMMYFUNCTION("""COMPUTED_VALUE"""),7259.644)</f>
        <v>7259.644</v>
      </c>
      <c r="C1303" s="434">
        <f>IFERROR(__xludf.DUMMYFUNCTION("""COMPUTED_VALUE"""),43525.99861111111)</f>
        <v>43525.99861</v>
      </c>
      <c r="D1303" s="433">
        <f>IFERROR(__xludf.DUMMYFUNCTION("""COMPUTED_VALUE"""),136.8362)</f>
        <v>136.8362</v>
      </c>
    </row>
    <row r="1304">
      <c r="A1304" s="434">
        <f>IFERROR(__xludf.DUMMYFUNCTION("""COMPUTED_VALUE"""),43940.99861111111)</f>
        <v>43940.99861</v>
      </c>
      <c r="B1304" s="433">
        <f>IFERROR(__xludf.DUMMYFUNCTION("""COMPUTED_VALUE"""),7128.538)</f>
        <v>7128.538</v>
      </c>
      <c r="C1304" s="434">
        <f>IFERROR(__xludf.DUMMYFUNCTION("""COMPUTED_VALUE"""),43526.99861111111)</f>
        <v>43526.99861</v>
      </c>
      <c r="D1304" s="433">
        <f>IFERROR(__xludf.DUMMYFUNCTION("""COMPUTED_VALUE"""),136.3501)</f>
        <v>136.3501</v>
      </c>
    </row>
    <row r="1305">
      <c r="A1305" s="434">
        <f>IFERROR(__xludf.DUMMYFUNCTION("""COMPUTED_VALUE"""),43941.99861111111)</f>
        <v>43941.99861</v>
      </c>
      <c r="B1305" s="433">
        <f>IFERROR(__xludf.DUMMYFUNCTION("""COMPUTED_VALUE"""),6841.038)</f>
        <v>6841.038</v>
      </c>
      <c r="C1305" s="434">
        <f>IFERROR(__xludf.DUMMYFUNCTION("""COMPUTED_VALUE"""),43527.99861111111)</f>
        <v>43527.99861</v>
      </c>
      <c r="D1305" s="433">
        <f>IFERROR(__xludf.DUMMYFUNCTION("""COMPUTED_VALUE"""),134.7861)</f>
        <v>134.7861</v>
      </c>
    </row>
    <row r="1306">
      <c r="A1306" s="434">
        <f>IFERROR(__xludf.DUMMYFUNCTION("""COMPUTED_VALUE"""),43942.99861111111)</f>
        <v>43942.99861</v>
      </c>
      <c r="B1306" s="433">
        <f>IFERROR(__xludf.DUMMYFUNCTION("""COMPUTED_VALUE"""),6851.744)</f>
        <v>6851.744</v>
      </c>
      <c r="C1306" s="434">
        <f>IFERROR(__xludf.DUMMYFUNCTION("""COMPUTED_VALUE"""),43528.99861111111)</f>
        <v>43528.99861</v>
      </c>
      <c r="D1306" s="433">
        <f>IFERROR(__xludf.DUMMYFUNCTION("""COMPUTED_VALUE"""),132.1579)</f>
        <v>132.1579</v>
      </c>
    </row>
    <row r="1307">
      <c r="A1307" s="434">
        <f>IFERROR(__xludf.DUMMYFUNCTION("""COMPUTED_VALUE"""),43943.99861111111)</f>
        <v>43943.99861</v>
      </c>
      <c r="B1307" s="433">
        <f>IFERROR(__xludf.DUMMYFUNCTION("""COMPUTED_VALUE"""),7132.332)</f>
        <v>7132.332</v>
      </c>
      <c r="C1307" s="434">
        <f>IFERROR(__xludf.DUMMYFUNCTION("""COMPUTED_VALUE"""),43529.99861111111)</f>
        <v>43529.99861</v>
      </c>
      <c r="D1307" s="433">
        <f>IFERROR(__xludf.DUMMYFUNCTION("""COMPUTED_VALUE"""),127.793)</f>
        <v>127.793</v>
      </c>
    </row>
    <row r="1308">
      <c r="A1308" s="434">
        <f>IFERROR(__xludf.DUMMYFUNCTION("""COMPUTED_VALUE"""),43944.99861111111)</f>
        <v>43944.99861</v>
      </c>
      <c r="B1308" s="433">
        <f>IFERROR(__xludf.DUMMYFUNCTION("""COMPUTED_VALUE"""),7488.927)</f>
        <v>7488.927</v>
      </c>
      <c r="C1308" s="434">
        <f>IFERROR(__xludf.DUMMYFUNCTION("""COMPUTED_VALUE"""),43530.99861111111)</f>
        <v>43530.99861</v>
      </c>
      <c r="D1308" s="433">
        <f>IFERROR(__xludf.DUMMYFUNCTION("""COMPUTED_VALUE"""),137.9587)</f>
        <v>137.9587</v>
      </c>
    </row>
    <row r="1309">
      <c r="A1309" s="434">
        <f>IFERROR(__xludf.DUMMYFUNCTION("""COMPUTED_VALUE"""),43945.99861111111)</f>
        <v>43945.99861</v>
      </c>
      <c r="B1309" s="433">
        <f>IFERROR(__xludf.DUMMYFUNCTION("""COMPUTED_VALUE"""),7509.033)</f>
        <v>7509.033</v>
      </c>
      <c r="C1309" s="434">
        <f>IFERROR(__xludf.DUMMYFUNCTION("""COMPUTED_VALUE"""),43531.99861111111)</f>
        <v>43531.99861</v>
      </c>
      <c r="D1309" s="433">
        <f>IFERROR(__xludf.DUMMYFUNCTION("""COMPUTED_VALUE"""),138.9424)</f>
        <v>138.9424</v>
      </c>
    </row>
    <row r="1310">
      <c r="A1310" s="434">
        <f>IFERROR(__xludf.DUMMYFUNCTION("""COMPUTED_VALUE"""),43946.99861111111)</f>
        <v>43946.99861</v>
      </c>
      <c r="B1310" s="433">
        <f>IFERROR(__xludf.DUMMYFUNCTION("""COMPUTED_VALUE"""),7545.21)</f>
        <v>7545.21</v>
      </c>
      <c r="C1310" s="434">
        <f>IFERROR(__xludf.DUMMYFUNCTION("""COMPUTED_VALUE"""),43532.99861111111)</f>
        <v>43532.99861</v>
      </c>
      <c r="D1310" s="433">
        <f>IFERROR(__xludf.DUMMYFUNCTION("""COMPUTED_VALUE"""),138.3114)</f>
        <v>138.3114</v>
      </c>
    </row>
    <row r="1311">
      <c r="A1311" s="434">
        <f>IFERROR(__xludf.DUMMYFUNCTION("""COMPUTED_VALUE"""),43947.99861111111)</f>
        <v>43947.99861</v>
      </c>
      <c r="B1311" s="433">
        <f>IFERROR(__xludf.DUMMYFUNCTION("""COMPUTED_VALUE"""),7701.9)</f>
        <v>7701.9</v>
      </c>
      <c r="C1311" s="434">
        <f>IFERROR(__xludf.DUMMYFUNCTION("""COMPUTED_VALUE"""),43533.99861111111)</f>
        <v>43533.99861</v>
      </c>
      <c r="D1311" s="433">
        <f>IFERROR(__xludf.DUMMYFUNCTION("""COMPUTED_VALUE"""),134.8876)</f>
        <v>134.8876</v>
      </c>
    </row>
    <row r="1312">
      <c r="A1312" s="434">
        <f>IFERROR(__xludf.DUMMYFUNCTION("""COMPUTED_VALUE"""),43948.99861111111)</f>
        <v>43948.99861</v>
      </c>
      <c r="B1312" s="433">
        <f>IFERROR(__xludf.DUMMYFUNCTION("""COMPUTED_VALUE"""),7786.932)</f>
        <v>7786.932</v>
      </c>
      <c r="C1312" s="434">
        <f>IFERROR(__xludf.DUMMYFUNCTION("""COMPUTED_VALUE"""),43534.99861111111)</f>
        <v>43534.99861</v>
      </c>
      <c r="D1312" s="433">
        <f>IFERROR(__xludf.DUMMYFUNCTION("""COMPUTED_VALUE"""),138.1805)</f>
        <v>138.1805</v>
      </c>
    </row>
    <row r="1313">
      <c r="A1313" s="434">
        <f>IFERROR(__xludf.DUMMYFUNCTION("""COMPUTED_VALUE"""),43949.99861111111)</f>
        <v>43949.99861</v>
      </c>
      <c r="B1313" s="433">
        <f>IFERROR(__xludf.DUMMYFUNCTION("""COMPUTED_VALUE"""),7759.237)</f>
        <v>7759.237</v>
      </c>
      <c r="C1313" s="434">
        <f>IFERROR(__xludf.DUMMYFUNCTION("""COMPUTED_VALUE"""),43535.99861111111)</f>
        <v>43535.99861</v>
      </c>
      <c r="D1313" s="433">
        <f>IFERROR(__xludf.DUMMYFUNCTION("""COMPUTED_VALUE"""),136.8495)</f>
        <v>136.8495</v>
      </c>
    </row>
    <row r="1314">
      <c r="A1314" s="434">
        <f>IFERROR(__xludf.DUMMYFUNCTION("""COMPUTED_VALUE"""),43950.99861111111)</f>
        <v>43950.99861</v>
      </c>
      <c r="B1314" s="433">
        <f>IFERROR(__xludf.DUMMYFUNCTION("""COMPUTED_VALUE"""),8778.735)</f>
        <v>8778.735</v>
      </c>
      <c r="C1314" s="434">
        <f>IFERROR(__xludf.DUMMYFUNCTION("""COMPUTED_VALUE"""),43536.99861111111)</f>
        <v>43536.99861</v>
      </c>
      <c r="D1314" s="433">
        <f>IFERROR(__xludf.DUMMYFUNCTION("""COMPUTED_VALUE"""),134.0128)</f>
        <v>134.0128</v>
      </c>
    </row>
    <row r="1315">
      <c r="A1315" s="434">
        <f>IFERROR(__xludf.DUMMYFUNCTION("""COMPUTED_VALUE"""),43951.99861111111)</f>
        <v>43951.99861</v>
      </c>
      <c r="B1315" s="433">
        <f>IFERROR(__xludf.DUMMYFUNCTION("""COMPUTED_VALUE"""),8631.604)</f>
        <v>8631.604</v>
      </c>
      <c r="C1315" s="434">
        <f>IFERROR(__xludf.DUMMYFUNCTION("""COMPUTED_VALUE"""),43537.99861111111)</f>
        <v>43537.99861</v>
      </c>
      <c r="D1315" s="433">
        <f>IFERROR(__xludf.DUMMYFUNCTION("""COMPUTED_VALUE"""),134.6118)</f>
        <v>134.6118</v>
      </c>
    </row>
    <row r="1316">
      <c r="A1316" s="434">
        <f>IFERROR(__xludf.DUMMYFUNCTION("""COMPUTED_VALUE"""),43952.99861111111)</f>
        <v>43952.99861</v>
      </c>
      <c r="B1316" s="433">
        <f>IFERROR(__xludf.DUMMYFUNCTION("""COMPUTED_VALUE"""),8826.523)</f>
        <v>8826.523</v>
      </c>
      <c r="C1316" s="434">
        <f>IFERROR(__xludf.DUMMYFUNCTION("""COMPUTED_VALUE"""),43538.99861111111)</f>
        <v>43538.99861</v>
      </c>
      <c r="D1316" s="433">
        <f>IFERROR(__xludf.DUMMYFUNCTION("""COMPUTED_VALUE"""),133.2039)</f>
        <v>133.2039</v>
      </c>
    </row>
    <row r="1317">
      <c r="A1317" s="434">
        <f>IFERROR(__xludf.DUMMYFUNCTION("""COMPUTED_VALUE"""),43953.99861111111)</f>
        <v>43953.99861</v>
      </c>
      <c r="B1317" s="433">
        <f>IFERROR(__xludf.DUMMYFUNCTION("""COMPUTED_VALUE"""),8978.361)</f>
        <v>8978.361</v>
      </c>
      <c r="C1317" s="434">
        <f>IFERROR(__xludf.DUMMYFUNCTION("""COMPUTED_VALUE"""),43539.99861111111)</f>
        <v>43539.99861</v>
      </c>
      <c r="D1317" s="433">
        <f>IFERROR(__xludf.DUMMYFUNCTION("""COMPUTED_VALUE"""),133.5672)</f>
        <v>133.5672</v>
      </c>
    </row>
    <row r="1318">
      <c r="A1318" s="434">
        <f>IFERROR(__xludf.DUMMYFUNCTION("""COMPUTED_VALUE"""),43954.99861111111)</f>
        <v>43954.99861</v>
      </c>
      <c r="B1318" s="433">
        <f>IFERROR(__xludf.DUMMYFUNCTION("""COMPUTED_VALUE"""),8905.148)</f>
        <v>8905.148</v>
      </c>
      <c r="C1318" s="434">
        <f>IFERROR(__xludf.DUMMYFUNCTION("""COMPUTED_VALUE"""),43540.99861111111)</f>
        <v>43540.99861</v>
      </c>
      <c r="D1318" s="433">
        <f>IFERROR(__xludf.DUMMYFUNCTION("""COMPUTED_VALUE"""),137.912)</f>
        <v>137.912</v>
      </c>
    </row>
    <row r="1319">
      <c r="A1319" s="434">
        <f>IFERROR(__xludf.DUMMYFUNCTION("""COMPUTED_VALUE"""),43955.99861111111)</f>
        <v>43955.99861</v>
      </c>
      <c r="B1319" s="433">
        <f>IFERROR(__xludf.DUMMYFUNCTION("""COMPUTED_VALUE"""),8882.118)</f>
        <v>8882.118</v>
      </c>
      <c r="C1319" s="434">
        <f>IFERROR(__xludf.DUMMYFUNCTION("""COMPUTED_VALUE"""),43541.99861111111)</f>
        <v>43541.99861</v>
      </c>
      <c r="D1319" s="433">
        <f>IFERROR(__xludf.DUMMYFUNCTION("""COMPUTED_VALUE"""),142.2383)</f>
        <v>142.2383</v>
      </c>
    </row>
    <row r="1320">
      <c r="A1320" s="434">
        <f>IFERROR(__xludf.DUMMYFUNCTION("""COMPUTED_VALUE"""),43956.99861111111)</f>
        <v>43956.99861</v>
      </c>
      <c r="B1320" s="433">
        <f>IFERROR(__xludf.DUMMYFUNCTION("""COMPUTED_VALUE"""),9024.511)</f>
        <v>9024.511</v>
      </c>
      <c r="C1320" s="434">
        <f>IFERROR(__xludf.DUMMYFUNCTION("""COMPUTED_VALUE"""),43542.99861111111)</f>
        <v>43542.99861</v>
      </c>
      <c r="D1320" s="433">
        <f>IFERROR(__xludf.DUMMYFUNCTION("""COMPUTED_VALUE"""),140.1049)</f>
        <v>140.1049</v>
      </c>
    </row>
    <row r="1321">
      <c r="A1321" s="434">
        <f>IFERROR(__xludf.DUMMYFUNCTION("""COMPUTED_VALUE"""),43957.99861111111)</f>
        <v>43957.99861</v>
      </c>
      <c r="B1321" s="433">
        <f>IFERROR(__xludf.DUMMYFUNCTION("""COMPUTED_VALUE"""),9153.317)</f>
        <v>9153.317</v>
      </c>
      <c r="C1321" s="434">
        <f>IFERROR(__xludf.DUMMYFUNCTION("""COMPUTED_VALUE"""),43543.99861111111)</f>
        <v>43543.99861</v>
      </c>
      <c r="D1321" s="433">
        <f>IFERROR(__xludf.DUMMYFUNCTION("""COMPUTED_VALUE"""),139.254)</f>
        <v>139.254</v>
      </c>
    </row>
    <row r="1322">
      <c r="A1322" s="434">
        <f>IFERROR(__xludf.DUMMYFUNCTION("""COMPUTED_VALUE"""),43958.99861111111)</f>
        <v>43958.99861</v>
      </c>
      <c r="B1322" s="433">
        <f>IFERROR(__xludf.DUMMYFUNCTION("""COMPUTED_VALUE"""),9986.479)</f>
        <v>9986.479</v>
      </c>
      <c r="C1322" s="434">
        <f>IFERROR(__xludf.DUMMYFUNCTION("""COMPUTED_VALUE"""),43544.99861111111)</f>
        <v>43544.99861</v>
      </c>
      <c r="D1322" s="433">
        <f>IFERROR(__xludf.DUMMYFUNCTION("""COMPUTED_VALUE"""),140.4847)</f>
        <v>140.4847</v>
      </c>
    </row>
    <row r="1323">
      <c r="A1323" s="434">
        <f>IFERROR(__xludf.DUMMYFUNCTION("""COMPUTED_VALUE"""),43959.99861111111)</f>
        <v>43959.99861</v>
      </c>
      <c r="B1323" s="433">
        <f>IFERROR(__xludf.DUMMYFUNCTION("""COMPUTED_VALUE"""),9807.23)</f>
        <v>9807.23</v>
      </c>
      <c r="C1323" s="434">
        <f>IFERROR(__xludf.DUMMYFUNCTION("""COMPUTED_VALUE"""),43545.99861111111)</f>
        <v>43545.99861</v>
      </c>
      <c r="D1323" s="433">
        <f>IFERROR(__xludf.DUMMYFUNCTION("""COMPUTED_VALUE"""),140.4785)</f>
        <v>140.4785</v>
      </c>
    </row>
    <row r="1324">
      <c r="A1324" s="434">
        <f>IFERROR(__xludf.DUMMYFUNCTION("""COMPUTED_VALUE"""),43960.99861111111)</f>
        <v>43960.99861</v>
      </c>
      <c r="B1324" s="433">
        <f>IFERROR(__xludf.DUMMYFUNCTION("""COMPUTED_VALUE"""),9537.408)</f>
        <v>9537.408</v>
      </c>
      <c r="C1324" s="434">
        <f>IFERROR(__xludf.DUMMYFUNCTION("""COMPUTED_VALUE"""),43546.99861111111)</f>
        <v>43546.99861</v>
      </c>
      <c r="D1324" s="433">
        <f>IFERROR(__xludf.DUMMYFUNCTION("""COMPUTED_VALUE"""),136.5623)</f>
        <v>136.5623</v>
      </c>
    </row>
    <row r="1325">
      <c r="A1325" s="434">
        <f>IFERROR(__xludf.DUMMYFUNCTION("""COMPUTED_VALUE"""),43961.99861111111)</f>
        <v>43961.99861</v>
      </c>
      <c r="B1325" s="433">
        <f>IFERROR(__xludf.DUMMYFUNCTION("""COMPUTED_VALUE"""),8737.619)</f>
        <v>8737.619</v>
      </c>
      <c r="C1325" s="434">
        <f>IFERROR(__xludf.DUMMYFUNCTION("""COMPUTED_VALUE"""),43547.99861111111)</f>
        <v>43547.99861</v>
      </c>
      <c r="D1325" s="433">
        <f>IFERROR(__xludf.DUMMYFUNCTION("""COMPUTED_VALUE"""),137.0399)</f>
        <v>137.0399</v>
      </c>
    </row>
    <row r="1326">
      <c r="A1326" s="434">
        <f>IFERROR(__xludf.DUMMYFUNCTION("""COMPUTED_VALUE"""),43962.99861111111)</f>
        <v>43962.99861</v>
      </c>
      <c r="B1326" s="433">
        <f>IFERROR(__xludf.DUMMYFUNCTION("""COMPUTED_VALUE"""),8572.2)</f>
        <v>8572.2</v>
      </c>
      <c r="C1326" s="434">
        <f>IFERROR(__xludf.DUMMYFUNCTION("""COMPUTED_VALUE"""),43548.99861111111)</f>
        <v>43548.99861</v>
      </c>
      <c r="D1326" s="433">
        <f>IFERROR(__xludf.DUMMYFUNCTION("""COMPUTED_VALUE"""),138.3154)</f>
        <v>138.3154</v>
      </c>
    </row>
    <row r="1327">
      <c r="A1327" s="434">
        <f>IFERROR(__xludf.DUMMYFUNCTION("""COMPUTED_VALUE"""),43963.99861111111)</f>
        <v>43963.99861</v>
      </c>
      <c r="B1327" s="433">
        <f>IFERROR(__xludf.DUMMYFUNCTION("""COMPUTED_VALUE"""),8819.002)</f>
        <v>8819.002</v>
      </c>
      <c r="C1327" s="434">
        <f>IFERROR(__xludf.DUMMYFUNCTION("""COMPUTED_VALUE"""),43549.99861111111)</f>
        <v>43549.99861</v>
      </c>
      <c r="D1327" s="433">
        <f>IFERROR(__xludf.DUMMYFUNCTION("""COMPUTED_VALUE"""),137.0814)</f>
        <v>137.0814</v>
      </c>
    </row>
    <row r="1328">
      <c r="A1328" s="434">
        <f>IFERROR(__xludf.DUMMYFUNCTION("""COMPUTED_VALUE"""),43964.99861111111)</f>
        <v>43964.99861</v>
      </c>
      <c r="B1328" s="433">
        <f>IFERROR(__xludf.DUMMYFUNCTION("""COMPUTED_VALUE"""),9316.817)</f>
        <v>9316.817</v>
      </c>
      <c r="C1328" s="434">
        <f>IFERROR(__xludf.DUMMYFUNCTION("""COMPUTED_VALUE"""),43550.99861111111)</f>
        <v>43550.99861</v>
      </c>
      <c r="D1328" s="433">
        <f>IFERROR(__xludf.DUMMYFUNCTION("""COMPUTED_VALUE"""),135.0543)</f>
        <v>135.0543</v>
      </c>
    </row>
    <row r="1329">
      <c r="A1329" s="434">
        <f>IFERROR(__xludf.DUMMYFUNCTION("""COMPUTED_VALUE"""),43965.99861111111)</f>
        <v>43965.99861</v>
      </c>
      <c r="B1329" s="433">
        <f>IFERROR(__xludf.DUMMYFUNCTION("""COMPUTED_VALUE"""),9790.999)</f>
        <v>9790.999</v>
      </c>
      <c r="C1329" s="434">
        <f>IFERROR(__xludf.DUMMYFUNCTION("""COMPUTED_VALUE"""),43551.99861111111)</f>
        <v>43551.99861</v>
      </c>
      <c r="D1329" s="433">
        <f>IFERROR(__xludf.DUMMYFUNCTION("""COMPUTED_VALUE"""),135.4544)</f>
        <v>135.4544</v>
      </c>
    </row>
    <row r="1330">
      <c r="A1330" s="434">
        <f>IFERROR(__xludf.DUMMYFUNCTION("""COMPUTED_VALUE"""),43966.99861111111)</f>
        <v>43966.99861</v>
      </c>
      <c r="B1330" s="433">
        <f>IFERROR(__xludf.DUMMYFUNCTION("""COMPUTED_VALUE"""),9309.325)</f>
        <v>9309.325</v>
      </c>
      <c r="C1330" s="434">
        <f>IFERROR(__xludf.DUMMYFUNCTION("""COMPUTED_VALUE"""),43552.99861111111)</f>
        <v>43552.99861</v>
      </c>
      <c r="D1330" s="433">
        <f>IFERROR(__xludf.DUMMYFUNCTION("""COMPUTED_VALUE"""),140.8557)</f>
        <v>140.8557</v>
      </c>
    </row>
    <row r="1331">
      <c r="A1331" s="434">
        <f>IFERROR(__xludf.DUMMYFUNCTION("""COMPUTED_VALUE"""),43967.99861111111)</f>
        <v>43967.99861</v>
      </c>
      <c r="B1331" s="433">
        <f>IFERROR(__xludf.DUMMYFUNCTION("""COMPUTED_VALUE"""),9383.021)</f>
        <v>9383.021</v>
      </c>
      <c r="C1331" s="434">
        <f>IFERROR(__xludf.DUMMYFUNCTION("""COMPUTED_VALUE"""),43553.99861111111)</f>
        <v>43553.99861</v>
      </c>
      <c r="D1331" s="433">
        <f>IFERROR(__xludf.DUMMYFUNCTION("""COMPUTED_VALUE"""),139.4527)</f>
        <v>139.4527</v>
      </c>
    </row>
    <row r="1332">
      <c r="A1332" s="434">
        <f>IFERROR(__xludf.DUMMYFUNCTION("""COMPUTED_VALUE"""),43968.99861111111)</f>
        <v>43968.99861</v>
      </c>
      <c r="B1332" s="433">
        <f>IFERROR(__xludf.DUMMYFUNCTION("""COMPUTED_VALUE"""),9670.41)</f>
        <v>9670.41</v>
      </c>
      <c r="C1332" s="434">
        <f>IFERROR(__xludf.DUMMYFUNCTION("""COMPUTED_VALUE"""),43554.99861111111)</f>
        <v>43554.99861</v>
      </c>
      <c r="D1332" s="433">
        <f>IFERROR(__xludf.DUMMYFUNCTION("""COMPUTED_VALUE"""),142.5396)</f>
        <v>142.5396</v>
      </c>
    </row>
    <row r="1333">
      <c r="A1333" s="434">
        <f>IFERROR(__xludf.DUMMYFUNCTION("""COMPUTED_VALUE"""),43969.99861111111)</f>
        <v>43969.99861</v>
      </c>
      <c r="B1333" s="433">
        <f>IFERROR(__xludf.DUMMYFUNCTION("""COMPUTED_VALUE"""),9723.12)</f>
        <v>9723.12</v>
      </c>
      <c r="C1333" s="434">
        <f>IFERROR(__xludf.DUMMYFUNCTION("""COMPUTED_VALUE"""),43555.99861111111)</f>
        <v>43555.99861</v>
      </c>
      <c r="D1333" s="433">
        <f>IFERROR(__xludf.DUMMYFUNCTION("""COMPUTED_VALUE"""),142.173)</f>
        <v>142.173</v>
      </c>
    </row>
    <row r="1334">
      <c r="A1334" s="434">
        <f>IFERROR(__xludf.DUMMYFUNCTION("""COMPUTED_VALUE"""),43970.99861111111)</f>
        <v>43970.99861</v>
      </c>
      <c r="B1334" s="433">
        <f>IFERROR(__xludf.DUMMYFUNCTION("""COMPUTED_VALUE"""),9776.365)</f>
        <v>9776.365</v>
      </c>
      <c r="C1334" s="434">
        <f>IFERROR(__xludf.DUMMYFUNCTION("""COMPUTED_VALUE"""),43556.99861111111)</f>
        <v>43556.99861</v>
      </c>
      <c r="D1334" s="433">
        <f>IFERROR(__xludf.DUMMYFUNCTION("""COMPUTED_VALUE"""),141.3922)</f>
        <v>141.3922</v>
      </c>
    </row>
    <row r="1335">
      <c r="A1335" s="434">
        <f>IFERROR(__xludf.DUMMYFUNCTION("""COMPUTED_VALUE"""),43971.99861111111)</f>
        <v>43971.99861</v>
      </c>
      <c r="B1335" s="433">
        <f>IFERROR(__xludf.DUMMYFUNCTION("""COMPUTED_VALUE"""),9507.138)</f>
        <v>9507.138</v>
      </c>
      <c r="C1335" s="434">
        <f>IFERROR(__xludf.DUMMYFUNCTION("""COMPUTED_VALUE"""),43557.99861111111)</f>
        <v>43557.99861</v>
      </c>
      <c r="D1335" s="433">
        <f>IFERROR(__xludf.DUMMYFUNCTION("""COMPUTED_VALUE"""),141.6926)</f>
        <v>141.6926</v>
      </c>
    </row>
    <row r="1336">
      <c r="A1336" s="434">
        <f>IFERROR(__xludf.DUMMYFUNCTION("""COMPUTED_VALUE"""),43972.99861111111)</f>
        <v>43972.99861</v>
      </c>
      <c r="B1336" s="433">
        <f>IFERROR(__xludf.DUMMYFUNCTION("""COMPUTED_VALUE"""),9057.211)</f>
        <v>9057.211</v>
      </c>
      <c r="C1336" s="434">
        <f>IFERROR(__xludf.DUMMYFUNCTION("""COMPUTED_VALUE"""),43558.99861111111)</f>
        <v>43558.99861</v>
      </c>
      <c r="D1336" s="433">
        <f>IFERROR(__xludf.DUMMYFUNCTION("""COMPUTED_VALUE"""),163.862)</f>
        <v>163.862</v>
      </c>
    </row>
    <row r="1337">
      <c r="A1337" s="434">
        <f>IFERROR(__xludf.DUMMYFUNCTION("""COMPUTED_VALUE"""),43973.99861111111)</f>
        <v>43973.99861</v>
      </c>
      <c r="B1337" s="433">
        <f>IFERROR(__xludf.DUMMYFUNCTION("""COMPUTED_VALUE"""),9167.151)</f>
        <v>9167.151</v>
      </c>
      <c r="C1337" s="434">
        <f>IFERROR(__xludf.DUMMYFUNCTION("""COMPUTED_VALUE"""),43559.99861111111)</f>
        <v>43559.99861</v>
      </c>
      <c r="D1337" s="433">
        <f>IFERROR(__xludf.DUMMYFUNCTION("""COMPUTED_VALUE"""),161.3185)</f>
        <v>161.3185</v>
      </c>
    </row>
    <row r="1338">
      <c r="A1338" s="434">
        <f>IFERROR(__xludf.DUMMYFUNCTION("""COMPUTED_VALUE"""),43974.99861111111)</f>
        <v>43974.99861</v>
      </c>
      <c r="B1338" s="433">
        <f>IFERROR(__xludf.DUMMYFUNCTION("""COMPUTED_VALUE"""),9177.639)</f>
        <v>9177.639</v>
      </c>
      <c r="C1338" s="434">
        <f>IFERROR(__xludf.DUMMYFUNCTION("""COMPUTED_VALUE"""),43560.99861111111)</f>
        <v>43560.99861</v>
      </c>
      <c r="D1338" s="433">
        <f>IFERROR(__xludf.DUMMYFUNCTION("""COMPUTED_VALUE"""),158.0642)</f>
        <v>158.0642</v>
      </c>
    </row>
    <row r="1339">
      <c r="A1339" s="434">
        <f>IFERROR(__xludf.DUMMYFUNCTION("""COMPUTED_VALUE"""),43975.99861111111)</f>
        <v>43975.99861</v>
      </c>
      <c r="B1339" s="433">
        <f>IFERROR(__xludf.DUMMYFUNCTION("""COMPUTED_VALUE"""),8718.602)</f>
        <v>8718.602</v>
      </c>
      <c r="C1339" s="434">
        <f>IFERROR(__xludf.DUMMYFUNCTION("""COMPUTED_VALUE"""),43561.99861111111)</f>
        <v>43561.99861</v>
      </c>
      <c r="D1339" s="433">
        <f>IFERROR(__xludf.DUMMYFUNCTION("""COMPUTED_VALUE"""),165.2324)</f>
        <v>165.2324</v>
      </c>
    </row>
    <row r="1340">
      <c r="A1340" s="434">
        <f>IFERROR(__xludf.DUMMYFUNCTION("""COMPUTED_VALUE"""),43976.99861111111)</f>
        <v>43976.99861</v>
      </c>
      <c r="B1340" s="433">
        <f>IFERROR(__xludf.DUMMYFUNCTION("""COMPUTED_VALUE"""),8898.196)</f>
        <v>8898.196</v>
      </c>
      <c r="C1340" s="434">
        <f>IFERROR(__xludf.DUMMYFUNCTION("""COMPUTED_VALUE"""),43562.99861111111)</f>
        <v>43562.99861</v>
      </c>
      <c r="D1340" s="433">
        <f>IFERROR(__xludf.DUMMYFUNCTION("""COMPUTED_VALUE"""),166.0549)</f>
        <v>166.0549</v>
      </c>
    </row>
    <row r="1341">
      <c r="A1341" s="434">
        <f>IFERROR(__xludf.DUMMYFUNCTION("""COMPUTED_VALUE"""),43977.99861111111)</f>
        <v>43977.99861</v>
      </c>
      <c r="B1341" s="433">
        <f>IFERROR(__xludf.DUMMYFUNCTION("""COMPUTED_VALUE"""),8843.262)</f>
        <v>8843.262</v>
      </c>
      <c r="C1341" s="434">
        <f>IFERROR(__xludf.DUMMYFUNCTION("""COMPUTED_VALUE"""),43563.99861111111)</f>
        <v>43563.99861</v>
      </c>
      <c r="D1341" s="433">
        <f>IFERROR(__xludf.DUMMYFUNCTION("""COMPUTED_VALUE"""),174.3325)</f>
        <v>174.3325</v>
      </c>
    </row>
    <row r="1342">
      <c r="A1342" s="434">
        <f>IFERROR(__xludf.DUMMYFUNCTION("""COMPUTED_VALUE"""),43978.99861111111)</f>
        <v>43978.99861</v>
      </c>
      <c r="B1342" s="433">
        <f>IFERROR(__xludf.DUMMYFUNCTION("""COMPUTED_VALUE"""),9204.457)</f>
        <v>9204.457</v>
      </c>
      <c r="C1342" s="434">
        <f>IFERROR(__xludf.DUMMYFUNCTION("""COMPUTED_VALUE"""),43564.99861111111)</f>
        <v>43564.99861</v>
      </c>
      <c r="D1342" s="433">
        <f>IFERROR(__xludf.DUMMYFUNCTION("""COMPUTED_VALUE"""),179.8909)</f>
        <v>179.8909</v>
      </c>
    </row>
    <row r="1343">
      <c r="A1343" s="434">
        <f>IFERROR(__xludf.DUMMYFUNCTION("""COMPUTED_VALUE"""),43979.99861111111)</f>
        <v>43979.99861</v>
      </c>
      <c r="B1343" s="433">
        <f>IFERROR(__xludf.DUMMYFUNCTION("""COMPUTED_VALUE"""),9569.422)</f>
        <v>9569.422</v>
      </c>
      <c r="C1343" s="434">
        <f>IFERROR(__xludf.DUMMYFUNCTION("""COMPUTED_VALUE"""),43565.99861111111)</f>
        <v>43565.99861</v>
      </c>
      <c r="D1343" s="433">
        <f>IFERROR(__xludf.DUMMYFUNCTION("""COMPUTED_VALUE"""),176.0027)</f>
        <v>176.0027</v>
      </c>
    </row>
    <row r="1344">
      <c r="A1344" s="434">
        <f>IFERROR(__xludf.DUMMYFUNCTION("""COMPUTED_VALUE"""),43980.99861111111)</f>
        <v>43980.99861</v>
      </c>
      <c r="B1344" s="433">
        <f>IFERROR(__xludf.DUMMYFUNCTION("""COMPUTED_VALUE"""),9423.919)</f>
        <v>9423.919</v>
      </c>
      <c r="C1344" s="434">
        <f>IFERROR(__xludf.DUMMYFUNCTION("""COMPUTED_VALUE"""),43566.99861111111)</f>
        <v>43566.99861</v>
      </c>
      <c r="D1344" s="433">
        <f>IFERROR(__xludf.DUMMYFUNCTION("""COMPUTED_VALUE"""),177.4875)</f>
        <v>177.4875</v>
      </c>
    </row>
    <row r="1345">
      <c r="A1345" s="434">
        <f>IFERROR(__xludf.DUMMYFUNCTION("""COMPUTED_VALUE"""),43981.99861111111)</f>
        <v>43981.99861</v>
      </c>
      <c r="B1345" s="433">
        <f>IFERROR(__xludf.DUMMYFUNCTION("""COMPUTED_VALUE"""),9699.125)</f>
        <v>9699.125</v>
      </c>
      <c r="C1345" s="434">
        <f>IFERROR(__xludf.DUMMYFUNCTION("""COMPUTED_VALUE"""),43567.99861111111)</f>
        <v>43567.99861</v>
      </c>
      <c r="D1345" s="433">
        <f>IFERROR(__xludf.DUMMYFUNCTION("""COMPUTED_VALUE"""),165.1575)</f>
        <v>165.1575</v>
      </c>
    </row>
    <row r="1346">
      <c r="A1346" s="434">
        <f>IFERROR(__xludf.DUMMYFUNCTION("""COMPUTED_VALUE"""),43982.99861111111)</f>
        <v>43982.99861</v>
      </c>
      <c r="B1346" s="433">
        <f>IFERROR(__xludf.DUMMYFUNCTION("""COMPUTED_VALUE"""),9447.014)</f>
        <v>9447.014</v>
      </c>
      <c r="C1346" s="434">
        <f>IFERROR(__xludf.DUMMYFUNCTION("""COMPUTED_VALUE"""),43568.99861111111)</f>
        <v>43568.99861</v>
      </c>
      <c r="D1346" s="433">
        <f>IFERROR(__xludf.DUMMYFUNCTION("""COMPUTED_VALUE"""),164.449)</f>
        <v>164.449</v>
      </c>
    </row>
    <row r="1347">
      <c r="A1347" s="434">
        <f>IFERROR(__xludf.DUMMYFUNCTION("""COMPUTED_VALUE"""),43983.99861111111)</f>
        <v>43983.99861</v>
      </c>
      <c r="B1347" s="433">
        <f>IFERROR(__xludf.DUMMYFUNCTION("""COMPUTED_VALUE"""),10208.94)</f>
        <v>10208.94</v>
      </c>
      <c r="C1347" s="434">
        <f>IFERROR(__xludf.DUMMYFUNCTION("""COMPUTED_VALUE"""),43569.99861111111)</f>
        <v>43569.99861</v>
      </c>
      <c r="D1347" s="433">
        <f>IFERROR(__xludf.DUMMYFUNCTION("""COMPUTED_VALUE"""),164.3928)</f>
        <v>164.3928</v>
      </c>
    </row>
    <row r="1348">
      <c r="A1348" s="434">
        <f>IFERROR(__xludf.DUMMYFUNCTION("""COMPUTED_VALUE"""),43984.99861111111)</f>
        <v>43984.99861</v>
      </c>
      <c r="B1348" s="433">
        <f>IFERROR(__xludf.DUMMYFUNCTION("""COMPUTED_VALUE"""),9526.071)</f>
        <v>9526.071</v>
      </c>
      <c r="C1348" s="434">
        <f>IFERROR(__xludf.DUMMYFUNCTION("""COMPUTED_VALUE"""),43570.99861111111)</f>
        <v>43570.99861</v>
      </c>
      <c r="D1348" s="433">
        <f>IFERROR(__xludf.DUMMYFUNCTION("""COMPUTED_VALUE"""),168.0883)</f>
        <v>168.0883</v>
      </c>
    </row>
    <row r="1349">
      <c r="A1349" s="434">
        <f>IFERROR(__xludf.DUMMYFUNCTION("""COMPUTED_VALUE"""),43985.99861111111)</f>
        <v>43985.99861</v>
      </c>
      <c r="B1349" s="433">
        <f>IFERROR(__xludf.DUMMYFUNCTION("""COMPUTED_VALUE"""),9663.929)</f>
        <v>9663.929</v>
      </c>
      <c r="C1349" s="434">
        <f>IFERROR(__xludf.DUMMYFUNCTION("""COMPUTED_VALUE"""),43571.99861111111)</f>
        <v>43571.99861</v>
      </c>
      <c r="D1349" s="433">
        <f>IFERROR(__xludf.DUMMYFUNCTION("""COMPUTED_VALUE"""),161.2141)</f>
        <v>161.2141</v>
      </c>
    </row>
    <row r="1350">
      <c r="A1350" s="434">
        <f>IFERROR(__xludf.DUMMYFUNCTION("""COMPUTED_VALUE"""),43986.99861111111)</f>
        <v>43986.99861</v>
      </c>
      <c r="B1350" s="433">
        <f>IFERROR(__xludf.DUMMYFUNCTION("""COMPUTED_VALUE"""),9791.522)</f>
        <v>9791.522</v>
      </c>
      <c r="C1350" s="434">
        <f>IFERROR(__xludf.DUMMYFUNCTION("""COMPUTED_VALUE"""),43572.99861111111)</f>
        <v>43572.99861</v>
      </c>
      <c r="D1350" s="433">
        <f>IFERROR(__xludf.DUMMYFUNCTION("""COMPUTED_VALUE"""),167.417)</f>
        <v>167.417</v>
      </c>
    </row>
    <row r="1351">
      <c r="A1351" s="434">
        <f>IFERROR(__xludf.DUMMYFUNCTION("""COMPUTED_VALUE"""),43987.99861111111)</f>
        <v>43987.99861</v>
      </c>
      <c r="B1351" s="433">
        <f>IFERROR(__xludf.DUMMYFUNCTION("""COMPUTED_VALUE"""),9617.062)</f>
        <v>9617.062</v>
      </c>
      <c r="C1351" s="434">
        <f>IFERROR(__xludf.DUMMYFUNCTION("""COMPUTED_VALUE"""),43573.99861111111)</f>
        <v>43573.99861</v>
      </c>
      <c r="D1351" s="433">
        <f>IFERROR(__xludf.DUMMYFUNCTION("""COMPUTED_VALUE"""),166.9939)</f>
        <v>166.9939</v>
      </c>
    </row>
    <row r="1352">
      <c r="A1352" s="434">
        <f>IFERROR(__xludf.DUMMYFUNCTION("""COMPUTED_VALUE"""),43988.99861111111)</f>
        <v>43988.99861</v>
      </c>
      <c r="B1352" s="433">
        <f>IFERROR(__xludf.DUMMYFUNCTION("""COMPUTED_VALUE"""),9668.083)</f>
        <v>9668.083</v>
      </c>
      <c r="C1352" s="434">
        <f>IFERROR(__xludf.DUMMYFUNCTION("""COMPUTED_VALUE"""),43574.99861111111)</f>
        <v>43574.99861</v>
      </c>
      <c r="D1352" s="433">
        <f>IFERROR(__xludf.DUMMYFUNCTION("""COMPUTED_VALUE"""),173.7651)</f>
        <v>173.7651</v>
      </c>
    </row>
    <row r="1353">
      <c r="A1353" s="434">
        <f>IFERROR(__xludf.DUMMYFUNCTION("""COMPUTED_VALUE"""),43989.99861111111)</f>
        <v>43989.99861</v>
      </c>
      <c r="B1353" s="433">
        <f>IFERROR(__xludf.DUMMYFUNCTION("""COMPUTED_VALUE"""),9750.416)</f>
        <v>9750.416</v>
      </c>
      <c r="C1353" s="434">
        <f>IFERROR(__xludf.DUMMYFUNCTION("""COMPUTED_VALUE"""),43575.99861111111)</f>
        <v>43575.99861</v>
      </c>
      <c r="D1353" s="433">
        <f>IFERROR(__xludf.DUMMYFUNCTION("""COMPUTED_VALUE"""),173.8252)</f>
        <v>173.8252</v>
      </c>
    </row>
    <row r="1354">
      <c r="A1354" s="434">
        <f>IFERROR(__xludf.DUMMYFUNCTION("""COMPUTED_VALUE"""),43990.99861111111)</f>
        <v>43990.99861</v>
      </c>
      <c r="B1354" s="433">
        <f>IFERROR(__xludf.DUMMYFUNCTION("""COMPUTED_VALUE"""),9781.072)</f>
        <v>9781.072</v>
      </c>
      <c r="C1354" s="434">
        <f>IFERROR(__xludf.DUMMYFUNCTION("""COMPUTED_VALUE"""),43576.99861111111)</f>
        <v>43576.99861</v>
      </c>
      <c r="D1354" s="433">
        <f>IFERROR(__xludf.DUMMYFUNCTION("""COMPUTED_VALUE"""),173.8305)</f>
        <v>173.8305</v>
      </c>
    </row>
    <row r="1355">
      <c r="A1355" s="434">
        <f>IFERROR(__xludf.DUMMYFUNCTION("""COMPUTED_VALUE"""),43991.99861111111)</f>
        <v>43991.99861</v>
      </c>
      <c r="B1355" s="433">
        <f>IFERROR(__xludf.DUMMYFUNCTION("""COMPUTED_VALUE"""),9775.808)</f>
        <v>9775.808</v>
      </c>
      <c r="C1355" s="434">
        <f>IFERROR(__xludf.DUMMYFUNCTION("""COMPUTED_VALUE"""),43577.99861111111)</f>
        <v>43577.99861</v>
      </c>
      <c r="D1355" s="433">
        <f>IFERROR(__xludf.DUMMYFUNCTION("""COMPUTED_VALUE"""),169.9155)</f>
        <v>169.9155</v>
      </c>
    </row>
    <row r="1356">
      <c r="A1356" s="434">
        <f>IFERROR(__xludf.DUMMYFUNCTION("""COMPUTED_VALUE"""),43992.99861111111)</f>
        <v>43992.99861</v>
      </c>
      <c r="B1356" s="433">
        <f>IFERROR(__xludf.DUMMYFUNCTION("""COMPUTED_VALUE"""),9892.517)</f>
        <v>9892.517</v>
      </c>
      <c r="C1356" s="434">
        <f>IFERROR(__xludf.DUMMYFUNCTION("""COMPUTED_VALUE"""),43578.99861111111)</f>
        <v>43578.99861</v>
      </c>
      <c r="D1356" s="433">
        <f>IFERROR(__xludf.DUMMYFUNCTION("""COMPUTED_VALUE"""),171.9545)</f>
        <v>171.9545</v>
      </c>
    </row>
    <row r="1357">
      <c r="A1357" s="434">
        <f>IFERROR(__xludf.DUMMYFUNCTION("""COMPUTED_VALUE"""),43993.99861111111)</f>
        <v>43993.99861</v>
      </c>
      <c r="B1357" s="433">
        <f>IFERROR(__xludf.DUMMYFUNCTION("""COMPUTED_VALUE"""),9268.878)</f>
        <v>9268.878</v>
      </c>
      <c r="C1357" s="434">
        <f>IFERROR(__xludf.DUMMYFUNCTION("""COMPUTED_VALUE"""),43579.99861111111)</f>
        <v>43579.99861</v>
      </c>
      <c r="D1357" s="433">
        <f>IFERROR(__xludf.DUMMYFUNCTION("""COMPUTED_VALUE"""),171.009)</f>
        <v>171.009</v>
      </c>
    </row>
    <row r="1358">
      <c r="A1358" s="434">
        <f>IFERROR(__xludf.DUMMYFUNCTION("""COMPUTED_VALUE"""),43994.99861111111)</f>
        <v>43994.99861</v>
      </c>
      <c r="B1358" s="433">
        <f>IFERROR(__xludf.DUMMYFUNCTION("""COMPUTED_VALUE"""),9463.174)</f>
        <v>9463.174</v>
      </c>
      <c r="C1358" s="434">
        <f>IFERROR(__xludf.DUMMYFUNCTION("""COMPUTED_VALUE"""),43580.99861111111)</f>
        <v>43580.99861</v>
      </c>
      <c r="D1358" s="433">
        <f>IFERROR(__xludf.DUMMYFUNCTION("""COMPUTED_VALUE"""),165.8422)</f>
        <v>165.8422</v>
      </c>
    </row>
    <row r="1359">
      <c r="A1359" s="434">
        <f>IFERROR(__xludf.DUMMYFUNCTION("""COMPUTED_VALUE"""),43995.99861111111)</f>
        <v>43995.99861</v>
      </c>
      <c r="B1359" s="433">
        <f>IFERROR(__xludf.DUMMYFUNCTION("""COMPUTED_VALUE"""),9475.087)</f>
        <v>9475.087</v>
      </c>
      <c r="C1359" s="434">
        <f>IFERROR(__xludf.DUMMYFUNCTION("""COMPUTED_VALUE"""),43581.99861111111)</f>
        <v>43581.99861</v>
      </c>
      <c r="D1359" s="433">
        <f>IFERROR(__xludf.DUMMYFUNCTION("""COMPUTED_VALUE"""),154.527)</f>
        <v>154.527</v>
      </c>
    </row>
    <row r="1360">
      <c r="A1360" s="434">
        <f>IFERROR(__xludf.DUMMYFUNCTION("""COMPUTED_VALUE"""),43996.99861111111)</f>
        <v>43996.99861</v>
      </c>
      <c r="B1360" s="433">
        <f>IFERROR(__xludf.DUMMYFUNCTION("""COMPUTED_VALUE"""),9332.431)</f>
        <v>9332.431</v>
      </c>
      <c r="C1360" s="434">
        <f>IFERROR(__xludf.DUMMYFUNCTION("""COMPUTED_VALUE"""),43582.99861111111)</f>
        <v>43582.99861</v>
      </c>
      <c r="D1360" s="433">
        <f>IFERROR(__xludf.DUMMYFUNCTION("""COMPUTED_VALUE"""),156.587)</f>
        <v>156.587</v>
      </c>
    </row>
    <row r="1361">
      <c r="A1361" s="434">
        <f>IFERROR(__xludf.DUMMYFUNCTION("""COMPUTED_VALUE"""),43997.99861111111)</f>
        <v>43997.99861</v>
      </c>
      <c r="B1361" s="433">
        <f>IFERROR(__xludf.DUMMYFUNCTION("""COMPUTED_VALUE"""),9426.189)</f>
        <v>9426.189</v>
      </c>
      <c r="C1361" s="434">
        <f>IFERROR(__xludf.DUMMYFUNCTION("""COMPUTED_VALUE"""),43583.99861111111)</f>
        <v>43583.99861</v>
      </c>
      <c r="D1361" s="433">
        <f>IFERROR(__xludf.DUMMYFUNCTION("""COMPUTED_VALUE"""),158.3368)</f>
        <v>158.3368</v>
      </c>
    </row>
    <row r="1362">
      <c r="A1362" s="434">
        <f>IFERROR(__xludf.DUMMYFUNCTION("""COMPUTED_VALUE"""),43998.99861111111)</f>
        <v>43998.99861</v>
      </c>
      <c r="B1362" s="433">
        <f>IFERROR(__xludf.DUMMYFUNCTION("""COMPUTED_VALUE"""),9526.845)</f>
        <v>9526.845</v>
      </c>
      <c r="C1362" s="434">
        <f>IFERROR(__xludf.DUMMYFUNCTION("""COMPUTED_VALUE"""),43584.99861111111)</f>
        <v>43584.99861</v>
      </c>
      <c r="D1362" s="433">
        <f>IFERROR(__xludf.DUMMYFUNCTION("""COMPUTED_VALUE"""),157.3059)</f>
        <v>157.3059</v>
      </c>
    </row>
    <row r="1363">
      <c r="A1363" s="434">
        <f>IFERROR(__xludf.DUMMYFUNCTION("""COMPUTED_VALUE"""),43999.99861111111)</f>
        <v>43999.99861</v>
      </c>
      <c r="B1363" s="433">
        <f>IFERROR(__xludf.DUMMYFUNCTION("""COMPUTED_VALUE"""),9457.544)</f>
        <v>9457.544</v>
      </c>
      <c r="C1363" s="434">
        <f>IFERROR(__xludf.DUMMYFUNCTION("""COMPUTED_VALUE"""),43585.99861111111)</f>
        <v>43585.99861</v>
      </c>
      <c r="D1363" s="433">
        <f>IFERROR(__xludf.DUMMYFUNCTION("""COMPUTED_VALUE"""),155.283)</f>
        <v>155.283</v>
      </c>
    </row>
    <row r="1364">
      <c r="A1364" s="434">
        <f>IFERROR(__xludf.DUMMYFUNCTION("""COMPUTED_VALUE"""),44000.99861111111)</f>
        <v>44000.99861</v>
      </c>
      <c r="B1364" s="433">
        <f>IFERROR(__xludf.DUMMYFUNCTION("""COMPUTED_VALUE"""),9380.774)</f>
        <v>9380.774</v>
      </c>
      <c r="C1364" s="434">
        <f>IFERROR(__xludf.DUMMYFUNCTION("""COMPUTED_VALUE"""),43586.99861111111)</f>
        <v>43586.99861</v>
      </c>
      <c r="D1364" s="433">
        <f>IFERROR(__xludf.DUMMYFUNCTION("""COMPUTED_VALUE"""),162.3244)</f>
        <v>162.3244</v>
      </c>
    </row>
    <row r="1365">
      <c r="A1365" s="434">
        <f>IFERROR(__xludf.DUMMYFUNCTION("""COMPUTED_VALUE"""),44001.99861111111)</f>
        <v>44001.99861</v>
      </c>
      <c r="B1365" s="433">
        <f>IFERROR(__xludf.DUMMYFUNCTION("""COMPUTED_VALUE"""),9301.495)</f>
        <v>9301.495</v>
      </c>
      <c r="C1365" s="434">
        <f>IFERROR(__xludf.DUMMYFUNCTION("""COMPUTED_VALUE"""),43587.99861111111)</f>
        <v>43587.99861</v>
      </c>
      <c r="D1365" s="433">
        <f>IFERROR(__xludf.DUMMYFUNCTION("""COMPUTED_VALUE"""),160.8335)</f>
        <v>160.8335</v>
      </c>
    </row>
    <row r="1366">
      <c r="A1366" s="434">
        <f>IFERROR(__xludf.DUMMYFUNCTION("""COMPUTED_VALUE"""),44002.99861111111)</f>
        <v>44002.99861</v>
      </c>
      <c r="B1366" s="433">
        <f>IFERROR(__xludf.DUMMYFUNCTION("""COMPUTED_VALUE"""),9358.458)</f>
        <v>9358.458</v>
      </c>
      <c r="C1366" s="434">
        <f>IFERROR(__xludf.DUMMYFUNCTION("""COMPUTED_VALUE"""),43588.99861111111)</f>
        <v>43588.99861</v>
      </c>
      <c r="D1366" s="433">
        <f>IFERROR(__xludf.DUMMYFUNCTION("""COMPUTED_VALUE"""),161.9719)</f>
        <v>161.9719</v>
      </c>
    </row>
    <row r="1367">
      <c r="A1367" s="434">
        <f>IFERROR(__xludf.DUMMYFUNCTION("""COMPUTED_VALUE"""),44003.99861111111)</f>
        <v>44003.99861</v>
      </c>
      <c r="B1367" s="433">
        <f>IFERROR(__xludf.DUMMYFUNCTION("""COMPUTED_VALUE"""),9287.954)</f>
        <v>9287.954</v>
      </c>
      <c r="C1367" s="434">
        <f>IFERROR(__xludf.DUMMYFUNCTION("""COMPUTED_VALUE"""),43589.99861111111)</f>
        <v>43589.99861</v>
      </c>
      <c r="D1367" s="433">
        <f>IFERROR(__xludf.DUMMYFUNCTION("""COMPUTED_VALUE"""),167.9601)</f>
        <v>167.9601</v>
      </c>
    </row>
    <row r="1368">
      <c r="A1368" s="434">
        <f>IFERROR(__xludf.DUMMYFUNCTION("""COMPUTED_VALUE"""),44004.99861111111)</f>
        <v>44004.99861</v>
      </c>
      <c r="B1368" s="433">
        <f>IFERROR(__xludf.DUMMYFUNCTION("""COMPUTED_VALUE"""),9690.653)</f>
        <v>9690.653</v>
      </c>
      <c r="C1368" s="434">
        <f>IFERROR(__xludf.DUMMYFUNCTION("""COMPUTED_VALUE"""),43590.99861111111)</f>
        <v>43590.99861</v>
      </c>
      <c r="D1368" s="433">
        <f>IFERROR(__xludf.DUMMYFUNCTION("""COMPUTED_VALUE"""),164.1297)</f>
        <v>164.1297</v>
      </c>
    </row>
    <row r="1369">
      <c r="A1369" s="434">
        <f>IFERROR(__xludf.DUMMYFUNCTION("""COMPUTED_VALUE"""),44005.99861111111)</f>
        <v>44005.99861</v>
      </c>
      <c r="B1369" s="433">
        <f>IFERROR(__xludf.DUMMYFUNCTION("""COMPUTED_VALUE"""),9622.859)</f>
        <v>9622.859</v>
      </c>
      <c r="C1369" s="434">
        <f>IFERROR(__xludf.DUMMYFUNCTION("""COMPUTED_VALUE"""),43591.99861111111)</f>
        <v>43591.99861</v>
      </c>
      <c r="D1369" s="433">
        <f>IFERROR(__xludf.DUMMYFUNCTION("""COMPUTED_VALUE"""),163.1815)</f>
        <v>163.1815</v>
      </c>
    </row>
    <row r="1370">
      <c r="A1370" s="434">
        <f>IFERROR(__xludf.DUMMYFUNCTION("""COMPUTED_VALUE"""),44006.99861111111)</f>
        <v>44006.99861</v>
      </c>
      <c r="B1370" s="433">
        <f>IFERROR(__xludf.DUMMYFUNCTION("""COMPUTED_VALUE"""),9294.837)</f>
        <v>9294.837</v>
      </c>
      <c r="C1370" s="434">
        <f>IFERROR(__xludf.DUMMYFUNCTION("""COMPUTED_VALUE"""),43592.99861111111)</f>
        <v>43592.99861</v>
      </c>
      <c r="D1370" s="433">
        <f>IFERROR(__xludf.DUMMYFUNCTION("""COMPUTED_VALUE"""),173.0101)</f>
        <v>173.0101</v>
      </c>
    </row>
    <row r="1371">
      <c r="A1371" s="434">
        <f>IFERROR(__xludf.DUMMYFUNCTION("""COMPUTED_VALUE"""),44007.99861111111)</f>
        <v>44007.99861</v>
      </c>
      <c r="B1371" s="433">
        <f>IFERROR(__xludf.DUMMYFUNCTION("""COMPUTED_VALUE"""),9245.056)</f>
        <v>9245.056</v>
      </c>
      <c r="C1371" s="434">
        <f>IFERROR(__xludf.DUMMYFUNCTION("""COMPUTED_VALUE"""),43593.99861111111)</f>
        <v>43593.99861</v>
      </c>
      <c r="D1371" s="433">
        <f>IFERROR(__xludf.DUMMYFUNCTION("""COMPUTED_VALUE"""),168.7133)</f>
        <v>168.7133</v>
      </c>
    </row>
    <row r="1372">
      <c r="A1372" s="434">
        <f>IFERROR(__xludf.DUMMYFUNCTION("""COMPUTED_VALUE"""),44008.99861111111)</f>
        <v>44008.99861</v>
      </c>
      <c r="B1372" s="433">
        <f>IFERROR(__xludf.DUMMYFUNCTION("""COMPUTED_VALUE"""),9156.309)</f>
        <v>9156.309</v>
      </c>
      <c r="C1372" s="434">
        <f>IFERROR(__xludf.DUMMYFUNCTION("""COMPUTED_VALUE"""),43594.99861111111)</f>
        <v>43594.99861</v>
      </c>
      <c r="D1372" s="433">
        <f>IFERROR(__xludf.DUMMYFUNCTION("""COMPUTED_VALUE"""),170.6892)</f>
        <v>170.6892</v>
      </c>
    </row>
    <row r="1373">
      <c r="A1373" s="434">
        <f>IFERROR(__xludf.DUMMYFUNCTION("""COMPUTED_VALUE"""),44009.99861111111)</f>
        <v>44009.99861</v>
      </c>
      <c r="B1373" s="433">
        <f>IFERROR(__xludf.DUMMYFUNCTION("""COMPUTED_VALUE"""),9004.804)</f>
        <v>9004.804</v>
      </c>
      <c r="C1373" s="434">
        <f>IFERROR(__xludf.DUMMYFUNCTION("""COMPUTED_VALUE"""),43595.99861111111)</f>
        <v>43595.99861</v>
      </c>
      <c r="D1373" s="433">
        <f>IFERROR(__xludf.DUMMYFUNCTION("""COMPUTED_VALUE"""),170.3738)</f>
        <v>170.3738</v>
      </c>
    </row>
    <row r="1374">
      <c r="A1374" s="434">
        <f>IFERROR(__xludf.DUMMYFUNCTION("""COMPUTED_VALUE"""),44010.99861111111)</f>
        <v>44010.99861</v>
      </c>
      <c r="B1374" s="433">
        <f>IFERROR(__xludf.DUMMYFUNCTION("""COMPUTED_VALUE"""),9120.856)</f>
        <v>9120.856</v>
      </c>
      <c r="C1374" s="434">
        <f>IFERROR(__xludf.DUMMYFUNCTION("""COMPUTED_VALUE"""),43596.99861111111)</f>
        <v>43596.99861</v>
      </c>
      <c r="D1374" s="433">
        <f>IFERROR(__xludf.DUMMYFUNCTION("""COMPUTED_VALUE"""),173.3736)</f>
        <v>173.3736</v>
      </c>
    </row>
    <row r="1375">
      <c r="A1375" s="434">
        <f>IFERROR(__xludf.DUMMYFUNCTION("""COMPUTED_VALUE"""),44011.99861111111)</f>
        <v>44011.99861</v>
      </c>
      <c r="B1375" s="433">
        <f>IFERROR(__xludf.DUMMYFUNCTION("""COMPUTED_VALUE"""),9186.103)</f>
        <v>9186.103</v>
      </c>
      <c r="C1375" s="434">
        <f>IFERROR(__xludf.DUMMYFUNCTION("""COMPUTED_VALUE"""),43597.99861111111)</f>
        <v>43597.99861</v>
      </c>
      <c r="D1375" s="433">
        <f>IFERROR(__xludf.DUMMYFUNCTION("""COMPUTED_VALUE"""),194.5515)</f>
        <v>194.5515</v>
      </c>
    </row>
    <row r="1376">
      <c r="A1376" s="434">
        <f>IFERROR(__xludf.DUMMYFUNCTION("""COMPUTED_VALUE"""),44012.99861111111)</f>
        <v>44012.99861</v>
      </c>
      <c r="B1376" s="433">
        <f>IFERROR(__xludf.DUMMYFUNCTION("""COMPUTED_VALUE"""),9136.464)</f>
        <v>9136.464</v>
      </c>
      <c r="C1376" s="434">
        <f>IFERROR(__xludf.DUMMYFUNCTION("""COMPUTED_VALUE"""),43598.99861111111)</f>
        <v>43598.99861</v>
      </c>
      <c r="D1376" s="433">
        <f>IFERROR(__xludf.DUMMYFUNCTION("""COMPUTED_VALUE"""),187.2218)</f>
        <v>187.2218</v>
      </c>
    </row>
    <row r="1377">
      <c r="A1377" s="434">
        <f>IFERROR(__xludf.DUMMYFUNCTION("""COMPUTED_VALUE"""),44013.99861111111)</f>
        <v>44013.99861</v>
      </c>
      <c r="B1377" s="433">
        <f>IFERROR(__xludf.DUMMYFUNCTION("""COMPUTED_VALUE"""),9236.278)</f>
        <v>9236.278</v>
      </c>
      <c r="C1377" s="434">
        <f>IFERROR(__xludf.DUMMYFUNCTION("""COMPUTED_VALUE"""),43599.99861111111)</f>
        <v>43599.99861</v>
      </c>
      <c r="D1377" s="433">
        <f>IFERROR(__xludf.DUMMYFUNCTION("""COMPUTED_VALUE"""),196.3305)</f>
        <v>196.3305</v>
      </c>
    </row>
    <row r="1378">
      <c r="A1378" s="434">
        <f>IFERROR(__xludf.DUMMYFUNCTION("""COMPUTED_VALUE"""),44014.99861111111)</f>
        <v>44014.99861</v>
      </c>
      <c r="B1378" s="433">
        <f>IFERROR(__xludf.DUMMYFUNCTION("""COMPUTED_VALUE"""),9091.494)</f>
        <v>9091.494</v>
      </c>
      <c r="C1378" s="434">
        <f>IFERROR(__xludf.DUMMYFUNCTION("""COMPUTED_VALUE"""),43600.99861111111)</f>
        <v>43600.99861</v>
      </c>
      <c r="D1378" s="433">
        <f>IFERROR(__xludf.DUMMYFUNCTION("""COMPUTED_VALUE"""),217.0526)</f>
        <v>217.0526</v>
      </c>
    </row>
    <row r="1379">
      <c r="A1379" s="434">
        <f>IFERROR(__xludf.DUMMYFUNCTION("""COMPUTED_VALUE"""),44015.99861111111)</f>
        <v>44015.99861</v>
      </c>
      <c r="B1379" s="433">
        <f>IFERROR(__xludf.DUMMYFUNCTION("""COMPUTED_VALUE"""),9063.415)</f>
        <v>9063.415</v>
      </c>
      <c r="C1379" s="434">
        <f>IFERROR(__xludf.DUMMYFUNCTION("""COMPUTED_VALUE"""),43601.99861111111)</f>
        <v>43601.99861</v>
      </c>
      <c r="D1379" s="433">
        <f>IFERROR(__xludf.DUMMYFUNCTION("""COMPUTED_VALUE"""),246.31)</f>
        <v>246.31</v>
      </c>
    </row>
    <row r="1380">
      <c r="A1380" s="434">
        <f>IFERROR(__xludf.DUMMYFUNCTION("""COMPUTED_VALUE"""),44016.99861111111)</f>
        <v>44016.99861</v>
      </c>
      <c r="B1380" s="433">
        <f>IFERROR(__xludf.DUMMYFUNCTION("""COMPUTED_VALUE"""),9134.027)</f>
        <v>9134.027</v>
      </c>
      <c r="C1380" s="434">
        <f>IFERROR(__xludf.DUMMYFUNCTION("""COMPUTED_VALUE"""),43602.99861111111)</f>
        <v>43602.99861</v>
      </c>
      <c r="D1380" s="433">
        <f>IFERROR(__xludf.DUMMYFUNCTION("""COMPUTED_VALUE"""),262.6949)</f>
        <v>262.6949</v>
      </c>
    </row>
    <row r="1381">
      <c r="A1381" s="434">
        <f>IFERROR(__xludf.DUMMYFUNCTION("""COMPUTED_VALUE"""),44017.99861111111)</f>
        <v>44017.99861</v>
      </c>
      <c r="B1381" s="433">
        <f>IFERROR(__xludf.DUMMYFUNCTION("""COMPUTED_VALUE"""),9084.367)</f>
        <v>9084.367</v>
      </c>
      <c r="C1381" s="434">
        <f>IFERROR(__xludf.DUMMYFUNCTION("""COMPUTED_VALUE"""),43603.99861111111)</f>
        <v>43603.99861</v>
      </c>
      <c r="D1381" s="433">
        <f>IFERROR(__xludf.DUMMYFUNCTION("""COMPUTED_VALUE"""),244.2368)</f>
        <v>244.2368</v>
      </c>
    </row>
    <row r="1382">
      <c r="A1382" s="434">
        <f>IFERROR(__xludf.DUMMYFUNCTION("""COMPUTED_VALUE"""),44018.99861111111)</f>
        <v>44018.99861</v>
      </c>
      <c r="B1382" s="433">
        <f>IFERROR(__xludf.DUMMYFUNCTION("""COMPUTED_VALUE"""),9347.735)</f>
        <v>9347.735</v>
      </c>
      <c r="C1382" s="434">
        <f>IFERROR(__xludf.DUMMYFUNCTION("""COMPUTED_VALUE"""),43604.99861111111)</f>
        <v>43604.99861</v>
      </c>
      <c r="D1382" s="433">
        <f>IFERROR(__xludf.DUMMYFUNCTION("""COMPUTED_VALUE"""),233.8463)</f>
        <v>233.8463</v>
      </c>
    </row>
    <row r="1383">
      <c r="A1383" s="434">
        <f>IFERROR(__xludf.DUMMYFUNCTION("""COMPUTED_VALUE"""),44019.99861111111)</f>
        <v>44019.99861</v>
      </c>
      <c r="B1383" s="433">
        <f>IFERROR(__xludf.DUMMYFUNCTION("""COMPUTED_VALUE"""),9256.041)</f>
        <v>9256.041</v>
      </c>
      <c r="C1383" s="434">
        <f>IFERROR(__xludf.DUMMYFUNCTION("""COMPUTED_VALUE"""),43605.99861111111)</f>
        <v>43605.99861</v>
      </c>
      <c r="D1383" s="433">
        <f>IFERROR(__xludf.DUMMYFUNCTION("""COMPUTED_VALUE"""),260.0073)</f>
        <v>260.0073</v>
      </c>
    </row>
    <row r="1384">
      <c r="A1384" s="434">
        <f>IFERROR(__xludf.DUMMYFUNCTION("""COMPUTED_VALUE"""),44020.99861111111)</f>
        <v>44020.99861</v>
      </c>
      <c r="B1384" s="433">
        <f>IFERROR(__xludf.DUMMYFUNCTION("""COMPUTED_VALUE"""),9438.188)</f>
        <v>9438.188</v>
      </c>
      <c r="C1384" s="434">
        <f>IFERROR(__xludf.DUMMYFUNCTION("""COMPUTED_VALUE"""),43606.99861111111)</f>
        <v>43606.99861</v>
      </c>
      <c r="D1384" s="433">
        <f>IFERROR(__xludf.DUMMYFUNCTION("""COMPUTED_VALUE"""),252.4676)</f>
        <v>252.4676</v>
      </c>
    </row>
    <row r="1385">
      <c r="A1385" s="434">
        <f>IFERROR(__xludf.DUMMYFUNCTION("""COMPUTED_VALUE"""),44021.99861111111)</f>
        <v>44021.99861</v>
      </c>
      <c r="B1385" s="433">
        <f>IFERROR(__xludf.DUMMYFUNCTION("""COMPUTED_VALUE"""),9238.551)</f>
        <v>9238.551</v>
      </c>
      <c r="C1385" s="434">
        <f>IFERROR(__xludf.DUMMYFUNCTION("""COMPUTED_VALUE"""),43607.99861111111)</f>
        <v>43607.99861</v>
      </c>
      <c r="D1385" s="433">
        <f>IFERROR(__xludf.DUMMYFUNCTION("""COMPUTED_VALUE"""),254.9154)</f>
        <v>254.9154</v>
      </c>
    </row>
    <row r="1386">
      <c r="A1386" s="434">
        <f>IFERROR(__xludf.DUMMYFUNCTION("""COMPUTED_VALUE"""),44022.99861111111)</f>
        <v>44022.99861</v>
      </c>
      <c r="B1386" s="433">
        <f>IFERROR(__xludf.DUMMYFUNCTION("""COMPUTED_VALUE"""),9287.806)</f>
        <v>9287.806</v>
      </c>
      <c r="C1386" s="434">
        <f>IFERROR(__xludf.DUMMYFUNCTION("""COMPUTED_VALUE"""),43608.99861111111)</f>
        <v>43608.99861</v>
      </c>
      <c r="D1386" s="433">
        <f>IFERROR(__xludf.DUMMYFUNCTION("""COMPUTED_VALUE"""),243.7662)</f>
        <v>243.7662</v>
      </c>
    </row>
    <row r="1387">
      <c r="A1387" s="434">
        <f>IFERROR(__xludf.DUMMYFUNCTION("""COMPUTED_VALUE"""),44023.99861111111)</f>
        <v>44023.99861</v>
      </c>
      <c r="B1387" s="433">
        <f>IFERROR(__xludf.DUMMYFUNCTION("""COMPUTED_VALUE"""),9235.725)</f>
        <v>9235.725</v>
      </c>
      <c r="C1387" s="434">
        <f>IFERROR(__xludf.DUMMYFUNCTION("""COMPUTED_VALUE"""),43609.99861111111)</f>
        <v>43609.99861</v>
      </c>
      <c r="D1387" s="433">
        <f>IFERROR(__xludf.DUMMYFUNCTION("""COMPUTED_VALUE"""),245.6857)</f>
        <v>245.6857</v>
      </c>
    </row>
    <row r="1388">
      <c r="A1388" s="434">
        <f>IFERROR(__xludf.DUMMYFUNCTION("""COMPUTED_VALUE"""),44024.99861111111)</f>
        <v>44024.99861</v>
      </c>
      <c r="B1388" s="433">
        <f>IFERROR(__xludf.DUMMYFUNCTION("""COMPUTED_VALUE"""),9302.255)</f>
        <v>9302.255</v>
      </c>
      <c r="C1388" s="434">
        <f>IFERROR(__xludf.DUMMYFUNCTION("""COMPUTED_VALUE"""),43610.99861111111)</f>
        <v>43610.99861</v>
      </c>
      <c r="D1388" s="433">
        <f>IFERROR(__xludf.DUMMYFUNCTION("""COMPUTED_VALUE"""),249.7421)</f>
        <v>249.7421</v>
      </c>
    </row>
    <row r="1389">
      <c r="A1389" s="434">
        <f>IFERROR(__xludf.DUMMYFUNCTION("""COMPUTED_VALUE"""),44025.99861111111)</f>
        <v>44025.99861</v>
      </c>
      <c r="B1389" s="433">
        <f>IFERROR(__xludf.DUMMYFUNCTION("""COMPUTED_VALUE"""),9236.326)</f>
        <v>9236.326</v>
      </c>
      <c r="C1389" s="434">
        <f>IFERROR(__xludf.DUMMYFUNCTION("""COMPUTED_VALUE"""),43611.99861111111)</f>
        <v>43611.99861</v>
      </c>
      <c r="D1389" s="433">
        <f>IFERROR(__xludf.DUMMYFUNCTION("""COMPUTED_VALUE"""),251.5859)</f>
        <v>251.5859</v>
      </c>
    </row>
    <row r="1390">
      <c r="A1390" s="434">
        <f>IFERROR(__xludf.DUMMYFUNCTION("""COMPUTED_VALUE"""),44026.99861111111)</f>
        <v>44026.99861</v>
      </c>
      <c r="B1390" s="433">
        <f>IFERROR(__xludf.DUMMYFUNCTION("""COMPUTED_VALUE"""),9276.242)</f>
        <v>9276.242</v>
      </c>
      <c r="C1390" s="434">
        <f>IFERROR(__xludf.DUMMYFUNCTION("""COMPUTED_VALUE"""),43612.99861111111)</f>
        <v>43612.99861</v>
      </c>
      <c r="D1390" s="433">
        <f>IFERROR(__xludf.DUMMYFUNCTION("""COMPUTED_VALUE"""),267.641)</f>
        <v>267.641</v>
      </c>
    </row>
    <row r="1391">
      <c r="A1391" s="434">
        <f>IFERROR(__xludf.DUMMYFUNCTION("""COMPUTED_VALUE"""),44027.99861111111)</f>
        <v>44027.99861</v>
      </c>
      <c r="B1391" s="433">
        <f>IFERROR(__xludf.DUMMYFUNCTION("""COMPUTED_VALUE"""),9191.817)</f>
        <v>9191.817</v>
      </c>
      <c r="C1391" s="434">
        <f>IFERROR(__xludf.DUMMYFUNCTION("""COMPUTED_VALUE"""),43613.99861111111)</f>
        <v>43613.99861</v>
      </c>
      <c r="D1391" s="433">
        <f>IFERROR(__xludf.DUMMYFUNCTION("""COMPUTED_VALUE"""),271.9387)</f>
        <v>271.9387</v>
      </c>
    </row>
    <row r="1392">
      <c r="A1392" s="434">
        <f>IFERROR(__xludf.DUMMYFUNCTION("""COMPUTED_VALUE"""),44028.99861111111)</f>
        <v>44028.99861</v>
      </c>
      <c r="B1392" s="433">
        <f>IFERROR(__xludf.DUMMYFUNCTION("""COMPUTED_VALUE"""),9132.512)</f>
        <v>9132.512</v>
      </c>
      <c r="C1392" s="434">
        <f>IFERROR(__xludf.DUMMYFUNCTION("""COMPUTED_VALUE"""),43614.99861111111)</f>
        <v>43614.99861</v>
      </c>
      <c r="D1392" s="433">
        <f>IFERROR(__xludf.DUMMYFUNCTION("""COMPUTED_VALUE"""),271.427)</f>
        <v>271.427</v>
      </c>
    </row>
    <row r="1393">
      <c r="A1393" s="434">
        <f>IFERROR(__xludf.DUMMYFUNCTION("""COMPUTED_VALUE"""),44029.99861111111)</f>
        <v>44029.99861</v>
      </c>
      <c r="B1393" s="433">
        <f>IFERROR(__xludf.DUMMYFUNCTION("""COMPUTED_VALUE"""),9155.095)</f>
        <v>9155.095</v>
      </c>
      <c r="C1393" s="434">
        <f>IFERROR(__xludf.DUMMYFUNCTION("""COMPUTED_VALUE"""),43615.99861111111)</f>
        <v>43615.99861</v>
      </c>
      <c r="D1393" s="433">
        <f>IFERROR(__xludf.DUMMYFUNCTION("""COMPUTED_VALUE"""),269.0767)</f>
        <v>269.0767</v>
      </c>
    </row>
    <row r="1394">
      <c r="A1394" s="434">
        <f>IFERROR(__xludf.DUMMYFUNCTION("""COMPUTED_VALUE"""),44030.99861111111)</f>
        <v>44030.99861</v>
      </c>
      <c r="B1394" s="433">
        <f>IFERROR(__xludf.DUMMYFUNCTION("""COMPUTED_VALUE"""),9177.39)</f>
        <v>9177.39</v>
      </c>
      <c r="C1394" s="434">
        <f>IFERROR(__xludf.DUMMYFUNCTION("""COMPUTED_VALUE"""),43616.99861111111)</f>
        <v>43616.99861</v>
      </c>
      <c r="D1394" s="433">
        <f>IFERROR(__xludf.DUMMYFUNCTION("""COMPUTED_VALUE"""),255.6928)</f>
        <v>255.6928</v>
      </c>
    </row>
    <row r="1395">
      <c r="A1395" s="434">
        <f>IFERROR(__xludf.DUMMYFUNCTION("""COMPUTED_VALUE"""),44031.99861111111)</f>
        <v>44031.99861</v>
      </c>
      <c r="B1395" s="433">
        <f>IFERROR(__xludf.DUMMYFUNCTION("""COMPUTED_VALUE"""),9217.421)</f>
        <v>9217.421</v>
      </c>
      <c r="C1395" s="434">
        <f>IFERROR(__xludf.DUMMYFUNCTION("""COMPUTED_VALUE"""),43617.99861111111)</f>
        <v>43617.99861</v>
      </c>
      <c r="D1395" s="433">
        <f>IFERROR(__xludf.DUMMYFUNCTION("""COMPUTED_VALUE"""),268.6346)</f>
        <v>268.6346</v>
      </c>
    </row>
    <row r="1396">
      <c r="A1396" s="434">
        <f>IFERROR(__xludf.DUMMYFUNCTION("""COMPUTED_VALUE"""),44032.99861111111)</f>
        <v>44032.99861</v>
      </c>
      <c r="B1396" s="433">
        <f>IFERROR(__xludf.DUMMYFUNCTION("""COMPUTED_VALUE"""),9164.971)</f>
        <v>9164.971</v>
      </c>
      <c r="C1396" s="434">
        <f>IFERROR(__xludf.DUMMYFUNCTION("""COMPUTED_VALUE"""),43618.99861111111)</f>
        <v>43618.99861</v>
      </c>
      <c r="D1396" s="433">
        <f>IFERROR(__xludf.DUMMYFUNCTION("""COMPUTED_VALUE"""),265.2243)</f>
        <v>265.2243</v>
      </c>
    </row>
    <row r="1397">
      <c r="A1397" s="434">
        <f>IFERROR(__xludf.DUMMYFUNCTION("""COMPUTED_VALUE"""),44033.99861111111)</f>
        <v>44033.99861</v>
      </c>
      <c r="B1397" s="433">
        <f>IFERROR(__xludf.DUMMYFUNCTION("""COMPUTED_VALUE"""),9394.428)</f>
        <v>9394.428</v>
      </c>
      <c r="C1397" s="434">
        <f>IFERROR(__xludf.DUMMYFUNCTION("""COMPUTED_VALUE"""),43619.99861111111)</f>
        <v>43619.99861</v>
      </c>
      <c r="D1397" s="433">
        <f>IFERROR(__xludf.DUMMYFUNCTION("""COMPUTED_VALUE"""),270.1611)</f>
        <v>270.1611</v>
      </c>
    </row>
    <row r="1398">
      <c r="A1398" s="434">
        <f>IFERROR(__xludf.DUMMYFUNCTION("""COMPUTED_VALUE"""),44034.99861111111)</f>
        <v>44034.99861</v>
      </c>
      <c r="B1398" s="433">
        <f>IFERROR(__xludf.DUMMYFUNCTION("""COMPUTED_VALUE"""),9539.67)</f>
        <v>9539.67</v>
      </c>
      <c r="C1398" s="434">
        <f>IFERROR(__xludf.DUMMYFUNCTION("""COMPUTED_VALUE"""),43620.99861111111)</f>
        <v>43620.99861</v>
      </c>
      <c r="D1398" s="433">
        <f>IFERROR(__xludf.DUMMYFUNCTION("""COMPUTED_VALUE"""),250.9331)</f>
        <v>250.9331</v>
      </c>
    </row>
    <row r="1399">
      <c r="A1399" s="434">
        <f>IFERROR(__xludf.DUMMYFUNCTION("""COMPUTED_VALUE"""),44035.99861111111)</f>
        <v>44035.99861</v>
      </c>
      <c r="B1399" s="433">
        <f>IFERROR(__xludf.DUMMYFUNCTION("""COMPUTED_VALUE"""),9614.052)</f>
        <v>9614.052</v>
      </c>
      <c r="C1399" s="434">
        <f>IFERROR(__xludf.DUMMYFUNCTION("""COMPUTED_VALUE"""),43621.99861111111)</f>
        <v>43621.99861</v>
      </c>
      <c r="D1399" s="433">
        <f>IFERROR(__xludf.DUMMYFUNCTION("""COMPUTED_VALUE"""),241.9956)</f>
        <v>241.9956</v>
      </c>
    </row>
    <row r="1400">
      <c r="A1400" s="434">
        <f>IFERROR(__xludf.DUMMYFUNCTION("""COMPUTED_VALUE"""),44036.99861111111)</f>
        <v>44036.99861</v>
      </c>
      <c r="B1400" s="433">
        <f>IFERROR(__xludf.DUMMYFUNCTION("""COMPUTED_VALUE"""),9551.432)</f>
        <v>9551.432</v>
      </c>
      <c r="C1400" s="434">
        <f>IFERROR(__xludf.DUMMYFUNCTION("""COMPUTED_VALUE"""),43622.99861111111)</f>
        <v>43622.99861</v>
      </c>
      <c r="D1400" s="433">
        <f>IFERROR(__xludf.DUMMYFUNCTION("""COMPUTED_VALUE"""),246.7251)</f>
        <v>246.7251</v>
      </c>
    </row>
    <row r="1401">
      <c r="A1401" s="434">
        <f>IFERROR(__xludf.DUMMYFUNCTION("""COMPUTED_VALUE"""),44037.99861111111)</f>
        <v>44037.99861</v>
      </c>
      <c r="B1401" s="433">
        <f>IFERROR(__xludf.DUMMYFUNCTION("""COMPUTED_VALUE"""),9710.919)</f>
        <v>9710.919</v>
      </c>
      <c r="C1401" s="434">
        <f>IFERROR(__xludf.DUMMYFUNCTION("""COMPUTED_VALUE"""),43623.99861111111)</f>
        <v>43623.99861</v>
      </c>
      <c r="D1401" s="433">
        <f>IFERROR(__xludf.DUMMYFUNCTION("""COMPUTED_VALUE"""),249.6073)</f>
        <v>249.6073</v>
      </c>
    </row>
    <row r="1402">
      <c r="A1402" s="434">
        <f>IFERROR(__xludf.DUMMYFUNCTION("""COMPUTED_VALUE"""),44038.99861111111)</f>
        <v>44038.99861</v>
      </c>
      <c r="B1402" s="433">
        <f>IFERROR(__xludf.DUMMYFUNCTION("""COMPUTED_VALUE"""),9941.474)</f>
        <v>9941.474</v>
      </c>
      <c r="C1402" s="434">
        <f>IFERROR(__xludf.DUMMYFUNCTION("""COMPUTED_VALUE"""),43624.99861111111)</f>
        <v>43624.99861</v>
      </c>
      <c r="D1402" s="433">
        <f>IFERROR(__xludf.DUMMYFUNCTION("""COMPUTED_VALUE"""),251.047)</f>
        <v>251.047</v>
      </c>
    </row>
    <row r="1403">
      <c r="A1403" s="434">
        <f>IFERROR(__xludf.DUMMYFUNCTION("""COMPUTED_VALUE"""),44039.99861111111)</f>
        <v>44039.99861</v>
      </c>
      <c r="B1403" s="433">
        <f>IFERROR(__xludf.DUMMYFUNCTION("""COMPUTED_VALUE"""),11038.19)</f>
        <v>11038.19</v>
      </c>
      <c r="C1403" s="434">
        <f>IFERROR(__xludf.DUMMYFUNCTION("""COMPUTED_VALUE"""),43625.99861111111)</f>
        <v>43625.99861</v>
      </c>
      <c r="D1403" s="433">
        <f>IFERROR(__xludf.DUMMYFUNCTION("""COMPUTED_VALUE"""),245.7389)</f>
        <v>245.7389</v>
      </c>
    </row>
    <row r="1404">
      <c r="A1404" s="434">
        <f>IFERROR(__xludf.DUMMYFUNCTION("""COMPUTED_VALUE"""),44040.99861111111)</f>
        <v>44040.99861</v>
      </c>
      <c r="B1404" s="433">
        <f>IFERROR(__xludf.DUMMYFUNCTION("""COMPUTED_VALUE"""),10932.79)</f>
        <v>10932.79</v>
      </c>
      <c r="C1404" s="434">
        <f>IFERROR(__xludf.DUMMYFUNCTION("""COMPUTED_VALUE"""),43626.99861111111)</f>
        <v>43626.99861</v>
      </c>
      <c r="D1404" s="433">
        <f>IFERROR(__xludf.DUMMYFUNCTION("""COMPUTED_VALUE"""),232.3069)</f>
        <v>232.3069</v>
      </c>
    </row>
    <row r="1405">
      <c r="A1405" s="434">
        <f>IFERROR(__xludf.DUMMYFUNCTION("""COMPUTED_VALUE"""),44041.99861111111)</f>
        <v>44041.99861</v>
      </c>
      <c r="B1405" s="433">
        <f>IFERROR(__xludf.DUMMYFUNCTION("""COMPUTED_VALUE"""),11110.78)</f>
        <v>11110.78</v>
      </c>
      <c r="C1405" s="434">
        <f>IFERROR(__xludf.DUMMYFUNCTION("""COMPUTED_VALUE"""),43627.99861111111)</f>
        <v>43627.99861</v>
      </c>
      <c r="D1405" s="433">
        <f>IFERROR(__xludf.DUMMYFUNCTION("""COMPUTED_VALUE"""),248.204)</f>
        <v>248.204</v>
      </c>
    </row>
    <row r="1406">
      <c r="A1406" s="434">
        <f>IFERROR(__xludf.DUMMYFUNCTION("""COMPUTED_VALUE"""),44042.99861111111)</f>
        <v>44042.99861</v>
      </c>
      <c r="B1406" s="433">
        <f>IFERROR(__xludf.DUMMYFUNCTION("""COMPUTED_VALUE"""),11113.47)</f>
        <v>11113.47</v>
      </c>
      <c r="C1406" s="434">
        <f>IFERROR(__xludf.DUMMYFUNCTION("""COMPUTED_VALUE"""),43628.99861111111)</f>
        <v>43628.99861</v>
      </c>
      <c r="D1406" s="433">
        <f>IFERROR(__xludf.DUMMYFUNCTION("""COMPUTED_VALUE"""),245.8941)</f>
        <v>245.8941</v>
      </c>
    </row>
    <row r="1407">
      <c r="A1407" s="434">
        <f>IFERROR(__xludf.DUMMYFUNCTION("""COMPUTED_VALUE"""),44043.99861111111)</f>
        <v>44043.99861</v>
      </c>
      <c r="B1407" s="433">
        <f>IFERROR(__xludf.DUMMYFUNCTION("""COMPUTED_VALUE"""),11350.44)</f>
        <v>11350.44</v>
      </c>
      <c r="C1407" s="434">
        <f>IFERROR(__xludf.DUMMYFUNCTION("""COMPUTED_VALUE"""),43629.99861111111)</f>
        <v>43629.99861</v>
      </c>
      <c r="D1407" s="433">
        <f>IFERROR(__xludf.DUMMYFUNCTION("""COMPUTED_VALUE"""),260.904)</f>
        <v>260.904</v>
      </c>
    </row>
    <row r="1408">
      <c r="A1408" s="434">
        <f>IFERROR(__xludf.DUMMYFUNCTION("""COMPUTED_VALUE"""),44044.99861111111)</f>
        <v>44044.99861</v>
      </c>
      <c r="B1408" s="433">
        <f>IFERROR(__xludf.DUMMYFUNCTION("""COMPUTED_VALUE"""),11811.0)</f>
        <v>11811</v>
      </c>
      <c r="C1408" s="434">
        <f>IFERROR(__xludf.DUMMYFUNCTION("""COMPUTED_VALUE"""),43630.99861111111)</f>
        <v>43630.99861</v>
      </c>
      <c r="D1408" s="433">
        <f>IFERROR(__xludf.DUMMYFUNCTION("""COMPUTED_VALUE"""),256.6082)</f>
        <v>256.6082</v>
      </c>
    </row>
    <row r="1409">
      <c r="A1409" s="434">
        <f>IFERROR(__xludf.DUMMYFUNCTION("""COMPUTED_VALUE"""),44045.99861111111)</f>
        <v>44045.99861</v>
      </c>
      <c r="B1409" s="433">
        <f>IFERROR(__xludf.DUMMYFUNCTION("""COMPUTED_VALUE"""),11060.74)</f>
        <v>11060.74</v>
      </c>
      <c r="C1409" s="434">
        <f>IFERROR(__xludf.DUMMYFUNCTION("""COMPUTED_VALUE"""),43631.99861111111)</f>
        <v>43631.99861</v>
      </c>
      <c r="D1409" s="433">
        <f>IFERROR(__xludf.DUMMYFUNCTION("""COMPUTED_VALUE"""),264.3359)</f>
        <v>264.3359</v>
      </c>
    </row>
    <row r="1410">
      <c r="A1410" s="434">
        <f>IFERROR(__xludf.DUMMYFUNCTION("""COMPUTED_VALUE"""),44046.99861111111)</f>
        <v>44046.99861</v>
      </c>
      <c r="B1410" s="433">
        <f>IFERROR(__xludf.DUMMYFUNCTION("""COMPUTED_VALUE"""),11229.23)</f>
        <v>11229.23</v>
      </c>
      <c r="C1410" s="434">
        <f>IFERROR(__xludf.DUMMYFUNCTION("""COMPUTED_VALUE"""),43632.99861111111)</f>
        <v>43632.99861</v>
      </c>
      <c r="D1410" s="433">
        <f>IFERROR(__xludf.DUMMYFUNCTION("""COMPUTED_VALUE"""),268.7727)</f>
        <v>268.7727</v>
      </c>
    </row>
    <row r="1411">
      <c r="A1411" s="434">
        <f>IFERROR(__xludf.DUMMYFUNCTION("""COMPUTED_VALUE"""),44047.99861111111)</f>
        <v>44047.99861</v>
      </c>
      <c r="B1411" s="433">
        <f>IFERROR(__xludf.DUMMYFUNCTION("""COMPUTED_VALUE"""),11193.52)</f>
        <v>11193.52</v>
      </c>
      <c r="C1411" s="434">
        <f>IFERROR(__xludf.DUMMYFUNCTION("""COMPUTED_VALUE"""),43633.99861111111)</f>
        <v>43633.99861</v>
      </c>
      <c r="D1411" s="433">
        <f>IFERROR(__xludf.DUMMYFUNCTION("""COMPUTED_VALUE"""),269.488)</f>
        <v>269.488</v>
      </c>
    </row>
    <row r="1412">
      <c r="A1412" s="434">
        <f>IFERROR(__xludf.DUMMYFUNCTION("""COMPUTED_VALUE"""),44048.99861111111)</f>
        <v>44048.99861</v>
      </c>
      <c r="B1412" s="433">
        <f>IFERROR(__xludf.DUMMYFUNCTION("""COMPUTED_VALUE"""),11750.11)</f>
        <v>11750.11</v>
      </c>
      <c r="C1412" s="434">
        <f>IFERROR(__xludf.DUMMYFUNCTION("""COMPUTED_VALUE"""),43634.99861111111)</f>
        <v>43634.99861</v>
      </c>
      <c r="D1412" s="433">
        <f>IFERROR(__xludf.DUMMYFUNCTION("""COMPUTED_VALUE"""),274.0732)</f>
        <v>274.0732</v>
      </c>
    </row>
    <row r="1413">
      <c r="A1413" s="434">
        <f>IFERROR(__xludf.DUMMYFUNCTION("""COMPUTED_VALUE"""),44049.99861111111)</f>
        <v>44049.99861</v>
      </c>
      <c r="B1413" s="433">
        <f>IFERROR(__xludf.DUMMYFUNCTION("""COMPUTED_VALUE"""),11771.01)</f>
        <v>11771.01</v>
      </c>
      <c r="C1413" s="434">
        <f>IFERROR(__xludf.DUMMYFUNCTION("""COMPUTED_VALUE"""),43635.99861111111)</f>
        <v>43635.99861</v>
      </c>
      <c r="D1413" s="433">
        <f>IFERROR(__xludf.DUMMYFUNCTION("""COMPUTED_VALUE"""),265.1899)</f>
        <v>265.1899</v>
      </c>
    </row>
    <row r="1414">
      <c r="A1414" s="434">
        <f>IFERROR(__xludf.DUMMYFUNCTION("""COMPUTED_VALUE"""),44050.99861111111)</f>
        <v>44050.99861</v>
      </c>
      <c r="B1414" s="433">
        <f>IFERROR(__xludf.DUMMYFUNCTION("""COMPUTED_VALUE"""),11603.77)</f>
        <v>11603.77</v>
      </c>
      <c r="C1414" s="434">
        <f>IFERROR(__xludf.DUMMYFUNCTION("""COMPUTED_VALUE"""),43636.99861111111)</f>
        <v>43636.99861</v>
      </c>
      <c r="D1414" s="433">
        <f>IFERROR(__xludf.DUMMYFUNCTION("""COMPUTED_VALUE"""),268.8986)</f>
        <v>268.8986</v>
      </c>
    </row>
    <row r="1415">
      <c r="A1415" s="434">
        <f>IFERROR(__xludf.DUMMYFUNCTION("""COMPUTED_VALUE"""),44051.99861111111)</f>
        <v>44051.99861</v>
      </c>
      <c r="B1415" s="433">
        <f>IFERROR(__xludf.DUMMYFUNCTION("""COMPUTED_VALUE"""),11771.91)</f>
        <v>11771.91</v>
      </c>
      <c r="C1415" s="434">
        <f>IFERROR(__xludf.DUMMYFUNCTION("""COMPUTED_VALUE"""),43637.99861111111)</f>
        <v>43637.99861</v>
      </c>
      <c r="D1415" s="433">
        <f>IFERROR(__xludf.DUMMYFUNCTION("""COMPUTED_VALUE"""),272.0578)</f>
        <v>272.0578</v>
      </c>
    </row>
    <row r="1416">
      <c r="A1416" s="434">
        <f>IFERROR(__xludf.DUMMYFUNCTION("""COMPUTED_VALUE"""),44052.99861111111)</f>
        <v>44052.99861</v>
      </c>
      <c r="B1416" s="433">
        <f>IFERROR(__xludf.DUMMYFUNCTION("""COMPUTED_VALUE"""),11685.37)</f>
        <v>11685.37</v>
      </c>
      <c r="C1416" s="434">
        <f>IFERROR(__xludf.DUMMYFUNCTION("""COMPUTED_VALUE"""),43638.99861111111)</f>
        <v>43638.99861</v>
      </c>
      <c r="D1416" s="433">
        <f>IFERROR(__xludf.DUMMYFUNCTION("""COMPUTED_VALUE"""),295.9083)</f>
        <v>295.9083</v>
      </c>
    </row>
    <row r="1417">
      <c r="A1417" s="434">
        <f>IFERROR(__xludf.DUMMYFUNCTION("""COMPUTED_VALUE"""),44053.99861111111)</f>
        <v>44053.99861</v>
      </c>
      <c r="B1417" s="433">
        <f>IFERROR(__xludf.DUMMYFUNCTION("""COMPUTED_VALUE"""),11892.32)</f>
        <v>11892.32</v>
      </c>
      <c r="C1417" s="434">
        <f>IFERROR(__xludf.DUMMYFUNCTION("""COMPUTED_VALUE"""),43639.99861111111)</f>
        <v>43639.99861</v>
      </c>
      <c r="D1417" s="433">
        <f>IFERROR(__xludf.DUMMYFUNCTION("""COMPUTED_VALUE"""),309.9009)</f>
        <v>309.9009</v>
      </c>
    </row>
    <row r="1418">
      <c r="A1418" s="434">
        <f>IFERROR(__xludf.DUMMYFUNCTION("""COMPUTED_VALUE"""),44054.99861111111)</f>
        <v>44054.99861</v>
      </c>
      <c r="B1418" s="433">
        <f>IFERROR(__xludf.DUMMYFUNCTION("""COMPUTED_VALUE"""),11386.83)</f>
        <v>11386.83</v>
      </c>
      <c r="C1418" s="434">
        <f>IFERROR(__xludf.DUMMYFUNCTION("""COMPUTED_VALUE"""),43640.99861111111)</f>
        <v>43640.99861</v>
      </c>
      <c r="D1418" s="433">
        <f>IFERROR(__xludf.DUMMYFUNCTION("""COMPUTED_VALUE"""),307.9255)</f>
        <v>307.9255</v>
      </c>
    </row>
    <row r="1419">
      <c r="A1419" s="434">
        <f>IFERROR(__xludf.DUMMYFUNCTION("""COMPUTED_VALUE"""),44055.99861111111)</f>
        <v>44055.99861</v>
      </c>
      <c r="B1419" s="433">
        <f>IFERROR(__xludf.DUMMYFUNCTION("""COMPUTED_VALUE"""),11570.86)</f>
        <v>11570.86</v>
      </c>
      <c r="C1419" s="434">
        <f>IFERROR(__xludf.DUMMYFUNCTION("""COMPUTED_VALUE"""),43641.99861111111)</f>
        <v>43641.99861</v>
      </c>
      <c r="D1419" s="433">
        <f>IFERROR(__xludf.DUMMYFUNCTION("""COMPUTED_VALUE"""),310.8994)</f>
        <v>310.8994</v>
      </c>
    </row>
    <row r="1420">
      <c r="A1420" s="434">
        <f>IFERROR(__xludf.DUMMYFUNCTION("""COMPUTED_VALUE"""),44056.99861111111)</f>
        <v>44056.99861</v>
      </c>
      <c r="B1420" s="433">
        <f>IFERROR(__xludf.DUMMYFUNCTION("""COMPUTED_VALUE"""),11788.67)</f>
        <v>11788.67</v>
      </c>
      <c r="C1420" s="434">
        <f>IFERROR(__xludf.DUMMYFUNCTION("""COMPUTED_VALUE"""),43642.99861111111)</f>
        <v>43642.99861</v>
      </c>
      <c r="D1420" s="433">
        <f>IFERROR(__xludf.DUMMYFUNCTION("""COMPUTED_VALUE"""),317.2191)</f>
        <v>317.2191</v>
      </c>
    </row>
    <row r="1421">
      <c r="A1421" s="434">
        <f>IFERROR(__xludf.DUMMYFUNCTION("""COMPUTED_VALUE"""),44057.99861111111)</f>
        <v>44057.99861</v>
      </c>
      <c r="B1421" s="433">
        <f>IFERROR(__xludf.DUMMYFUNCTION("""COMPUTED_VALUE"""),11774.58)</f>
        <v>11774.58</v>
      </c>
      <c r="C1421" s="434">
        <f>IFERROR(__xludf.DUMMYFUNCTION("""COMPUTED_VALUE"""),43643.99861111111)</f>
        <v>43643.99861</v>
      </c>
      <c r="D1421" s="433">
        <f>IFERROR(__xludf.DUMMYFUNCTION("""COMPUTED_VALUE"""),336.7875)</f>
        <v>336.7875</v>
      </c>
    </row>
    <row r="1422">
      <c r="A1422" s="434">
        <f>IFERROR(__xludf.DUMMYFUNCTION("""COMPUTED_VALUE"""),44058.99861111111)</f>
        <v>44058.99861</v>
      </c>
      <c r="B1422" s="433">
        <f>IFERROR(__xludf.DUMMYFUNCTION("""COMPUTED_VALUE"""),11860.8)</f>
        <v>11860.8</v>
      </c>
      <c r="C1422" s="434">
        <f>IFERROR(__xludf.DUMMYFUNCTION("""COMPUTED_VALUE"""),43644.99861111111)</f>
        <v>43644.99861</v>
      </c>
      <c r="D1422" s="433">
        <f>IFERROR(__xludf.DUMMYFUNCTION("""COMPUTED_VALUE"""),294.3514)</f>
        <v>294.3514</v>
      </c>
    </row>
    <row r="1423">
      <c r="A1423" s="434">
        <f>IFERROR(__xludf.DUMMYFUNCTION("""COMPUTED_VALUE"""),44059.99861111111)</f>
        <v>44059.99861</v>
      </c>
      <c r="B1423" s="433">
        <f>IFERROR(__xludf.DUMMYFUNCTION("""COMPUTED_VALUE"""),11917.42)</f>
        <v>11917.42</v>
      </c>
      <c r="C1423" s="434">
        <f>IFERROR(__xludf.DUMMYFUNCTION("""COMPUTED_VALUE"""),43645.99861111111)</f>
        <v>43645.99861</v>
      </c>
      <c r="D1423" s="433">
        <f>IFERROR(__xludf.DUMMYFUNCTION("""COMPUTED_VALUE"""),311.1293)</f>
        <v>311.1293</v>
      </c>
    </row>
    <row r="1424">
      <c r="A1424" s="434">
        <f>IFERROR(__xludf.DUMMYFUNCTION("""COMPUTED_VALUE"""),44060.99861111111)</f>
        <v>44060.99861</v>
      </c>
      <c r="B1424" s="433">
        <f>IFERROR(__xludf.DUMMYFUNCTION("""COMPUTED_VALUE"""),12290.64)</f>
        <v>12290.64</v>
      </c>
      <c r="C1424" s="434">
        <f>IFERROR(__xludf.DUMMYFUNCTION("""COMPUTED_VALUE"""),43646.99861111111)</f>
        <v>43646.99861</v>
      </c>
      <c r="D1424" s="433">
        <f>IFERROR(__xludf.DUMMYFUNCTION("""COMPUTED_VALUE"""),319.148)</f>
        <v>319.148</v>
      </c>
    </row>
    <row r="1425">
      <c r="A1425" s="434">
        <f>IFERROR(__xludf.DUMMYFUNCTION("""COMPUTED_VALUE"""),44061.99861111111)</f>
        <v>44061.99861</v>
      </c>
      <c r="B1425" s="433">
        <f>IFERROR(__xludf.DUMMYFUNCTION("""COMPUTED_VALUE"""),11954.85)</f>
        <v>11954.85</v>
      </c>
      <c r="C1425" s="434">
        <f>IFERROR(__xludf.DUMMYFUNCTION("""COMPUTED_VALUE"""),43647.99861111111)</f>
        <v>43647.99861</v>
      </c>
      <c r="D1425" s="433">
        <f>IFERROR(__xludf.DUMMYFUNCTION("""COMPUTED_VALUE"""),290.6223)</f>
        <v>290.6223</v>
      </c>
    </row>
    <row r="1426">
      <c r="A1426" s="434">
        <f>IFERROR(__xludf.DUMMYFUNCTION("""COMPUTED_VALUE"""),44062.99861111111)</f>
        <v>44062.99861</v>
      </c>
      <c r="B1426" s="433">
        <f>IFERROR(__xludf.DUMMYFUNCTION("""COMPUTED_VALUE"""),11756.31)</f>
        <v>11756.31</v>
      </c>
      <c r="C1426" s="434">
        <f>IFERROR(__xludf.DUMMYFUNCTION("""COMPUTED_VALUE"""),43648.99861111111)</f>
        <v>43648.99861</v>
      </c>
      <c r="D1426" s="433">
        <f>IFERROR(__xludf.DUMMYFUNCTION("""COMPUTED_VALUE"""),294.411)</f>
        <v>294.411</v>
      </c>
    </row>
    <row r="1427">
      <c r="A1427" s="434">
        <f>IFERROR(__xludf.DUMMYFUNCTION("""COMPUTED_VALUE"""),44063.99861111111)</f>
        <v>44063.99861</v>
      </c>
      <c r="B1427" s="433">
        <f>IFERROR(__xludf.DUMMYFUNCTION("""COMPUTED_VALUE"""),11864.59)</f>
        <v>11864.59</v>
      </c>
      <c r="C1427" s="434">
        <f>IFERROR(__xludf.DUMMYFUNCTION("""COMPUTED_VALUE"""),43649.99861111111)</f>
        <v>43649.99861</v>
      </c>
      <c r="D1427" s="433">
        <f>IFERROR(__xludf.DUMMYFUNCTION("""COMPUTED_VALUE"""),292.326)</f>
        <v>292.326</v>
      </c>
    </row>
    <row r="1428">
      <c r="A1428" s="434">
        <f>IFERROR(__xludf.DUMMYFUNCTION("""COMPUTED_VALUE"""),44064.99861111111)</f>
        <v>44064.99861</v>
      </c>
      <c r="B1428" s="433">
        <f>IFERROR(__xludf.DUMMYFUNCTION("""COMPUTED_VALUE"""),11525.75)</f>
        <v>11525.75</v>
      </c>
      <c r="C1428" s="434">
        <f>IFERROR(__xludf.DUMMYFUNCTION("""COMPUTED_VALUE"""),43650.99861111111)</f>
        <v>43650.99861</v>
      </c>
      <c r="D1428" s="433">
        <f>IFERROR(__xludf.DUMMYFUNCTION("""COMPUTED_VALUE"""),303.5627)</f>
        <v>303.5627</v>
      </c>
    </row>
    <row r="1429">
      <c r="A1429" s="434">
        <f>IFERROR(__xludf.DUMMYFUNCTION("""COMPUTED_VALUE"""),44065.99861111111)</f>
        <v>44065.99861</v>
      </c>
      <c r="B1429" s="433">
        <f>IFERROR(__xludf.DUMMYFUNCTION("""COMPUTED_VALUE"""),11676.19)</f>
        <v>11676.19</v>
      </c>
      <c r="C1429" s="434">
        <f>IFERROR(__xludf.DUMMYFUNCTION("""COMPUTED_VALUE"""),43651.99861111111)</f>
        <v>43651.99861</v>
      </c>
      <c r="D1429" s="433">
        <f>IFERROR(__xludf.DUMMYFUNCTION("""COMPUTED_VALUE"""),283.6424)</f>
        <v>283.6424</v>
      </c>
    </row>
    <row r="1430">
      <c r="A1430" s="434">
        <f>IFERROR(__xludf.DUMMYFUNCTION("""COMPUTED_VALUE"""),44066.99861111111)</f>
        <v>44066.99861</v>
      </c>
      <c r="B1430" s="433">
        <f>IFERROR(__xludf.DUMMYFUNCTION("""COMPUTED_VALUE"""),11651.92)</f>
        <v>11651.92</v>
      </c>
      <c r="C1430" s="434">
        <f>IFERROR(__xludf.DUMMYFUNCTION("""COMPUTED_VALUE"""),43652.99861111111)</f>
        <v>43652.99861</v>
      </c>
      <c r="D1430" s="433">
        <f>IFERROR(__xludf.DUMMYFUNCTION("""COMPUTED_VALUE"""),287.449)</f>
        <v>287.449</v>
      </c>
    </row>
    <row r="1431">
      <c r="A1431" s="434">
        <f>IFERROR(__xludf.DUMMYFUNCTION("""COMPUTED_VALUE"""),44067.99861111111)</f>
        <v>44067.99861</v>
      </c>
      <c r="B1431" s="433">
        <f>IFERROR(__xludf.DUMMYFUNCTION("""COMPUTED_VALUE"""),11758.47)</f>
        <v>11758.47</v>
      </c>
      <c r="C1431" s="434">
        <f>IFERROR(__xludf.DUMMYFUNCTION("""COMPUTED_VALUE"""),43653.99861111111)</f>
        <v>43653.99861</v>
      </c>
      <c r="D1431" s="433">
        <f>IFERROR(__xludf.DUMMYFUNCTION("""COMPUTED_VALUE"""),287.3727)</f>
        <v>287.3727</v>
      </c>
    </row>
    <row r="1432">
      <c r="A1432" s="434">
        <f>IFERROR(__xludf.DUMMYFUNCTION("""COMPUTED_VALUE"""),44068.99861111111)</f>
        <v>44068.99861</v>
      </c>
      <c r="B1432" s="433">
        <f>IFERROR(__xludf.DUMMYFUNCTION("""COMPUTED_VALUE"""),11329.89)</f>
        <v>11329.89</v>
      </c>
      <c r="C1432" s="434">
        <f>IFERROR(__xludf.DUMMYFUNCTION("""COMPUTED_VALUE"""),43654.99861111111)</f>
        <v>43654.99861</v>
      </c>
      <c r="D1432" s="433">
        <f>IFERROR(__xludf.DUMMYFUNCTION("""COMPUTED_VALUE"""),306.2158)</f>
        <v>306.2158</v>
      </c>
    </row>
    <row r="1433">
      <c r="A1433" s="434">
        <f>IFERROR(__xludf.DUMMYFUNCTION("""COMPUTED_VALUE"""),44069.99861111111)</f>
        <v>44069.99861</v>
      </c>
      <c r="B1433" s="433">
        <f>IFERROR(__xludf.DUMMYFUNCTION("""COMPUTED_VALUE"""),11463.63)</f>
        <v>11463.63</v>
      </c>
      <c r="C1433" s="434">
        <f>IFERROR(__xludf.DUMMYFUNCTION("""COMPUTED_VALUE"""),43655.99861111111)</f>
        <v>43655.99861</v>
      </c>
      <c r="D1433" s="433">
        <f>IFERROR(__xludf.DUMMYFUNCTION("""COMPUTED_VALUE"""),313.2373)</f>
        <v>313.2373</v>
      </c>
    </row>
    <row r="1434">
      <c r="A1434" s="434">
        <f>IFERROR(__xludf.DUMMYFUNCTION("""COMPUTED_VALUE"""),44070.99861111111)</f>
        <v>44070.99861</v>
      </c>
      <c r="B1434" s="433">
        <f>IFERROR(__xludf.DUMMYFUNCTION("""COMPUTED_VALUE"""),11325.62)</f>
        <v>11325.62</v>
      </c>
      <c r="C1434" s="434">
        <f>IFERROR(__xludf.DUMMYFUNCTION("""COMPUTED_VALUE"""),43656.99861111111)</f>
        <v>43656.99861</v>
      </c>
      <c r="D1434" s="433">
        <f>IFERROR(__xludf.DUMMYFUNCTION("""COMPUTED_VALUE"""),308.4862)</f>
        <v>308.4862</v>
      </c>
    </row>
    <row r="1435">
      <c r="A1435" s="434">
        <f>IFERROR(__xludf.DUMMYFUNCTION("""COMPUTED_VALUE"""),44071.99861111111)</f>
        <v>44071.99861</v>
      </c>
      <c r="B1435" s="433">
        <f>IFERROR(__xludf.DUMMYFUNCTION("""COMPUTED_VALUE"""),11533.22)</f>
        <v>11533.22</v>
      </c>
      <c r="C1435" s="434">
        <f>IFERROR(__xludf.DUMMYFUNCTION("""COMPUTED_VALUE"""),43657.99861111111)</f>
        <v>43657.99861</v>
      </c>
      <c r="D1435" s="433">
        <f>IFERROR(__xludf.DUMMYFUNCTION("""COMPUTED_VALUE"""),289.4882)</f>
        <v>289.4882</v>
      </c>
    </row>
    <row r="1436">
      <c r="A1436" s="434">
        <f>IFERROR(__xludf.DUMMYFUNCTION("""COMPUTED_VALUE"""),44072.99861111111)</f>
        <v>44072.99861</v>
      </c>
      <c r="B1436" s="433">
        <f>IFERROR(__xludf.DUMMYFUNCTION("""COMPUTED_VALUE"""),11477.2)</f>
        <v>11477.2</v>
      </c>
      <c r="C1436" s="434">
        <f>IFERROR(__xludf.DUMMYFUNCTION("""COMPUTED_VALUE"""),43658.99861111111)</f>
        <v>43658.99861</v>
      </c>
      <c r="D1436" s="433">
        <f>IFERROR(__xludf.DUMMYFUNCTION("""COMPUTED_VALUE"""),268.8443)</f>
        <v>268.8443</v>
      </c>
    </row>
    <row r="1437">
      <c r="A1437" s="434">
        <f>IFERROR(__xludf.DUMMYFUNCTION("""COMPUTED_VALUE"""),44073.99861111111)</f>
        <v>44073.99861</v>
      </c>
      <c r="B1437" s="433">
        <f>IFERROR(__xludf.DUMMYFUNCTION("""COMPUTED_VALUE"""),11713.8)</f>
        <v>11713.8</v>
      </c>
      <c r="C1437" s="434">
        <f>IFERROR(__xludf.DUMMYFUNCTION("""COMPUTED_VALUE"""),43659.99861111111)</f>
        <v>43659.99861</v>
      </c>
      <c r="D1437" s="433">
        <f>IFERROR(__xludf.DUMMYFUNCTION("""COMPUTED_VALUE"""),276.1566)</f>
        <v>276.1566</v>
      </c>
    </row>
    <row r="1438">
      <c r="A1438" s="434">
        <f>IFERROR(__xludf.DUMMYFUNCTION("""COMPUTED_VALUE"""),44074.99861111111)</f>
        <v>44074.99861</v>
      </c>
      <c r="B1438" s="433">
        <f>IFERROR(__xludf.DUMMYFUNCTION("""COMPUTED_VALUE"""),11656.86)</f>
        <v>11656.86</v>
      </c>
      <c r="C1438" s="434">
        <f>IFERROR(__xludf.DUMMYFUNCTION("""COMPUTED_VALUE"""),43660.99861111111)</f>
        <v>43660.99861</v>
      </c>
      <c r="D1438" s="433">
        <f>IFERROR(__xludf.DUMMYFUNCTION("""COMPUTED_VALUE"""),269.2856)</f>
        <v>269.2856</v>
      </c>
    </row>
    <row r="1439">
      <c r="A1439" s="434">
        <f>IFERROR(__xludf.DUMMYFUNCTION("""COMPUTED_VALUE"""),44075.99861111111)</f>
        <v>44075.99861</v>
      </c>
      <c r="B1439" s="433">
        <f>IFERROR(__xludf.DUMMYFUNCTION("""COMPUTED_VALUE"""),11925.36)</f>
        <v>11925.36</v>
      </c>
      <c r="C1439" s="434">
        <f>IFERROR(__xludf.DUMMYFUNCTION("""COMPUTED_VALUE"""),43661.99861111111)</f>
        <v>43661.99861</v>
      </c>
      <c r="D1439" s="433">
        <f>IFERROR(__xludf.DUMMYFUNCTION("""COMPUTED_VALUE"""),227.8224)</f>
        <v>227.8224</v>
      </c>
    </row>
    <row r="1440">
      <c r="A1440" s="434">
        <f>IFERROR(__xludf.DUMMYFUNCTION("""COMPUTED_VALUE"""),44076.99861111111)</f>
        <v>44076.99861</v>
      </c>
      <c r="B1440" s="433">
        <f>IFERROR(__xludf.DUMMYFUNCTION("""COMPUTED_VALUE"""),11398.04)</f>
        <v>11398.04</v>
      </c>
      <c r="C1440" s="434">
        <f>IFERROR(__xludf.DUMMYFUNCTION("""COMPUTED_VALUE"""),43662.99861111111)</f>
        <v>43662.99861</v>
      </c>
      <c r="D1440" s="433">
        <f>IFERROR(__xludf.DUMMYFUNCTION("""COMPUTED_VALUE"""),230.2042)</f>
        <v>230.2042</v>
      </c>
    </row>
    <row r="1441">
      <c r="A1441" s="434">
        <f>IFERROR(__xludf.DUMMYFUNCTION("""COMPUTED_VALUE"""),44077.99861111111)</f>
        <v>44077.99861</v>
      </c>
      <c r="B1441" s="433">
        <f>IFERROR(__xludf.DUMMYFUNCTION("""COMPUTED_VALUE"""),10175.84)</f>
        <v>10175.84</v>
      </c>
      <c r="C1441" s="434">
        <f>IFERROR(__xludf.DUMMYFUNCTION("""COMPUTED_VALUE"""),43663.99861111111)</f>
        <v>43663.99861</v>
      </c>
      <c r="D1441" s="433">
        <f>IFERROR(__xludf.DUMMYFUNCTION("""COMPUTED_VALUE"""),199.582)</f>
        <v>199.582</v>
      </c>
    </row>
    <row r="1442">
      <c r="A1442" s="434">
        <f>IFERROR(__xludf.DUMMYFUNCTION("""COMPUTED_VALUE"""),44078.99861111111)</f>
        <v>44078.99861</v>
      </c>
      <c r="B1442" s="433">
        <f>IFERROR(__xludf.DUMMYFUNCTION("""COMPUTED_VALUE"""),10469.5)</f>
        <v>10469.5</v>
      </c>
      <c r="C1442" s="434">
        <f>IFERROR(__xludf.DUMMYFUNCTION("""COMPUTED_VALUE"""),43664.99861111111)</f>
        <v>43664.99861</v>
      </c>
      <c r="D1442" s="433">
        <f>IFERROR(__xludf.DUMMYFUNCTION("""COMPUTED_VALUE"""),211.4524)</f>
        <v>211.4524</v>
      </c>
    </row>
    <row r="1443">
      <c r="A1443" s="434">
        <f>IFERROR(__xludf.DUMMYFUNCTION("""COMPUTED_VALUE"""),44079.99861111111)</f>
        <v>44079.99861</v>
      </c>
      <c r="B1443" s="433">
        <f>IFERROR(__xludf.DUMMYFUNCTION("""COMPUTED_VALUE"""),10166.73)</f>
        <v>10166.73</v>
      </c>
      <c r="C1443" s="434">
        <f>IFERROR(__xludf.DUMMYFUNCTION("""COMPUTED_VALUE"""),43665.99861111111)</f>
        <v>43665.99861</v>
      </c>
      <c r="D1443" s="433">
        <f>IFERROR(__xludf.DUMMYFUNCTION("""COMPUTED_VALUE"""),226.9115)</f>
        <v>226.9115</v>
      </c>
    </row>
    <row r="1444">
      <c r="A1444" s="434">
        <f>IFERROR(__xludf.DUMMYFUNCTION("""COMPUTED_VALUE"""),44080.99861111111)</f>
        <v>44080.99861</v>
      </c>
      <c r="B1444" s="433">
        <f>IFERROR(__xludf.DUMMYFUNCTION("""COMPUTED_VALUE"""),10255.99)</f>
        <v>10255.99</v>
      </c>
      <c r="C1444" s="434">
        <f>IFERROR(__xludf.DUMMYFUNCTION("""COMPUTED_VALUE"""),43666.99861111111)</f>
        <v>43666.99861</v>
      </c>
      <c r="D1444" s="433">
        <f>IFERROR(__xludf.DUMMYFUNCTION("""COMPUTED_VALUE"""),222.6626)</f>
        <v>222.6626</v>
      </c>
    </row>
    <row r="1445">
      <c r="A1445" s="434">
        <f>IFERROR(__xludf.DUMMYFUNCTION("""COMPUTED_VALUE"""),44081.99861111111)</f>
        <v>44081.99861</v>
      </c>
      <c r="B1445" s="433">
        <f>IFERROR(__xludf.DUMMYFUNCTION("""COMPUTED_VALUE"""),10374.99)</f>
        <v>10374.99</v>
      </c>
      <c r="C1445" s="434">
        <f>IFERROR(__xludf.DUMMYFUNCTION("""COMPUTED_VALUE"""),43667.99861111111)</f>
        <v>43667.99861</v>
      </c>
      <c r="D1445" s="433">
        <f>IFERROR(__xludf.DUMMYFUNCTION("""COMPUTED_VALUE"""),228.5978)</f>
        <v>228.5978</v>
      </c>
    </row>
    <row r="1446">
      <c r="A1446" s="434">
        <f>IFERROR(__xludf.DUMMYFUNCTION("""COMPUTED_VALUE"""),44082.99861111111)</f>
        <v>44082.99861</v>
      </c>
      <c r="B1446" s="433">
        <f>IFERROR(__xludf.DUMMYFUNCTION("""COMPUTED_VALUE"""),10125.08)</f>
        <v>10125.08</v>
      </c>
      <c r="C1446" s="434">
        <f>IFERROR(__xludf.DUMMYFUNCTION("""COMPUTED_VALUE"""),43668.99861111111)</f>
        <v>43668.99861</v>
      </c>
      <c r="D1446" s="433">
        <f>IFERROR(__xludf.DUMMYFUNCTION("""COMPUTED_VALUE"""),226.0838)</f>
        <v>226.0838</v>
      </c>
    </row>
    <row r="1447">
      <c r="A1447" s="434">
        <f>IFERROR(__xludf.DUMMYFUNCTION("""COMPUTED_VALUE"""),44083.99861111111)</f>
        <v>44083.99861</v>
      </c>
      <c r="B1447" s="433">
        <f>IFERROR(__xludf.DUMMYFUNCTION("""COMPUTED_VALUE"""),10225.3)</f>
        <v>10225.3</v>
      </c>
      <c r="C1447" s="434">
        <f>IFERROR(__xludf.DUMMYFUNCTION("""COMPUTED_VALUE"""),43669.99861111111)</f>
        <v>43669.99861</v>
      </c>
      <c r="D1447" s="433">
        <f>IFERROR(__xludf.DUMMYFUNCTION("""COMPUTED_VALUE"""),217.2651)</f>
        <v>217.2651</v>
      </c>
    </row>
    <row r="1448">
      <c r="A1448" s="434">
        <f>IFERROR(__xludf.DUMMYFUNCTION("""COMPUTED_VALUE"""),44084.99861111111)</f>
        <v>44084.99861</v>
      </c>
      <c r="B1448" s="433">
        <f>IFERROR(__xludf.DUMMYFUNCTION("""COMPUTED_VALUE"""),10346.71)</f>
        <v>10346.71</v>
      </c>
      <c r="C1448" s="434">
        <f>IFERROR(__xludf.DUMMYFUNCTION("""COMPUTED_VALUE"""),43670.99861111111)</f>
        <v>43670.99861</v>
      </c>
      <c r="D1448" s="433">
        <f>IFERROR(__xludf.DUMMYFUNCTION("""COMPUTED_VALUE"""),212.5221)</f>
        <v>212.5221</v>
      </c>
    </row>
    <row r="1449">
      <c r="A1449" s="434">
        <f>IFERROR(__xludf.DUMMYFUNCTION("""COMPUTED_VALUE"""),44085.99861111111)</f>
        <v>44085.99861</v>
      </c>
      <c r="B1449" s="433">
        <f>IFERROR(__xludf.DUMMYFUNCTION("""COMPUTED_VALUE"""),10396.03)</f>
        <v>10396.03</v>
      </c>
      <c r="C1449" s="434">
        <f>IFERROR(__xludf.DUMMYFUNCTION("""COMPUTED_VALUE"""),43671.99861111111)</f>
        <v>43671.99861</v>
      </c>
      <c r="D1449" s="433">
        <f>IFERROR(__xludf.DUMMYFUNCTION("""COMPUTED_VALUE"""),216.5206)</f>
        <v>216.5206</v>
      </c>
    </row>
    <row r="1450">
      <c r="A1450" s="434">
        <f>IFERROR(__xludf.DUMMYFUNCTION("""COMPUTED_VALUE"""),44086.99861111111)</f>
        <v>44086.99861</v>
      </c>
      <c r="B1450" s="433">
        <f>IFERROR(__xludf.DUMMYFUNCTION("""COMPUTED_VALUE"""),10446.0)</f>
        <v>10446</v>
      </c>
      <c r="C1450" s="434">
        <f>IFERROR(__xludf.DUMMYFUNCTION("""COMPUTED_VALUE"""),43672.99861111111)</f>
        <v>43672.99861</v>
      </c>
      <c r="D1450" s="433">
        <f>IFERROR(__xludf.DUMMYFUNCTION("""COMPUTED_VALUE"""),219.6769)</f>
        <v>219.6769</v>
      </c>
    </row>
    <row r="1451">
      <c r="A1451" s="434">
        <f>IFERROR(__xludf.DUMMYFUNCTION("""COMPUTED_VALUE"""),44087.99861111111)</f>
        <v>44087.99861</v>
      </c>
      <c r="B1451" s="433">
        <f>IFERROR(__xludf.DUMMYFUNCTION("""COMPUTED_VALUE"""),10332.06)</f>
        <v>10332.06</v>
      </c>
      <c r="C1451" s="434">
        <f>IFERROR(__xludf.DUMMYFUNCTION("""COMPUTED_VALUE"""),43673.99861111111)</f>
        <v>43673.99861</v>
      </c>
      <c r="D1451" s="433">
        <f>IFERROR(__xludf.DUMMYFUNCTION("""COMPUTED_VALUE"""),219.4642)</f>
        <v>219.4642</v>
      </c>
    </row>
    <row r="1452">
      <c r="A1452" s="434">
        <f>IFERROR(__xludf.DUMMYFUNCTION("""COMPUTED_VALUE"""),44088.99861111111)</f>
        <v>44088.99861</v>
      </c>
      <c r="B1452" s="433">
        <f>IFERROR(__xludf.DUMMYFUNCTION("""COMPUTED_VALUE"""),10678.08)</f>
        <v>10678.08</v>
      </c>
      <c r="C1452" s="434">
        <f>IFERROR(__xludf.DUMMYFUNCTION("""COMPUTED_VALUE"""),43674.99861111111)</f>
        <v>43674.99861</v>
      </c>
      <c r="D1452" s="433">
        <f>IFERROR(__xludf.DUMMYFUNCTION("""COMPUTED_VALUE"""),207.7684)</f>
        <v>207.7684</v>
      </c>
    </row>
    <row r="1453">
      <c r="A1453" s="434">
        <f>IFERROR(__xludf.DUMMYFUNCTION("""COMPUTED_VALUE"""),44089.99861111111)</f>
        <v>44089.99861</v>
      </c>
      <c r="B1453" s="433">
        <f>IFERROR(__xludf.DUMMYFUNCTION("""COMPUTED_VALUE"""),10786.28)</f>
        <v>10786.28</v>
      </c>
      <c r="C1453" s="434">
        <f>IFERROR(__xludf.DUMMYFUNCTION("""COMPUTED_VALUE"""),43675.99861111111)</f>
        <v>43675.99861</v>
      </c>
      <c r="D1453" s="433">
        <f>IFERROR(__xludf.DUMMYFUNCTION("""COMPUTED_VALUE"""),211.4574)</f>
        <v>211.4574</v>
      </c>
    </row>
    <row r="1454">
      <c r="A1454" s="434">
        <f>IFERROR(__xludf.DUMMYFUNCTION("""COMPUTED_VALUE"""),44090.99861111111)</f>
        <v>44090.99861</v>
      </c>
      <c r="B1454" s="433">
        <f>IFERROR(__xludf.DUMMYFUNCTION("""COMPUTED_VALUE"""),10950.88)</f>
        <v>10950.88</v>
      </c>
      <c r="C1454" s="434">
        <f>IFERROR(__xludf.DUMMYFUNCTION("""COMPUTED_VALUE"""),43676.99861111111)</f>
        <v>43676.99861</v>
      </c>
      <c r="D1454" s="433">
        <f>IFERROR(__xludf.DUMMYFUNCTION("""COMPUTED_VALUE"""),211.4393)</f>
        <v>211.4393</v>
      </c>
    </row>
    <row r="1455">
      <c r="A1455" s="434">
        <f>IFERROR(__xludf.DUMMYFUNCTION("""COMPUTED_VALUE"""),44091.99861111111)</f>
        <v>44091.99861</v>
      </c>
      <c r="B1455" s="433">
        <f>IFERROR(__xludf.DUMMYFUNCTION("""COMPUTED_VALUE"""),10944.69)</f>
        <v>10944.69</v>
      </c>
      <c r="C1455" s="434">
        <f>IFERROR(__xludf.DUMMYFUNCTION("""COMPUTED_VALUE"""),43677.99861111111)</f>
        <v>43677.99861</v>
      </c>
      <c r="D1455" s="433">
        <f>IFERROR(__xludf.DUMMYFUNCTION("""COMPUTED_VALUE"""),210.5163)</f>
        <v>210.5163</v>
      </c>
    </row>
    <row r="1456">
      <c r="A1456" s="434">
        <f>IFERROR(__xludf.DUMMYFUNCTION("""COMPUTED_VALUE"""),44092.99861111111)</f>
        <v>44092.99861</v>
      </c>
      <c r="B1456" s="433">
        <f>IFERROR(__xludf.DUMMYFUNCTION("""COMPUTED_VALUE"""),10936.99)</f>
        <v>10936.99</v>
      </c>
      <c r="C1456" s="434">
        <f>IFERROR(__xludf.DUMMYFUNCTION("""COMPUTED_VALUE"""),43678.99861111111)</f>
        <v>43678.99861</v>
      </c>
      <c r="D1456" s="433">
        <f>IFERROR(__xludf.DUMMYFUNCTION("""COMPUTED_VALUE"""),218.5415)</f>
        <v>218.5415</v>
      </c>
    </row>
    <row r="1457">
      <c r="A1457" s="434">
        <f>IFERROR(__xludf.DUMMYFUNCTION("""COMPUTED_VALUE"""),44093.99861111111)</f>
        <v>44093.99861</v>
      </c>
      <c r="B1457" s="433">
        <f>IFERROR(__xludf.DUMMYFUNCTION("""COMPUTED_VALUE"""),11082.85)</f>
        <v>11082.85</v>
      </c>
      <c r="C1457" s="434">
        <f>IFERROR(__xludf.DUMMYFUNCTION("""COMPUTED_VALUE"""),43679.99861111111)</f>
        <v>43679.99861</v>
      </c>
      <c r="D1457" s="433">
        <f>IFERROR(__xludf.DUMMYFUNCTION("""COMPUTED_VALUE"""),218.006)</f>
        <v>218.006</v>
      </c>
    </row>
    <row r="1458">
      <c r="A1458" s="434">
        <f>IFERROR(__xludf.DUMMYFUNCTION("""COMPUTED_VALUE"""),44094.99861111111)</f>
        <v>44094.99861</v>
      </c>
      <c r="B1458" s="433">
        <f>IFERROR(__xludf.DUMMYFUNCTION("""COMPUTED_VALUE"""),10920.82)</f>
        <v>10920.82</v>
      </c>
      <c r="C1458" s="434">
        <f>IFERROR(__xludf.DUMMYFUNCTION("""COMPUTED_VALUE"""),43680.99861111111)</f>
        <v>43680.99861</v>
      </c>
      <c r="D1458" s="433">
        <f>IFERROR(__xludf.DUMMYFUNCTION("""COMPUTED_VALUE"""),217.9792)</f>
        <v>217.9792</v>
      </c>
    </row>
    <row r="1459">
      <c r="A1459" s="434">
        <f>IFERROR(__xludf.DUMMYFUNCTION("""COMPUTED_VALUE"""),44095.99861111111)</f>
        <v>44095.99861</v>
      </c>
      <c r="B1459" s="433">
        <f>IFERROR(__xludf.DUMMYFUNCTION("""COMPUTED_VALUE"""),10418.53)</f>
        <v>10418.53</v>
      </c>
      <c r="C1459" s="434">
        <f>IFERROR(__xludf.DUMMYFUNCTION("""COMPUTED_VALUE"""),43681.99861111111)</f>
        <v>43681.99861</v>
      </c>
      <c r="D1459" s="433">
        <f>IFERROR(__xludf.DUMMYFUNCTION("""COMPUTED_VALUE"""),222.7066)</f>
        <v>222.7066</v>
      </c>
    </row>
    <row r="1460">
      <c r="A1460" s="434">
        <f>IFERROR(__xludf.DUMMYFUNCTION("""COMPUTED_VALUE"""),44096.99861111111)</f>
        <v>44096.99861</v>
      </c>
      <c r="B1460" s="433">
        <f>IFERROR(__xludf.DUMMYFUNCTION("""COMPUTED_VALUE"""),10532.29)</f>
        <v>10532.29</v>
      </c>
      <c r="C1460" s="434">
        <f>IFERROR(__xludf.DUMMYFUNCTION("""COMPUTED_VALUE"""),43682.99861111111)</f>
        <v>43682.99861</v>
      </c>
      <c r="D1460" s="433">
        <f>IFERROR(__xludf.DUMMYFUNCTION("""COMPUTED_VALUE"""),222.7272)</f>
        <v>222.7272</v>
      </c>
    </row>
    <row r="1461">
      <c r="A1461" s="434">
        <f>IFERROR(__xludf.DUMMYFUNCTION("""COMPUTED_VALUE"""),44097.99861111111)</f>
        <v>44097.99861</v>
      </c>
      <c r="B1461" s="433">
        <f>IFERROR(__xludf.DUMMYFUNCTION("""COMPUTED_VALUE"""),10234.28)</f>
        <v>10234.28</v>
      </c>
      <c r="C1461" s="434">
        <f>IFERROR(__xludf.DUMMYFUNCTION("""COMPUTED_VALUE"""),43683.99861111111)</f>
        <v>43683.99861</v>
      </c>
      <c r="D1461" s="433">
        <f>IFERROR(__xludf.DUMMYFUNCTION("""COMPUTED_VALUE"""),233.9331)</f>
        <v>233.9331</v>
      </c>
    </row>
    <row r="1462">
      <c r="A1462" s="434">
        <f>IFERROR(__xludf.DUMMYFUNCTION("""COMPUTED_VALUE"""),44098.99861111111)</f>
        <v>44098.99861</v>
      </c>
      <c r="B1462" s="433">
        <f>IFERROR(__xludf.DUMMYFUNCTION("""COMPUTED_VALUE"""),10741.21)</f>
        <v>10741.21</v>
      </c>
      <c r="C1462" s="434">
        <f>IFERROR(__xludf.DUMMYFUNCTION("""COMPUTED_VALUE"""),43684.99861111111)</f>
        <v>43684.99861</v>
      </c>
      <c r="D1462" s="433">
        <f>IFERROR(__xludf.DUMMYFUNCTION("""COMPUTED_VALUE"""),225.8599)</f>
        <v>225.8599</v>
      </c>
    </row>
    <row r="1463">
      <c r="A1463" s="434">
        <f>IFERROR(__xludf.DUMMYFUNCTION("""COMPUTED_VALUE"""),44099.99861111111)</f>
        <v>44099.99861</v>
      </c>
      <c r="B1463" s="433">
        <f>IFERROR(__xludf.DUMMYFUNCTION("""COMPUTED_VALUE"""),10691.79)</f>
        <v>10691.79</v>
      </c>
      <c r="C1463" s="434">
        <f>IFERROR(__xludf.DUMMYFUNCTION("""COMPUTED_VALUE"""),43685.99861111111)</f>
        <v>43685.99861</v>
      </c>
      <c r="D1463" s="433">
        <f>IFERROR(__xludf.DUMMYFUNCTION("""COMPUTED_VALUE"""),226.5381)</f>
        <v>226.5381</v>
      </c>
    </row>
    <row r="1464">
      <c r="A1464" s="434">
        <f>IFERROR(__xludf.DUMMYFUNCTION("""COMPUTED_VALUE"""),44100.99861111111)</f>
        <v>44100.99861</v>
      </c>
      <c r="B1464" s="433">
        <f>IFERROR(__xludf.DUMMYFUNCTION("""COMPUTED_VALUE"""),10732.1)</f>
        <v>10732.1</v>
      </c>
      <c r="C1464" s="434">
        <f>IFERROR(__xludf.DUMMYFUNCTION("""COMPUTED_VALUE"""),43686.99861111111)</f>
        <v>43686.99861</v>
      </c>
      <c r="D1464" s="433">
        <f>IFERROR(__xludf.DUMMYFUNCTION("""COMPUTED_VALUE"""),220.9819)</f>
        <v>220.9819</v>
      </c>
    </row>
    <row r="1465">
      <c r="A1465" s="434">
        <f>IFERROR(__xludf.DUMMYFUNCTION("""COMPUTED_VALUE"""),44101.99861111111)</f>
        <v>44101.99861</v>
      </c>
      <c r="B1465" s="433">
        <f>IFERROR(__xludf.DUMMYFUNCTION("""COMPUTED_VALUE"""),10777.93)</f>
        <v>10777.93</v>
      </c>
      <c r="C1465" s="434">
        <f>IFERROR(__xludf.DUMMYFUNCTION("""COMPUTED_VALUE"""),43687.99861111111)</f>
        <v>43687.99861</v>
      </c>
      <c r="D1465" s="433">
        <f>IFERROR(__xludf.DUMMYFUNCTION("""COMPUTED_VALUE"""),210.8646)</f>
        <v>210.8646</v>
      </c>
    </row>
    <row r="1466">
      <c r="A1466" s="434">
        <f>IFERROR(__xludf.DUMMYFUNCTION("""COMPUTED_VALUE"""),44102.99861111111)</f>
        <v>44102.99861</v>
      </c>
      <c r="B1466" s="433">
        <f>IFERROR(__xludf.DUMMYFUNCTION("""COMPUTED_VALUE"""),10695.78)</f>
        <v>10695.78</v>
      </c>
      <c r="C1466" s="434">
        <f>IFERROR(__xludf.DUMMYFUNCTION("""COMPUTED_VALUE"""),43688.99861111111)</f>
        <v>43688.99861</v>
      </c>
      <c r="D1466" s="433">
        <f>IFERROR(__xludf.DUMMYFUNCTION("""COMPUTED_VALUE"""),206.5108)</f>
        <v>206.5108</v>
      </c>
    </row>
    <row r="1467">
      <c r="A1467" s="434">
        <f>IFERROR(__xludf.DUMMYFUNCTION("""COMPUTED_VALUE"""),44103.99861111111)</f>
        <v>44103.99861</v>
      </c>
      <c r="B1467" s="433">
        <f>IFERROR(__xludf.DUMMYFUNCTION("""COMPUTED_VALUE"""),10841.77)</f>
        <v>10841.77</v>
      </c>
      <c r="C1467" s="434">
        <f>IFERROR(__xludf.DUMMYFUNCTION("""COMPUTED_VALUE"""),43689.99861111111)</f>
        <v>43689.99861</v>
      </c>
      <c r="D1467" s="433">
        <f>IFERROR(__xludf.DUMMYFUNCTION("""COMPUTED_VALUE"""),215.6829)</f>
        <v>215.6829</v>
      </c>
    </row>
    <row r="1468">
      <c r="A1468" s="434">
        <f>IFERROR(__xludf.DUMMYFUNCTION("""COMPUTED_VALUE"""),44104.99861111111)</f>
        <v>44104.99861</v>
      </c>
      <c r="B1468" s="433">
        <f>IFERROR(__xludf.DUMMYFUNCTION("""COMPUTED_VALUE"""),10779.78)</f>
        <v>10779.78</v>
      </c>
      <c r="C1468" s="434">
        <f>IFERROR(__xludf.DUMMYFUNCTION("""COMPUTED_VALUE"""),43690.99861111111)</f>
        <v>43690.99861</v>
      </c>
      <c r="D1468" s="433">
        <f>IFERROR(__xludf.DUMMYFUNCTION("""COMPUTED_VALUE"""),211.1822)</f>
        <v>211.1822</v>
      </c>
    </row>
    <row r="1469">
      <c r="A1469" s="434">
        <f>IFERROR(__xludf.DUMMYFUNCTION("""COMPUTED_VALUE"""),44105.99861111111)</f>
        <v>44105.99861</v>
      </c>
      <c r="B1469" s="433">
        <f>IFERROR(__xludf.DUMMYFUNCTION("""COMPUTED_VALUE"""),10620.55)</f>
        <v>10620.55</v>
      </c>
      <c r="C1469" s="434">
        <f>IFERROR(__xludf.DUMMYFUNCTION("""COMPUTED_VALUE"""),43691.99861111111)</f>
        <v>43691.99861</v>
      </c>
      <c r="D1469" s="433">
        <f>IFERROR(__xludf.DUMMYFUNCTION("""COMPUTED_VALUE"""),208.7071)</f>
        <v>208.7071</v>
      </c>
    </row>
    <row r="1470">
      <c r="A1470" s="434">
        <f>IFERROR(__xludf.DUMMYFUNCTION("""COMPUTED_VALUE"""),44106.99861111111)</f>
        <v>44106.99861</v>
      </c>
      <c r="B1470" s="433">
        <f>IFERROR(__xludf.DUMMYFUNCTION("""COMPUTED_VALUE"""),10574.28)</f>
        <v>10574.28</v>
      </c>
      <c r="C1470" s="434">
        <f>IFERROR(__xludf.DUMMYFUNCTION("""COMPUTED_VALUE"""),43692.99861111111)</f>
        <v>43692.99861</v>
      </c>
      <c r="D1470" s="433">
        <f>IFERROR(__xludf.DUMMYFUNCTION("""COMPUTED_VALUE"""),187.6542)</f>
        <v>187.6542</v>
      </c>
    </row>
    <row r="1471">
      <c r="A1471" s="434">
        <f>IFERROR(__xludf.DUMMYFUNCTION("""COMPUTED_VALUE"""),44107.99861111111)</f>
        <v>44107.99861</v>
      </c>
      <c r="B1471" s="433">
        <f>IFERROR(__xludf.DUMMYFUNCTION("""COMPUTED_VALUE"""),10551.46)</f>
        <v>10551.46</v>
      </c>
      <c r="C1471" s="434">
        <f>IFERROR(__xludf.DUMMYFUNCTION("""COMPUTED_VALUE"""),43693.99861111111)</f>
        <v>43693.99861</v>
      </c>
      <c r="D1471" s="433">
        <f>IFERROR(__xludf.DUMMYFUNCTION("""COMPUTED_VALUE"""),188.4806)</f>
        <v>188.4806</v>
      </c>
    </row>
    <row r="1472">
      <c r="A1472" s="434">
        <f>IFERROR(__xludf.DUMMYFUNCTION("""COMPUTED_VALUE"""),44108.99861111111)</f>
        <v>44108.99861</v>
      </c>
      <c r="B1472" s="433">
        <f>IFERROR(__xludf.DUMMYFUNCTION("""COMPUTED_VALUE"""),10673.94)</f>
        <v>10673.94</v>
      </c>
      <c r="C1472" s="434">
        <f>IFERROR(__xludf.DUMMYFUNCTION("""COMPUTED_VALUE"""),43694.99861111111)</f>
        <v>43694.99861</v>
      </c>
      <c r="D1472" s="433">
        <f>IFERROR(__xludf.DUMMYFUNCTION("""COMPUTED_VALUE"""),185.6415)</f>
        <v>185.6415</v>
      </c>
    </row>
    <row r="1473">
      <c r="A1473" s="434">
        <f>IFERROR(__xludf.DUMMYFUNCTION("""COMPUTED_VALUE"""),44109.99861111111)</f>
        <v>44109.99861</v>
      </c>
      <c r="B1473" s="433">
        <f>IFERROR(__xludf.DUMMYFUNCTION("""COMPUTED_VALUE"""),10793.58)</f>
        <v>10793.58</v>
      </c>
      <c r="C1473" s="434">
        <f>IFERROR(__xludf.DUMMYFUNCTION("""COMPUTED_VALUE"""),43695.99861111111)</f>
        <v>43695.99861</v>
      </c>
      <c r="D1473" s="433">
        <f>IFERROR(__xludf.DUMMYFUNCTION("""COMPUTED_VALUE"""),186.2102)</f>
        <v>186.2102</v>
      </c>
    </row>
    <row r="1474">
      <c r="A1474" s="434">
        <f>IFERROR(__xludf.DUMMYFUNCTION("""COMPUTED_VALUE"""),44110.99861111111)</f>
        <v>44110.99861</v>
      </c>
      <c r="B1474" s="433">
        <f>IFERROR(__xludf.DUMMYFUNCTION("""COMPUTED_VALUE"""),10603.72)</f>
        <v>10603.72</v>
      </c>
      <c r="C1474" s="434">
        <f>IFERROR(__xludf.DUMMYFUNCTION("""COMPUTED_VALUE"""),43696.99861111111)</f>
        <v>43696.99861</v>
      </c>
      <c r="D1474" s="433">
        <f>IFERROR(__xludf.DUMMYFUNCTION("""COMPUTED_VALUE"""),194.5871)</f>
        <v>194.5871</v>
      </c>
    </row>
    <row r="1475">
      <c r="A1475" s="434">
        <f>IFERROR(__xludf.DUMMYFUNCTION("""COMPUTED_VALUE"""),44111.99861111111)</f>
        <v>44111.99861</v>
      </c>
      <c r="B1475" s="433">
        <f>IFERROR(__xludf.DUMMYFUNCTION("""COMPUTED_VALUE"""),10671.61)</f>
        <v>10671.61</v>
      </c>
      <c r="C1475" s="434">
        <f>IFERROR(__xludf.DUMMYFUNCTION("""COMPUTED_VALUE"""),43697.99861111111)</f>
        <v>43697.99861</v>
      </c>
      <c r="D1475" s="433">
        <f>IFERROR(__xludf.DUMMYFUNCTION("""COMPUTED_VALUE"""),202.9811)</f>
        <v>202.9811</v>
      </c>
    </row>
    <row r="1476">
      <c r="A1476" s="434">
        <f>IFERROR(__xludf.DUMMYFUNCTION("""COMPUTED_VALUE"""),44112.99861111111)</f>
        <v>44112.99861</v>
      </c>
      <c r="B1476" s="433">
        <f>IFERROR(__xludf.DUMMYFUNCTION("""COMPUTED_VALUE"""),10929.55)</f>
        <v>10929.55</v>
      </c>
      <c r="C1476" s="434">
        <f>IFERROR(__xludf.DUMMYFUNCTION("""COMPUTED_VALUE"""),43698.99861111111)</f>
        <v>43698.99861</v>
      </c>
      <c r="D1476" s="433">
        <f>IFERROR(__xludf.DUMMYFUNCTION("""COMPUTED_VALUE"""),196.771)</f>
        <v>196.771</v>
      </c>
    </row>
    <row r="1477">
      <c r="A1477" s="434">
        <f>IFERROR(__xludf.DUMMYFUNCTION("""COMPUTED_VALUE"""),44113.99861111111)</f>
        <v>44113.99861</v>
      </c>
      <c r="B1477" s="433">
        <f>IFERROR(__xludf.DUMMYFUNCTION("""COMPUTED_VALUE"""),11059.02)</f>
        <v>11059.02</v>
      </c>
      <c r="C1477" s="434">
        <f>IFERROR(__xludf.DUMMYFUNCTION("""COMPUTED_VALUE"""),43699.99861111111)</f>
        <v>43699.99861</v>
      </c>
      <c r="D1477" s="433">
        <f>IFERROR(__xludf.DUMMYFUNCTION("""COMPUTED_VALUE"""),188.6783)</f>
        <v>188.6783</v>
      </c>
    </row>
    <row r="1478">
      <c r="A1478" s="434">
        <f>IFERROR(__xludf.DUMMYFUNCTION("""COMPUTED_VALUE"""),44114.99861111111)</f>
        <v>44114.99861</v>
      </c>
      <c r="B1478" s="433">
        <f>IFERROR(__xludf.DUMMYFUNCTION("""COMPUTED_VALUE"""),11301.6)</f>
        <v>11301.6</v>
      </c>
      <c r="C1478" s="434">
        <f>IFERROR(__xludf.DUMMYFUNCTION("""COMPUTED_VALUE"""),43700.99861111111)</f>
        <v>43700.99861</v>
      </c>
      <c r="D1478" s="433">
        <f>IFERROR(__xludf.DUMMYFUNCTION("""COMPUTED_VALUE"""),190.3444)</f>
        <v>190.3444</v>
      </c>
    </row>
    <row r="1479">
      <c r="A1479" s="434">
        <f>IFERROR(__xludf.DUMMYFUNCTION("""COMPUTED_VALUE"""),44115.99861111111)</f>
        <v>44115.99861</v>
      </c>
      <c r="B1479" s="433">
        <f>IFERROR(__xludf.DUMMYFUNCTION("""COMPUTED_VALUE"""),11375.07)</f>
        <v>11375.07</v>
      </c>
      <c r="C1479" s="434">
        <f>IFERROR(__xludf.DUMMYFUNCTION("""COMPUTED_VALUE"""),43701.99861111111)</f>
        <v>43701.99861</v>
      </c>
      <c r="D1479" s="433">
        <f>IFERROR(__xludf.DUMMYFUNCTION("""COMPUTED_VALUE"""),194.5116)</f>
        <v>194.5116</v>
      </c>
    </row>
    <row r="1480">
      <c r="A1480" s="434">
        <f>IFERROR(__xludf.DUMMYFUNCTION("""COMPUTED_VALUE"""),44116.99861111111)</f>
        <v>44116.99861</v>
      </c>
      <c r="B1480" s="433">
        <f>IFERROR(__xludf.DUMMYFUNCTION("""COMPUTED_VALUE"""),11537.3)</f>
        <v>11537.3</v>
      </c>
      <c r="C1480" s="434">
        <f>IFERROR(__xludf.DUMMYFUNCTION("""COMPUTED_VALUE"""),43702.99861111111)</f>
        <v>43702.99861</v>
      </c>
      <c r="D1480" s="433">
        <f>IFERROR(__xludf.DUMMYFUNCTION("""COMPUTED_VALUE"""),190.8147)</f>
        <v>190.8147</v>
      </c>
    </row>
    <row r="1481">
      <c r="A1481" s="434">
        <f>IFERROR(__xludf.DUMMYFUNCTION("""COMPUTED_VALUE"""),44117.99861111111)</f>
        <v>44117.99861</v>
      </c>
      <c r="B1481" s="433">
        <f>IFERROR(__xludf.DUMMYFUNCTION("""COMPUTED_VALUE"""),11429.06)</f>
        <v>11429.06</v>
      </c>
      <c r="C1481" s="434">
        <f>IFERROR(__xludf.DUMMYFUNCTION("""COMPUTED_VALUE"""),43703.99861111111)</f>
        <v>43703.99861</v>
      </c>
      <c r="D1481" s="433">
        <f>IFERROR(__xludf.DUMMYFUNCTION("""COMPUTED_VALUE"""),186.8955)</f>
        <v>186.8955</v>
      </c>
    </row>
    <row r="1482">
      <c r="A1482" s="434">
        <f>IFERROR(__xludf.DUMMYFUNCTION("""COMPUTED_VALUE"""),44118.99861111111)</f>
        <v>44118.99861</v>
      </c>
      <c r="B1482" s="433">
        <f>IFERROR(__xludf.DUMMYFUNCTION("""COMPUTED_VALUE"""),11428.24)</f>
        <v>11428.24</v>
      </c>
      <c r="C1482" s="434">
        <f>IFERROR(__xludf.DUMMYFUNCTION("""COMPUTED_VALUE"""),43704.99861111111)</f>
        <v>43704.99861</v>
      </c>
      <c r="D1482" s="433">
        <f>IFERROR(__xludf.DUMMYFUNCTION("""COMPUTED_VALUE"""),188.8516)</f>
        <v>188.8516</v>
      </c>
    </row>
    <row r="1483">
      <c r="A1483" s="434">
        <f>IFERROR(__xludf.DUMMYFUNCTION("""COMPUTED_VALUE"""),44119.99861111111)</f>
        <v>44119.99861</v>
      </c>
      <c r="B1483" s="433">
        <f>IFERROR(__xludf.DUMMYFUNCTION("""COMPUTED_VALUE"""),11506.18)</f>
        <v>11506.18</v>
      </c>
      <c r="C1483" s="434">
        <f>IFERROR(__xludf.DUMMYFUNCTION("""COMPUTED_VALUE"""),43705.99861111111)</f>
        <v>43705.99861</v>
      </c>
      <c r="D1483" s="433">
        <f>IFERROR(__xludf.DUMMYFUNCTION("""COMPUTED_VALUE"""),187.4254)</f>
        <v>187.4254</v>
      </c>
    </row>
    <row r="1484">
      <c r="A1484" s="434">
        <f>IFERROR(__xludf.DUMMYFUNCTION("""COMPUTED_VALUE"""),44120.99861111111)</f>
        <v>44120.99861</v>
      </c>
      <c r="B1484" s="433">
        <f>IFERROR(__xludf.DUMMYFUNCTION("""COMPUTED_VALUE"""),11325.54)</f>
        <v>11325.54</v>
      </c>
      <c r="C1484" s="434">
        <f>IFERROR(__xludf.DUMMYFUNCTION("""COMPUTED_VALUE"""),43706.99861111111)</f>
        <v>43706.99861</v>
      </c>
      <c r="D1484" s="433">
        <f>IFERROR(__xludf.DUMMYFUNCTION("""COMPUTED_VALUE"""),173.9182)</f>
        <v>173.9182</v>
      </c>
    </row>
    <row r="1485">
      <c r="A1485" s="434">
        <f>IFERROR(__xludf.DUMMYFUNCTION("""COMPUTED_VALUE"""),44121.99861111111)</f>
        <v>44121.99861</v>
      </c>
      <c r="B1485" s="433">
        <f>IFERROR(__xludf.DUMMYFUNCTION("""COMPUTED_VALUE"""),11367.93)</f>
        <v>11367.93</v>
      </c>
      <c r="C1485" s="434">
        <f>IFERROR(__xludf.DUMMYFUNCTION("""COMPUTED_VALUE"""),43707.99861111111)</f>
        <v>43707.99861</v>
      </c>
      <c r="D1485" s="433">
        <f>IFERROR(__xludf.DUMMYFUNCTION("""COMPUTED_VALUE"""),169.5915)</f>
        <v>169.5915</v>
      </c>
    </row>
    <row r="1486">
      <c r="A1486" s="434">
        <f>IFERROR(__xludf.DUMMYFUNCTION("""COMPUTED_VALUE"""),44122.99861111111)</f>
        <v>44122.99861</v>
      </c>
      <c r="B1486" s="433">
        <f>IFERROR(__xludf.DUMMYFUNCTION("""COMPUTED_VALUE"""),11512.48)</f>
        <v>11512.48</v>
      </c>
      <c r="C1486" s="434">
        <f>IFERROR(__xludf.DUMMYFUNCTION("""COMPUTED_VALUE"""),43708.99861111111)</f>
        <v>43708.99861</v>
      </c>
      <c r="D1486" s="433">
        <f>IFERROR(__xludf.DUMMYFUNCTION("""COMPUTED_VALUE"""),168.9904)</f>
        <v>168.9904</v>
      </c>
    </row>
    <row r="1487">
      <c r="A1487" s="434">
        <f>IFERROR(__xludf.DUMMYFUNCTION("""COMPUTED_VALUE"""),44123.99861111111)</f>
        <v>44123.99861</v>
      </c>
      <c r="B1487" s="433">
        <f>IFERROR(__xludf.DUMMYFUNCTION("""COMPUTED_VALUE"""),11758.06)</f>
        <v>11758.06</v>
      </c>
      <c r="C1487" s="434">
        <f>IFERROR(__xludf.DUMMYFUNCTION("""COMPUTED_VALUE"""),43709.99861111111)</f>
        <v>43709.99861</v>
      </c>
      <c r="D1487" s="433">
        <f>IFERROR(__xludf.DUMMYFUNCTION("""COMPUTED_VALUE"""),172.456)</f>
        <v>172.456</v>
      </c>
    </row>
    <row r="1488">
      <c r="A1488" s="434">
        <f>IFERROR(__xludf.DUMMYFUNCTION("""COMPUTED_VALUE"""),44124.99861111111)</f>
        <v>44124.99861</v>
      </c>
      <c r="B1488" s="433">
        <f>IFERROR(__xludf.DUMMYFUNCTION("""COMPUTED_VALUE"""),11922.28)</f>
        <v>11922.28</v>
      </c>
      <c r="C1488" s="434">
        <f>IFERROR(__xludf.DUMMYFUNCTION("""COMPUTED_VALUE"""),43710.99861111111)</f>
        <v>43710.99861</v>
      </c>
      <c r="D1488" s="433">
        <f>IFERROR(__xludf.DUMMYFUNCTION("""COMPUTED_VALUE"""),172.0489)</f>
        <v>172.0489</v>
      </c>
    </row>
    <row r="1489">
      <c r="A1489" s="434">
        <f>IFERROR(__xludf.DUMMYFUNCTION("""COMPUTED_VALUE"""),44125.99861111111)</f>
        <v>44125.99861</v>
      </c>
      <c r="B1489" s="433">
        <f>IFERROR(__xludf.DUMMYFUNCTION("""COMPUTED_VALUE"""),12811.03)</f>
        <v>12811.03</v>
      </c>
      <c r="C1489" s="434">
        <f>IFERROR(__xludf.DUMMYFUNCTION("""COMPUTED_VALUE"""),43711.99861111111)</f>
        <v>43711.99861</v>
      </c>
      <c r="D1489" s="433">
        <f>IFERROR(__xludf.DUMMYFUNCTION("""COMPUTED_VALUE"""),178.5227)</f>
        <v>178.5227</v>
      </c>
    </row>
    <row r="1490">
      <c r="A1490" s="434">
        <f>IFERROR(__xludf.DUMMYFUNCTION("""COMPUTED_VALUE"""),44126.99861111111)</f>
        <v>44126.99861</v>
      </c>
      <c r="B1490" s="433">
        <f>IFERROR(__xludf.DUMMYFUNCTION("""COMPUTED_VALUE"""),12984.58)</f>
        <v>12984.58</v>
      </c>
      <c r="C1490" s="434">
        <f>IFERROR(__xludf.DUMMYFUNCTION("""COMPUTED_VALUE"""),43712.99861111111)</f>
        <v>43712.99861</v>
      </c>
      <c r="D1490" s="433">
        <f>IFERROR(__xludf.DUMMYFUNCTION("""COMPUTED_VALUE"""),179.127)</f>
        <v>179.127</v>
      </c>
    </row>
    <row r="1491">
      <c r="A1491" s="434">
        <f>IFERROR(__xludf.DUMMYFUNCTION("""COMPUTED_VALUE"""),44127.99861111111)</f>
        <v>44127.99861</v>
      </c>
      <c r="B1491" s="433">
        <f>IFERROR(__xludf.DUMMYFUNCTION("""COMPUTED_VALUE"""),12939.6)</f>
        <v>12939.6</v>
      </c>
      <c r="C1491" s="434">
        <f>IFERROR(__xludf.DUMMYFUNCTION("""COMPUTED_VALUE"""),43713.99861111111)</f>
        <v>43713.99861</v>
      </c>
      <c r="D1491" s="433">
        <f>IFERROR(__xludf.DUMMYFUNCTION("""COMPUTED_VALUE"""),175.819)</f>
        <v>175.819</v>
      </c>
    </row>
    <row r="1492">
      <c r="A1492" s="434">
        <f>IFERROR(__xludf.DUMMYFUNCTION("""COMPUTED_VALUE"""),44128.99861111111)</f>
        <v>44128.99861</v>
      </c>
      <c r="B1492" s="433">
        <f>IFERROR(__xludf.DUMMYFUNCTION("""COMPUTED_VALUE"""),13126.43)</f>
        <v>13126.43</v>
      </c>
      <c r="C1492" s="434">
        <f>IFERROR(__xludf.DUMMYFUNCTION("""COMPUTED_VALUE"""),43714.99861111111)</f>
        <v>43714.99861</v>
      </c>
      <c r="D1492" s="433">
        <f>IFERROR(__xludf.DUMMYFUNCTION("""COMPUTED_VALUE"""),174.1104)</f>
        <v>174.1104</v>
      </c>
    </row>
    <row r="1493">
      <c r="A1493" s="434">
        <f>IFERROR(__xludf.DUMMYFUNCTION("""COMPUTED_VALUE"""),44129.99861111111)</f>
        <v>44129.99861</v>
      </c>
      <c r="B1493" s="433">
        <f>IFERROR(__xludf.DUMMYFUNCTION("""COMPUTED_VALUE"""),13040.09)</f>
        <v>13040.09</v>
      </c>
      <c r="C1493" s="434">
        <f>IFERROR(__xludf.DUMMYFUNCTION("""COMPUTED_VALUE"""),43715.99861111111)</f>
        <v>43715.99861</v>
      </c>
      <c r="D1493" s="433">
        <f>IFERROR(__xludf.DUMMYFUNCTION("""COMPUTED_VALUE"""),170.1174)</f>
        <v>170.1174</v>
      </c>
    </row>
    <row r="1494">
      <c r="A1494" s="434">
        <f>IFERROR(__xludf.DUMMYFUNCTION("""COMPUTED_VALUE"""),44130.99861111111)</f>
        <v>44130.99861</v>
      </c>
      <c r="B1494" s="433">
        <f>IFERROR(__xludf.DUMMYFUNCTION("""COMPUTED_VALUE"""),13070.06)</f>
        <v>13070.06</v>
      </c>
      <c r="C1494" s="434">
        <f>IFERROR(__xludf.DUMMYFUNCTION("""COMPUTED_VALUE"""),43716.99861111111)</f>
        <v>43716.99861</v>
      </c>
      <c r="D1494" s="433">
        <f>IFERROR(__xludf.DUMMYFUNCTION("""COMPUTED_VALUE"""),178.5371)</f>
        <v>178.5371</v>
      </c>
    </row>
    <row r="1495">
      <c r="A1495" s="434">
        <f>IFERROR(__xludf.DUMMYFUNCTION("""COMPUTED_VALUE"""),44131.99861111111)</f>
        <v>44131.99861</v>
      </c>
      <c r="B1495" s="433">
        <f>IFERROR(__xludf.DUMMYFUNCTION("""COMPUTED_VALUE"""),13646.0)</f>
        <v>13646</v>
      </c>
      <c r="C1495" s="434">
        <f>IFERROR(__xludf.DUMMYFUNCTION("""COMPUTED_VALUE"""),43717.99861111111)</f>
        <v>43717.99861</v>
      </c>
      <c r="D1495" s="433">
        <f>IFERROR(__xludf.DUMMYFUNCTION("""COMPUTED_VALUE"""),181.3361)</f>
        <v>181.3361</v>
      </c>
    </row>
    <row r="1496">
      <c r="A1496" s="434">
        <f>IFERROR(__xludf.DUMMYFUNCTION("""COMPUTED_VALUE"""),44132.99861111111)</f>
        <v>44132.99861</v>
      </c>
      <c r="B1496" s="433">
        <f>IFERROR(__xludf.DUMMYFUNCTION("""COMPUTED_VALUE"""),13280.92)</f>
        <v>13280.92</v>
      </c>
      <c r="C1496" s="434">
        <f>IFERROR(__xludf.DUMMYFUNCTION("""COMPUTED_VALUE"""),43718.99861111111)</f>
        <v>43718.99861</v>
      </c>
      <c r="D1496" s="433">
        <f>IFERROR(__xludf.DUMMYFUNCTION("""COMPUTED_VALUE"""),181.2773)</f>
        <v>181.2773</v>
      </c>
    </row>
    <row r="1497">
      <c r="A1497" s="434">
        <f>IFERROR(__xludf.DUMMYFUNCTION("""COMPUTED_VALUE"""),44133.99861111111)</f>
        <v>44133.99861</v>
      </c>
      <c r="B1497" s="433">
        <f>IFERROR(__xludf.DUMMYFUNCTION("""COMPUTED_VALUE"""),13455.76)</f>
        <v>13455.76</v>
      </c>
      <c r="C1497" s="434">
        <f>IFERROR(__xludf.DUMMYFUNCTION("""COMPUTED_VALUE"""),43719.99861111111)</f>
        <v>43719.99861</v>
      </c>
      <c r="D1497" s="433">
        <f>IFERROR(__xludf.DUMMYFUNCTION("""COMPUTED_VALUE"""),179.7181)</f>
        <v>179.7181</v>
      </c>
    </row>
    <row r="1498">
      <c r="A1498" s="434">
        <f>IFERROR(__xludf.DUMMYFUNCTION("""COMPUTED_VALUE"""),44134.99861111111)</f>
        <v>44134.99861</v>
      </c>
      <c r="B1498" s="433">
        <f>IFERROR(__xludf.DUMMYFUNCTION("""COMPUTED_VALUE"""),13568.08)</f>
        <v>13568.08</v>
      </c>
      <c r="C1498" s="434">
        <f>IFERROR(__xludf.DUMMYFUNCTION("""COMPUTED_VALUE"""),43720.99861111111)</f>
        <v>43720.99861</v>
      </c>
      <c r="D1498" s="433">
        <f>IFERROR(__xludf.DUMMYFUNCTION("""COMPUTED_VALUE"""),178.8767)</f>
        <v>178.8767</v>
      </c>
    </row>
    <row r="1499">
      <c r="A1499" s="434">
        <f>IFERROR(__xludf.DUMMYFUNCTION("""COMPUTED_VALUE"""),44135.99861111111)</f>
        <v>44135.99861</v>
      </c>
      <c r="B1499" s="433">
        <f>IFERROR(__xludf.DUMMYFUNCTION("""COMPUTED_VALUE"""),13798.8)</f>
        <v>13798.8</v>
      </c>
      <c r="C1499" s="434">
        <f>IFERROR(__xludf.DUMMYFUNCTION("""COMPUTED_VALUE"""),43721.99861111111)</f>
        <v>43721.99861</v>
      </c>
      <c r="D1499" s="433">
        <f>IFERROR(__xludf.DUMMYFUNCTION("""COMPUTED_VALUE"""),181.165)</f>
        <v>181.165</v>
      </c>
    </row>
    <row r="1500">
      <c r="A1500" s="434">
        <f>IFERROR(__xludf.DUMMYFUNCTION("""COMPUTED_VALUE"""),44136.99861111111)</f>
        <v>44136.99861</v>
      </c>
      <c r="B1500" s="433">
        <f>IFERROR(__xludf.DUMMYFUNCTION("""COMPUTED_VALUE"""),13763.58)</f>
        <v>13763.58</v>
      </c>
      <c r="C1500" s="434">
        <f>IFERROR(__xludf.DUMMYFUNCTION("""COMPUTED_VALUE"""),43722.99861111111)</f>
        <v>43722.99861</v>
      </c>
      <c r="D1500" s="433">
        <f>IFERROR(__xludf.DUMMYFUNCTION("""COMPUTED_VALUE"""),181.2201)</f>
        <v>181.2201</v>
      </c>
    </row>
    <row r="1501">
      <c r="A1501" s="434">
        <f>IFERROR(__xludf.DUMMYFUNCTION("""COMPUTED_VALUE"""),44137.99861111111)</f>
        <v>44137.99861</v>
      </c>
      <c r="B1501" s="433">
        <f>IFERROR(__xludf.DUMMYFUNCTION("""COMPUTED_VALUE"""),13566.47)</f>
        <v>13566.47</v>
      </c>
      <c r="C1501" s="434">
        <f>IFERROR(__xludf.DUMMYFUNCTION("""COMPUTED_VALUE"""),43723.99861111111)</f>
        <v>43723.99861</v>
      </c>
      <c r="D1501" s="433">
        <f>IFERROR(__xludf.DUMMYFUNCTION("""COMPUTED_VALUE"""),188.3022)</f>
        <v>188.3022</v>
      </c>
    </row>
    <row r="1502">
      <c r="A1502" s="434">
        <f>IFERROR(__xludf.DUMMYFUNCTION("""COMPUTED_VALUE"""),44138.99861111111)</f>
        <v>44138.99861</v>
      </c>
      <c r="B1502" s="433">
        <f>IFERROR(__xludf.DUMMYFUNCTION("""COMPUTED_VALUE"""),14021.7)</f>
        <v>14021.7</v>
      </c>
      <c r="C1502" s="434">
        <f>IFERROR(__xludf.DUMMYFUNCTION("""COMPUTED_VALUE"""),43724.99861111111)</f>
        <v>43724.99861</v>
      </c>
      <c r="D1502" s="433">
        <f>IFERROR(__xludf.DUMMYFUNCTION("""COMPUTED_VALUE"""),189.9953)</f>
        <v>189.9953</v>
      </c>
    </row>
    <row r="1503">
      <c r="A1503" s="434">
        <f>IFERROR(__xludf.DUMMYFUNCTION("""COMPUTED_VALUE"""),44139.99861111111)</f>
        <v>44139.99861</v>
      </c>
      <c r="B1503" s="433">
        <f>IFERROR(__xludf.DUMMYFUNCTION("""COMPUTED_VALUE"""),14159.61)</f>
        <v>14159.61</v>
      </c>
      <c r="C1503" s="434">
        <f>IFERROR(__xludf.DUMMYFUNCTION("""COMPUTED_VALUE"""),43725.99861111111)</f>
        <v>43725.99861</v>
      </c>
      <c r="D1503" s="433">
        <f>IFERROR(__xludf.DUMMYFUNCTION("""COMPUTED_VALUE"""),197.369)</f>
        <v>197.369</v>
      </c>
    </row>
    <row r="1504">
      <c r="A1504" s="434">
        <f>IFERROR(__xludf.DUMMYFUNCTION("""COMPUTED_VALUE"""),44140.99861111111)</f>
        <v>44140.99861</v>
      </c>
      <c r="B1504" s="433">
        <f>IFERROR(__xludf.DUMMYFUNCTION("""COMPUTED_VALUE"""),15588.08)</f>
        <v>15588.08</v>
      </c>
      <c r="C1504" s="434">
        <f>IFERROR(__xludf.DUMMYFUNCTION("""COMPUTED_VALUE"""),43726.99861111111)</f>
        <v>43726.99861</v>
      </c>
      <c r="D1504" s="433">
        <f>IFERROR(__xludf.DUMMYFUNCTION("""COMPUTED_VALUE"""),208.442)</f>
        <v>208.442</v>
      </c>
    </row>
    <row r="1505">
      <c r="A1505" s="434">
        <f>IFERROR(__xludf.DUMMYFUNCTION("""COMPUTED_VALUE"""),44141.99861111111)</f>
        <v>44141.99861</v>
      </c>
      <c r="B1505" s="433">
        <f>IFERROR(__xludf.DUMMYFUNCTION("""COMPUTED_VALUE"""),15584.02)</f>
        <v>15584.02</v>
      </c>
      <c r="C1505" s="434">
        <f>IFERROR(__xludf.DUMMYFUNCTION("""COMPUTED_VALUE"""),43727.99861111111)</f>
        <v>43727.99861</v>
      </c>
      <c r="D1505" s="433">
        <f>IFERROR(__xludf.DUMMYFUNCTION("""COMPUTED_VALUE"""),210.7543)</f>
        <v>210.7543</v>
      </c>
    </row>
    <row r="1506">
      <c r="A1506" s="434">
        <f>IFERROR(__xludf.DUMMYFUNCTION("""COMPUTED_VALUE"""),44142.99861111111)</f>
        <v>44142.99861</v>
      </c>
      <c r="B1506" s="433">
        <f>IFERROR(__xludf.DUMMYFUNCTION("""COMPUTED_VALUE"""),14832.34)</f>
        <v>14832.34</v>
      </c>
      <c r="C1506" s="434">
        <f>IFERROR(__xludf.DUMMYFUNCTION("""COMPUTED_VALUE"""),43728.99861111111)</f>
        <v>43728.99861</v>
      </c>
      <c r="D1506" s="433">
        <f>IFERROR(__xludf.DUMMYFUNCTION("""COMPUTED_VALUE"""),221.3709)</f>
        <v>221.3709</v>
      </c>
    </row>
    <row r="1507">
      <c r="A1507" s="434">
        <f>IFERROR(__xludf.DUMMYFUNCTION("""COMPUTED_VALUE"""),44143.99861111111)</f>
        <v>44143.99861</v>
      </c>
      <c r="B1507" s="433">
        <f>IFERROR(__xludf.DUMMYFUNCTION("""COMPUTED_VALUE"""),15484.36)</f>
        <v>15484.36</v>
      </c>
      <c r="C1507" s="434">
        <f>IFERROR(__xludf.DUMMYFUNCTION("""COMPUTED_VALUE"""),43729.99861111111)</f>
        <v>43729.99861</v>
      </c>
      <c r="D1507" s="433">
        <f>IFERROR(__xludf.DUMMYFUNCTION("""COMPUTED_VALUE"""),218.2691)</f>
        <v>218.2691</v>
      </c>
    </row>
    <row r="1508">
      <c r="A1508" s="434">
        <f>IFERROR(__xludf.DUMMYFUNCTION("""COMPUTED_VALUE"""),44144.99861111111)</f>
        <v>44144.99861</v>
      </c>
      <c r="B1508" s="433">
        <f>IFERROR(__xludf.DUMMYFUNCTION("""COMPUTED_VALUE"""),15326.06)</f>
        <v>15326.06</v>
      </c>
      <c r="C1508" s="434">
        <f>IFERROR(__xludf.DUMMYFUNCTION("""COMPUTED_VALUE"""),43730.99861111111)</f>
        <v>43730.99861</v>
      </c>
      <c r="D1508" s="433">
        <f>IFERROR(__xludf.DUMMYFUNCTION("""COMPUTED_VALUE"""),215.7296)</f>
        <v>215.7296</v>
      </c>
    </row>
    <row r="1509">
      <c r="A1509" s="434">
        <f>IFERROR(__xludf.DUMMYFUNCTION("""COMPUTED_VALUE"""),44145.99861111111)</f>
        <v>44145.99861</v>
      </c>
      <c r="B1509" s="433">
        <f>IFERROR(__xludf.DUMMYFUNCTION("""COMPUTED_VALUE"""),15309.83)</f>
        <v>15309.83</v>
      </c>
      <c r="C1509" s="434">
        <f>IFERROR(__xludf.DUMMYFUNCTION("""COMPUTED_VALUE"""),43731.99861111111)</f>
        <v>43731.99861</v>
      </c>
      <c r="D1509" s="433">
        <f>IFERROR(__xludf.DUMMYFUNCTION("""COMPUTED_VALUE"""),211.6894)</f>
        <v>211.6894</v>
      </c>
    </row>
    <row r="1510">
      <c r="A1510" s="434">
        <f>IFERROR(__xludf.DUMMYFUNCTION("""COMPUTED_VALUE"""),44146.99861111111)</f>
        <v>44146.99861</v>
      </c>
      <c r="B1510" s="433">
        <f>IFERROR(__xludf.DUMMYFUNCTION("""COMPUTED_VALUE"""),15704.55)</f>
        <v>15704.55</v>
      </c>
      <c r="C1510" s="434">
        <f>IFERROR(__xludf.DUMMYFUNCTION("""COMPUTED_VALUE"""),43732.99861111111)</f>
        <v>43732.99861</v>
      </c>
      <c r="D1510" s="433">
        <f>IFERROR(__xludf.DUMMYFUNCTION("""COMPUTED_VALUE"""),201.8594)</f>
        <v>201.8594</v>
      </c>
    </row>
    <row r="1511">
      <c r="A1511" s="434">
        <f>IFERROR(__xludf.DUMMYFUNCTION("""COMPUTED_VALUE"""),44148.99861111111)</f>
        <v>44148.99861</v>
      </c>
      <c r="B1511" s="433">
        <f>IFERROR(__xludf.DUMMYFUNCTION("""COMPUTED_VALUE"""),16326.84)</f>
        <v>16326.84</v>
      </c>
      <c r="C1511" s="434">
        <f>IFERROR(__xludf.DUMMYFUNCTION("""COMPUTED_VALUE"""),43733.99861111111)</f>
        <v>43733.99861</v>
      </c>
      <c r="D1511" s="433">
        <f>IFERROR(__xludf.DUMMYFUNCTION("""COMPUTED_VALUE"""),167.7716)</f>
        <v>167.7716</v>
      </c>
    </row>
    <row r="1512">
      <c r="A1512" s="434">
        <f>IFERROR(__xludf.DUMMYFUNCTION("""COMPUTED_VALUE"""),44149.99861111111)</f>
        <v>44149.99861</v>
      </c>
      <c r="B1512" s="433">
        <f>IFERROR(__xludf.DUMMYFUNCTION("""COMPUTED_VALUE"""),16078.98)</f>
        <v>16078.98</v>
      </c>
      <c r="C1512" s="434">
        <f>IFERROR(__xludf.DUMMYFUNCTION("""COMPUTED_VALUE"""),43734.99861111111)</f>
        <v>43734.99861</v>
      </c>
      <c r="D1512" s="433">
        <f>IFERROR(__xludf.DUMMYFUNCTION("""COMPUTED_VALUE"""),170.7998)</f>
        <v>170.7998</v>
      </c>
    </row>
    <row r="1513">
      <c r="A1513" s="434">
        <f>IFERROR(__xludf.DUMMYFUNCTION("""COMPUTED_VALUE"""),44150.99861111111)</f>
        <v>44150.99861</v>
      </c>
      <c r="B1513" s="433">
        <f>IFERROR(__xludf.DUMMYFUNCTION("""COMPUTED_VALUE"""),15936.22)</f>
        <v>15936.22</v>
      </c>
      <c r="C1513" s="434">
        <f>IFERROR(__xludf.DUMMYFUNCTION("""COMPUTED_VALUE"""),43735.99861111111)</f>
        <v>43735.99861</v>
      </c>
      <c r="D1513" s="433">
        <f>IFERROR(__xludf.DUMMYFUNCTION("""COMPUTED_VALUE"""),166.5862)</f>
        <v>166.5862</v>
      </c>
    </row>
    <row r="1514">
      <c r="A1514" s="434">
        <f>IFERROR(__xludf.DUMMYFUNCTION("""COMPUTED_VALUE"""),44151.99861111111)</f>
        <v>44151.99861</v>
      </c>
      <c r="B1514" s="433">
        <f>IFERROR(__xludf.DUMMYFUNCTION("""COMPUTED_VALUE"""),16709.44)</f>
        <v>16709.44</v>
      </c>
      <c r="C1514" s="434">
        <f>IFERROR(__xludf.DUMMYFUNCTION("""COMPUTED_VALUE"""),43736.99861111111)</f>
        <v>43736.99861</v>
      </c>
      <c r="D1514" s="433">
        <f>IFERROR(__xludf.DUMMYFUNCTION("""COMPUTED_VALUE"""),174.8899)</f>
        <v>174.8899</v>
      </c>
    </row>
    <row r="1515">
      <c r="A1515" s="434">
        <f>IFERROR(__xludf.DUMMYFUNCTION("""COMPUTED_VALUE"""),44152.99861111111)</f>
        <v>44152.99861</v>
      </c>
      <c r="B1515" s="433">
        <f>IFERROR(__xludf.DUMMYFUNCTION("""COMPUTED_VALUE"""),17672.58)</f>
        <v>17672.58</v>
      </c>
      <c r="C1515" s="434">
        <f>IFERROR(__xludf.DUMMYFUNCTION("""COMPUTED_VALUE"""),43737.99861111111)</f>
        <v>43737.99861</v>
      </c>
      <c r="D1515" s="433">
        <f>IFERROR(__xludf.DUMMYFUNCTION("""COMPUTED_VALUE"""),174.8447)</f>
        <v>174.8447</v>
      </c>
    </row>
    <row r="1516">
      <c r="A1516" s="434">
        <f>IFERROR(__xludf.DUMMYFUNCTION("""COMPUTED_VALUE"""),44153.99861111111)</f>
        <v>44153.99861</v>
      </c>
      <c r="B1516" s="433">
        <f>IFERROR(__xludf.DUMMYFUNCTION("""COMPUTED_VALUE"""),17785.87)</f>
        <v>17785.87</v>
      </c>
      <c r="C1516" s="434">
        <f>IFERROR(__xludf.DUMMYFUNCTION("""COMPUTED_VALUE"""),43738.99861111111)</f>
        <v>43738.99861</v>
      </c>
      <c r="D1516" s="433">
        <f>IFERROR(__xludf.DUMMYFUNCTION("""COMPUTED_VALUE"""),170.7383)</f>
        <v>170.7383</v>
      </c>
    </row>
    <row r="1517">
      <c r="A1517" s="434">
        <f>IFERROR(__xludf.DUMMYFUNCTION("""COMPUTED_VALUE"""),44154.99861111111)</f>
        <v>44154.99861</v>
      </c>
      <c r="B1517" s="433">
        <f>IFERROR(__xludf.DUMMYFUNCTION("""COMPUTED_VALUE"""),17813.76)</f>
        <v>17813.76</v>
      </c>
      <c r="C1517" s="434">
        <f>IFERROR(__xludf.DUMMYFUNCTION("""COMPUTED_VALUE"""),43739.99861111111)</f>
        <v>43739.99861</v>
      </c>
      <c r="D1517" s="433">
        <f>IFERROR(__xludf.DUMMYFUNCTION("""COMPUTED_VALUE"""),180.9606)</f>
        <v>180.9606</v>
      </c>
    </row>
    <row r="1518">
      <c r="A1518" s="434">
        <f>IFERROR(__xludf.DUMMYFUNCTION("""COMPUTED_VALUE"""),44155.99861111111)</f>
        <v>44155.99861</v>
      </c>
      <c r="B1518" s="433">
        <f>IFERROR(__xludf.DUMMYFUNCTION("""COMPUTED_VALUE"""),18669.68)</f>
        <v>18669.68</v>
      </c>
      <c r="C1518" s="434">
        <f>IFERROR(__xludf.DUMMYFUNCTION("""COMPUTED_VALUE"""),43740.99861111111)</f>
        <v>43740.99861</v>
      </c>
      <c r="D1518" s="433">
        <f>IFERROR(__xludf.DUMMYFUNCTION("""COMPUTED_VALUE"""),177.1533)</f>
        <v>177.1533</v>
      </c>
    </row>
    <row r="1519">
      <c r="A1519" s="434">
        <f>IFERROR(__xludf.DUMMYFUNCTION("""COMPUTED_VALUE"""),44156.99861111111)</f>
        <v>44156.99861</v>
      </c>
      <c r="B1519" s="433">
        <f>IFERROR(__xludf.DUMMYFUNCTION("""COMPUTED_VALUE"""),18697.88)</f>
        <v>18697.88</v>
      </c>
      <c r="C1519" s="434">
        <f>IFERROR(__xludf.DUMMYFUNCTION("""COMPUTED_VALUE"""),43741.99861111111)</f>
        <v>43741.99861</v>
      </c>
      <c r="D1519" s="433">
        <f>IFERROR(__xludf.DUMMYFUNCTION("""COMPUTED_VALUE"""),180.5664)</f>
        <v>180.5664</v>
      </c>
    </row>
    <row r="1520">
      <c r="A1520" s="434">
        <f>IFERROR(__xludf.DUMMYFUNCTION("""COMPUTED_VALUE"""),44157.99861111111)</f>
        <v>44157.99861</v>
      </c>
      <c r="B1520" s="433">
        <f>IFERROR(__xludf.DUMMYFUNCTION("""COMPUTED_VALUE"""),18428.38)</f>
        <v>18428.38</v>
      </c>
      <c r="C1520" s="434">
        <f>IFERROR(__xludf.DUMMYFUNCTION("""COMPUTED_VALUE"""),43742.99861111111)</f>
        <v>43742.99861</v>
      </c>
      <c r="D1520" s="433">
        <f>IFERROR(__xludf.DUMMYFUNCTION("""COMPUTED_VALUE"""),175.1377)</f>
        <v>175.1377</v>
      </c>
    </row>
    <row r="1521">
      <c r="A1521" s="434">
        <f>IFERROR(__xludf.DUMMYFUNCTION("""COMPUTED_VALUE"""),44158.99861111111)</f>
        <v>44158.99861</v>
      </c>
      <c r="B1521" s="433">
        <f>IFERROR(__xludf.DUMMYFUNCTION("""COMPUTED_VALUE"""),18375.57)</f>
        <v>18375.57</v>
      </c>
      <c r="C1521" s="434">
        <f>IFERROR(__xludf.DUMMYFUNCTION("""COMPUTED_VALUE"""),43743.99861111111)</f>
        <v>43743.99861</v>
      </c>
      <c r="D1521" s="433">
        <f>IFERROR(__xludf.DUMMYFUNCTION("""COMPUTED_VALUE"""),176.5815)</f>
        <v>176.5815</v>
      </c>
    </row>
    <row r="1522">
      <c r="A1522" s="434">
        <f>IFERROR(__xludf.DUMMYFUNCTION("""COMPUTED_VALUE"""),44159.99861111111)</f>
        <v>44159.99861</v>
      </c>
      <c r="B1522" s="433">
        <f>IFERROR(__xludf.DUMMYFUNCTION("""COMPUTED_VALUE"""),19146.67)</f>
        <v>19146.67</v>
      </c>
      <c r="C1522" s="434">
        <f>IFERROR(__xludf.DUMMYFUNCTION("""COMPUTED_VALUE"""),43744.99861111111)</f>
        <v>43744.99861</v>
      </c>
      <c r="D1522" s="433">
        <f>IFERROR(__xludf.DUMMYFUNCTION("""COMPUTED_VALUE"""),176.4351)</f>
        <v>176.4351</v>
      </c>
    </row>
    <row r="1523">
      <c r="A1523" s="434">
        <f>IFERROR(__xludf.DUMMYFUNCTION("""COMPUTED_VALUE"""),44160.99861111111)</f>
        <v>44160.99861</v>
      </c>
      <c r="B1523" s="433">
        <f>IFERROR(__xludf.DUMMYFUNCTION("""COMPUTED_VALUE"""),18724.2)</f>
        <v>18724.2</v>
      </c>
      <c r="C1523" s="434">
        <f>IFERROR(__xludf.DUMMYFUNCTION("""COMPUTED_VALUE"""),43745.99861111111)</f>
        <v>43745.99861</v>
      </c>
      <c r="D1523" s="433">
        <f>IFERROR(__xludf.DUMMYFUNCTION("""COMPUTED_VALUE"""),172.8112)</f>
        <v>172.8112</v>
      </c>
    </row>
    <row r="1524">
      <c r="A1524" s="434">
        <f>IFERROR(__xludf.DUMMYFUNCTION("""COMPUTED_VALUE"""),44161.99861111111)</f>
        <v>44161.99861</v>
      </c>
      <c r="B1524" s="433">
        <f>IFERROR(__xludf.DUMMYFUNCTION("""COMPUTED_VALUE"""),17165.51)</f>
        <v>17165.51</v>
      </c>
      <c r="C1524" s="434">
        <f>IFERROR(__xludf.DUMMYFUNCTION("""COMPUTED_VALUE"""),43746.99861111111)</f>
        <v>43746.99861</v>
      </c>
      <c r="D1524" s="433">
        <f>IFERROR(__xludf.DUMMYFUNCTION("""COMPUTED_VALUE"""),181.2224)</f>
        <v>181.2224</v>
      </c>
    </row>
    <row r="1525">
      <c r="A1525" s="434">
        <f>IFERROR(__xludf.DUMMYFUNCTION("""COMPUTED_VALUE"""),44162.99861111111)</f>
        <v>44162.99861</v>
      </c>
      <c r="B1525" s="433">
        <f>IFERROR(__xludf.DUMMYFUNCTION("""COMPUTED_VALUE"""),17140.12)</f>
        <v>17140.12</v>
      </c>
      <c r="C1525" s="434">
        <f>IFERROR(__xludf.DUMMYFUNCTION("""COMPUTED_VALUE"""),43747.99861111111)</f>
        <v>43747.99861</v>
      </c>
      <c r="D1525" s="433">
        <f>IFERROR(__xludf.DUMMYFUNCTION("""COMPUTED_VALUE"""),182.1159)</f>
        <v>182.1159</v>
      </c>
    </row>
    <row r="1526">
      <c r="A1526" s="434">
        <f>IFERROR(__xludf.DUMMYFUNCTION("""COMPUTED_VALUE"""),44163.99861111111)</f>
        <v>44163.99861</v>
      </c>
      <c r="B1526" s="433">
        <f>IFERROR(__xludf.DUMMYFUNCTION("""COMPUTED_VALUE"""),17734.38)</f>
        <v>17734.38</v>
      </c>
      <c r="C1526" s="434">
        <f>IFERROR(__xludf.DUMMYFUNCTION("""COMPUTED_VALUE"""),43748.99861111111)</f>
        <v>43748.99861</v>
      </c>
      <c r="D1526" s="433">
        <f>IFERROR(__xludf.DUMMYFUNCTION("""COMPUTED_VALUE"""),193.494)</f>
        <v>193.494</v>
      </c>
    </row>
    <row r="1527">
      <c r="A1527" s="434">
        <f>IFERROR(__xludf.DUMMYFUNCTION("""COMPUTED_VALUE"""),44164.99861111111)</f>
        <v>44164.99861</v>
      </c>
      <c r="B1527" s="433">
        <f>IFERROR(__xludf.DUMMYFUNCTION("""COMPUTED_VALUE"""),18189.63)</f>
        <v>18189.63</v>
      </c>
      <c r="C1527" s="434">
        <f>IFERROR(__xludf.DUMMYFUNCTION("""COMPUTED_VALUE"""),43749.99861111111)</f>
        <v>43749.99861</v>
      </c>
      <c r="D1527" s="433">
        <f>IFERROR(__xludf.DUMMYFUNCTION("""COMPUTED_VALUE"""),191.9886)</f>
        <v>191.9886</v>
      </c>
    </row>
    <row r="1528">
      <c r="A1528" s="434">
        <f>IFERROR(__xludf.DUMMYFUNCTION("""COMPUTED_VALUE"""),44165.99861111111)</f>
        <v>44165.99861</v>
      </c>
      <c r="B1528" s="433">
        <f>IFERROR(__xludf.DUMMYFUNCTION("""COMPUTED_VALUE"""),19704.15)</f>
        <v>19704.15</v>
      </c>
      <c r="C1528" s="434">
        <f>IFERROR(__xludf.DUMMYFUNCTION("""COMPUTED_VALUE"""),43750.99861111111)</f>
        <v>43750.99861</v>
      </c>
      <c r="D1528" s="433">
        <f>IFERROR(__xludf.DUMMYFUNCTION("""COMPUTED_VALUE"""),182.8099)</f>
        <v>182.8099</v>
      </c>
    </row>
    <row r="1529">
      <c r="A1529" s="434">
        <f>IFERROR(__xludf.DUMMYFUNCTION("""COMPUTED_VALUE"""),44166.99861111111)</f>
        <v>44166.99861</v>
      </c>
      <c r="B1529" s="433">
        <f>IFERROR(__xludf.DUMMYFUNCTION("""COMPUTED_VALUE"""),18784.93)</f>
        <v>18784.93</v>
      </c>
      <c r="C1529" s="434">
        <f>IFERROR(__xludf.DUMMYFUNCTION("""COMPUTED_VALUE"""),43751.99861111111)</f>
        <v>43751.99861</v>
      </c>
      <c r="D1529" s="433">
        <f>IFERROR(__xludf.DUMMYFUNCTION("""COMPUTED_VALUE"""),180.528)</f>
        <v>180.528</v>
      </c>
    </row>
    <row r="1530">
      <c r="A1530" s="434">
        <f>IFERROR(__xludf.DUMMYFUNCTION("""COMPUTED_VALUE"""),44167.99861111111)</f>
        <v>44167.99861</v>
      </c>
      <c r="B1530" s="433">
        <f>IFERROR(__xludf.DUMMYFUNCTION("""COMPUTED_VALUE"""),19230.17)</f>
        <v>19230.17</v>
      </c>
      <c r="C1530" s="434">
        <f>IFERROR(__xludf.DUMMYFUNCTION("""COMPUTED_VALUE"""),43752.99861111111)</f>
        <v>43752.99861</v>
      </c>
      <c r="D1530" s="433">
        <f>IFERROR(__xludf.DUMMYFUNCTION("""COMPUTED_VALUE"""),181.7839)</f>
        <v>181.7839</v>
      </c>
    </row>
    <row r="1531">
      <c r="A1531" s="434">
        <f>IFERROR(__xludf.DUMMYFUNCTION("""COMPUTED_VALUE"""),44168.99861111111)</f>
        <v>44168.99861</v>
      </c>
      <c r="B1531" s="433">
        <f>IFERROR(__xludf.DUMMYFUNCTION("""COMPUTED_VALUE"""),19444.89)</f>
        <v>19444.89</v>
      </c>
      <c r="C1531" s="434">
        <f>IFERROR(__xludf.DUMMYFUNCTION("""COMPUTED_VALUE"""),43753.99861111111)</f>
        <v>43753.99861</v>
      </c>
      <c r="D1531" s="433">
        <f>IFERROR(__xludf.DUMMYFUNCTION("""COMPUTED_VALUE"""),187.6769)</f>
        <v>187.6769</v>
      </c>
    </row>
    <row r="1532">
      <c r="A1532" s="434">
        <f>IFERROR(__xludf.DUMMYFUNCTION("""COMPUTED_VALUE"""),44169.99861111111)</f>
        <v>44169.99861</v>
      </c>
      <c r="B1532" s="433">
        <f>IFERROR(__xludf.DUMMYFUNCTION("""COMPUTED_VALUE"""),18658.84)</f>
        <v>18658.84</v>
      </c>
      <c r="C1532" s="434">
        <f>IFERROR(__xludf.DUMMYFUNCTION("""COMPUTED_VALUE"""),43754.99861111111)</f>
        <v>43754.99861</v>
      </c>
      <c r="D1532" s="433">
        <f>IFERROR(__xludf.DUMMYFUNCTION("""COMPUTED_VALUE"""),181.3486)</f>
        <v>181.3486</v>
      </c>
    </row>
    <row r="1533">
      <c r="A1533" s="434">
        <f>IFERROR(__xludf.DUMMYFUNCTION("""COMPUTED_VALUE"""),44170.99861111111)</f>
        <v>44170.99861</v>
      </c>
      <c r="B1533" s="433">
        <f>IFERROR(__xludf.DUMMYFUNCTION("""COMPUTED_VALUE"""),19156.46)</f>
        <v>19156.46</v>
      </c>
      <c r="C1533" s="434">
        <f>IFERROR(__xludf.DUMMYFUNCTION("""COMPUTED_VALUE"""),43755.99861111111)</f>
        <v>43755.99861</v>
      </c>
      <c r="D1533" s="433">
        <f>IFERROR(__xludf.DUMMYFUNCTION("""COMPUTED_VALUE"""),175.8361)</f>
        <v>175.8361</v>
      </c>
    </row>
    <row r="1534">
      <c r="A1534" s="434">
        <f>IFERROR(__xludf.DUMMYFUNCTION("""COMPUTED_VALUE"""),44171.99861111111)</f>
        <v>44171.99861</v>
      </c>
      <c r="B1534" s="433">
        <f>IFERROR(__xludf.DUMMYFUNCTION("""COMPUTED_VALUE"""),19380.58)</f>
        <v>19380.58</v>
      </c>
      <c r="C1534" s="434">
        <f>IFERROR(__xludf.DUMMYFUNCTION("""COMPUTED_VALUE"""),43756.99861111111)</f>
        <v>43756.99861</v>
      </c>
      <c r="D1534" s="433">
        <f>IFERROR(__xludf.DUMMYFUNCTION("""COMPUTED_VALUE"""),178.0452)</f>
        <v>178.0452</v>
      </c>
    </row>
    <row r="1535">
      <c r="A1535" s="434">
        <f>IFERROR(__xludf.DUMMYFUNCTION("""COMPUTED_VALUE"""),44172.99861111111)</f>
        <v>44172.99861</v>
      </c>
      <c r="B1535" s="433">
        <f>IFERROR(__xludf.DUMMYFUNCTION("""COMPUTED_VALUE"""),19176.42)</f>
        <v>19176.42</v>
      </c>
      <c r="C1535" s="434">
        <f>IFERROR(__xludf.DUMMYFUNCTION("""COMPUTED_VALUE"""),43757.99861111111)</f>
        <v>43757.99861</v>
      </c>
      <c r="D1535" s="433">
        <f>IFERROR(__xludf.DUMMYFUNCTION("""COMPUTED_VALUE"""),173.6727)</f>
        <v>173.6727</v>
      </c>
    </row>
    <row r="1536">
      <c r="A1536" s="434">
        <f>IFERROR(__xludf.DUMMYFUNCTION("""COMPUTED_VALUE"""),44173.99861111111)</f>
        <v>44173.99861</v>
      </c>
      <c r="B1536" s="433">
        <f>IFERROR(__xludf.DUMMYFUNCTION("""COMPUTED_VALUE"""),18321.51)</f>
        <v>18321.51</v>
      </c>
      <c r="C1536" s="434">
        <f>IFERROR(__xludf.DUMMYFUNCTION("""COMPUTED_VALUE"""),43758.99861111111)</f>
        <v>43758.99861</v>
      </c>
      <c r="D1536" s="433">
        <f>IFERROR(__xludf.DUMMYFUNCTION("""COMPUTED_VALUE"""),173.0608)</f>
        <v>173.0608</v>
      </c>
    </row>
    <row r="1537">
      <c r="A1537" s="434">
        <f>IFERROR(__xludf.DUMMYFUNCTION("""COMPUTED_VALUE"""),44174.99861111111)</f>
        <v>44174.99861</v>
      </c>
      <c r="B1537" s="433">
        <f>IFERROR(__xludf.DUMMYFUNCTION("""COMPUTED_VALUE"""),18547.8)</f>
        <v>18547.8</v>
      </c>
      <c r="C1537" s="434">
        <f>IFERROR(__xludf.DUMMYFUNCTION("""COMPUTED_VALUE"""),43759.99861111111)</f>
        <v>43759.99861</v>
      </c>
      <c r="D1537" s="433">
        <f>IFERROR(__xludf.DUMMYFUNCTION("""COMPUTED_VALUE"""),175.4949)</f>
        <v>175.4949</v>
      </c>
    </row>
    <row r="1538">
      <c r="A1538" s="434">
        <f>IFERROR(__xludf.DUMMYFUNCTION("""COMPUTED_VALUE"""),44175.99861111111)</f>
        <v>44175.99861</v>
      </c>
      <c r="B1538" s="433">
        <f>IFERROR(__xludf.DUMMYFUNCTION("""COMPUTED_VALUE"""),18248.09)</f>
        <v>18248.09</v>
      </c>
      <c r="C1538" s="434">
        <f>IFERROR(__xludf.DUMMYFUNCTION("""COMPUTED_VALUE"""),43760.99861111111)</f>
        <v>43760.99861</v>
      </c>
      <c r="D1538" s="433">
        <f>IFERROR(__xludf.DUMMYFUNCTION("""COMPUTED_VALUE"""),174.9319)</f>
        <v>174.9319</v>
      </c>
    </row>
    <row r="1539">
      <c r="A1539" s="434">
        <f>IFERROR(__xludf.DUMMYFUNCTION("""COMPUTED_VALUE"""),44176.99861111111)</f>
        <v>44176.99861</v>
      </c>
      <c r="B1539" s="433">
        <f>IFERROR(__xludf.DUMMYFUNCTION("""COMPUTED_VALUE"""),18023.18)</f>
        <v>18023.18</v>
      </c>
      <c r="C1539" s="434">
        <f>IFERROR(__xludf.DUMMYFUNCTION("""COMPUTED_VALUE"""),43761.99861111111)</f>
        <v>43761.99861</v>
      </c>
      <c r="D1539" s="433">
        <f>IFERROR(__xludf.DUMMYFUNCTION("""COMPUTED_VALUE"""),172.4206)</f>
        <v>172.4206</v>
      </c>
    </row>
    <row r="1540">
      <c r="A1540" s="434">
        <f>IFERROR(__xludf.DUMMYFUNCTION("""COMPUTED_VALUE"""),44177.99861111111)</f>
        <v>44177.99861</v>
      </c>
      <c r="B1540" s="433">
        <f>IFERROR(__xludf.DUMMYFUNCTION("""COMPUTED_VALUE"""),18810.76)</f>
        <v>18810.76</v>
      </c>
      <c r="C1540" s="434">
        <f>IFERROR(__xludf.DUMMYFUNCTION("""COMPUTED_VALUE"""),43762.99861111111)</f>
        <v>43762.99861</v>
      </c>
      <c r="D1540" s="433">
        <f>IFERROR(__xludf.DUMMYFUNCTION("""COMPUTED_VALUE"""),162.7044)</f>
        <v>162.7044</v>
      </c>
    </row>
    <row r="1541">
      <c r="A1541" s="434">
        <f>IFERROR(__xludf.DUMMYFUNCTION("""COMPUTED_VALUE"""),44178.99861111111)</f>
        <v>44178.99861</v>
      </c>
      <c r="B1541" s="433">
        <f>IFERROR(__xludf.DUMMYFUNCTION("""COMPUTED_VALUE"""),19166.16)</f>
        <v>19166.16</v>
      </c>
      <c r="C1541" s="434">
        <f>IFERROR(__xludf.DUMMYFUNCTION("""COMPUTED_VALUE"""),43763.99861111111)</f>
        <v>43763.99861</v>
      </c>
      <c r="D1541" s="433">
        <f>IFERROR(__xludf.DUMMYFUNCTION("""COMPUTED_VALUE"""),162.054)</f>
        <v>162.054</v>
      </c>
    </row>
    <row r="1542">
      <c r="A1542" s="434">
        <f>IFERROR(__xludf.DUMMYFUNCTION("""COMPUTED_VALUE"""),44179.99861111111)</f>
        <v>44179.99861</v>
      </c>
      <c r="B1542" s="433">
        <f>IFERROR(__xludf.DUMMYFUNCTION("""COMPUTED_VALUE"""),19274.74)</f>
        <v>19274.74</v>
      </c>
      <c r="C1542" s="434">
        <f>IFERROR(__xludf.DUMMYFUNCTION("""COMPUTED_VALUE"""),43764.99861111111)</f>
        <v>43764.99861</v>
      </c>
      <c r="D1542" s="433">
        <f>IFERROR(__xludf.DUMMYFUNCTION("""COMPUTED_VALUE"""),181.9172)</f>
        <v>181.9172</v>
      </c>
    </row>
    <row r="1543">
      <c r="A1543" s="434">
        <f>IFERROR(__xludf.DUMMYFUNCTION("""COMPUTED_VALUE"""),44180.99861111111)</f>
        <v>44180.99861</v>
      </c>
      <c r="B1543" s="433">
        <f>IFERROR(__xludf.DUMMYFUNCTION("""COMPUTED_VALUE"""),19435.53)</f>
        <v>19435.53</v>
      </c>
      <c r="C1543" s="434">
        <f>IFERROR(__xludf.DUMMYFUNCTION("""COMPUTED_VALUE"""),43765.99861111111)</f>
        <v>43765.99861</v>
      </c>
      <c r="D1543" s="433">
        <f>IFERROR(__xludf.DUMMYFUNCTION("""COMPUTED_VALUE"""),180.152)</f>
        <v>180.152</v>
      </c>
    </row>
    <row r="1544">
      <c r="A1544" s="434">
        <f>IFERROR(__xludf.DUMMYFUNCTION("""COMPUTED_VALUE"""),44181.99861111111)</f>
        <v>44181.99861</v>
      </c>
      <c r="B1544" s="433">
        <f>IFERROR(__xludf.DUMMYFUNCTION("""COMPUTED_VALUE"""),21354.81)</f>
        <v>21354.81</v>
      </c>
      <c r="C1544" s="434">
        <f>IFERROR(__xludf.DUMMYFUNCTION("""COMPUTED_VALUE"""),43766.99861111111)</f>
        <v>43766.99861</v>
      </c>
      <c r="D1544" s="433">
        <f>IFERROR(__xludf.DUMMYFUNCTION("""COMPUTED_VALUE"""),184.3998)</f>
        <v>184.3998</v>
      </c>
    </row>
    <row r="1545">
      <c r="A1545" s="434">
        <f>IFERROR(__xludf.DUMMYFUNCTION("""COMPUTED_VALUE"""),44182.99861111111)</f>
        <v>44182.99861</v>
      </c>
      <c r="B1545" s="433">
        <f>IFERROR(__xludf.DUMMYFUNCTION("""COMPUTED_VALUE"""),22831.94)</f>
        <v>22831.94</v>
      </c>
      <c r="C1545" s="434">
        <f>IFERROR(__xludf.DUMMYFUNCTION("""COMPUTED_VALUE"""),43767.99861111111)</f>
        <v>43767.99861</v>
      </c>
      <c r="D1545" s="433">
        <f>IFERROR(__xludf.DUMMYFUNCTION("""COMPUTED_VALUE"""),182.3644)</f>
        <v>182.3644</v>
      </c>
    </row>
    <row r="1546">
      <c r="A1546" s="434">
        <f>IFERROR(__xludf.DUMMYFUNCTION("""COMPUTED_VALUE"""),44183.99861111111)</f>
        <v>44183.99861</v>
      </c>
      <c r="B1546" s="433">
        <f>IFERROR(__xludf.DUMMYFUNCTION("""COMPUTED_VALUE"""),23137.34)</f>
        <v>23137.34</v>
      </c>
      <c r="C1546" s="434">
        <f>IFERROR(__xludf.DUMMYFUNCTION("""COMPUTED_VALUE"""),43768.99861111111)</f>
        <v>43768.99861</v>
      </c>
      <c r="D1546" s="433">
        <f>IFERROR(__xludf.DUMMYFUNCTION("""COMPUTED_VALUE"""),190.8055)</f>
        <v>190.8055</v>
      </c>
    </row>
    <row r="1547">
      <c r="A1547" s="434">
        <f>IFERROR(__xludf.DUMMYFUNCTION("""COMPUTED_VALUE"""),44184.99861111111)</f>
        <v>44184.99861</v>
      </c>
      <c r="B1547" s="433">
        <f>IFERROR(__xludf.DUMMYFUNCTION("""COMPUTED_VALUE"""),23841.97)</f>
        <v>23841.97</v>
      </c>
      <c r="C1547" s="434">
        <f>IFERROR(__xludf.DUMMYFUNCTION("""COMPUTED_VALUE"""),43769.99861111111)</f>
        <v>43769.99861</v>
      </c>
      <c r="D1547" s="433">
        <f>IFERROR(__xludf.DUMMYFUNCTION("""COMPUTED_VALUE"""),185.07)</f>
        <v>185.07</v>
      </c>
    </row>
    <row r="1548">
      <c r="A1548" s="434">
        <f>IFERROR(__xludf.DUMMYFUNCTION("""COMPUTED_VALUE"""),44185.99861111111)</f>
        <v>44185.99861</v>
      </c>
      <c r="B1548" s="433">
        <f>IFERROR(__xludf.DUMMYFUNCTION("""COMPUTED_VALUE"""),23472.68)</f>
        <v>23472.68</v>
      </c>
      <c r="C1548" s="434">
        <f>IFERROR(__xludf.DUMMYFUNCTION("""COMPUTED_VALUE"""),43770.99861111111)</f>
        <v>43770.99861</v>
      </c>
      <c r="D1548" s="433">
        <f>IFERROR(__xludf.DUMMYFUNCTION("""COMPUTED_VALUE"""),183.4444)</f>
        <v>183.4444</v>
      </c>
    </row>
    <row r="1549">
      <c r="A1549" s="434">
        <f>IFERROR(__xludf.DUMMYFUNCTION("""COMPUTED_VALUE"""),44186.99861111111)</f>
        <v>44186.99861</v>
      </c>
      <c r="B1549" s="433">
        <f>IFERROR(__xludf.DUMMYFUNCTION("""COMPUTED_VALUE"""),22709.7)</f>
        <v>22709.7</v>
      </c>
      <c r="C1549" s="434">
        <f>IFERROR(__xludf.DUMMYFUNCTION("""COMPUTED_VALUE"""),43771.99861111111)</f>
        <v>43771.99861</v>
      </c>
      <c r="D1549" s="433">
        <f>IFERROR(__xludf.DUMMYFUNCTION("""COMPUTED_VALUE"""),184.0148)</f>
        <v>184.0148</v>
      </c>
    </row>
    <row r="1550">
      <c r="A1550" s="434">
        <f>IFERROR(__xludf.DUMMYFUNCTION("""COMPUTED_VALUE"""),44187.99861111111)</f>
        <v>44187.99861</v>
      </c>
      <c r="B1550" s="433">
        <f>IFERROR(__xludf.DUMMYFUNCTION("""COMPUTED_VALUE"""),23822.64)</f>
        <v>23822.64</v>
      </c>
      <c r="C1550" s="434">
        <f>IFERROR(__xludf.DUMMYFUNCTION("""COMPUTED_VALUE"""),43772.99861111111)</f>
        <v>43772.99861</v>
      </c>
      <c r="D1550" s="433">
        <f>IFERROR(__xludf.DUMMYFUNCTION("""COMPUTED_VALUE"""),184.2588)</f>
        <v>184.2588</v>
      </c>
    </row>
    <row r="1551">
      <c r="A1551" s="434">
        <f>IFERROR(__xludf.DUMMYFUNCTION("""COMPUTED_VALUE"""),44188.99861111111)</f>
        <v>44188.99861</v>
      </c>
      <c r="B1551" s="433">
        <f>IFERROR(__xludf.DUMMYFUNCTION("""COMPUTED_VALUE"""),23234.12)</f>
        <v>23234.12</v>
      </c>
      <c r="C1551" s="434">
        <f>IFERROR(__xludf.DUMMYFUNCTION("""COMPUTED_VALUE"""),43773.99861111111)</f>
        <v>43773.99861</v>
      </c>
      <c r="D1551" s="433">
        <f>IFERROR(__xludf.DUMMYFUNCTION("""COMPUTED_VALUE"""),182.4204)</f>
        <v>182.4204</v>
      </c>
    </row>
    <row r="1552">
      <c r="A1552" s="434">
        <f>IFERROR(__xludf.DUMMYFUNCTION("""COMPUTED_VALUE"""),44189.99861111111)</f>
        <v>44189.99861</v>
      </c>
      <c r="B1552" s="433">
        <f>IFERROR(__xludf.DUMMYFUNCTION("""COMPUTED_VALUE"""),23719.2)</f>
        <v>23719.2</v>
      </c>
      <c r="C1552" s="434">
        <f>IFERROR(__xludf.DUMMYFUNCTION("""COMPUTED_VALUE"""),43774.99861111111)</f>
        <v>43774.99861</v>
      </c>
      <c r="D1552" s="433">
        <f>IFERROR(__xludf.DUMMYFUNCTION("""COMPUTED_VALUE"""),186.241)</f>
        <v>186.241</v>
      </c>
    </row>
    <row r="1553">
      <c r="A1553" s="434">
        <f>IFERROR(__xludf.DUMMYFUNCTION("""COMPUTED_VALUE"""),44190.99861111111)</f>
        <v>44190.99861</v>
      </c>
      <c r="B1553" s="433">
        <f>IFERROR(__xludf.DUMMYFUNCTION("""COMPUTED_VALUE"""),24703.38)</f>
        <v>24703.38</v>
      </c>
      <c r="C1553" s="434">
        <f>IFERROR(__xludf.DUMMYFUNCTION("""COMPUTED_VALUE"""),43775.99861111111)</f>
        <v>43775.99861</v>
      </c>
      <c r="D1553" s="433">
        <f>IFERROR(__xludf.DUMMYFUNCTION("""COMPUTED_VALUE"""),189.0899)</f>
        <v>189.0899</v>
      </c>
    </row>
    <row r="1554">
      <c r="A1554" s="434">
        <f>IFERROR(__xludf.DUMMYFUNCTION("""COMPUTED_VALUE"""),44191.99861111111)</f>
        <v>44191.99861</v>
      </c>
      <c r="B1554" s="433">
        <f>IFERROR(__xludf.DUMMYFUNCTION("""COMPUTED_VALUE"""),26449.16)</f>
        <v>26449.16</v>
      </c>
      <c r="C1554" s="434">
        <f>IFERROR(__xludf.DUMMYFUNCTION("""COMPUTED_VALUE"""),43776.99861111111)</f>
        <v>43776.99861</v>
      </c>
      <c r="D1554" s="433">
        <f>IFERROR(__xludf.DUMMYFUNCTION("""COMPUTED_VALUE"""),191.5503)</f>
        <v>191.5503</v>
      </c>
    </row>
    <row r="1555">
      <c r="A1555" s="434">
        <f>IFERROR(__xludf.DUMMYFUNCTION("""COMPUTED_VALUE"""),44192.99861111111)</f>
        <v>44192.99861</v>
      </c>
      <c r="B1555" s="433">
        <f>IFERROR(__xludf.DUMMYFUNCTION("""COMPUTED_VALUE"""),26239.31)</f>
        <v>26239.31</v>
      </c>
      <c r="C1555" s="434">
        <f>IFERROR(__xludf.DUMMYFUNCTION("""COMPUTED_VALUE"""),43777.99861111111)</f>
        <v>43777.99861</v>
      </c>
      <c r="D1555" s="433">
        <f>IFERROR(__xludf.DUMMYFUNCTION("""COMPUTED_VALUE"""),188.0399)</f>
        <v>188.0399</v>
      </c>
    </row>
    <row r="1556">
      <c r="A1556" s="434">
        <f>IFERROR(__xludf.DUMMYFUNCTION("""COMPUTED_VALUE"""),44193.99861111111)</f>
        <v>44193.99861</v>
      </c>
      <c r="B1556" s="433">
        <f>IFERROR(__xludf.DUMMYFUNCTION("""COMPUTED_VALUE"""),27035.83)</f>
        <v>27035.83</v>
      </c>
      <c r="C1556" s="434">
        <f>IFERROR(__xludf.DUMMYFUNCTION("""COMPUTED_VALUE"""),43778.99861111111)</f>
        <v>43778.99861</v>
      </c>
      <c r="D1556" s="433">
        <f>IFERROR(__xludf.DUMMYFUNCTION("""COMPUTED_VALUE"""),184.154)</f>
        <v>184.154</v>
      </c>
    </row>
    <row r="1557">
      <c r="A1557" s="434">
        <f>IFERROR(__xludf.DUMMYFUNCTION("""COMPUTED_VALUE"""),44194.99861111111)</f>
        <v>44194.99861</v>
      </c>
      <c r="B1557" s="433">
        <f>IFERROR(__xludf.DUMMYFUNCTION("""COMPUTED_VALUE"""),27360.16)</f>
        <v>27360.16</v>
      </c>
      <c r="C1557" s="434">
        <f>IFERROR(__xludf.DUMMYFUNCTION("""COMPUTED_VALUE"""),43779.99861111111)</f>
        <v>43779.99861</v>
      </c>
      <c r="D1557" s="433">
        <f>IFERROR(__xludf.DUMMYFUNCTION("""COMPUTED_VALUE"""),184.8744)</f>
        <v>184.8744</v>
      </c>
    </row>
    <row r="1558">
      <c r="A1558" s="434">
        <f>IFERROR(__xludf.DUMMYFUNCTION("""COMPUTED_VALUE"""),44195.99861111111)</f>
        <v>44195.99861</v>
      </c>
      <c r="B1558" s="433">
        <f>IFERROR(__xludf.DUMMYFUNCTION("""COMPUTED_VALUE"""),28880.12)</f>
        <v>28880.12</v>
      </c>
      <c r="C1558" s="434">
        <f>IFERROR(__xludf.DUMMYFUNCTION("""COMPUTED_VALUE"""),43780.99861111111)</f>
        <v>43780.99861</v>
      </c>
      <c r="D1558" s="433">
        <f>IFERROR(__xludf.DUMMYFUNCTION("""COMPUTED_VALUE"""),189.6278)</f>
        <v>189.6278</v>
      </c>
    </row>
    <row r="1559">
      <c r="A1559" s="434">
        <f>IFERROR(__xludf.DUMMYFUNCTION("""COMPUTED_VALUE"""),44196.99861111111)</f>
        <v>44196.99861</v>
      </c>
      <c r="B1559" s="433">
        <f>IFERROR(__xludf.DUMMYFUNCTION("""COMPUTED_VALUE"""),28943.58)</f>
        <v>28943.58</v>
      </c>
      <c r="C1559" s="434">
        <f>IFERROR(__xludf.DUMMYFUNCTION("""COMPUTED_VALUE"""),43781.99861111111)</f>
        <v>43781.99861</v>
      </c>
      <c r="D1559" s="433">
        <f>IFERROR(__xludf.DUMMYFUNCTION("""COMPUTED_VALUE"""),185.5167)</f>
        <v>185.5167</v>
      </c>
    </row>
    <row r="1560">
      <c r="A1560" s="434">
        <f>IFERROR(__xludf.DUMMYFUNCTION("""COMPUTED_VALUE"""),44197.99861111111)</f>
        <v>44197.99861</v>
      </c>
      <c r="B1560" s="433">
        <f>IFERROR(__xludf.DUMMYFUNCTION("""COMPUTED_VALUE"""),29394.66)</f>
        <v>29394.66</v>
      </c>
      <c r="C1560" s="434">
        <f>IFERROR(__xludf.DUMMYFUNCTION("""COMPUTED_VALUE"""),43782.99861111111)</f>
        <v>43782.99861</v>
      </c>
      <c r="D1560" s="433">
        <f>IFERROR(__xludf.DUMMYFUNCTION("""COMPUTED_VALUE"""),186.9045)</f>
        <v>186.9045</v>
      </c>
    </row>
    <row r="1561">
      <c r="A1561" s="434">
        <f>IFERROR(__xludf.DUMMYFUNCTION("""COMPUTED_VALUE"""),44198.99861111111)</f>
        <v>44198.99861</v>
      </c>
      <c r="B1561" s="433">
        <f>IFERROR(__xludf.DUMMYFUNCTION("""COMPUTED_VALUE"""),32183.46)</f>
        <v>32183.46</v>
      </c>
      <c r="C1561" s="434">
        <f>IFERROR(__xludf.DUMMYFUNCTION("""COMPUTED_VALUE"""),43783.99861111111)</f>
        <v>43783.99861</v>
      </c>
      <c r="D1561" s="433">
        <f>IFERROR(__xludf.DUMMYFUNCTION("""COMPUTED_VALUE"""),188.4773)</f>
        <v>188.4773</v>
      </c>
    </row>
    <row r="1562">
      <c r="A1562" s="434">
        <f>IFERROR(__xludf.DUMMYFUNCTION("""COMPUTED_VALUE"""),44199.99861111111)</f>
        <v>44199.99861</v>
      </c>
      <c r="B1562" s="433">
        <f>IFERROR(__xludf.DUMMYFUNCTION("""COMPUTED_VALUE"""),32995.38)</f>
        <v>32995.38</v>
      </c>
      <c r="C1562" s="434">
        <f>IFERROR(__xludf.DUMMYFUNCTION("""COMPUTED_VALUE"""),43784.99861111111)</f>
        <v>43784.99861</v>
      </c>
      <c r="D1562" s="433">
        <f>IFERROR(__xludf.DUMMYFUNCTION("""COMPUTED_VALUE"""),186.1365)</f>
        <v>186.1365</v>
      </c>
    </row>
    <row r="1563">
      <c r="A1563" s="434">
        <f>IFERROR(__xludf.DUMMYFUNCTION("""COMPUTED_VALUE"""),44200.99861111111)</f>
        <v>44200.99861</v>
      </c>
      <c r="B1563" s="433">
        <f>IFERROR(__xludf.DUMMYFUNCTION("""COMPUTED_VALUE"""),32022.43)</f>
        <v>32022.43</v>
      </c>
      <c r="C1563" s="434">
        <f>IFERROR(__xludf.DUMMYFUNCTION("""COMPUTED_VALUE"""),43785.99861111111)</f>
        <v>43785.99861</v>
      </c>
      <c r="D1563" s="433">
        <f>IFERROR(__xludf.DUMMYFUNCTION("""COMPUTED_VALUE"""),180.5428)</f>
        <v>180.5428</v>
      </c>
    </row>
    <row r="1564">
      <c r="A1564" s="434">
        <f>IFERROR(__xludf.DUMMYFUNCTION("""COMPUTED_VALUE"""),44201.99861111111)</f>
        <v>44201.99861</v>
      </c>
      <c r="B1564" s="433">
        <f>IFERROR(__xludf.DUMMYFUNCTION("""COMPUTED_VALUE"""),33999.23)</f>
        <v>33999.23</v>
      </c>
      <c r="C1564" s="434">
        <f>IFERROR(__xludf.DUMMYFUNCTION("""COMPUTED_VALUE"""),43786.99861111111)</f>
        <v>43786.99861</v>
      </c>
      <c r="D1564" s="433">
        <f>IFERROR(__xludf.DUMMYFUNCTION("""COMPUTED_VALUE"""),183.3001)</f>
        <v>183.3001</v>
      </c>
    </row>
    <row r="1565">
      <c r="A1565" s="434">
        <f>IFERROR(__xludf.DUMMYFUNCTION("""COMPUTED_VALUE"""),44202.99861111111)</f>
        <v>44202.99861</v>
      </c>
      <c r="B1565" s="433">
        <f>IFERROR(__xludf.DUMMYFUNCTION("""COMPUTED_VALUE"""),36812.19)</f>
        <v>36812.19</v>
      </c>
      <c r="C1565" s="434">
        <f>IFERROR(__xludf.DUMMYFUNCTION("""COMPUTED_VALUE"""),43787.99861111111)</f>
        <v>43787.99861</v>
      </c>
      <c r="D1565" s="433">
        <f>IFERROR(__xludf.DUMMYFUNCTION("""COMPUTED_VALUE"""),185.2371)</f>
        <v>185.2371</v>
      </c>
    </row>
    <row r="1566">
      <c r="A1566" s="434">
        <f>IFERROR(__xludf.DUMMYFUNCTION("""COMPUTED_VALUE"""),44203.99861111111)</f>
        <v>44203.99861</v>
      </c>
      <c r="B1566" s="433">
        <f>IFERROR(__xludf.DUMMYFUNCTION("""COMPUTED_VALUE"""),39465.0)</f>
        <v>39465</v>
      </c>
      <c r="C1566" s="434">
        <f>IFERROR(__xludf.DUMMYFUNCTION("""COMPUTED_VALUE"""),43788.99861111111)</f>
        <v>43788.99861</v>
      </c>
      <c r="D1566" s="433">
        <f>IFERROR(__xludf.DUMMYFUNCTION("""COMPUTED_VALUE"""),180.4998)</f>
        <v>180.4998</v>
      </c>
    </row>
    <row r="1567">
      <c r="A1567" s="434">
        <f>IFERROR(__xludf.DUMMYFUNCTION("""COMPUTED_VALUE"""),44204.99861111111)</f>
        <v>44204.99861</v>
      </c>
      <c r="B1567" s="433">
        <f>IFERROR(__xludf.DUMMYFUNCTION("""COMPUTED_VALUE"""),40641.98)</f>
        <v>40641.98</v>
      </c>
      <c r="C1567" s="434">
        <f>IFERROR(__xludf.DUMMYFUNCTION("""COMPUTED_VALUE"""),43789.99861111111)</f>
        <v>43789.99861</v>
      </c>
      <c r="D1567" s="433">
        <f>IFERROR(__xludf.DUMMYFUNCTION("""COMPUTED_VALUE"""),177.608)</f>
        <v>177.608</v>
      </c>
    </row>
    <row r="1568">
      <c r="A1568" s="434">
        <f>IFERROR(__xludf.DUMMYFUNCTION("""COMPUTED_VALUE"""),44205.99861111111)</f>
        <v>44205.99861</v>
      </c>
      <c r="B1568" s="433">
        <f>IFERROR(__xludf.DUMMYFUNCTION("""COMPUTED_VALUE"""),40229.14)</f>
        <v>40229.14</v>
      </c>
      <c r="C1568" s="434">
        <f>IFERROR(__xludf.DUMMYFUNCTION("""COMPUTED_VALUE"""),43790.99861111111)</f>
        <v>43790.99861</v>
      </c>
      <c r="D1568" s="433">
        <f>IFERROR(__xludf.DUMMYFUNCTION("""COMPUTED_VALUE"""),175.5828)</f>
        <v>175.5828</v>
      </c>
    </row>
    <row r="1569">
      <c r="A1569" s="434">
        <f>IFERROR(__xludf.DUMMYFUNCTION("""COMPUTED_VALUE"""),44206.99861111111)</f>
        <v>44206.99861</v>
      </c>
      <c r="B1569" s="433">
        <f>IFERROR(__xludf.DUMMYFUNCTION("""COMPUTED_VALUE"""),38212.04)</f>
        <v>38212.04</v>
      </c>
      <c r="C1569" s="434">
        <f>IFERROR(__xludf.DUMMYFUNCTION("""COMPUTED_VALUE"""),43791.99861111111)</f>
        <v>43791.99861</v>
      </c>
      <c r="D1569" s="433">
        <f>IFERROR(__xludf.DUMMYFUNCTION("""COMPUTED_VALUE"""),161.6102)</f>
        <v>161.6102</v>
      </c>
    </row>
    <row r="1570">
      <c r="A1570" s="434">
        <f>IFERROR(__xludf.DUMMYFUNCTION("""COMPUTED_VALUE"""),44207.99861111111)</f>
        <v>44207.99861</v>
      </c>
      <c r="B1570" s="433">
        <f>IFERROR(__xludf.DUMMYFUNCTION("""COMPUTED_VALUE"""),35480.42)</f>
        <v>35480.42</v>
      </c>
      <c r="C1570" s="434">
        <f>IFERROR(__xludf.DUMMYFUNCTION("""COMPUTED_VALUE"""),43792.99861111111)</f>
        <v>43792.99861</v>
      </c>
      <c r="D1570" s="433">
        <f>IFERROR(__xludf.DUMMYFUNCTION("""COMPUTED_VALUE"""),150.2602)</f>
        <v>150.2602</v>
      </c>
    </row>
    <row r="1571">
      <c r="A1571" s="434">
        <f>IFERROR(__xludf.DUMMYFUNCTION("""COMPUTED_VALUE"""),44208.99861111111)</f>
        <v>44208.99861</v>
      </c>
      <c r="B1571" s="433">
        <f>IFERROR(__xludf.DUMMYFUNCTION("""COMPUTED_VALUE"""),34051.0)</f>
        <v>34051</v>
      </c>
      <c r="C1571" s="434">
        <f>IFERROR(__xludf.DUMMYFUNCTION("""COMPUTED_VALUE"""),43793.99861111111)</f>
        <v>43793.99861</v>
      </c>
      <c r="D1571" s="433">
        <f>IFERROR(__xludf.DUMMYFUNCTION("""COMPUTED_VALUE"""),153.6764)</f>
        <v>153.6764</v>
      </c>
    </row>
    <row r="1572">
      <c r="A1572" s="434">
        <f>IFERROR(__xludf.DUMMYFUNCTION("""COMPUTED_VALUE"""),44209.99861111111)</f>
        <v>44209.99861</v>
      </c>
      <c r="B1572" s="433">
        <f>IFERROR(__xludf.DUMMYFUNCTION("""COMPUTED_VALUE"""),37385.53)</f>
        <v>37385.53</v>
      </c>
      <c r="C1572" s="434">
        <f>IFERROR(__xludf.DUMMYFUNCTION("""COMPUTED_VALUE"""),43794.99861111111)</f>
        <v>43794.99861</v>
      </c>
      <c r="D1572" s="433">
        <f>IFERROR(__xludf.DUMMYFUNCTION("""COMPUTED_VALUE"""),143.1295)</f>
        <v>143.1295</v>
      </c>
    </row>
    <row r="1573">
      <c r="A1573" s="434">
        <f>IFERROR(__xludf.DUMMYFUNCTION("""COMPUTED_VALUE"""),44210.99861111111)</f>
        <v>44210.99861</v>
      </c>
      <c r="B1573" s="433">
        <f>IFERROR(__xludf.DUMMYFUNCTION("""COMPUTED_VALUE"""),39152.59)</f>
        <v>39152.59</v>
      </c>
      <c r="C1573" s="434">
        <f>IFERROR(__xludf.DUMMYFUNCTION("""COMPUTED_VALUE"""),43795.99861111111)</f>
        <v>43795.99861</v>
      </c>
      <c r="D1573" s="433">
        <f>IFERROR(__xludf.DUMMYFUNCTION("""COMPUTED_VALUE"""),146.5389)</f>
        <v>146.5389</v>
      </c>
    </row>
    <row r="1574">
      <c r="A1574" s="434">
        <f>IFERROR(__xludf.DUMMYFUNCTION("""COMPUTED_VALUE"""),44211.99861111111)</f>
        <v>44211.99861</v>
      </c>
      <c r="B1574" s="433">
        <f>IFERROR(__xludf.DUMMYFUNCTION("""COMPUTED_VALUE"""),36820.3)</f>
        <v>36820.3</v>
      </c>
      <c r="C1574" s="434">
        <f>IFERROR(__xludf.DUMMYFUNCTION("""COMPUTED_VALUE"""),43796.99861111111)</f>
        <v>43796.99861</v>
      </c>
      <c r="D1574" s="433">
        <f>IFERROR(__xludf.DUMMYFUNCTION("""COMPUTED_VALUE"""),148.7854)</f>
        <v>148.7854</v>
      </c>
    </row>
    <row r="1575">
      <c r="A1575" s="434">
        <f>IFERROR(__xludf.DUMMYFUNCTION("""COMPUTED_VALUE"""),44212.99861111111)</f>
        <v>44212.99861</v>
      </c>
      <c r="B1575" s="433">
        <f>IFERROR(__xludf.DUMMYFUNCTION("""COMPUTED_VALUE"""),36022.09)</f>
        <v>36022.09</v>
      </c>
      <c r="C1575" s="434">
        <f>IFERROR(__xludf.DUMMYFUNCTION("""COMPUTED_VALUE"""),43797.99861111111)</f>
        <v>43797.99861</v>
      </c>
      <c r="D1575" s="433">
        <f>IFERROR(__xludf.DUMMYFUNCTION("""COMPUTED_VALUE"""),153.4272)</f>
        <v>153.4272</v>
      </c>
    </row>
    <row r="1576">
      <c r="A1576" s="434">
        <f>IFERROR(__xludf.DUMMYFUNCTION("""COMPUTED_VALUE"""),44213.99861111111)</f>
        <v>44213.99861</v>
      </c>
      <c r="B1576" s="433">
        <f>IFERROR(__xludf.DUMMYFUNCTION("""COMPUTED_VALUE"""),35825.16)</f>
        <v>35825.16</v>
      </c>
      <c r="C1576" s="434">
        <f>IFERROR(__xludf.DUMMYFUNCTION("""COMPUTED_VALUE"""),43798.99861111111)</f>
        <v>43798.99861</v>
      </c>
      <c r="D1576" s="433">
        <f>IFERROR(__xludf.DUMMYFUNCTION("""COMPUTED_VALUE"""),151.5853)</f>
        <v>151.5853</v>
      </c>
    </row>
    <row r="1577">
      <c r="A1577" s="434">
        <f>IFERROR(__xludf.DUMMYFUNCTION("""COMPUTED_VALUE"""),44214.99861111111)</f>
        <v>44214.99861</v>
      </c>
      <c r="B1577" s="433">
        <f>IFERROR(__xludf.DUMMYFUNCTION("""COMPUTED_VALUE"""),36625.9)</f>
        <v>36625.9</v>
      </c>
      <c r="C1577" s="434">
        <f>IFERROR(__xludf.DUMMYFUNCTION("""COMPUTED_VALUE"""),43799.99861111111)</f>
        <v>43799.99861</v>
      </c>
      <c r="D1577" s="433">
        <f>IFERROR(__xludf.DUMMYFUNCTION("""COMPUTED_VALUE"""),155.3166)</f>
        <v>155.3166</v>
      </c>
    </row>
    <row r="1578">
      <c r="A1578" s="434">
        <f>IFERROR(__xludf.DUMMYFUNCTION("""COMPUTED_VALUE"""),44215.99861111111)</f>
        <v>44215.99861</v>
      </c>
      <c r="B1578" s="433">
        <f>IFERROR(__xludf.DUMMYFUNCTION("""COMPUTED_VALUE"""),35972.69)</f>
        <v>35972.69</v>
      </c>
      <c r="C1578" s="434">
        <f>IFERROR(__xludf.DUMMYFUNCTION("""COMPUTED_VALUE"""),43800.99861111111)</f>
        <v>43800.99861</v>
      </c>
      <c r="D1578" s="433">
        <f>IFERROR(__xludf.DUMMYFUNCTION("""COMPUTED_VALUE"""),152.2097)</f>
        <v>152.2097</v>
      </c>
    </row>
    <row r="1579">
      <c r="A1579" s="434">
        <f>IFERROR(__xludf.DUMMYFUNCTION("""COMPUTED_VALUE"""),44216.99861111111)</f>
        <v>44216.99861</v>
      </c>
      <c r="B1579" s="433">
        <f>IFERROR(__xludf.DUMMYFUNCTION("""COMPUTED_VALUE"""),35501.85)</f>
        <v>35501.85</v>
      </c>
      <c r="C1579" s="434">
        <f>IFERROR(__xludf.DUMMYFUNCTION("""COMPUTED_VALUE"""),43801.99861111111)</f>
        <v>43801.99861</v>
      </c>
      <c r="D1579" s="433">
        <f>IFERROR(__xludf.DUMMYFUNCTION("""COMPUTED_VALUE"""),151.2009)</f>
        <v>151.2009</v>
      </c>
    </row>
    <row r="1580">
      <c r="A1580" s="434">
        <f>IFERROR(__xludf.DUMMYFUNCTION("""COMPUTED_VALUE"""),44217.99861111111)</f>
        <v>44217.99861</v>
      </c>
      <c r="B1580" s="433">
        <f>IFERROR(__xludf.DUMMYFUNCTION("""COMPUTED_VALUE"""),30834.26)</f>
        <v>30834.26</v>
      </c>
      <c r="C1580" s="434">
        <f>IFERROR(__xludf.DUMMYFUNCTION("""COMPUTED_VALUE"""),43802.99861111111)</f>
        <v>43802.99861</v>
      </c>
      <c r="D1580" s="433">
        <f>IFERROR(__xludf.DUMMYFUNCTION("""COMPUTED_VALUE"""),149.0942)</f>
        <v>149.0942</v>
      </c>
    </row>
    <row r="1581">
      <c r="A1581" s="434">
        <f>IFERROR(__xludf.DUMMYFUNCTION("""COMPUTED_VALUE"""),44218.99861111111)</f>
        <v>44218.99861</v>
      </c>
      <c r="B1581" s="433">
        <f>IFERROR(__xludf.DUMMYFUNCTION("""COMPUTED_VALUE"""),33010.61)</f>
        <v>33010.61</v>
      </c>
      <c r="C1581" s="434">
        <f>IFERROR(__xludf.DUMMYFUNCTION("""COMPUTED_VALUE"""),43803.99861111111)</f>
        <v>43803.99861</v>
      </c>
      <c r="D1581" s="433">
        <f>IFERROR(__xludf.DUMMYFUNCTION("""COMPUTED_VALUE"""),147.8223)</f>
        <v>147.8223</v>
      </c>
    </row>
    <row r="1582">
      <c r="A1582" s="434">
        <f>IFERROR(__xludf.DUMMYFUNCTION("""COMPUTED_VALUE"""),44219.99861111111)</f>
        <v>44219.99861</v>
      </c>
      <c r="B1582" s="433">
        <f>IFERROR(__xludf.DUMMYFUNCTION("""COMPUTED_VALUE"""),32090.97)</f>
        <v>32090.97</v>
      </c>
      <c r="C1582" s="434">
        <f>IFERROR(__xludf.DUMMYFUNCTION("""COMPUTED_VALUE"""),43804.99861111111)</f>
        <v>43804.99861</v>
      </c>
      <c r="D1582" s="433">
        <f>IFERROR(__xludf.DUMMYFUNCTION("""COMPUTED_VALUE"""),146.4617)</f>
        <v>146.4617</v>
      </c>
    </row>
    <row r="1583">
      <c r="A1583" s="434">
        <f>IFERROR(__xludf.DUMMYFUNCTION("""COMPUTED_VALUE"""),44220.99861111111)</f>
        <v>44220.99861</v>
      </c>
      <c r="B1583" s="433">
        <f>IFERROR(__xludf.DUMMYFUNCTION("""COMPUTED_VALUE"""),32260.85)</f>
        <v>32260.85</v>
      </c>
      <c r="C1583" s="434">
        <f>IFERROR(__xludf.DUMMYFUNCTION("""COMPUTED_VALUE"""),43805.99861111111)</f>
        <v>43805.99861</v>
      </c>
      <c r="D1583" s="433">
        <f>IFERROR(__xludf.DUMMYFUNCTION("""COMPUTED_VALUE"""),149.6495)</f>
        <v>149.6495</v>
      </c>
    </row>
    <row r="1584">
      <c r="A1584" s="434">
        <f>IFERROR(__xludf.DUMMYFUNCTION("""COMPUTED_VALUE"""),44221.99861111111)</f>
        <v>44221.99861</v>
      </c>
      <c r="B1584" s="433">
        <f>IFERROR(__xludf.DUMMYFUNCTION("""COMPUTED_VALUE"""),32249.76)</f>
        <v>32249.76</v>
      </c>
      <c r="C1584" s="434">
        <f>IFERROR(__xludf.DUMMYFUNCTION("""COMPUTED_VALUE"""),43806.99861111111)</f>
        <v>43806.99861</v>
      </c>
      <c r="D1584" s="433">
        <f>IFERROR(__xludf.DUMMYFUNCTION("""COMPUTED_VALUE"""),149.335)</f>
        <v>149.335</v>
      </c>
    </row>
    <row r="1585">
      <c r="A1585" s="434">
        <f>IFERROR(__xludf.DUMMYFUNCTION("""COMPUTED_VALUE"""),44222.99861111111)</f>
        <v>44222.99861</v>
      </c>
      <c r="B1585" s="433">
        <f>IFERROR(__xludf.DUMMYFUNCTION("""COMPUTED_VALUE"""),32507.34)</f>
        <v>32507.34</v>
      </c>
      <c r="C1585" s="434">
        <f>IFERROR(__xludf.DUMMYFUNCTION("""COMPUTED_VALUE"""),43807.99861111111)</f>
        <v>43807.99861</v>
      </c>
      <c r="D1585" s="433">
        <f>IFERROR(__xludf.DUMMYFUNCTION("""COMPUTED_VALUE"""),148.7959)</f>
        <v>148.7959</v>
      </c>
    </row>
    <row r="1586">
      <c r="A1586" s="434">
        <f>IFERROR(__xludf.DUMMYFUNCTION("""COMPUTED_VALUE"""),44223.99861111111)</f>
        <v>44223.99861</v>
      </c>
      <c r="B1586" s="433">
        <f>IFERROR(__xludf.DUMMYFUNCTION("""COMPUTED_VALUE"""),30414.07)</f>
        <v>30414.07</v>
      </c>
      <c r="C1586" s="434">
        <f>IFERROR(__xludf.DUMMYFUNCTION("""COMPUTED_VALUE"""),43808.99861111111)</f>
        <v>43808.99861</v>
      </c>
      <c r="D1586" s="433">
        <f>IFERROR(__xludf.DUMMYFUNCTION("""COMPUTED_VALUE"""),151.3816)</f>
        <v>151.3816</v>
      </c>
    </row>
    <row r="1587">
      <c r="A1587" s="434">
        <f>IFERROR(__xludf.DUMMYFUNCTION("""COMPUTED_VALUE"""),44224.99861111111)</f>
        <v>44224.99861</v>
      </c>
      <c r="B1587" s="433">
        <f>IFERROR(__xludf.DUMMYFUNCTION("""COMPUTED_VALUE"""),33404.69)</f>
        <v>33404.69</v>
      </c>
      <c r="C1587" s="434">
        <f>IFERROR(__xludf.DUMMYFUNCTION("""COMPUTED_VALUE"""),43809.99861111111)</f>
        <v>43809.99861</v>
      </c>
      <c r="D1587" s="433">
        <f>IFERROR(__xludf.DUMMYFUNCTION("""COMPUTED_VALUE"""),148.1319)</f>
        <v>148.1319</v>
      </c>
    </row>
    <row r="1588">
      <c r="A1588" s="434">
        <f>IFERROR(__xludf.DUMMYFUNCTION("""COMPUTED_VALUE"""),44225.99861111111)</f>
        <v>44225.99861</v>
      </c>
      <c r="B1588" s="433">
        <f>IFERROR(__xludf.DUMMYFUNCTION("""COMPUTED_VALUE"""),34260.81)</f>
        <v>34260.81</v>
      </c>
      <c r="C1588" s="434">
        <f>IFERROR(__xludf.DUMMYFUNCTION("""COMPUTED_VALUE"""),43810.99861111111)</f>
        <v>43810.99861</v>
      </c>
      <c r="D1588" s="433">
        <f>IFERROR(__xludf.DUMMYFUNCTION("""COMPUTED_VALUE"""),146.1978)</f>
        <v>146.1978</v>
      </c>
    </row>
    <row r="1589">
      <c r="A1589" s="434">
        <f>IFERROR(__xludf.DUMMYFUNCTION("""COMPUTED_VALUE"""),44226.99861111111)</f>
        <v>44226.99861</v>
      </c>
      <c r="B1589" s="433">
        <f>IFERROR(__xludf.DUMMYFUNCTION("""COMPUTED_VALUE"""),34293.02)</f>
        <v>34293.02</v>
      </c>
      <c r="C1589" s="434">
        <f>IFERROR(__xludf.DUMMYFUNCTION("""COMPUTED_VALUE"""),43811.99861111111)</f>
        <v>43811.99861</v>
      </c>
      <c r="D1589" s="433">
        <f>IFERROR(__xludf.DUMMYFUNCTION("""COMPUTED_VALUE"""),143.4447)</f>
        <v>143.4447</v>
      </c>
    </row>
    <row r="1590">
      <c r="A1590" s="434">
        <f>IFERROR(__xludf.DUMMYFUNCTION("""COMPUTED_VALUE"""),44227.99861111111)</f>
        <v>44227.99861</v>
      </c>
      <c r="B1590" s="433">
        <f>IFERROR(__xludf.DUMMYFUNCTION("""COMPUTED_VALUE"""),33119.93)</f>
        <v>33119.93</v>
      </c>
      <c r="C1590" s="434">
        <f>IFERROR(__xludf.DUMMYFUNCTION("""COMPUTED_VALUE"""),43812.99861111111)</f>
        <v>43812.99861</v>
      </c>
      <c r="D1590" s="433">
        <f>IFERROR(__xludf.DUMMYFUNCTION("""COMPUTED_VALUE"""),145.6517)</f>
        <v>145.6517</v>
      </c>
    </row>
    <row r="1591">
      <c r="A1591" s="434">
        <f>IFERROR(__xludf.DUMMYFUNCTION("""COMPUTED_VALUE"""),44228.99861111111)</f>
        <v>44228.99861</v>
      </c>
      <c r="B1591" s="433">
        <f>IFERROR(__xludf.DUMMYFUNCTION("""COMPUTED_VALUE"""),33538.11)</f>
        <v>33538.11</v>
      </c>
      <c r="C1591" s="434">
        <f>IFERROR(__xludf.DUMMYFUNCTION("""COMPUTED_VALUE"""),43813.99861111111)</f>
        <v>43813.99861</v>
      </c>
      <c r="D1591" s="433">
        <f>IFERROR(__xludf.DUMMYFUNCTION("""COMPUTED_VALUE"""),144.9319)</f>
        <v>144.9319</v>
      </c>
    </row>
    <row r="1592">
      <c r="A1592" s="434">
        <f>IFERROR(__xludf.DUMMYFUNCTION("""COMPUTED_VALUE"""),44229.99861111111)</f>
        <v>44229.99861</v>
      </c>
      <c r="B1592" s="433">
        <f>IFERROR(__xludf.DUMMYFUNCTION("""COMPUTED_VALUE"""),35497.71)</f>
        <v>35497.71</v>
      </c>
      <c r="C1592" s="434">
        <f>IFERROR(__xludf.DUMMYFUNCTION("""COMPUTED_VALUE"""),43814.99861111111)</f>
        <v>43814.99861</v>
      </c>
      <c r="D1592" s="433">
        <f>IFERROR(__xludf.DUMMYFUNCTION("""COMPUTED_VALUE"""),142.842)</f>
        <v>142.842</v>
      </c>
    </row>
    <row r="1593">
      <c r="A1593" s="434">
        <f>IFERROR(__xludf.DUMMYFUNCTION("""COMPUTED_VALUE"""),44230.99861111111)</f>
        <v>44230.99861</v>
      </c>
      <c r="B1593" s="433">
        <f>IFERROR(__xludf.DUMMYFUNCTION("""COMPUTED_VALUE"""),37664.11)</f>
        <v>37664.11</v>
      </c>
      <c r="C1593" s="434">
        <f>IFERROR(__xludf.DUMMYFUNCTION("""COMPUTED_VALUE"""),43815.99861111111)</f>
        <v>43815.99861</v>
      </c>
      <c r="D1593" s="433">
        <f>IFERROR(__xludf.DUMMYFUNCTION("""COMPUTED_VALUE"""),143.1581)</f>
        <v>143.1581</v>
      </c>
    </row>
    <row r="1594">
      <c r="A1594" s="434">
        <f>IFERROR(__xludf.DUMMYFUNCTION("""COMPUTED_VALUE"""),44231.99861111111)</f>
        <v>44231.99861</v>
      </c>
      <c r="B1594" s="433">
        <f>IFERROR(__xludf.DUMMYFUNCTION("""COMPUTED_VALUE"""),36974.69)</f>
        <v>36974.69</v>
      </c>
      <c r="C1594" s="434">
        <f>IFERROR(__xludf.DUMMYFUNCTION("""COMPUTED_VALUE"""),43816.99861111111)</f>
        <v>43816.99861</v>
      </c>
      <c r="D1594" s="433">
        <f>IFERROR(__xludf.DUMMYFUNCTION("""COMPUTED_VALUE"""),133.7932)</f>
        <v>133.7932</v>
      </c>
    </row>
    <row r="1595">
      <c r="A1595" s="434">
        <f>IFERROR(__xludf.DUMMYFUNCTION("""COMPUTED_VALUE"""),44232.99861111111)</f>
        <v>44232.99861</v>
      </c>
      <c r="B1595" s="433">
        <f>IFERROR(__xludf.DUMMYFUNCTION("""COMPUTED_VALUE"""),38277.3)</f>
        <v>38277.3</v>
      </c>
      <c r="C1595" s="434">
        <f>IFERROR(__xludf.DUMMYFUNCTION("""COMPUTED_VALUE"""),43817.99861111111)</f>
        <v>43817.99861</v>
      </c>
      <c r="D1595" s="433">
        <f>IFERROR(__xludf.DUMMYFUNCTION("""COMPUTED_VALUE"""),122.3372)</f>
        <v>122.3372</v>
      </c>
    </row>
    <row r="1596">
      <c r="A1596" s="434">
        <f>IFERROR(__xludf.DUMMYFUNCTION("""COMPUTED_VALUE"""),44233.99861111111)</f>
        <v>44233.99861</v>
      </c>
      <c r="B1596" s="433">
        <f>IFERROR(__xludf.DUMMYFUNCTION("""COMPUTED_VALUE"""),39255.36)</f>
        <v>39255.36</v>
      </c>
      <c r="C1596" s="434">
        <f>IFERROR(__xludf.DUMMYFUNCTION("""COMPUTED_VALUE"""),43818.99861111111)</f>
        <v>43818.99861</v>
      </c>
      <c r="D1596" s="433">
        <f>IFERROR(__xludf.DUMMYFUNCTION("""COMPUTED_VALUE"""),133.3829)</f>
        <v>133.3829</v>
      </c>
    </row>
    <row r="1597">
      <c r="A1597" s="434">
        <f>IFERROR(__xludf.DUMMYFUNCTION("""COMPUTED_VALUE"""),44234.99861111111)</f>
        <v>44234.99861</v>
      </c>
      <c r="B1597" s="433">
        <f>IFERROR(__xludf.DUMMYFUNCTION("""COMPUTED_VALUE"""),38840.28)</f>
        <v>38840.28</v>
      </c>
      <c r="C1597" s="434">
        <f>IFERROR(__xludf.DUMMYFUNCTION("""COMPUTED_VALUE"""),43819.99861111111)</f>
        <v>43819.99861</v>
      </c>
      <c r="D1597" s="433">
        <f>IFERROR(__xludf.DUMMYFUNCTION("""COMPUTED_VALUE"""),129.5315)</f>
        <v>129.5315</v>
      </c>
    </row>
    <row r="1598">
      <c r="A1598" s="434">
        <f>IFERROR(__xludf.DUMMYFUNCTION("""COMPUTED_VALUE"""),44235.99861111111)</f>
        <v>44235.99861</v>
      </c>
      <c r="B1598" s="433">
        <f>IFERROR(__xludf.DUMMYFUNCTION("""COMPUTED_VALUE"""),46430.89)</f>
        <v>46430.89</v>
      </c>
      <c r="C1598" s="434">
        <f>IFERROR(__xludf.DUMMYFUNCTION("""COMPUTED_VALUE"""),43820.99861111111)</f>
        <v>43820.99861</v>
      </c>
      <c r="D1598" s="433">
        <f>IFERROR(__xludf.DUMMYFUNCTION("""COMPUTED_VALUE"""),129.1259)</f>
        <v>129.1259</v>
      </c>
    </row>
    <row r="1599">
      <c r="A1599" s="434">
        <f>IFERROR(__xludf.DUMMYFUNCTION("""COMPUTED_VALUE"""),44236.99861111111)</f>
        <v>44236.99861</v>
      </c>
      <c r="B1599" s="433">
        <f>IFERROR(__xludf.DUMMYFUNCTION("""COMPUTED_VALUE"""),46533.69)</f>
        <v>46533.69</v>
      </c>
      <c r="C1599" s="434">
        <f>IFERROR(__xludf.DUMMYFUNCTION("""COMPUTED_VALUE"""),43821.99861111111)</f>
        <v>43821.99861</v>
      </c>
      <c r="D1599" s="433">
        <f>IFERROR(__xludf.DUMMYFUNCTION("""COMPUTED_VALUE"""),128.1674)</f>
        <v>128.1674</v>
      </c>
    </row>
    <row r="1600">
      <c r="A1600" s="434">
        <f>IFERROR(__xludf.DUMMYFUNCTION("""COMPUTED_VALUE"""),44237.99861111111)</f>
        <v>44237.99861</v>
      </c>
      <c r="B1600" s="433">
        <f>IFERROR(__xludf.DUMMYFUNCTION("""COMPUTED_VALUE"""),44835.64)</f>
        <v>44835.64</v>
      </c>
      <c r="C1600" s="434">
        <f>IFERROR(__xludf.DUMMYFUNCTION("""COMPUTED_VALUE"""),43822.99861111111)</f>
        <v>43822.99861</v>
      </c>
      <c r="D1600" s="433">
        <f>IFERROR(__xludf.DUMMYFUNCTION("""COMPUTED_VALUE"""),132.2601)</f>
        <v>132.2601</v>
      </c>
    </row>
    <row r="1601">
      <c r="A1601" s="434">
        <f>IFERROR(__xludf.DUMMYFUNCTION("""COMPUTED_VALUE"""),44238.99861111111)</f>
        <v>44238.99861</v>
      </c>
      <c r="B1601" s="433">
        <f>IFERROR(__xludf.DUMMYFUNCTION("""COMPUTED_VALUE"""),47987.46)</f>
        <v>47987.46</v>
      </c>
      <c r="C1601" s="434">
        <f>IFERROR(__xludf.DUMMYFUNCTION("""COMPUTED_VALUE"""),43823.99861111111)</f>
        <v>43823.99861</v>
      </c>
      <c r="D1601" s="433">
        <f>IFERROR(__xludf.DUMMYFUNCTION("""COMPUTED_VALUE"""),128.5465)</f>
        <v>128.5465</v>
      </c>
    </row>
    <row r="1602">
      <c r="A1602" s="434">
        <f>IFERROR(__xludf.DUMMYFUNCTION("""COMPUTED_VALUE"""),44239.99861111111)</f>
        <v>44239.99861</v>
      </c>
      <c r="B1602" s="433">
        <f>IFERROR(__xludf.DUMMYFUNCTION("""COMPUTED_VALUE"""),47394.65)</f>
        <v>47394.65</v>
      </c>
      <c r="C1602" s="434">
        <f>IFERROR(__xludf.DUMMYFUNCTION("""COMPUTED_VALUE"""),43824.99861111111)</f>
        <v>43824.99861</v>
      </c>
      <c r="D1602" s="433">
        <f>IFERROR(__xludf.DUMMYFUNCTION("""COMPUTED_VALUE"""),128.9395)</f>
        <v>128.9395</v>
      </c>
    </row>
    <row r="1603">
      <c r="A1603" s="434">
        <f>IFERROR(__xludf.DUMMYFUNCTION("""COMPUTED_VALUE"""),44240.99861111111)</f>
        <v>44240.99861</v>
      </c>
      <c r="B1603" s="433">
        <f>IFERROR(__xludf.DUMMYFUNCTION("""COMPUTED_VALUE"""),47169.87)</f>
        <v>47169.87</v>
      </c>
      <c r="C1603" s="434">
        <f>IFERROR(__xludf.DUMMYFUNCTION("""COMPUTED_VALUE"""),43825.99861111111)</f>
        <v>43825.99861</v>
      </c>
      <c r="D1603" s="433">
        <f>IFERROR(__xludf.DUMMYFUNCTION("""COMPUTED_VALUE"""),126.6596)</f>
        <v>126.6596</v>
      </c>
    </row>
    <row r="1604">
      <c r="A1604" s="434">
        <f>IFERROR(__xludf.DUMMYFUNCTION("""COMPUTED_VALUE"""),44241.99861111111)</f>
        <v>44241.99861</v>
      </c>
      <c r="B1604" s="433">
        <f>IFERROR(__xludf.DUMMYFUNCTION("""COMPUTED_VALUE"""),48662.91)</f>
        <v>48662.91</v>
      </c>
      <c r="C1604" s="434">
        <f>IFERROR(__xludf.DUMMYFUNCTION("""COMPUTED_VALUE"""),43826.99861111111)</f>
        <v>43826.99861</v>
      </c>
      <c r="D1604" s="433">
        <f>IFERROR(__xludf.DUMMYFUNCTION("""COMPUTED_VALUE"""),126.2189)</f>
        <v>126.2189</v>
      </c>
    </row>
    <row r="1605">
      <c r="A1605" s="434">
        <f>IFERROR(__xludf.DUMMYFUNCTION("""COMPUTED_VALUE"""),44242.99861111111)</f>
        <v>44242.99861</v>
      </c>
      <c r="B1605" s="433">
        <f>IFERROR(__xludf.DUMMYFUNCTION("""COMPUTED_VALUE"""),47924.53)</f>
        <v>47924.53</v>
      </c>
      <c r="C1605" s="434">
        <f>IFERROR(__xludf.DUMMYFUNCTION("""COMPUTED_VALUE"""),43827.99861111111)</f>
        <v>43827.99861</v>
      </c>
      <c r="D1605" s="433">
        <f>IFERROR(__xludf.DUMMYFUNCTION("""COMPUTED_VALUE"""),126.9457)</f>
        <v>126.9457</v>
      </c>
    </row>
    <row r="1606">
      <c r="A1606" s="434">
        <f>IFERROR(__xludf.DUMMYFUNCTION("""COMPUTED_VALUE"""),44243.99861111111)</f>
        <v>44243.99861</v>
      </c>
      <c r="B1606" s="433">
        <f>IFERROR(__xludf.DUMMYFUNCTION("""COMPUTED_VALUE"""),49154.03)</f>
        <v>49154.03</v>
      </c>
      <c r="C1606" s="434">
        <f>IFERROR(__xludf.DUMMYFUNCTION("""COMPUTED_VALUE"""),43828.99861111111)</f>
        <v>43828.99861</v>
      </c>
      <c r="D1606" s="433">
        <f>IFERROR(__xludf.DUMMYFUNCTION("""COMPUTED_VALUE"""),128.3505)</f>
        <v>128.3505</v>
      </c>
    </row>
    <row r="1607">
      <c r="A1607" s="434">
        <f>IFERROR(__xludf.DUMMYFUNCTION("""COMPUTED_VALUE"""),44244.99861111111)</f>
        <v>44244.99861</v>
      </c>
      <c r="B1607" s="433">
        <f>IFERROR(__xludf.DUMMYFUNCTION("""COMPUTED_VALUE"""),52115.98)</f>
        <v>52115.98</v>
      </c>
      <c r="C1607" s="434">
        <f>IFERROR(__xludf.DUMMYFUNCTION("""COMPUTED_VALUE"""),43829.99861111111)</f>
        <v>43829.99861</v>
      </c>
      <c r="D1607" s="433">
        <f>IFERROR(__xludf.DUMMYFUNCTION("""COMPUTED_VALUE"""),134.6256)</f>
        <v>134.6256</v>
      </c>
    </row>
    <row r="1608">
      <c r="A1608" s="434">
        <f>IFERROR(__xludf.DUMMYFUNCTION("""COMPUTED_VALUE"""),44245.99861111111)</f>
        <v>44245.99861</v>
      </c>
      <c r="B1608" s="433">
        <f>IFERROR(__xludf.DUMMYFUNCTION("""COMPUTED_VALUE"""),51604.23)</f>
        <v>51604.23</v>
      </c>
      <c r="C1608" s="434">
        <f>IFERROR(__xludf.DUMMYFUNCTION("""COMPUTED_VALUE"""),43830.99861111111)</f>
        <v>43830.99861</v>
      </c>
      <c r="D1608" s="433">
        <f>IFERROR(__xludf.DUMMYFUNCTION("""COMPUTED_VALUE"""),132.3864)</f>
        <v>132.3864</v>
      </c>
    </row>
    <row r="1609">
      <c r="A1609" s="434">
        <f>IFERROR(__xludf.DUMMYFUNCTION("""COMPUTED_VALUE"""),44246.99861111111)</f>
        <v>44246.99861</v>
      </c>
      <c r="B1609" s="433">
        <f>IFERROR(__xludf.DUMMYFUNCTION("""COMPUTED_VALUE"""),55905.4)</f>
        <v>55905.4</v>
      </c>
      <c r="C1609" s="434">
        <f>IFERROR(__xludf.DUMMYFUNCTION("""COMPUTED_VALUE"""),43831.99861111111)</f>
        <v>43831.99861</v>
      </c>
      <c r="D1609" s="433">
        <f>IFERROR(__xludf.DUMMYFUNCTION("""COMPUTED_VALUE"""),129.5117)</f>
        <v>129.5117</v>
      </c>
    </row>
    <row r="1610">
      <c r="A1610" s="434">
        <f>IFERROR(__xludf.DUMMYFUNCTION("""COMPUTED_VALUE"""),44247.99861111111)</f>
        <v>44247.99861</v>
      </c>
      <c r="B1610" s="433">
        <f>IFERROR(__xludf.DUMMYFUNCTION("""COMPUTED_VALUE"""),55936.8)</f>
        <v>55936.8</v>
      </c>
      <c r="C1610" s="434">
        <f>IFERROR(__xludf.DUMMYFUNCTION("""COMPUTED_VALUE"""),43832.99861111111)</f>
        <v>43832.99861</v>
      </c>
      <c r="D1610" s="433">
        <f>IFERROR(__xludf.DUMMYFUNCTION("""COMPUTED_VALUE"""),130.6864)</f>
        <v>130.6864</v>
      </c>
    </row>
    <row r="1611">
      <c r="A1611" s="434">
        <f>IFERROR(__xludf.DUMMYFUNCTION("""COMPUTED_VALUE"""),44248.99861111111)</f>
        <v>44248.99861</v>
      </c>
      <c r="B1611" s="433">
        <f>IFERROR(__xludf.DUMMYFUNCTION("""COMPUTED_VALUE"""),57443.79)</f>
        <v>57443.79</v>
      </c>
      <c r="C1611" s="434">
        <f>IFERROR(__xludf.DUMMYFUNCTION("""COMPUTED_VALUE"""),43833.99861111111)</f>
        <v>43833.99861</v>
      </c>
      <c r="D1611" s="433">
        <f>IFERROR(__xludf.DUMMYFUNCTION("""COMPUTED_VALUE"""),127.4283)</f>
        <v>127.4283</v>
      </c>
    </row>
    <row r="1612">
      <c r="A1612" s="434">
        <f>IFERROR(__xludf.DUMMYFUNCTION("""COMPUTED_VALUE"""),44249.99861111111)</f>
        <v>44249.99861</v>
      </c>
      <c r="B1612" s="433">
        <f>IFERROR(__xludf.DUMMYFUNCTION("""COMPUTED_VALUE"""),54104.16)</f>
        <v>54104.16</v>
      </c>
      <c r="C1612" s="434">
        <f>IFERROR(__xludf.DUMMYFUNCTION("""COMPUTED_VALUE"""),43834.99861111111)</f>
        <v>43834.99861</v>
      </c>
      <c r="D1612" s="433">
        <f>IFERROR(__xludf.DUMMYFUNCTION("""COMPUTED_VALUE"""),134.491)</f>
        <v>134.491</v>
      </c>
    </row>
    <row r="1613">
      <c r="A1613" s="434">
        <f>IFERROR(__xludf.DUMMYFUNCTION("""COMPUTED_VALUE"""),44250.99861111111)</f>
        <v>44250.99861</v>
      </c>
      <c r="B1613" s="433">
        <f>IFERROR(__xludf.DUMMYFUNCTION("""COMPUTED_VALUE"""),48894.62)</f>
        <v>48894.62</v>
      </c>
      <c r="C1613" s="434">
        <f>IFERROR(__xludf.DUMMYFUNCTION("""COMPUTED_VALUE"""),43835.99861111111)</f>
        <v>43835.99861</v>
      </c>
      <c r="D1613" s="433">
        <f>IFERROR(__xludf.DUMMYFUNCTION("""COMPUTED_VALUE"""),135.3461)</f>
        <v>135.3461</v>
      </c>
    </row>
    <row r="1614">
      <c r="A1614" s="434">
        <f>IFERROR(__xludf.DUMMYFUNCTION("""COMPUTED_VALUE"""),44251.99861111111)</f>
        <v>44251.99861</v>
      </c>
      <c r="B1614" s="433">
        <f>IFERROR(__xludf.DUMMYFUNCTION("""COMPUTED_VALUE"""),49699.13)</f>
        <v>49699.13</v>
      </c>
      <c r="C1614" s="434">
        <f>IFERROR(__xludf.DUMMYFUNCTION("""COMPUTED_VALUE"""),43836.99861111111)</f>
        <v>43836.99861</v>
      </c>
      <c r="D1614" s="433">
        <f>IFERROR(__xludf.DUMMYFUNCTION("""COMPUTED_VALUE"""),136.2492)</f>
        <v>136.2492</v>
      </c>
    </row>
    <row r="1615">
      <c r="A1615" s="434">
        <f>IFERROR(__xludf.DUMMYFUNCTION("""COMPUTED_VALUE"""),44252.99861111111)</f>
        <v>44252.99861</v>
      </c>
      <c r="B1615" s="433">
        <f>IFERROR(__xludf.DUMMYFUNCTION("""COMPUTED_VALUE"""),47045.93)</f>
        <v>47045.93</v>
      </c>
      <c r="C1615" s="434">
        <f>IFERROR(__xludf.DUMMYFUNCTION("""COMPUTED_VALUE"""),43837.99861111111)</f>
        <v>43837.99861</v>
      </c>
      <c r="D1615" s="433">
        <f>IFERROR(__xludf.DUMMYFUNCTION("""COMPUTED_VALUE"""),144.2187)</f>
        <v>144.2187</v>
      </c>
    </row>
    <row r="1616">
      <c r="A1616" s="434">
        <f>IFERROR(__xludf.DUMMYFUNCTION("""COMPUTED_VALUE"""),44253.99861111111)</f>
        <v>44253.99861</v>
      </c>
      <c r="B1616" s="433">
        <f>IFERROR(__xludf.DUMMYFUNCTION("""COMPUTED_VALUE"""),46324.21)</f>
        <v>46324.21</v>
      </c>
      <c r="C1616" s="434">
        <f>IFERROR(__xludf.DUMMYFUNCTION("""COMPUTED_VALUE"""),43838.99861111111)</f>
        <v>43838.99861</v>
      </c>
      <c r="D1616" s="433">
        <f>IFERROR(__xludf.DUMMYFUNCTION("""COMPUTED_VALUE"""),143.4523)</f>
        <v>143.4523</v>
      </c>
    </row>
    <row r="1617">
      <c r="A1617" s="434">
        <f>IFERROR(__xludf.DUMMYFUNCTION("""COMPUTED_VALUE"""),44254.99861111111)</f>
        <v>44254.99861</v>
      </c>
      <c r="B1617" s="433">
        <f>IFERROR(__xludf.DUMMYFUNCTION("""COMPUTED_VALUE"""),46158.54)</f>
        <v>46158.54</v>
      </c>
      <c r="C1617" s="434">
        <f>IFERROR(__xludf.DUMMYFUNCTION("""COMPUTED_VALUE"""),43839.99861111111)</f>
        <v>43839.99861</v>
      </c>
      <c r="D1617" s="433">
        <f>IFERROR(__xludf.DUMMYFUNCTION("""COMPUTED_VALUE"""),140.9634)</f>
        <v>140.9634</v>
      </c>
    </row>
    <row r="1618">
      <c r="A1618" s="434">
        <f>IFERROR(__xludf.DUMMYFUNCTION("""COMPUTED_VALUE"""),44255.99861111111)</f>
        <v>44255.99861</v>
      </c>
      <c r="B1618" s="433">
        <f>IFERROR(__xludf.DUMMYFUNCTION("""COMPUTED_VALUE"""),45203.05)</f>
        <v>45203.05</v>
      </c>
      <c r="C1618" s="434">
        <f>IFERROR(__xludf.DUMMYFUNCTION("""COMPUTED_VALUE"""),43840.99861111111)</f>
        <v>43840.99861</v>
      </c>
      <c r="D1618" s="433">
        <f>IFERROR(__xludf.DUMMYFUNCTION("""COMPUTED_VALUE"""),138.7501)</f>
        <v>138.7501</v>
      </c>
    </row>
    <row r="1619">
      <c r="A1619" s="434">
        <f>IFERROR(__xludf.DUMMYFUNCTION("""COMPUTED_VALUE"""),44256.99861111111)</f>
        <v>44256.99861</v>
      </c>
      <c r="B1619" s="433">
        <f>IFERROR(__xludf.DUMMYFUNCTION("""COMPUTED_VALUE"""),49612.21)</f>
        <v>49612.21</v>
      </c>
      <c r="C1619" s="434">
        <f>IFERROR(__xludf.DUMMYFUNCTION("""COMPUTED_VALUE"""),43841.99861111111)</f>
        <v>43841.99861</v>
      </c>
      <c r="D1619" s="433">
        <f>IFERROR(__xludf.DUMMYFUNCTION("""COMPUTED_VALUE"""),143.2938)</f>
        <v>143.2938</v>
      </c>
    </row>
    <row r="1620">
      <c r="A1620" s="434">
        <f>IFERROR(__xludf.DUMMYFUNCTION("""COMPUTED_VALUE"""),44257.99861111111)</f>
        <v>44257.99861</v>
      </c>
      <c r="B1620" s="433">
        <f>IFERROR(__xludf.DUMMYFUNCTION("""COMPUTED_VALUE"""),48461.85)</f>
        <v>48461.85</v>
      </c>
      <c r="C1620" s="434">
        <f>IFERROR(__xludf.DUMMYFUNCTION("""COMPUTED_VALUE"""),43842.99861111111)</f>
        <v>43842.99861</v>
      </c>
      <c r="D1620" s="433">
        <f>IFERROR(__xludf.DUMMYFUNCTION("""COMPUTED_VALUE"""),142.826)</f>
        <v>142.826</v>
      </c>
    </row>
    <row r="1621">
      <c r="A1621" s="434">
        <f>IFERROR(__xludf.DUMMYFUNCTION("""COMPUTED_VALUE"""),44258.99861111111)</f>
        <v>44258.99861</v>
      </c>
      <c r="B1621" s="433">
        <f>IFERROR(__xludf.DUMMYFUNCTION("""COMPUTED_VALUE"""),50428.79)</f>
        <v>50428.79</v>
      </c>
      <c r="C1621" s="434">
        <f>IFERROR(__xludf.DUMMYFUNCTION("""COMPUTED_VALUE"""),43843.99861111111)</f>
        <v>43843.99861</v>
      </c>
      <c r="D1621" s="433">
        <f>IFERROR(__xludf.DUMMYFUNCTION("""COMPUTED_VALUE"""),146.7912)</f>
        <v>146.7912</v>
      </c>
    </row>
    <row r="1622">
      <c r="A1622" s="434">
        <f>IFERROR(__xludf.DUMMYFUNCTION("""COMPUTED_VALUE"""),44259.99861111111)</f>
        <v>44259.99861</v>
      </c>
      <c r="B1622" s="433">
        <f>IFERROR(__xludf.DUMMYFUNCTION("""COMPUTED_VALUE"""),48357.46)</f>
        <v>48357.46</v>
      </c>
      <c r="C1622" s="434">
        <f>IFERROR(__xludf.DUMMYFUNCTION("""COMPUTED_VALUE"""),43844.99861111111)</f>
        <v>43844.99861</v>
      </c>
      <c r="D1622" s="433">
        <f>IFERROR(__xludf.DUMMYFUNCTION("""COMPUTED_VALUE"""),144.136)</f>
        <v>144.136</v>
      </c>
    </row>
    <row r="1623">
      <c r="A1623" s="434">
        <f>IFERROR(__xludf.DUMMYFUNCTION("""COMPUTED_VALUE"""),44260.99861111111)</f>
        <v>44260.99861</v>
      </c>
      <c r="B1623" s="433">
        <f>IFERROR(__xludf.DUMMYFUNCTION("""COMPUTED_VALUE"""),48766.28)</f>
        <v>48766.28</v>
      </c>
      <c r="C1623" s="434">
        <f>IFERROR(__xludf.DUMMYFUNCTION("""COMPUTED_VALUE"""),43845.99861111111)</f>
        <v>43845.99861</v>
      </c>
      <c r="D1623" s="433">
        <f>IFERROR(__xludf.DUMMYFUNCTION("""COMPUTED_VALUE"""),165.2382)</f>
        <v>165.2382</v>
      </c>
    </row>
    <row r="1624">
      <c r="A1624" s="434">
        <f>IFERROR(__xludf.DUMMYFUNCTION("""COMPUTED_VALUE"""),44261.99861111111)</f>
        <v>44261.99861</v>
      </c>
      <c r="B1624" s="433">
        <f>IFERROR(__xludf.DUMMYFUNCTION("""COMPUTED_VALUE"""),48883.48)</f>
        <v>48883.48</v>
      </c>
      <c r="C1624" s="434">
        <f>IFERROR(__xludf.DUMMYFUNCTION("""COMPUTED_VALUE"""),43846.99861111111)</f>
        <v>43846.99861</v>
      </c>
      <c r="D1624" s="433">
        <f>IFERROR(__xludf.DUMMYFUNCTION("""COMPUTED_VALUE"""),166.4326)</f>
        <v>166.4326</v>
      </c>
    </row>
    <row r="1625">
      <c r="A1625" s="434">
        <f>IFERROR(__xludf.DUMMYFUNCTION("""COMPUTED_VALUE"""),44262.99861111111)</f>
        <v>44262.99861</v>
      </c>
      <c r="B1625" s="433">
        <f>IFERROR(__xludf.DUMMYFUNCTION("""COMPUTED_VALUE"""),50958.3)</f>
        <v>50958.3</v>
      </c>
      <c r="C1625" s="434">
        <f>IFERROR(__xludf.DUMMYFUNCTION("""COMPUTED_VALUE"""),43847.99861111111)</f>
        <v>43847.99861</v>
      </c>
      <c r="D1625" s="433">
        <f>IFERROR(__xludf.DUMMYFUNCTION("""COMPUTED_VALUE"""),164.5384)</f>
        <v>164.5384</v>
      </c>
    </row>
    <row r="1626">
      <c r="A1626" s="434">
        <f>IFERROR(__xludf.DUMMYFUNCTION("""COMPUTED_VALUE"""),44263.99861111111)</f>
        <v>44263.99861</v>
      </c>
      <c r="B1626" s="433">
        <f>IFERROR(__xludf.DUMMYFUNCTION("""COMPUTED_VALUE"""),52317.55)</f>
        <v>52317.55</v>
      </c>
      <c r="C1626" s="434">
        <f>IFERROR(__xludf.DUMMYFUNCTION("""COMPUTED_VALUE"""),43848.99861111111)</f>
        <v>43848.99861</v>
      </c>
      <c r="D1626" s="433">
        <f>IFERROR(__xludf.DUMMYFUNCTION("""COMPUTED_VALUE"""),170.1365)</f>
        <v>170.1365</v>
      </c>
    </row>
    <row r="1627">
      <c r="A1627" s="434">
        <f>IFERROR(__xludf.DUMMYFUNCTION("""COMPUTED_VALUE"""),44264.99861111111)</f>
        <v>44264.99861</v>
      </c>
      <c r="B1627" s="433">
        <f>IFERROR(__xludf.DUMMYFUNCTION("""COMPUTED_VALUE"""),54898.67)</f>
        <v>54898.67</v>
      </c>
      <c r="C1627" s="434">
        <f>IFERROR(__xludf.DUMMYFUNCTION("""COMPUTED_VALUE"""),43849.99861111111)</f>
        <v>43849.99861</v>
      </c>
      <c r="D1627" s="433">
        <f>IFERROR(__xludf.DUMMYFUNCTION("""COMPUTED_VALUE"""),175.3448)</f>
        <v>175.3448</v>
      </c>
    </row>
    <row r="1628">
      <c r="A1628" s="434">
        <f>IFERROR(__xludf.DUMMYFUNCTION("""COMPUTED_VALUE"""),44265.99861111111)</f>
        <v>44265.99861</v>
      </c>
      <c r="B1628" s="433">
        <f>IFERROR(__xludf.DUMMYFUNCTION("""COMPUTED_VALUE"""),55901.2)</f>
        <v>55901.2</v>
      </c>
      <c r="C1628" s="434">
        <f>IFERROR(__xludf.DUMMYFUNCTION("""COMPUTED_VALUE"""),43850.99861111111)</f>
        <v>43850.99861</v>
      </c>
      <c r="D1628" s="433">
        <f>IFERROR(__xludf.DUMMYFUNCTION("""COMPUTED_VALUE"""),167.0214)</f>
        <v>167.0214</v>
      </c>
    </row>
    <row r="1629">
      <c r="A1629" s="434">
        <f>IFERROR(__xludf.DUMMYFUNCTION("""COMPUTED_VALUE"""),44266.99861111111)</f>
        <v>44266.99861</v>
      </c>
      <c r="B1629" s="433">
        <f>IFERROR(__xludf.DUMMYFUNCTION("""COMPUTED_VALUE"""),57794.57)</f>
        <v>57794.57</v>
      </c>
      <c r="C1629" s="434">
        <f>IFERROR(__xludf.DUMMYFUNCTION("""COMPUTED_VALUE"""),43851.99861111111)</f>
        <v>43851.99861</v>
      </c>
      <c r="D1629" s="433">
        <f>IFERROR(__xludf.DUMMYFUNCTION("""COMPUTED_VALUE"""),166.9375)</f>
        <v>166.9375</v>
      </c>
    </row>
    <row r="1630">
      <c r="A1630" s="434">
        <f>IFERROR(__xludf.DUMMYFUNCTION("""COMPUTED_VALUE"""),44267.99861111111)</f>
        <v>44267.99861</v>
      </c>
      <c r="B1630" s="433">
        <f>IFERROR(__xludf.DUMMYFUNCTION("""COMPUTED_VALUE"""),57229.31)</f>
        <v>57229.31</v>
      </c>
      <c r="C1630" s="434">
        <f>IFERROR(__xludf.DUMMYFUNCTION("""COMPUTED_VALUE"""),43852.99861111111)</f>
        <v>43852.99861</v>
      </c>
      <c r="D1630" s="433">
        <f>IFERROR(__xludf.DUMMYFUNCTION("""COMPUTED_VALUE"""),169.8682)</f>
        <v>169.8682</v>
      </c>
    </row>
    <row r="1631">
      <c r="A1631" s="434">
        <f>IFERROR(__xludf.DUMMYFUNCTION("""COMPUTED_VALUE"""),44268.99861111111)</f>
        <v>44268.99861</v>
      </c>
      <c r="B1631" s="433">
        <f>IFERROR(__xludf.DUMMYFUNCTION("""COMPUTED_VALUE"""),61190.87)</f>
        <v>61190.87</v>
      </c>
      <c r="C1631" s="434">
        <f>IFERROR(__xludf.DUMMYFUNCTION("""COMPUTED_VALUE"""),43853.99861111111)</f>
        <v>43853.99861</v>
      </c>
      <c r="D1631" s="433">
        <f>IFERROR(__xludf.DUMMYFUNCTION("""COMPUTED_VALUE"""),168.2269)</f>
        <v>168.2269</v>
      </c>
    </row>
    <row r="1632">
      <c r="A1632" s="434">
        <f>IFERROR(__xludf.DUMMYFUNCTION("""COMPUTED_VALUE"""),44269.99861111111)</f>
        <v>44269.99861</v>
      </c>
      <c r="B1632" s="433">
        <f>IFERROR(__xludf.DUMMYFUNCTION("""COMPUTED_VALUE"""),59014.37)</f>
        <v>59014.37</v>
      </c>
      <c r="C1632" s="434">
        <f>IFERROR(__xludf.DUMMYFUNCTION("""COMPUTED_VALUE"""),43854.99861111111)</f>
        <v>43854.99861</v>
      </c>
      <c r="D1632" s="433">
        <f>IFERROR(__xludf.DUMMYFUNCTION("""COMPUTED_VALUE"""),162.9502)</f>
        <v>162.9502</v>
      </c>
    </row>
    <row r="1633">
      <c r="A1633" s="434">
        <f>IFERROR(__xludf.DUMMYFUNCTION("""COMPUTED_VALUE"""),44270.99861111111)</f>
        <v>44270.99861</v>
      </c>
      <c r="B1633" s="433">
        <f>IFERROR(__xludf.DUMMYFUNCTION("""COMPUTED_VALUE"""),55608.05)</f>
        <v>55608.05</v>
      </c>
      <c r="C1633" s="434">
        <f>IFERROR(__xludf.DUMMYFUNCTION("""COMPUTED_VALUE"""),43855.99861111111)</f>
        <v>43855.99861</v>
      </c>
      <c r="D1633" s="433">
        <f>IFERROR(__xludf.DUMMYFUNCTION("""COMPUTED_VALUE"""),162.8833)</f>
        <v>162.8833</v>
      </c>
    </row>
    <row r="1634">
      <c r="A1634" s="434">
        <f>IFERROR(__xludf.DUMMYFUNCTION("""COMPUTED_VALUE"""),44271.99861111111)</f>
        <v>44271.99861</v>
      </c>
      <c r="B1634" s="433">
        <f>IFERROR(__xludf.DUMMYFUNCTION("""COMPUTED_VALUE"""),56904.06)</f>
        <v>56904.06</v>
      </c>
      <c r="C1634" s="434">
        <f>IFERROR(__xludf.DUMMYFUNCTION("""COMPUTED_VALUE"""),43856.99861111111)</f>
        <v>43856.99861</v>
      </c>
      <c r="D1634" s="433">
        <f>IFERROR(__xludf.DUMMYFUNCTION("""COMPUTED_VALUE"""),160.9493)</f>
        <v>160.9493</v>
      </c>
    </row>
    <row r="1635">
      <c r="A1635" s="434">
        <f>IFERROR(__xludf.DUMMYFUNCTION("""COMPUTED_VALUE"""),44272.99861111111)</f>
        <v>44272.99861</v>
      </c>
      <c r="B1635" s="433">
        <f>IFERROR(__xludf.DUMMYFUNCTION("""COMPUTED_VALUE"""),58898.21)</f>
        <v>58898.21</v>
      </c>
      <c r="C1635" s="434">
        <f>IFERROR(__xludf.DUMMYFUNCTION("""COMPUTED_VALUE"""),43857.99861111111)</f>
        <v>43857.99861</v>
      </c>
      <c r="D1635" s="433">
        <f>IFERROR(__xludf.DUMMYFUNCTION("""COMPUTED_VALUE"""),168.1444)</f>
        <v>168.1444</v>
      </c>
    </row>
    <row r="1636">
      <c r="A1636" s="434">
        <f>IFERROR(__xludf.DUMMYFUNCTION("""COMPUTED_VALUE"""),44273.99861111111)</f>
        <v>44273.99861</v>
      </c>
      <c r="B1636" s="433">
        <f>IFERROR(__xludf.DUMMYFUNCTION("""COMPUTED_VALUE"""),57647.56)</f>
        <v>57647.56</v>
      </c>
      <c r="C1636" s="434">
        <f>IFERROR(__xludf.DUMMYFUNCTION("""COMPUTED_VALUE"""),43858.99861111111)</f>
        <v>43858.99861</v>
      </c>
      <c r="D1636" s="433">
        <f>IFERROR(__xludf.DUMMYFUNCTION("""COMPUTED_VALUE"""),170.9398)</f>
        <v>170.9398</v>
      </c>
    </row>
    <row r="1637">
      <c r="A1637" s="434">
        <f>IFERROR(__xludf.DUMMYFUNCTION("""COMPUTED_VALUE"""),44274.99861111111)</f>
        <v>44274.99861</v>
      </c>
      <c r="B1637" s="433">
        <f>IFERROR(__xludf.DUMMYFUNCTION("""COMPUTED_VALUE"""),58083.82)</f>
        <v>58083.82</v>
      </c>
      <c r="C1637" s="434">
        <f>IFERROR(__xludf.DUMMYFUNCTION("""COMPUTED_VALUE"""),43859.99861111111)</f>
        <v>43859.99861</v>
      </c>
      <c r="D1637" s="433">
        <f>IFERROR(__xludf.DUMMYFUNCTION("""COMPUTED_VALUE"""),176.5386)</f>
        <v>176.5386</v>
      </c>
    </row>
    <row r="1638">
      <c r="A1638" s="434">
        <f>IFERROR(__xludf.DUMMYFUNCTION("""COMPUTED_VALUE"""),44275.99861111111)</f>
        <v>44275.99861</v>
      </c>
      <c r="B1638" s="433">
        <f>IFERROR(__xludf.DUMMYFUNCTION("""COMPUTED_VALUE"""),58081.93)</f>
        <v>58081.93</v>
      </c>
      <c r="C1638" s="434">
        <f>IFERROR(__xludf.DUMMYFUNCTION("""COMPUTED_VALUE"""),43860.99861111111)</f>
        <v>43860.99861</v>
      </c>
      <c r="D1638" s="433">
        <f>IFERROR(__xludf.DUMMYFUNCTION("""COMPUTED_VALUE"""),174.5107)</f>
        <v>174.5107</v>
      </c>
    </row>
    <row r="1639">
      <c r="A1639" s="434">
        <f>IFERROR(__xludf.DUMMYFUNCTION("""COMPUTED_VALUE"""),44276.99861111111)</f>
        <v>44276.99861</v>
      </c>
      <c r="B1639" s="433">
        <f>IFERROR(__xludf.DUMMYFUNCTION("""COMPUTED_VALUE"""),57357.46)</f>
        <v>57357.46</v>
      </c>
      <c r="C1639" s="434">
        <f>IFERROR(__xludf.DUMMYFUNCTION("""COMPUTED_VALUE"""),43861.99861111111)</f>
        <v>43861.99861</v>
      </c>
      <c r="D1639" s="433">
        <f>IFERROR(__xludf.DUMMYFUNCTION("""COMPUTED_VALUE"""),184.7638)</f>
        <v>184.7638</v>
      </c>
    </row>
    <row r="1640">
      <c r="A1640" s="434">
        <f>IFERROR(__xludf.DUMMYFUNCTION("""COMPUTED_VALUE"""),44277.99861111111)</f>
        <v>44277.99861</v>
      </c>
      <c r="B1640" s="433">
        <f>IFERROR(__xludf.DUMMYFUNCTION("""COMPUTED_VALUE"""),54137.09)</f>
        <v>54137.09</v>
      </c>
      <c r="C1640" s="434">
        <f>IFERROR(__xludf.DUMMYFUNCTION("""COMPUTED_VALUE"""),43862.99861111111)</f>
        <v>43862.99861</v>
      </c>
      <c r="D1640" s="433">
        <f>IFERROR(__xludf.DUMMYFUNCTION("""COMPUTED_VALUE"""),179.7452)</f>
        <v>179.7452</v>
      </c>
    </row>
    <row r="1641">
      <c r="A1641" s="434">
        <f>IFERROR(__xludf.DUMMYFUNCTION("""COMPUTED_VALUE"""),44278.99861111111)</f>
        <v>44278.99861</v>
      </c>
      <c r="B1641" s="433">
        <f>IFERROR(__xludf.DUMMYFUNCTION("""COMPUTED_VALUE"""),54407.55)</f>
        <v>54407.55</v>
      </c>
      <c r="C1641" s="434">
        <f>IFERROR(__xludf.DUMMYFUNCTION("""COMPUTED_VALUE"""),43863.99861111111)</f>
        <v>43863.99861</v>
      </c>
      <c r="D1641" s="433">
        <f>IFERROR(__xludf.DUMMYFUNCTION("""COMPUTED_VALUE"""),183.5536)</f>
        <v>183.5536</v>
      </c>
    </row>
    <row r="1642">
      <c r="A1642" s="434">
        <f>IFERROR(__xludf.DUMMYFUNCTION("""COMPUTED_VALUE"""),44279.99861111111)</f>
        <v>44279.99861</v>
      </c>
      <c r="B1642" s="433">
        <f>IFERROR(__xludf.DUMMYFUNCTION("""COMPUTED_VALUE"""),52335.62)</f>
        <v>52335.62</v>
      </c>
      <c r="C1642" s="434">
        <f>IFERROR(__xludf.DUMMYFUNCTION("""COMPUTED_VALUE"""),43864.99861111111)</f>
        <v>43864.99861</v>
      </c>
      <c r="D1642" s="433">
        <f>IFERROR(__xludf.DUMMYFUNCTION("""COMPUTED_VALUE"""),188.2573)</f>
        <v>188.2573</v>
      </c>
    </row>
    <row r="1643">
      <c r="A1643" s="434">
        <f>IFERROR(__xludf.DUMMYFUNCTION("""COMPUTED_VALUE"""),44280.99861111111)</f>
        <v>44280.99861</v>
      </c>
      <c r="B1643" s="433">
        <f>IFERROR(__xludf.DUMMYFUNCTION("""COMPUTED_VALUE"""),51342.9)</f>
        <v>51342.9</v>
      </c>
      <c r="C1643" s="434">
        <f>IFERROR(__xludf.DUMMYFUNCTION("""COMPUTED_VALUE"""),43865.99861111111)</f>
        <v>43865.99861</v>
      </c>
      <c r="D1643" s="433">
        <f>IFERROR(__xludf.DUMMYFUNCTION("""COMPUTED_VALUE"""),190.0661)</f>
        <v>190.0661</v>
      </c>
    </row>
    <row r="1644">
      <c r="A1644" s="434">
        <f>IFERROR(__xludf.DUMMYFUNCTION("""COMPUTED_VALUE"""),44281.99861111111)</f>
        <v>44281.99861</v>
      </c>
      <c r="B1644" s="433">
        <f>IFERROR(__xludf.DUMMYFUNCTION("""COMPUTED_VALUE"""),55041.62)</f>
        <v>55041.62</v>
      </c>
      <c r="C1644" s="434">
        <f>IFERROR(__xludf.DUMMYFUNCTION("""COMPUTED_VALUE"""),43866.99861111111)</f>
        <v>43866.99861</v>
      </c>
      <c r="D1644" s="433">
        <f>IFERROR(__xludf.DUMMYFUNCTION("""COMPUTED_VALUE"""),189.2983)</f>
        <v>189.2983</v>
      </c>
    </row>
    <row r="1645">
      <c r="A1645" s="434">
        <f>IFERROR(__xludf.DUMMYFUNCTION("""COMPUTED_VALUE"""),44282.99861111111)</f>
        <v>44282.99861</v>
      </c>
      <c r="B1645" s="433">
        <f>IFERROR(__xludf.DUMMYFUNCTION("""COMPUTED_VALUE"""),55870.88)</f>
        <v>55870.88</v>
      </c>
      <c r="C1645" s="434">
        <f>IFERROR(__xludf.DUMMYFUNCTION("""COMPUTED_VALUE"""),43867.99861111111)</f>
        <v>43867.99861</v>
      </c>
      <c r="D1645" s="433">
        <f>IFERROR(__xludf.DUMMYFUNCTION("""COMPUTED_VALUE"""),204.2902)</f>
        <v>204.2902</v>
      </c>
    </row>
    <row r="1646">
      <c r="A1646" s="434">
        <f>IFERROR(__xludf.DUMMYFUNCTION("""COMPUTED_VALUE"""),44283.99861111111)</f>
        <v>44283.99861</v>
      </c>
      <c r="B1646" s="433">
        <f>IFERROR(__xludf.DUMMYFUNCTION("""COMPUTED_VALUE"""),55774.09)</f>
        <v>55774.09</v>
      </c>
      <c r="C1646" s="434">
        <f>IFERROR(__xludf.DUMMYFUNCTION("""COMPUTED_VALUE"""),43868.99861111111)</f>
        <v>43868.99861</v>
      </c>
      <c r="D1646" s="433">
        <f>IFERROR(__xludf.DUMMYFUNCTION("""COMPUTED_VALUE"""),212.7439)</f>
        <v>212.7439</v>
      </c>
    </row>
    <row r="1647">
      <c r="A1647" s="434">
        <f>IFERROR(__xludf.DUMMYFUNCTION("""COMPUTED_VALUE"""),44284.99861111111)</f>
        <v>44284.99861</v>
      </c>
      <c r="B1647" s="433">
        <f>IFERROR(__xludf.DUMMYFUNCTION("""COMPUTED_VALUE"""),57611.63)</f>
        <v>57611.63</v>
      </c>
      <c r="C1647" s="434">
        <f>IFERROR(__xludf.DUMMYFUNCTION("""COMPUTED_VALUE"""),43869.99861111111)</f>
        <v>43869.99861</v>
      </c>
      <c r="D1647" s="433">
        <f>IFERROR(__xludf.DUMMYFUNCTION("""COMPUTED_VALUE"""),222.297)</f>
        <v>222.297</v>
      </c>
    </row>
    <row r="1648">
      <c r="A1648" s="434">
        <f>IFERROR(__xludf.DUMMYFUNCTION("""COMPUTED_VALUE"""),44285.99861111111)</f>
        <v>44285.99861</v>
      </c>
      <c r="B1648" s="433">
        <f>IFERROR(__xludf.DUMMYFUNCTION("""COMPUTED_VALUE"""),58786.91)</f>
        <v>58786.91</v>
      </c>
      <c r="C1648" s="434">
        <f>IFERROR(__xludf.DUMMYFUNCTION("""COMPUTED_VALUE"""),43870.99861111111)</f>
        <v>43870.99861</v>
      </c>
      <c r="D1648" s="433">
        <f>IFERROR(__xludf.DUMMYFUNCTION("""COMPUTED_VALUE"""),223.1436)</f>
        <v>223.1436</v>
      </c>
    </row>
    <row r="1649">
      <c r="A1649" s="434">
        <f>IFERROR(__xludf.DUMMYFUNCTION("""COMPUTED_VALUE"""),44286.99861111111)</f>
        <v>44286.99861</v>
      </c>
      <c r="B1649" s="433">
        <f>IFERROR(__xludf.DUMMYFUNCTION("""COMPUTED_VALUE"""),58794.94)</f>
        <v>58794.94</v>
      </c>
      <c r="C1649" s="434">
        <f>IFERROR(__xludf.DUMMYFUNCTION("""COMPUTED_VALUE"""),43871.99861111111)</f>
        <v>43871.99861</v>
      </c>
      <c r="D1649" s="433">
        <f>IFERROR(__xludf.DUMMYFUNCTION("""COMPUTED_VALUE"""),228.8342)</f>
        <v>228.8342</v>
      </c>
    </row>
    <row r="1650">
      <c r="A1650" s="434">
        <f>IFERROR(__xludf.DUMMYFUNCTION("""COMPUTED_VALUE"""),44287.99861111111)</f>
        <v>44287.99861</v>
      </c>
      <c r="B1650" s="433">
        <f>IFERROR(__xludf.DUMMYFUNCTION("""COMPUTED_VALUE"""),58721.72)</f>
        <v>58721.72</v>
      </c>
      <c r="C1650" s="434">
        <f>IFERROR(__xludf.DUMMYFUNCTION("""COMPUTED_VALUE"""),43872.99861111111)</f>
        <v>43872.99861</v>
      </c>
      <c r="D1650" s="433">
        <f>IFERROR(__xludf.DUMMYFUNCTION("""COMPUTED_VALUE"""),223.3891)</f>
        <v>223.3891</v>
      </c>
    </row>
    <row r="1651">
      <c r="A1651" s="434">
        <f>IFERROR(__xludf.DUMMYFUNCTION("""COMPUTED_VALUE"""),44288.99861111111)</f>
        <v>44288.99861</v>
      </c>
      <c r="B1651" s="433">
        <f>IFERROR(__xludf.DUMMYFUNCTION("""COMPUTED_VALUE"""),58987.56)</f>
        <v>58987.56</v>
      </c>
      <c r="C1651" s="434">
        <f>IFERROR(__xludf.DUMMYFUNCTION("""COMPUTED_VALUE"""),43873.99861111111)</f>
        <v>43873.99861</v>
      </c>
      <c r="D1651" s="433">
        <f>IFERROR(__xludf.DUMMYFUNCTION("""COMPUTED_VALUE"""),236.131)</f>
        <v>236.131</v>
      </c>
    </row>
    <row r="1652">
      <c r="A1652" s="434">
        <f>IFERROR(__xludf.DUMMYFUNCTION("""COMPUTED_VALUE"""),44289.99861111111)</f>
        <v>44289.99861</v>
      </c>
      <c r="B1652" s="433">
        <f>IFERROR(__xludf.DUMMYFUNCTION("""COMPUTED_VALUE"""),57072.03)</f>
        <v>57072.03</v>
      </c>
      <c r="C1652" s="434">
        <f>IFERROR(__xludf.DUMMYFUNCTION("""COMPUTED_VALUE"""),43874.99861111111)</f>
        <v>43874.99861</v>
      </c>
      <c r="D1652" s="433">
        <f>IFERROR(__xludf.DUMMYFUNCTION("""COMPUTED_VALUE"""),265.1265)</f>
        <v>265.1265</v>
      </c>
    </row>
    <row r="1653">
      <c r="A1653" s="434">
        <f>IFERROR(__xludf.DUMMYFUNCTION("""COMPUTED_VALUE"""),44290.99861111111)</f>
        <v>44290.99861</v>
      </c>
      <c r="B1653" s="433">
        <f>IFERROR(__xludf.DUMMYFUNCTION("""COMPUTED_VALUE"""),58218.89)</f>
        <v>58218.89</v>
      </c>
      <c r="C1653" s="434">
        <f>IFERROR(__xludf.DUMMYFUNCTION("""COMPUTED_VALUE"""),43875.99861111111)</f>
        <v>43875.99861</v>
      </c>
      <c r="D1653" s="433">
        <f>IFERROR(__xludf.DUMMYFUNCTION("""COMPUTED_VALUE"""),268.1631)</f>
        <v>268.1631</v>
      </c>
    </row>
    <row r="1654">
      <c r="A1654" s="434">
        <f>IFERROR(__xludf.DUMMYFUNCTION("""COMPUTED_VALUE"""),44291.99861111111)</f>
        <v>44291.99861</v>
      </c>
      <c r="B1654" s="433">
        <f>IFERROR(__xludf.DUMMYFUNCTION("""COMPUTED_VALUE"""),59075.45)</f>
        <v>59075.45</v>
      </c>
      <c r="C1654" s="434">
        <f>IFERROR(__xludf.DUMMYFUNCTION("""COMPUTED_VALUE"""),43876.99861111111)</f>
        <v>43876.99861</v>
      </c>
      <c r="D1654" s="433">
        <f>IFERROR(__xludf.DUMMYFUNCTION("""COMPUTED_VALUE"""),285.425)</f>
        <v>285.425</v>
      </c>
    </row>
    <row r="1655">
      <c r="A1655" s="434">
        <f>IFERROR(__xludf.DUMMYFUNCTION("""COMPUTED_VALUE"""),44292.99861111111)</f>
        <v>44292.99861</v>
      </c>
      <c r="B1655" s="433">
        <f>IFERROR(__xludf.DUMMYFUNCTION("""COMPUTED_VALUE"""),58005.9)</f>
        <v>58005.9</v>
      </c>
      <c r="C1655" s="434">
        <f>IFERROR(__xludf.DUMMYFUNCTION("""COMPUTED_VALUE"""),43877.99861111111)</f>
        <v>43877.99861</v>
      </c>
      <c r="D1655" s="433">
        <f>IFERROR(__xludf.DUMMYFUNCTION("""COMPUTED_VALUE"""),264.5128)</f>
        <v>264.5128</v>
      </c>
    </row>
    <row r="1656">
      <c r="A1656" s="434">
        <f>IFERROR(__xludf.DUMMYFUNCTION("""COMPUTED_VALUE"""),44293.99861111111)</f>
        <v>44293.99861</v>
      </c>
      <c r="B1656" s="433">
        <f>IFERROR(__xludf.DUMMYFUNCTION("""COMPUTED_VALUE"""),55914.07)</f>
        <v>55914.07</v>
      </c>
      <c r="C1656" s="434">
        <f>IFERROR(__xludf.DUMMYFUNCTION("""COMPUTED_VALUE"""),43878.99861111111)</f>
        <v>43878.99861</v>
      </c>
      <c r="D1656" s="433">
        <f>IFERROR(__xludf.DUMMYFUNCTION("""COMPUTED_VALUE"""),259.4702)</f>
        <v>259.4702</v>
      </c>
    </row>
    <row r="1657">
      <c r="A1657" s="434">
        <f>IFERROR(__xludf.DUMMYFUNCTION("""COMPUTED_VALUE"""),44294.99861111111)</f>
        <v>44294.99861</v>
      </c>
      <c r="B1657" s="433">
        <f>IFERROR(__xludf.DUMMYFUNCTION("""COMPUTED_VALUE"""),58063.47)</f>
        <v>58063.47</v>
      </c>
      <c r="C1657" s="434">
        <f>IFERROR(__xludf.DUMMYFUNCTION("""COMPUTED_VALUE"""),43879.99861111111)</f>
        <v>43879.99861</v>
      </c>
      <c r="D1657" s="433">
        <f>IFERROR(__xludf.DUMMYFUNCTION("""COMPUTED_VALUE"""),265.9747)</f>
        <v>265.9747</v>
      </c>
    </row>
    <row r="1658">
      <c r="A1658" s="434">
        <f>IFERROR(__xludf.DUMMYFUNCTION("""COMPUTED_VALUE"""),44295.99861111111)</f>
        <v>44295.99861</v>
      </c>
      <c r="B1658" s="433">
        <f>IFERROR(__xludf.DUMMYFUNCTION("""COMPUTED_VALUE"""),58095.14)</f>
        <v>58095.14</v>
      </c>
      <c r="C1658" s="434">
        <f>IFERROR(__xludf.DUMMYFUNCTION("""COMPUTED_VALUE"""),43880.99861111111)</f>
        <v>43880.99861</v>
      </c>
      <c r="D1658" s="433">
        <f>IFERROR(__xludf.DUMMYFUNCTION("""COMPUTED_VALUE"""),281.4367)</f>
        <v>281.4367</v>
      </c>
    </row>
    <row r="1659">
      <c r="A1659" s="434">
        <f>IFERROR(__xludf.DUMMYFUNCTION("""COMPUTED_VALUE"""),44296.99861111111)</f>
        <v>44296.99861</v>
      </c>
      <c r="B1659" s="433">
        <f>IFERROR(__xludf.DUMMYFUNCTION("""COMPUTED_VALUE"""),59778.52)</f>
        <v>59778.52</v>
      </c>
      <c r="C1659" s="434">
        <f>IFERROR(__xludf.DUMMYFUNCTION("""COMPUTED_VALUE"""),43881.99861111111)</f>
        <v>43881.99861</v>
      </c>
      <c r="D1659" s="433">
        <f>IFERROR(__xludf.DUMMYFUNCTION("""COMPUTED_VALUE"""),260.4804)</f>
        <v>260.4804</v>
      </c>
    </row>
    <row r="1660">
      <c r="A1660" s="434">
        <f>IFERROR(__xludf.DUMMYFUNCTION("""COMPUTED_VALUE"""),44297.99861111111)</f>
        <v>44297.99861</v>
      </c>
      <c r="B1660" s="433">
        <f>IFERROR(__xludf.DUMMYFUNCTION("""COMPUTED_VALUE"""),59969.24)</f>
        <v>59969.24</v>
      </c>
      <c r="C1660" s="434">
        <f>IFERROR(__xludf.DUMMYFUNCTION("""COMPUTED_VALUE"""),43882.99861111111)</f>
        <v>43882.99861</v>
      </c>
      <c r="D1660" s="433">
        <f>IFERROR(__xludf.DUMMYFUNCTION("""COMPUTED_VALUE"""),257.705)</f>
        <v>257.705</v>
      </c>
    </row>
    <row r="1661">
      <c r="A1661" s="434">
        <f>IFERROR(__xludf.DUMMYFUNCTION("""COMPUTED_VALUE"""),44298.99861111111)</f>
        <v>44298.99861</v>
      </c>
      <c r="B1661" s="433">
        <f>IFERROR(__xludf.DUMMYFUNCTION("""COMPUTED_VALUE"""),59855.68)</f>
        <v>59855.68</v>
      </c>
      <c r="C1661" s="434">
        <f>IFERROR(__xludf.DUMMYFUNCTION("""COMPUTED_VALUE"""),43883.99861111111)</f>
        <v>43883.99861</v>
      </c>
      <c r="D1661" s="433">
        <f>IFERROR(__xludf.DUMMYFUNCTION("""COMPUTED_VALUE"""),265.1629)</f>
        <v>265.1629</v>
      </c>
    </row>
    <row r="1662">
      <c r="A1662" s="434">
        <f>IFERROR(__xludf.DUMMYFUNCTION("""COMPUTED_VALUE"""),44299.99861111111)</f>
        <v>44299.99861</v>
      </c>
      <c r="B1662" s="433">
        <f>IFERROR(__xludf.DUMMYFUNCTION("""COMPUTED_VALUE"""),63539.79)</f>
        <v>63539.79</v>
      </c>
      <c r="C1662" s="434">
        <f>IFERROR(__xludf.DUMMYFUNCTION("""COMPUTED_VALUE"""),43884.99861111111)</f>
        <v>43884.99861</v>
      </c>
      <c r="D1662" s="433">
        <f>IFERROR(__xludf.DUMMYFUNCTION("""COMPUTED_VALUE"""),262.2593)</f>
        <v>262.2593</v>
      </c>
    </row>
    <row r="1663">
      <c r="A1663" s="434">
        <f>IFERROR(__xludf.DUMMYFUNCTION("""COMPUTED_VALUE"""),44300.99861111111)</f>
        <v>44300.99861</v>
      </c>
      <c r="B1663" s="433">
        <f>IFERROR(__xludf.DUMMYFUNCTION("""COMPUTED_VALUE"""),62990.01)</f>
        <v>62990.01</v>
      </c>
      <c r="C1663" s="434">
        <f>IFERROR(__xludf.DUMMYFUNCTION("""COMPUTED_VALUE"""),43885.99861111111)</f>
        <v>43885.99861</v>
      </c>
      <c r="D1663" s="433">
        <f>IFERROR(__xludf.DUMMYFUNCTION("""COMPUTED_VALUE"""),273.594)</f>
        <v>273.594</v>
      </c>
    </row>
    <row r="1664">
      <c r="A1664" s="434">
        <f>IFERROR(__xludf.DUMMYFUNCTION("""COMPUTED_VALUE"""),44301.99861111111)</f>
        <v>44301.99861</v>
      </c>
      <c r="B1664" s="433">
        <f>IFERROR(__xludf.DUMMYFUNCTION("""COMPUTED_VALUE"""),63263.76)</f>
        <v>63263.76</v>
      </c>
      <c r="C1664" s="434">
        <f>IFERROR(__xludf.DUMMYFUNCTION("""COMPUTED_VALUE"""),43886.99861111111)</f>
        <v>43886.99861</v>
      </c>
      <c r="D1664" s="433">
        <f>IFERROR(__xludf.DUMMYFUNCTION("""COMPUTED_VALUE"""),265.223)</f>
        <v>265.223</v>
      </c>
    </row>
    <row r="1665">
      <c r="A1665" s="434">
        <f>IFERROR(__xludf.DUMMYFUNCTION("""COMPUTED_VALUE"""),44302.99861111111)</f>
        <v>44302.99861</v>
      </c>
      <c r="B1665" s="433">
        <f>IFERROR(__xludf.DUMMYFUNCTION("""COMPUTED_VALUE"""),61404.21)</f>
        <v>61404.21</v>
      </c>
      <c r="C1665" s="434">
        <f>IFERROR(__xludf.DUMMYFUNCTION("""COMPUTED_VALUE"""),43887.99861111111)</f>
        <v>43887.99861</v>
      </c>
      <c r="D1665" s="433">
        <f>IFERROR(__xludf.DUMMYFUNCTION("""COMPUTED_VALUE"""),247.8955)</f>
        <v>247.8955</v>
      </c>
    </row>
    <row r="1666">
      <c r="A1666" s="434">
        <f>IFERROR(__xludf.DUMMYFUNCTION("""COMPUTED_VALUE"""),44303.99861111111)</f>
        <v>44303.99861</v>
      </c>
      <c r="B1666" s="433">
        <f>IFERROR(__xludf.DUMMYFUNCTION("""COMPUTED_VALUE"""),60053.62)</f>
        <v>60053.62</v>
      </c>
      <c r="C1666" s="434">
        <f>IFERROR(__xludf.DUMMYFUNCTION("""COMPUTED_VALUE"""),43888.99861111111)</f>
        <v>43888.99861</v>
      </c>
      <c r="D1666" s="433">
        <f>IFERROR(__xludf.DUMMYFUNCTION("""COMPUTED_VALUE"""),224.9415)</f>
        <v>224.9415</v>
      </c>
    </row>
    <row r="1667">
      <c r="A1667" s="434">
        <f>IFERROR(__xludf.DUMMYFUNCTION("""COMPUTED_VALUE"""),44304.99861111111)</f>
        <v>44304.99861</v>
      </c>
      <c r="B1667" s="433">
        <f>IFERROR(__xludf.DUMMYFUNCTION("""COMPUTED_VALUE"""),56245.47)</f>
        <v>56245.47</v>
      </c>
      <c r="C1667" s="434">
        <f>IFERROR(__xludf.DUMMYFUNCTION("""COMPUTED_VALUE"""),43889.99861111111)</f>
        <v>43889.99861</v>
      </c>
      <c r="D1667" s="433">
        <f>IFERROR(__xludf.DUMMYFUNCTION("""COMPUTED_VALUE"""),227.3722)</f>
        <v>227.3722</v>
      </c>
    </row>
    <row r="1668">
      <c r="A1668" s="434">
        <f>IFERROR(__xludf.DUMMYFUNCTION("""COMPUTED_VALUE"""),44305.99861111111)</f>
        <v>44305.99861</v>
      </c>
      <c r="B1668" s="433">
        <f>IFERROR(__xludf.DUMMYFUNCTION("""COMPUTED_VALUE"""),55685.4)</f>
        <v>55685.4</v>
      </c>
      <c r="C1668" s="434">
        <f>IFERROR(__xludf.DUMMYFUNCTION("""COMPUTED_VALUE"""),43890.99861111111)</f>
        <v>43890.99861</v>
      </c>
      <c r="D1668" s="433">
        <f>IFERROR(__xludf.DUMMYFUNCTION("""COMPUTED_VALUE"""),227.1539)</f>
        <v>227.1539</v>
      </c>
    </row>
    <row r="1669">
      <c r="A1669" s="434">
        <f>IFERROR(__xludf.DUMMYFUNCTION("""COMPUTED_VALUE"""),44306.99861111111)</f>
        <v>44306.99861</v>
      </c>
      <c r="B1669" s="433">
        <f>IFERROR(__xludf.DUMMYFUNCTION("""COMPUTED_VALUE"""),56481.9)</f>
        <v>56481.9</v>
      </c>
      <c r="C1669" s="434">
        <f>IFERROR(__xludf.DUMMYFUNCTION("""COMPUTED_VALUE"""),43891.99861111111)</f>
        <v>43891.99861</v>
      </c>
      <c r="D1669" s="433">
        <f>IFERROR(__xludf.DUMMYFUNCTION("""COMPUTED_VALUE"""),219.9861)</f>
        <v>219.9861</v>
      </c>
    </row>
    <row r="1670">
      <c r="A1670" s="434">
        <f>IFERROR(__xludf.DUMMYFUNCTION("""COMPUTED_VALUE"""),44307.99861111111)</f>
        <v>44307.99861</v>
      </c>
      <c r="B1670" s="433">
        <f>IFERROR(__xludf.DUMMYFUNCTION("""COMPUTED_VALUE"""),53820.08)</f>
        <v>53820.08</v>
      </c>
      <c r="C1670" s="434">
        <f>IFERROR(__xludf.DUMMYFUNCTION("""COMPUTED_VALUE"""),43892.99861111111)</f>
        <v>43892.99861</v>
      </c>
      <c r="D1670" s="433">
        <f>IFERROR(__xludf.DUMMYFUNCTION("""COMPUTED_VALUE"""),217.726)</f>
        <v>217.726</v>
      </c>
    </row>
    <row r="1671">
      <c r="A1671" s="434">
        <f>IFERROR(__xludf.DUMMYFUNCTION("""COMPUTED_VALUE"""),44308.99861111111)</f>
        <v>44308.99861</v>
      </c>
      <c r="B1671" s="433">
        <f>IFERROR(__xludf.DUMMYFUNCTION("""COMPUTED_VALUE"""),51774.63)</f>
        <v>51774.63</v>
      </c>
      <c r="C1671" s="434">
        <f>IFERROR(__xludf.DUMMYFUNCTION("""COMPUTED_VALUE"""),43893.99861111111)</f>
        <v>43893.99861</v>
      </c>
      <c r="D1671" s="433">
        <f>IFERROR(__xludf.DUMMYFUNCTION("""COMPUTED_VALUE"""),230.499)</f>
        <v>230.499</v>
      </c>
    </row>
    <row r="1672">
      <c r="A1672" s="434">
        <f>IFERROR(__xludf.DUMMYFUNCTION("""COMPUTED_VALUE"""),44309.99861111111)</f>
        <v>44309.99861</v>
      </c>
      <c r="B1672" s="433">
        <f>IFERROR(__xludf.DUMMYFUNCTION("""COMPUTED_VALUE"""),51125.26)</f>
        <v>51125.26</v>
      </c>
      <c r="C1672" s="434">
        <f>IFERROR(__xludf.DUMMYFUNCTION("""COMPUTED_VALUE"""),43894.99861111111)</f>
        <v>43894.99861</v>
      </c>
      <c r="D1672" s="433">
        <f>IFERROR(__xludf.DUMMYFUNCTION("""COMPUTED_VALUE"""),223.9662)</f>
        <v>223.9662</v>
      </c>
    </row>
    <row r="1673">
      <c r="A1673" s="434">
        <f>IFERROR(__xludf.DUMMYFUNCTION("""COMPUTED_VALUE"""),44310.99861111111)</f>
        <v>44310.99861</v>
      </c>
      <c r="B1673" s="433">
        <f>IFERROR(__xludf.DUMMYFUNCTION("""COMPUTED_VALUE"""),50102.7)</f>
        <v>50102.7</v>
      </c>
      <c r="C1673" s="434">
        <f>IFERROR(__xludf.DUMMYFUNCTION("""COMPUTED_VALUE"""),43895.99861111111)</f>
        <v>43895.99861</v>
      </c>
      <c r="D1673" s="433">
        <f>IFERROR(__xludf.DUMMYFUNCTION("""COMPUTED_VALUE"""),225.1657)</f>
        <v>225.1657</v>
      </c>
    </row>
    <row r="1674">
      <c r="A1674" s="434">
        <f>IFERROR(__xludf.DUMMYFUNCTION("""COMPUTED_VALUE"""),44311.99861111111)</f>
        <v>44311.99861</v>
      </c>
      <c r="B1674" s="433">
        <f>IFERROR(__xludf.DUMMYFUNCTION("""COMPUTED_VALUE"""),49072.92)</f>
        <v>49072.92</v>
      </c>
      <c r="C1674" s="434">
        <f>IFERROR(__xludf.DUMMYFUNCTION("""COMPUTED_VALUE"""),43896.99861111111)</f>
        <v>43896.99861</v>
      </c>
      <c r="D1674" s="433">
        <f>IFERROR(__xludf.DUMMYFUNCTION("""COMPUTED_VALUE"""),229.5308)</f>
        <v>229.5308</v>
      </c>
    </row>
    <row r="1675">
      <c r="A1675" s="434">
        <f>IFERROR(__xludf.DUMMYFUNCTION("""COMPUTED_VALUE"""),44312.99861111111)</f>
        <v>44312.99861</v>
      </c>
      <c r="B1675" s="433">
        <f>IFERROR(__xludf.DUMMYFUNCTION("""COMPUTED_VALUE"""),54037.3)</f>
        <v>54037.3</v>
      </c>
      <c r="C1675" s="434">
        <f>IFERROR(__xludf.DUMMYFUNCTION("""COMPUTED_VALUE"""),43897.99861111111)</f>
        <v>43897.99861</v>
      </c>
      <c r="D1675" s="433">
        <f>IFERROR(__xludf.DUMMYFUNCTION("""COMPUTED_VALUE"""),244.1871)</f>
        <v>244.1871</v>
      </c>
    </row>
    <row r="1676">
      <c r="A1676" s="434">
        <f>IFERROR(__xludf.DUMMYFUNCTION("""COMPUTED_VALUE"""),44313.99861111111)</f>
        <v>44313.99861</v>
      </c>
      <c r="B1676" s="433">
        <f>IFERROR(__xludf.DUMMYFUNCTION("""COMPUTED_VALUE"""),55051.97)</f>
        <v>55051.97</v>
      </c>
      <c r="C1676" s="434">
        <f>IFERROR(__xludf.DUMMYFUNCTION("""COMPUTED_VALUE"""),43898.99861111111)</f>
        <v>43898.99861</v>
      </c>
      <c r="D1676" s="433">
        <f>IFERROR(__xludf.DUMMYFUNCTION("""COMPUTED_VALUE"""),236.4072)</f>
        <v>236.4072</v>
      </c>
    </row>
    <row r="1677">
      <c r="A1677" s="434">
        <f>IFERROR(__xludf.DUMMYFUNCTION("""COMPUTED_VALUE"""),44314.99861111111)</f>
        <v>44314.99861</v>
      </c>
      <c r="B1677" s="433">
        <f>IFERROR(__xludf.DUMMYFUNCTION("""COMPUTED_VALUE"""),54856.06)</f>
        <v>54856.06</v>
      </c>
      <c r="C1677" s="434">
        <f>IFERROR(__xludf.DUMMYFUNCTION("""COMPUTED_VALUE"""),43899.99861111111)</f>
        <v>43899.99861</v>
      </c>
      <c r="D1677" s="433">
        <f>IFERROR(__xludf.DUMMYFUNCTION("""COMPUTED_VALUE"""),204.7157)</f>
        <v>204.7157</v>
      </c>
    </row>
    <row r="1678">
      <c r="A1678" s="434">
        <f>IFERROR(__xludf.DUMMYFUNCTION("""COMPUTED_VALUE"""),44315.99861111111)</f>
        <v>44315.99861</v>
      </c>
      <c r="B1678" s="433">
        <f>IFERROR(__xludf.DUMMYFUNCTION("""COMPUTED_VALUE"""),53569.29)</f>
        <v>53569.29</v>
      </c>
      <c r="C1678" s="434">
        <f>IFERROR(__xludf.DUMMYFUNCTION("""COMPUTED_VALUE"""),43900.99861111111)</f>
        <v>43900.99861</v>
      </c>
      <c r="D1678" s="433">
        <f>IFERROR(__xludf.DUMMYFUNCTION("""COMPUTED_VALUE"""),203.3635)</f>
        <v>203.3635</v>
      </c>
    </row>
    <row r="1679">
      <c r="A1679" s="434">
        <f>IFERROR(__xludf.DUMMYFUNCTION("""COMPUTED_VALUE"""),44316.99861111111)</f>
        <v>44316.99861</v>
      </c>
      <c r="B1679" s="433">
        <f>IFERROR(__xludf.DUMMYFUNCTION("""COMPUTED_VALUE"""),57766.05)</f>
        <v>57766.05</v>
      </c>
      <c r="C1679" s="434">
        <f>IFERROR(__xludf.DUMMYFUNCTION("""COMPUTED_VALUE"""),43901.99861111111)</f>
        <v>43901.99861</v>
      </c>
      <c r="D1679" s="433">
        <f>IFERROR(__xludf.DUMMYFUNCTION("""COMPUTED_VALUE"""),200.8459)</f>
        <v>200.8459</v>
      </c>
    </row>
    <row r="1680">
      <c r="A1680" s="434">
        <f>IFERROR(__xludf.DUMMYFUNCTION("""COMPUTED_VALUE"""),44317.99861111111)</f>
        <v>44317.99861</v>
      </c>
      <c r="B1680" s="433">
        <f>IFERROR(__xludf.DUMMYFUNCTION("""COMPUTED_VALUE"""),57831.06)</f>
        <v>57831.06</v>
      </c>
      <c r="C1680" s="434">
        <f>IFERROR(__xludf.DUMMYFUNCTION("""COMPUTED_VALUE"""),43902.99861111111)</f>
        <v>43902.99861</v>
      </c>
      <c r="D1680" s="433">
        <f>IFERROR(__xludf.DUMMYFUNCTION("""COMPUTED_VALUE"""),194.9733)</f>
        <v>194.9733</v>
      </c>
    </row>
    <row r="1681">
      <c r="A1681" s="434">
        <f>IFERROR(__xludf.DUMMYFUNCTION("""COMPUTED_VALUE"""),44318.99861111111)</f>
        <v>44318.99861</v>
      </c>
      <c r="B1681" s="433">
        <f>IFERROR(__xludf.DUMMYFUNCTION("""COMPUTED_VALUE"""),56613.92)</f>
        <v>56613.92</v>
      </c>
      <c r="C1681" s="434">
        <f>IFERROR(__xludf.DUMMYFUNCTION("""COMPUTED_VALUE"""),43903.99861111111)</f>
        <v>43903.99861</v>
      </c>
      <c r="D1681" s="433">
        <f>IFERROR(__xludf.DUMMYFUNCTION("""COMPUTED_VALUE"""),114.2019)</f>
        <v>114.2019</v>
      </c>
    </row>
    <row r="1682">
      <c r="A1682" s="434">
        <f>IFERROR(__xludf.DUMMYFUNCTION("""COMPUTED_VALUE"""),44319.99861111111)</f>
        <v>44319.99861</v>
      </c>
      <c r="B1682" s="433">
        <f>IFERROR(__xludf.DUMMYFUNCTION("""COMPUTED_VALUE"""),57167.1)</f>
        <v>57167.1</v>
      </c>
      <c r="C1682" s="434">
        <f>IFERROR(__xludf.DUMMYFUNCTION("""COMPUTED_VALUE"""),43904.99861111111)</f>
        <v>43904.99861</v>
      </c>
      <c r="D1682" s="433">
        <f>IFERROR(__xludf.DUMMYFUNCTION("""COMPUTED_VALUE"""),134.4844)</f>
        <v>134.4844</v>
      </c>
    </row>
    <row r="1683">
      <c r="A1683" s="434">
        <f>IFERROR(__xludf.DUMMYFUNCTION("""COMPUTED_VALUE"""),44320.99861111111)</f>
        <v>44320.99861</v>
      </c>
      <c r="B1683" s="433">
        <f>IFERROR(__xludf.DUMMYFUNCTION("""COMPUTED_VALUE"""),53253.62)</f>
        <v>53253.62</v>
      </c>
      <c r="C1683" s="434">
        <f>IFERROR(__xludf.DUMMYFUNCTION("""COMPUTED_VALUE"""),43905.99861111111)</f>
        <v>43905.99861</v>
      </c>
      <c r="D1683" s="433">
        <f>IFERROR(__xludf.DUMMYFUNCTION("""COMPUTED_VALUE"""),122.9583)</f>
        <v>122.9583</v>
      </c>
    </row>
    <row r="1684">
      <c r="A1684" s="434">
        <f>IFERROR(__xludf.DUMMYFUNCTION("""COMPUTED_VALUE"""),44321.99861111111)</f>
        <v>44321.99861</v>
      </c>
      <c r="B1684" s="433">
        <f>IFERROR(__xludf.DUMMYFUNCTION("""COMPUTED_VALUE"""),57487.13)</f>
        <v>57487.13</v>
      </c>
      <c r="C1684" s="434">
        <f>IFERROR(__xludf.DUMMYFUNCTION("""COMPUTED_VALUE"""),43906.99861111111)</f>
        <v>43906.99861</v>
      </c>
      <c r="D1684" s="433">
        <f>IFERROR(__xludf.DUMMYFUNCTION("""COMPUTED_VALUE"""),124.4579)</f>
        <v>124.4579</v>
      </c>
    </row>
    <row r="1685">
      <c r="A1685" s="434">
        <f>IFERROR(__xludf.DUMMYFUNCTION("""COMPUTED_VALUE"""),44322.99861111111)</f>
        <v>44322.99861</v>
      </c>
      <c r="B1685" s="433">
        <f>IFERROR(__xludf.DUMMYFUNCTION("""COMPUTED_VALUE"""),56418.45)</f>
        <v>56418.45</v>
      </c>
      <c r="C1685" s="434">
        <f>IFERROR(__xludf.DUMMYFUNCTION("""COMPUTED_VALUE"""),43907.99861111111)</f>
        <v>43907.99861</v>
      </c>
      <c r="D1685" s="433">
        <f>IFERROR(__xludf.DUMMYFUNCTION("""COMPUTED_VALUE"""),111.1847)</f>
        <v>111.1847</v>
      </c>
    </row>
    <row r="1686">
      <c r="A1686" s="434">
        <f>IFERROR(__xludf.DUMMYFUNCTION("""COMPUTED_VALUE"""),44323.99861111111)</f>
        <v>44323.99861</v>
      </c>
      <c r="B1686" s="433">
        <f>IFERROR(__xludf.DUMMYFUNCTION("""COMPUTED_VALUE"""),57374.92)</f>
        <v>57374.92</v>
      </c>
      <c r="C1686" s="434">
        <f>IFERROR(__xludf.DUMMYFUNCTION("""COMPUTED_VALUE"""),43908.99861111111)</f>
        <v>43908.99861</v>
      </c>
      <c r="D1686" s="433">
        <f>IFERROR(__xludf.DUMMYFUNCTION("""COMPUTED_VALUE"""),113.5648)</f>
        <v>113.5648</v>
      </c>
    </row>
    <row r="1687">
      <c r="A1687" s="434">
        <f>IFERROR(__xludf.DUMMYFUNCTION("""COMPUTED_VALUE"""),44324.99861111111)</f>
        <v>44324.99861</v>
      </c>
      <c r="B1687" s="433">
        <f>IFERROR(__xludf.DUMMYFUNCTION("""COMPUTED_VALUE"""),58851.15)</f>
        <v>58851.15</v>
      </c>
      <c r="C1687" s="434">
        <f>IFERROR(__xludf.DUMMYFUNCTION("""COMPUTED_VALUE"""),43909.99861111111)</f>
        <v>43909.99861</v>
      </c>
      <c r="D1687" s="433">
        <f>IFERROR(__xludf.DUMMYFUNCTION("""COMPUTED_VALUE"""),115.3787)</f>
        <v>115.3787</v>
      </c>
    </row>
    <row r="1688">
      <c r="A1688" s="434">
        <f>IFERROR(__xludf.DUMMYFUNCTION("""COMPUTED_VALUE"""),44325.99861111111)</f>
        <v>44325.99861</v>
      </c>
      <c r="B1688" s="433">
        <f>IFERROR(__xludf.DUMMYFUNCTION("""COMPUTED_VALUE"""),58249.91)</f>
        <v>58249.91</v>
      </c>
      <c r="C1688" s="434">
        <f>IFERROR(__xludf.DUMMYFUNCTION("""COMPUTED_VALUE"""),43910.99861111111)</f>
        <v>43910.99861</v>
      </c>
      <c r="D1688" s="433">
        <f>IFERROR(__xludf.DUMMYFUNCTION("""COMPUTED_VALUE"""),136.8636)</f>
        <v>136.8636</v>
      </c>
    </row>
    <row r="1689">
      <c r="A1689" s="434">
        <f>IFERROR(__xludf.DUMMYFUNCTION("""COMPUTED_VALUE"""),44326.99861111111)</f>
        <v>44326.99861</v>
      </c>
      <c r="B1689" s="433">
        <f>IFERROR(__xludf.DUMMYFUNCTION("""COMPUTED_VALUE"""),55873.81)</f>
        <v>55873.81</v>
      </c>
      <c r="C1689" s="434">
        <f>IFERROR(__xludf.DUMMYFUNCTION("""COMPUTED_VALUE"""),43911.99861111111)</f>
        <v>43911.99861</v>
      </c>
      <c r="D1689" s="433">
        <f>IFERROR(__xludf.DUMMYFUNCTION("""COMPUTED_VALUE"""),132.5328)</f>
        <v>132.5328</v>
      </c>
    </row>
    <row r="1690">
      <c r="A1690" s="434">
        <f>IFERROR(__xludf.DUMMYFUNCTION("""COMPUTED_VALUE"""),44327.99861111111)</f>
        <v>44327.99861</v>
      </c>
      <c r="B1690" s="433">
        <f>IFERROR(__xludf.DUMMYFUNCTION("""COMPUTED_VALUE"""),56727.85)</f>
        <v>56727.85</v>
      </c>
      <c r="C1690" s="434">
        <f>IFERROR(__xludf.DUMMYFUNCTION("""COMPUTED_VALUE"""),43912.99861111111)</f>
        <v>43912.99861</v>
      </c>
      <c r="D1690" s="433">
        <f>IFERROR(__xludf.DUMMYFUNCTION("""COMPUTED_VALUE"""),132.6698)</f>
        <v>132.6698</v>
      </c>
    </row>
    <row r="1691">
      <c r="A1691" s="434">
        <f>IFERROR(__xludf.DUMMYFUNCTION("""COMPUTED_VALUE"""),44328.99861111111)</f>
        <v>44328.99861</v>
      </c>
      <c r="B1691" s="433">
        <f>IFERROR(__xludf.DUMMYFUNCTION("""COMPUTED_VALUE"""),49317.21)</f>
        <v>49317.21</v>
      </c>
      <c r="C1691" s="434">
        <f>IFERROR(__xludf.DUMMYFUNCTION("""COMPUTED_VALUE"""),43913.99861111111)</f>
        <v>43913.99861</v>
      </c>
      <c r="D1691" s="433">
        <f>IFERROR(__xludf.DUMMYFUNCTION("""COMPUTED_VALUE"""),122.5529)</f>
        <v>122.5529</v>
      </c>
    </row>
    <row r="1692">
      <c r="A1692" s="434">
        <f>IFERROR(__xludf.DUMMYFUNCTION("""COMPUTED_VALUE"""),44329.99861111111)</f>
        <v>44329.99861</v>
      </c>
      <c r="B1692" s="433">
        <f>IFERROR(__xludf.DUMMYFUNCTION("""COMPUTED_VALUE"""),49707.58)</f>
        <v>49707.58</v>
      </c>
      <c r="C1692" s="434">
        <f>IFERROR(__xludf.DUMMYFUNCTION("""COMPUTED_VALUE"""),43914.99861111111)</f>
        <v>43914.99861</v>
      </c>
      <c r="D1692" s="433">
        <f>IFERROR(__xludf.DUMMYFUNCTION("""COMPUTED_VALUE"""),134.9499)</f>
        <v>134.9499</v>
      </c>
    </row>
    <row r="1693">
      <c r="A1693" s="434">
        <f>IFERROR(__xludf.DUMMYFUNCTION("""COMPUTED_VALUE"""),44330.99861111111)</f>
        <v>44330.99861</v>
      </c>
      <c r="B1693" s="433">
        <f>IFERROR(__xludf.DUMMYFUNCTION("""COMPUTED_VALUE"""),49889.86)</f>
        <v>49889.86</v>
      </c>
      <c r="C1693" s="434">
        <f>IFERROR(__xludf.DUMMYFUNCTION("""COMPUTED_VALUE"""),43915.99861111111)</f>
        <v>43915.99861</v>
      </c>
      <c r="D1693" s="433">
        <f>IFERROR(__xludf.DUMMYFUNCTION("""COMPUTED_VALUE"""),138.7367)</f>
        <v>138.7367</v>
      </c>
    </row>
    <row r="1694">
      <c r="A1694" s="434">
        <f>IFERROR(__xludf.DUMMYFUNCTION("""COMPUTED_VALUE"""),44331.99861111111)</f>
        <v>44331.99861</v>
      </c>
      <c r="B1694" s="433">
        <f>IFERROR(__xludf.DUMMYFUNCTION("""COMPUTED_VALUE"""),46725.23)</f>
        <v>46725.23</v>
      </c>
      <c r="C1694" s="434">
        <f>IFERROR(__xludf.DUMMYFUNCTION("""COMPUTED_VALUE"""),43916.99861111111)</f>
        <v>43916.99861</v>
      </c>
      <c r="D1694" s="433">
        <f>IFERROR(__xludf.DUMMYFUNCTION("""COMPUTED_VALUE"""),136.8152)</f>
        <v>136.8152</v>
      </c>
    </row>
    <row r="1695">
      <c r="A1695" s="434">
        <f>IFERROR(__xludf.DUMMYFUNCTION("""COMPUTED_VALUE"""),44332.99861111111)</f>
        <v>44332.99861</v>
      </c>
      <c r="B1695" s="433">
        <f>IFERROR(__xludf.DUMMYFUNCTION("""COMPUTED_VALUE"""),46439.3)</f>
        <v>46439.3</v>
      </c>
      <c r="C1695" s="434">
        <f>IFERROR(__xludf.DUMMYFUNCTION("""COMPUTED_VALUE"""),43917.99861111111)</f>
        <v>43917.99861</v>
      </c>
      <c r="D1695" s="433">
        <f>IFERROR(__xludf.DUMMYFUNCTION("""COMPUTED_VALUE"""),138.7928)</f>
        <v>138.7928</v>
      </c>
    </row>
    <row r="1696">
      <c r="A1696" s="434">
        <f>IFERROR(__xludf.DUMMYFUNCTION("""COMPUTED_VALUE"""),44333.99861111111)</f>
        <v>44333.99861</v>
      </c>
      <c r="B1696" s="433">
        <f>IFERROR(__xludf.DUMMYFUNCTION("""COMPUTED_VALUE"""),43558.86)</f>
        <v>43558.86</v>
      </c>
      <c r="C1696" s="434">
        <f>IFERROR(__xludf.DUMMYFUNCTION("""COMPUTED_VALUE"""),43918.99861111111)</f>
        <v>43918.99861</v>
      </c>
      <c r="D1696" s="433">
        <f>IFERROR(__xludf.DUMMYFUNCTION("""COMPUTED_VALUE"""),133.0497)</f>
        <v>133.0497</v>
      </c>
    </row>
    <row r="1697">
      <c r="A1697" s="434">
        <f>IFERROR(__xludf.DUMMYFUNCTION("""COMPUTED_VALUE"""),44334.99861111111)</f>
        <v>44334.99861</v>
      </c>
      <c r="B1697" s="433">
        <f>IFERROR(__xludf.DUMMYFUNCTION("""COMPUTED_VALUE"""),42901.26)</f>
        <v>42901.26</v>
      </c>
      <c r="C1697" s="434">
        <f>IFERROR(__xludf.DUMMYFUNCTION("""COMPUTED_VALUE"""),43919.99861111111)</f>
        <v>43919.99861</v>
      </c>
      <c r="D1697" s="433">
        <f>IFERROR(__xludf.DUMMYFUNCTION("""COMPUTED_VALUE"""),131.0577)</f>
        <v>131.0577</v>
      </c>
    </row>
    <row r="1698">
      <c r="A1698" s="434">
        <f>IFERROR(__xludf.DUMMYFUNCTION("""COMPUTED_VALUE"""),44335.99861111111)</f>
        <v>44335.99861</v>
      </c>
      <c r="B1698" s="433">
        <f>IFERROR(__xludf.DUMMYFUNCTION("""COMPUTED_VALUE"""),36877.26)</f>
        <v>36877.26</v>
      </c>
      <c r="C1698" s="434">
        <f>IFERROR(__xludf.DUMMYFUNCTION("""COMPUTED_VALUE"""),43920.99861111111)</f>
        <v>43920.99861</v>
      </c>
      <c r="D1698" s="433">
        <f>IFERROR(__xludf.DUMMYFUNCTION("""COMPUTED_VALUE"""),125.4081)</f>
        <v>125.4081</v>
      </c>
    </row>
    <row r="1699">
      <c r="A1699" s="434">
        <f>IFERROR(__xludf.DUMMYFUNCTION("""COMPUTED_VALUE"""),44336.99861111111)</f>
        <v>44336.99861</v>
      </c>
      <c r="B1699" s="433">
        <f>IFERROR(__xludf.DUMMYFUNCTION("""COMPUTED_VALUE"""),40743.69)</f>
        <v>40743.69</v>
      </c>
      <c r="C1699" s="434">
        <f>IFERROR(__xludf.DUMMYFUNCTION("""COMPUTED_VALUE"""),43921.99861111111)</f>
        <v>43921.99861</v>
      </c>
      <c r="D1699" s="433">
        <f>IFERROR(__xludf.DUMMYFUNCTION("""COMPUTED_VALUE"""),132.691)</f>
        <v>132.691</v>
      </c>
    </row>
    <row r="1700">
      <c r="A1700" s="434">
        <f>IFERROR(__xludf.DUMMYFUNCTION("""COMPUTED_VALUE"""),44337.99861111111)</f>
        <v>44337.99861</v>
      </c>
      <c r="B1700" s="433">
        <f>IFERROR(__xludf.DUMMYFUNCTION("""COMPUTED_VALUE"""),37342.56)</f>
        <v>37342.56</v>
      </c>
      <c r="C1700" s="434">
        <f>IFERROR(__xludf.DUMMYFUNCTION("""COMPUTED_VALUE"""),43922.99861111111)</f>
        <v>43922.99861</v>
      </c>
      <c r="D1700" s="433">
        <f>IFERROR(__xludf.DUMMYFUNCTION("""COMPUTED_VALUE"""),133.509)</f>
        <v>133.509</v>
      </c>
    </row>
    <row r="1701">
      <c r="A1701" s="434">
        <f>IFERROR(__xludf.DUMMYFUNCTION("""COMPUTED_VALUE"""),44338.99861111111)</f>
        <v>44338.99861</v>
      </c>
      <c r="B1701" s="433">
        <f>IFERROR(__xludf.DUMMYFUNCTION("""COMPUTED_VALUE"""),37482.21)</f>
        <v>37482.21</v>
      </c>
      <c r="C1701" s="434">
        <f>IFERROR(__xludf.DUMMYFUNCTION("""COMPUTED_VALUE"""),43923.99861111111)</f>
        <v>43923.99861</v>
      </c>
      <c r="D1701" s="433">
        <f>IFERROR(__xludf.DUMMYFUNCTION("""COMPUTED_VALUE"""),136.6511)</f>
        <v>136.6511</v>
      </c>
    </row>
    <row r="1702">
      <c r="A1702" s="434">
        <f>IFERROR(__xludf.DUMMYFUNCTION("""COMPUTED_VALUE"""),44339.99861111111)</f>
        <v>44339.99861</v>
      </c>
      <c r="B1702" s="433">
        <f>IFERROR(__xludf.DUMMYFUNCTION("""COMPUTED_VALUE"""),34707.16)</f>
        <v>34707.16</v>
      </c>
      <c r="C1702" s="434">
        <f>IFERROR(__xludf.DUMMYFUNCTION("""COMPUTED_VALUE"""),43924.99861111111)</f>
        <v>43924.99861</v>
      </c>
      <c r="D1702" s="433">
        <f>IFERROR(__xludf.DUMMYFUNCTION("""COMPUTED_VALUE"""),142.1317)</f>
        <v>142.1317</v>
      </c>
    </row>
    <row r="1703">
      <c r="A1703" s="434">
        <f>IFERROR(__xludf.DUMMYFUNCTION("""COMPUTED_VALUE"""),44340.99861111111)</f>
        <v>44340.99861</v>
      </c>
      <c r="B1703" s="433">
        <f>IFERROR(__xludf.DUMMYFUNCTION("""COMPUTED_VALUE"""),38751.12)</f>
        <v>38751.12</v>
      </c>
      <c r="C1703" s="434">
        <f>IFERROR(__xludf.DUMMYFUNCTION("""COMPUTED_VALUE"""),43925.99861111111)</f>
        <v>43925.99861</v>
      </c>
      <c r="D1703" s="433">
        <f>IFERROR(__xludf.DUMMYFUNCTION("""COMPUTED_VALUE"""),142.1453)</f>
        <v>142.1453</v>
      </c>
    </row>
    <row r="1704">
      <c r="A1704" s="434">
        <f>IFERROR(__xludf.DUMMYFUNCTION("""COMPUTED_VALUE"""),44341.99861111111)</f>
        <v>44341.99861</v>
      </c>
      <c r="B1704" s="433">
        <f>IFERROR(__xludf.DUMMYFUNCTION("""COMPUTED_VALUE"""),38373.69)</f>
        <v>38373.69</v>
      </c>
      <c r="C1704" s="434">
        <f>IFERROR(__xludf.DUMMYFUNCTION("""COMPUTED_VALUE"""),43926.99861111111)</f>
        <v>43926.99861</v>
      </c>
      <c r="D1704" s="433">
        <f>IFERROR(__xludf.DUMMYFUNCTION("""COMPUTED_VALUE"""),145.3906)</f>
        <v>145.3906</v>
      </c>
    </row>
    <row r="1705">
      <c r="A1705" s="434">
        <f>IFERROR(__xludf.DUMMYFUNCTION("""COMPUTED_VALUE"""),44342.99861111111)</f>
        <v>44342.99861</v>
      </c>
      <c r="B1705" s="433">
        <f>IFERROR(__xludf.DUMMYFUNCTION("""COMPUTED_VALUE"""),39259.6)</f>
        <v>39259.6</v>
      </c>
      <c r="C1705" s="434">
        <f>IFERROR(__xludf.DUMMYFUNCTION("""COMPUTED_VALUE"""),43927.99861111111)</f>
        <v>43927.99861</v>
      </c>
      <c r="D1705" s="433">
        <f>IFERROR(__xludf.DUMMYFUNCTION("""COMPUTED_VALUE"""),143.5943)</f>
        <v>143.5943</v>
      </c>
    </row>
    <row r="1706">
      <c r="A1706" s="434">
        <f>IFERROR(__xludf.DUMMYFUNCTION("""COMPUTED_VALUE"""),44343.99861111111)</f>
        <v>44343.99861</v>
      </c>
      <c r="B1706" s="433">
        <f>IFERROR(__xludf.DUMMYFUNCTION("""COMPUTED_VALUE"""),38423.84)</f>
        <v>38423.84</v>
      </c>
      <c r="C1706" s="434">
        <f>IFERROR(__xludf.DUMMYFUNCTION("""COMPUTED_VALUE"""),43928.99861111111)</f>
        <v>43928.99861</v>
      </c>
      <c r="D1706" s="433">
        <f>IFERROR(__xludf.DUMMYFUNCTION("""COMPUTED_VALUE"""),169.8801)</f>
        <v>169.8801</v>
      </c>
    </row>
    <row r="1707">
      <c r="A1707" s="434">
        <f>IFERROR(__xludf.DUMMYFUNCTION("""COMPUTED_VALUE"""),44344.99861111111)</f>
        <v>44344.99861</v>
      </c>
      <c r="B1707" s="433">
        <f>IFERROR(__xludf.DUMMYFUNCTION("""COMPUTED_VALUE"""),35671.04)</f>
        <v>35671.04</v>
      </c>
      <c r="C1707" s="434">
        <f>IFERROR(__xludf.DUMMYFUNCTION("""COMPUTED_VALUE"""),43929.99861111111)</f>
        <v>43929.99861</v>
      </c>
      <c r="D1707" s="433">
        <f>IFERROR(__xludf.DUMMYFUNCTION("""COMPUTED_VALUE"""),164.8695)</f>
        <v>164.8695</v>
      </c>
    </row>
    <row r="1708">
      <c r="A1708" s="434">
        <f>IFERROR(__xludf.DUMMYFUNCTION("""COMPUTED_VALUE"""),44345.99861111111)</f>
        <v>44345.99861</v>
      </c>
      <c r="B1708" s="433">
        <f>IFERROR(__xludf.DUMMYFUNCTION("""COMPUTED_VALUE"""),34592.16)</f>
        <v>34592.16</v>
      </c>
      <c r="C1708" s="434">
        <f>IFERROR(__xludf.DUMMYFUNCTION("""COMPUTED_VALUE"""),43930.99861111111)</f>
        <v>43930.99861</v>
      </c>
      <c r="D1708" s="433">
        <f>IFERROR(__xludf.DUMMYFUNCTION("""COMPUTED_VALUE"""),172.4253)</f>
        <v>172.4253</v>
      </c>
    </row>
    <row r="1709">
      <c r="A1709" s="434">
        <f>IFERROR(__xludf.DUMMYFUNCTION("""COMPUTED_VALUE"""),44346.99861111111)</f>
        <v>44346.99861</v>
      </c>
      <c r="B1709" s="433">
        <f>IFERROR(__xludf.DUMMYFUNCTION("""COMPUTED_VALUE"""),35654.29)</f>
        <v>35654.29</v>
      </c>
      <c r="C1709" s="434">
        <f>IFERROR(__xludf.DUMMYFUNCTION("""COMPUTED_VALUE"""),43931.99861111111)</f>
        <v>43931.99861</v>
      </c>
      <c r="D1709" s="433">
        <f>IFERROR(__xludf.DUMMYFUNCTION("""COMPUTED_VALUE"""),170.6162)</f>
        <v>170.6162</v>
      </c>
    </row>
    <row r="1710">
      <c r="A1710" s="434">
        <f>IFERROR(__xludf.DUMMYFUNCTION("""COMPUTED_VALUE"""),44347.99861111111)</f>
        <v>44347.99861</v>
      </c>
      <c r="B1710" s="433">
        <f>IFERROR(__xludf.DUMMYFUNCTION("""COMPUTED_VALUE"""),37309.36)</f>
        <v>37309.36</v>
      </c>
      <c r="C1710" s="434">
        <f>IFERROR(__xludf.DUMMYFUNCTION("""COMPUTED_VALUE"""),43932.99861111111)</f>
        <v>43932.99861</v>
      </c>
      <c r="D1710" s="433">
        <f>IFERROR(__xludf.DUMMYFUNCTION("""COMPUTED_VALUE"""),159.0546)</f>
        <v>159.0546</v>
      </c>
    </row>
    <row r="1711">
      <c r="A1711" s="434">
        <f>IFERROR(__xludf.DUMMYFUNCTION("""COMPUTED_VALUE"""),44348.99861111111)</f>
        <v>44348.99861</v>
      </c>
      <c r="B1711" s="433">
        <f>IFERROR(__xludf.DUMMYFUNCTION("""COMPUTED_VALUE"""),36682.96)</f>
        <v>36682.96</v>
      </c>
      <c r="C1711" s="434">
        <f>IFERROR(__xludf.DUMMYFUNCTION("""COMPUTED_VALUE"""),43933.99861111111)</f>
        <v>43933.99861</v>
      </c>
      <c r="D1711" s="433">
        <f>IFERROR(__xludf.DUMMYFUNCTION("""COMPUTED_VALUE"""),158.3821)</f>
        <v>158.3821</v>
      </c>
    </row>
    <row r="1712">
      <c r="A1712" s="434">
        <f>IFERROR(__xludf.DUMMYFUNCTION("""COMPUTED_VALUE"""),44349.99861111111)</f>
        <v>44349.99861</v>
      </c>
      <c r="B1712" s="433">
        <f>IFERROR(__xludf.DUMMYFUNCTION("""COMPUTED_VALUE"""),37572.28)</f>
        <v>37572.28</v>
      </c>
      <c r="C1712" s="434">
        <f>IFERROR(__xludf.DUMMYFUNCTION("""COMPUTED_VALUE"""),43934.99861111111)</f>
        <v>43934.99861</v>
      </c>
      <c r="D1712" s="433">
        <f>IFERROR(__xludf.DUMMYFUNCTION("""COMPUTED_VALUE"""),160.133)</f>
        <v>160.133</v>
      </c>
    </row>
    <row r="1713">
      <c r="A1713" s="434">
        <f>IFERROR(__xludf.DUMMYFUNCTION("""COMPUTED_VALUE"""),44350.99861111111)</f>
        <v>44350.99861</v>
      </c>
      <c r="B1713" s="433">
        <f>IFERROR(__xludf.DUMMYFUNCTION("""COMPUTED_VALUE"""),39184.57)</f>
        <v>39184.57</v>
      </c>
      <c r="C1713" s="434">
        <f>IFERROR(__xludf.DUMMYFUNCTION("""COMPUTED_VALUE"""),43935.99861111111)</f>
        <v>43935.99861</v>
      </c>
      <c r="D1713" s="433">
        <f>IFERROR(__xludf.DUMMYFUNCTION("""COMPUTED_VALUE"""),156.6339)</f>
        <v>156.6339</v>
      </c>
    </row>
    <row r="1714">
      <c r="A1714" s="434">
        <f>IFERROR(__xludf.DUMMYFUNCTION("""COMPUTED_VALUE"""),44351.99861111111)</f>
        <v>44351.99861</v>
      </c>
      <c r="B1714" s="433">
        <f>IFERROR(__xludf.DUMMYFUNCTION("""COMPUTED_VALUE"""),36849.84)</f>
        <v>36849.84</v>
      </c>
      <c r="C1714" s="434">
        <f>IFERROR(__xludf.DUMMYFUNCTION("""COMPUTED_VALUE"""),43936.99861111111)</f>
        <v>43936.99861</v>
      </c>
      <c r="D1714" s="433">
        <f>IFERROR(__xludf.DUMMYFUNCTION("""COMPUTED_VALUE"""),157.2069)</f>
        <v>157.2069</v>
      </c>
    </row>
    <row r="1715">
      <c r="A1715" s="434">
        <f>IFERROR(__xludf.DUMMYFUNCTION("""COMPUTED_VALUE"""),44352.99861111111)</f>
        <v>44352.99861</v>
      </c>
      <c r="B1715" s="433">
        <f>IFERROR(__xludf.DUMMYFUNCTION("""COMPUTED_VALUE"""),35522.9)</f>
        <v>35522.9</v>
      </c>
      <c r="C1715" s="434">
        <f>IFERROR(__xludf.DUMMYFUNCTION("""COMPUTED_VALUE"""),43937.99861111111)</f>
        <v>43937.99861</v>
      </c>
      <c r="D1715" s="433">
        <f>IFERROR(__xludf.DUMMYFUNCTION("""COMPUTED_VALUE"""),152.3554)</f>
        <v>152.3554</v>
      </c>
    </row>
    <row r="1716">
      <c r="A1716" s="434">
        <f>IFERROR(__xludf.DUMMYFUNCTION("""COMPUTED_VALUE"""),44353.99861111111)</f>
        <v>44353.99861</v>
      </c>
      <c r="B1716" s="433">
        <f>IFERROR(__xludf.DUMMYFUNCTION("""COMPUTED_VALUE"""),35799.29)</f>
        <v>35799.29</v>
      </c>
      <c r="C1716" s="434">
        <f>IFERROR(__xludf.DUMMYFUNCTION("""COMPUTED_VALUE"""),43938.99861111111)</f>
        <v>43938.99861</v>
      </c>
      <c r="D1716" s="433">
        <f>IFERROR(__xludf.DUMMYFUNCTION("""COMPUTED_VALUE"""),171.9844)</f>
        <v>171.9844</v>
      </c>
    </row>
    <row r="1717">
      <c r="A1717" s="434">
        <f>IFERROR(__xludf.DUMMYFUNCTION("""COMPUTED_VALUE"""),44354.99861111111)</f>
        <v>44354.99861</v>
      </c>
      <c r="B1717" s="433">
        <f>IFERROR(__xludf.DUMMYFUNCTION("""COMPUTED_VALUE"""),33577.22)</f>
        <v>33577.22</v>
      </c>
      <c r="C1717" s="434">
        <f>IFERROR(__xludf.DUMMYFUNCTION("""COMPUTED_VALUE"""),43939.99861111111)</f>
        <v>43939.99861</v>
      </c>
      <c r="D1717" s="433">
        <f>IFERROR(__xludf.DUMMYFUNCTION("""COMPUTED_VALUE"""),171.9762)</f>
        <v>171.9762</v>
      </c>
    </row>
    <row r="1718">
      <c r="A1718" s="434">
        <f>IFERROR(__xludf.DUMMYFUNCTION("""COMPUTED_VALUE"""),44355.99861111111)</f>
        <v>44355.99861</v>
      </c>
      <c r="B1718" s="433">
        <f>IFERROR(__xludf.DUMMYFUNCTION("""COMPUTED_VALUE"""),33407.84)</f>
        <v>33407.84</v>
      </c>
      <c r="C1718" s="434">
        <f>IFERROR(__xludf.DUMMYFUNCTION("""COMPUTED_VALUE"""),43940.99861111111)</f>
        <v>43940.99861</v>
      </c>
      <c r="D1718" s="433">
        <f>IFERROR(__xludf.DUMMYFUNCTION("""COMPUTED_VALUE"""),187.1155)</f>
        <v>187.1155</v>
      </c>
    </row>
    <row r="1719">
      <c r="A1719" s="434">
        <f>IFERROR(__xludf.DUMMYFUNCTION("""COMPUTED_VALUE"""),44356.99861111111)</f>
        <v>44356.99861</v>
      </c>
      <c r="B1719" s="433">
        <f>IFERROR(__xludf.DUMMYFUNCTION("""COMPUTED_VALUE"""),37341.97)</f>
        <v>37341.97</v>
      </c>
      <c r="C1719" s="434">
        <f>IFERROR(__xludf.DUMMYFUNCTION("""COMPUTED_VALUE"""),43941.99861111111)</f>
        <v>43941.99861</v>
      </c>
      <c r="D1719" s="433">
        <f>IFERROR(__xludf.DUMMYFUNCTION("""COMPUTED_VALUE"""),180.8197)</f>
        <v>180.8197</v>
      </c>
    </row>
    <row r="1720">
      <c r="A1720" s="434">
        <f>IFERROR(__xludf.DUMMYFUNCTION("""COMPUTED_VALUE"""),44357.99861111111)</f>
        <v>44357.99861</v>
      </c>
      <c r="B1720" s="433">
        <f>IFERROR(__xludf.DUMMYFUNCTION("""COMPUTED_VALUE"""),36641.08)</f>
        <v>36641.08</v>
      </c>
      <c r="C1720" s="434">
        <f>IFERROR(__xludf.DUMMYFUNCTION("""COMPUTED_VALUE"""),43942.99861111111)</f>
        <v>43942.99861</v>
      </c>
      <c r="D1720" s="433">
        <f>IFERROR(__xludf.DUMMYFUNCTION("""COMPUTED_VALUE"""),172.0158)</f>
        <v>172.0158</v>
      </c>
    </row>
    <row r="1721">
      <c r="A1721" s="434">
        <f>IFERROR(__xludf.DUMMYFUNCTION("""COMPUTED_VALUE"""),44358.99861111111)</f>
        <v>44358.99861</v>
      </c>
      <c r="B1721" s="433">
        <f>IFERROR(__xludf.DUMMYFUNCTION("""COMPUTED_VALUE"""),37333.82)</f>
        <v>37333.82</v>
      </c>
      <c r="C1721" s="434">
        <f>IFERROR(__xludf.DUMMYFUNCTION("""COMPUTED_VALUE"""),43943.99861111111)</f>
        <v>43943.99861</v>
      </c>
      <c r="D1721" s="433">
        <f>IFERROR(__xludf.DUMMYFUNCTION("""COMPUTED_VALUE"""),172.8461)</f>
        <v>172.8461</v>
      </c>
    </row>
    <row r="1722">
      <c r="A1722" s="434">
        <f>IFERROR(__xludf.DUMMYFUNCTION("""COMPUTED_VALUE"""),44359.99861111111)</f>
        <v>44359.99861</v>
      </c>
      <c r="B1722" s="433">
        <f>IFERROR(__xludf.DUMMYFUNCTION("""COMPUTED_VALUE"""),35479.57)</f>
        <v>35479.57</v>
      </c>
      <c r="C1722" s="434">
        <f>IFERROR(__xludf.DUMMYFUNCTION("""COMPUTED_VALUE"""),43944.99861111111)</f>
        <v>43944.99861</v>
      </c>
      <c r="D1722" s="433">
        <f>IFERROR(__xludf.DUMMYFUNCTION("""COMPUTED_VALUE"""),183.149)</f>
        <v>183.149</v>
      </c>
    </row>
    <row r="1723">
      <c r="A1723" s="434">
        <f>IFERROR(__xludf.DUMMYFUNCTION("""COMPUTED_VALUE"""),44360.99861111111)</f>
        <v>44360.99861</v>
      </c>
      <c r="B1723" s="433">
        <f>IFERROR(__xludf.DUMMYFUNCTION("""COMPUTED_VALUE"""),39038.67)</f>
        <v>39038.67</v>
      </c>
      <c r="C1723" s="434">
        <f>IFERROR(__xludf.DUMMYFUNCTION("""COMPUTED_VALUE"""),43945.99861111111)</f>
        <v>43945.99861</v>
      </c>
      <c r="D1723" s="433">
        <f>IFERROR(__xludf.DUMMYFUNCTION("""COMPUTED_VALUE"""),185.7415)</f>
        <v>185.7415</v>
      </c>
    </row>
    <row r="1724">
      <c r="A1724" s="434">
        <f>IFERROR(__xludf.DUMMYFUNCTION("""COMPUTED_VALUE"""),44361.99861111111)</f>
        <v>44361.99861</v>
      </c>
      <c r="B1724" s="433">
        <f>IFERROR(__xludf.DUMMYFUNCTION("""COMPUTED_VALUE"""),40526.54)</f>
        <v>40526.54</v>
      </c>
      <c r="C1724" s="434">
        <f>IFERROR(__xludf.DUMMYFUNCTION("""COMPUTED_VALUE"""),43946.99861111111)</f>
        <v>43946.99861</v>
      </c>
      <c r="D1724" s="433">
        <f>IFERROR(__xludf.DUMMYFUNCTION("""COMPUTED_VALUE"""),189.135)</f>
        <v>189.135</v>
      </c>
    </row>
    <row r="1725">
      <c r="A1725" s="434">
        <f>IFERROR(__xludf.DUMMYFUNCTION("""COMPUTED_VALUE"""),44362.99861111111)</f>
        <v>44362.99861</v>
      </c>
      <c r="B1725" s="433">
        <f>IFERROR(__xludf.DUMMYFUNCTION("""COMPUTED_VALUE"""),40152.96)</f>
        <v>40152.96</v>
      </c>
      <c r="C1725" s="434">
        <f>IFERROR(__xludf.DUMMYFUNCTION("""COMPUTED_VALUE"""),43947.99861111111)</f>
        <v>43947.99861</v>
      </c>
      <c r="D1725" s="433">
        <f>IFERROR(__xludf.DUMMYFUNCTION("""COMPUTED_VALUE"""),195.3506)</f>
        <v>195.3506</v>
      </c>
    </row>
    <row r="1726">
      <c r="A1726" s="434">
        <f>IFERROR(__xludf.DUMMYFUNCTION("""COMPUTED_VALUE"""),44363.99861111111)</f>
        <v>44363.99861</v>
      </c>
      <c r="B1726" s="433">
        <f>IFERROR(__xludf.DUMMYFUNCTION("""COMPUTED_VALUE"""),38344.25)</f>
        <v>38344.25</v>
      </c>
      <c r="C1726" s="434">
        <f>IFERROR(__xludf.DUMMYFUNCTION("""COMPUTED_VALUE"""),43948.99861111111)</f>
        <v>43948.99861</v>
      </c>
      <c r="D1726" s="433">
        <f>IFERROR(__xludf.DUMMYFUNCTION("""COMPUTED_VALUE"""),197.6824)</f>
        <v>197.6824</v>
      </c>
    </row>
    <row r="1727">
      <c r="A1727" s="434">
        <f>IFERROR(__xludf.DUMMYFUNCTION("""COMPUTED_VALUE"""),44364.99861111111)</f>
        <v>44364.99861</v>
      </c>
      <c r="B1727" s="433">
        <f>IFERROR(__xludf.DUMMYFUNCTION("""COMPUTED_VALUE"""),38065.94)</f>
        <v>38065.94</v>
      </c>
      <c r="C1727" s="434">
        <f>IFERROR(__xludf.DUMMYFUNCTION("""COMPUTED_VALUE"""),43949.99861111111)</f>
        <v>43949.99861</v>
      </c>
      <c r="D1727" s="433">
        <f>IFERROR(__xludf.DUMMYFUNCTION("""COMPUTED_VALUE"""),197.1472)</f>
        <v>197.1472</v>
      </c>
    </row>
    <row r="1728">
      <c r="A1728" s="434">
        <f>IFERROR(__xludf.DUMMYFUNCTION("""COMPUTED_VALUE"""),44365.99861111111)</f>
        <v>44365.99861</v>
      </c>
      <c r="B1728" s="433">
        <f>IFERROR(__xludf.DUMMYFUNCTION("""COMPUTED_VALUE"""),35734.51)</f>
        <v>35734.51</v>
      </c>
      <c r="C1728" s="434">
        <f>IFERROR(__xludf.DUMMYFUNCTION("""COMPUTED_VALUE"""),43950.99861111111)</f>
        <v>43950.99861</v>
      </c>
      <c r="D1728" s="433">
        <f>IFERROR(__xludf.DUMMYFUNCTION("""COMPUTED_VALUE"""),198.366)</f>
        <v>198.366</v>
      </c>
    </row>
    <row r="1729">
      <c r="A1729" s="434">
        <f>IFERROR(__xludf.DUMMYFUNCTION("""COMPUTED_VALUE"""),44366.99861111111)</f>
        <v>44366.99861</v>
      </c>
      <c r="B1729" s="433">
        <f>IFERROR(__xludf.DUMMYFUNCTION("""COMPUTED_VALUE"""),35525.93)</f>
        <v>35525.93</v>
      </c>
      <c r="C1729" s="434">
        <f>IFERROR(__xludf.DUMMYFUNCTION("""COMPUTED_VALUE"""),43951.99861111111)</f>
        <v>43951.99861</v>
      </c>
      <c r="D1729" s="433">
        <f>IFERROR(__xludf.DUMMYFUNCTION("""COMPUTED_VALUE"""),216.2851)</f>
        <v>216.2851</v>
      </c>
    </row>
    <row r="1730">
      <c r="A1730" s="434">
        <f>IFERROR(__xludf.DUMMYFUNCTION("""COMPUTED_VALUE"""),44367.99861111111)</f>
        <v>44367.99861</v>
      </c>
      <c r="B1730" s="433">
        <f>IFERROR(__xludf.DUMMYFUNCTION("""COMPUTED_VALUE"""),35619.15)</f>
        <v>35619.15</v>
      </c>
      <c r="C1730" s="434">
        <f>IFERROR(__xludf.DUMMYFUNCTION("""COMPUTED_VALUE"""),43952.99861111111)</f>
        <v>43952.99861</v>
      </c>
      <c r="D1730" s="433">
        <f>IFERROR(__xludf.DUMMYFUNCTION("""COMPUTED_VALUE"""),208.2115)</f>
        <v>208.2115</v>
      </c>
    </row>
    <row r="1731">
      <c r="A1731" s="434">
        <f>IFERROR(__xludf.DUMMYFUNCTION("""COMPUTED_VALUE"""),44368.99861111111)</f>
        <v>44368.99861</v>
      </c>
      <c r="B1731" s="433">
        <f>IFERROR(__xludf.DUMMYFUNCTION("""COMPUTED_VALUE"""),31687.18)</f>
        <v>31687.18</v>
      </c>
      <c r="C1731" s="434">
        <f>IFERROR(__xludf.DUMMYFUNCTION("""COMPUTED_VALUE"""),43953.99861111111)</f>
        <v>43953.99861</v>
      </c>
      <c r="D1731" s="433">
        <f>IFERROR(__xludf.DUMMYFUNCTION("""COMPUTED_VALUE"""),214.1523)</f>
        <v>214.1523</v>
      </c>
    </row>
    <row r="1732">
      <c r="A1732" s="434">
        <f>IFERROR(__xludf.DUMMYFUNCTION("""COMPUTED_VALUE"""),44369.99861111111)</f>
        <v>44369.99861</v>
      </c>
      <c r="B1732" s="433">
        <f>IFERROR(__xludf.DUMMYFUNCTION("""COMPUTED_VALUE"""),32488.3)</f>
        <v>32488.3</v>
      </c>
      <c r="C1732" s="434">
        <f>IFERROR(__xludf.DUMMYFUNCTION("""COMPUTED_VALUE"""),43954.99861111111)</f>
        <v>43954.99861</v>
      </c>
      <c r="D1732" s="433">
        <f>IFERROR(__xludf.DUMMYFUNCTION("""COMPUTED_VALUE"""),215.344)</f>
        <v>215.344</v>
      </c>
    </row>
    <row r="1733">
      <c r="A1733" s="434">
        <f>IFERROR(__xludf.DUMMYFUNCTION("""COMPUTED_VALUE"""),44370.99861111111)</f>
        <v>44370.99861</v>
      </c>
      <c r="B1733" s="433">
        <f>IFERROR(__xludf.DUMMYFUNCTION("""COMPUTED_VALUE"""),33661.74)</f>
        <v>33661.74</v>
      </c>
      <c r="C1733" s="434">
        <f>IFERROR(__xludf.DUMMYFUNCTION("""COMPUTED_VALUE"""),43955.99861111111)</f>
        <v>43955.99861</v>
      </c>
      <c r="D1733" s="433">
        <f>IFERROR(__xludf.DUMMYFUNCTION("""COMPUTED_VALUE"""),211.0128)</f>
        <v>211.0128</v>
      </c>
    </row>
    <row r="1734">
      <c r="A1734" s="434">
        <f>IFERROR(__xludf.DUMMYFUNCTION("""COMPUTED_VALUE"""),44371.99861111111)</f>
        <v>44371.99861</v>
      </c>
      <c r="B1734" s="433">
        <f>IFERROR(__xludf.DUMMYFUNCTION("""COMPUTED_VALUE"""),34649.07)</f>
        <v>34649.07</v>
      </c>
      <c r="C1734" s="434">
        <f>IFERROR(__xludf.DUMMYFUNCTION("""COMPUTED_VALUE"""),43956.99861111111)</f>
        <v>43956.99861</v>
      </c>
      <c r="D1734" s="433">
        <f>IFERROR(__xludf.DUMMYFUNCTION("""COMPUTED_VALUE"""),208.273)</f>
        <v>208.273</v>
      </c>
    </row>
    <row r="1735">
      <c r="A1735" s="434">
        <f>IFERROR(__xludf.DUMMYFUNCTION("""COMPUTED_VALUE"""),44372.99861111111)</f>
        <v>44372.99861</v>
      </c>
      <c r="B1735" s="433">
        <f>IFERROR(__xludf.DUMMYFUNCTION("""COMPUTED_VALUE"""),31597.98)</f>
        <v>31597.98</v>
      </c>
      <c r="C1735" s="434">
        <f>IFERROR(__xludf.DUMMYFUNCTION("""COMPUTED_VALUE"""),43957.99861111111)</f>
        <v>43957.99861</v>
      </c>
      <c r="D1735" s="433">
        <f>IFERROR(__xludf.DUMMYFUNCTION("""COMPUTED_VALUE"""),206.6891)</f>
        <v>206.6891</v>
      </c>
    </row>
    <row r="1736">
      <c r="A1736" s="434">
        <f>IFERROR(__xludf.DUMMYFUNCTION("""COMPUTED_VALUE"""),44373.99861111111)</f>
        <v>44373.99861</v>
      </c>
      <c r="B1736" s="433">
        <f>IFERROR(__xludf.DUMMYFUNCTION("""COMPUTED_VALUE"""),32214.82)</f>
        <v>32214.82</v>
      </c>
      <c r="C1736" s="434">
        <f>IFERROR(__xludf.DUMMYFUNCTION("""COMPUTED_VALUE"""),43958.99861111111)</f>
        <v>43958.99861</v>
      </c>
      <c r="D1736" s="433">
        <f>IFERROR(__xludf.DUMMYFUNCTION("""COMPUTED_VALUE"""),203.407)</f>
        <v>203.407</v>
      </c>
    </row>
    <row r="1737">
      <c r="A1737" s="434">
        <f>IFERROR(__xludf.DUMMYFUNCTION("""COMPUTED_VALUE"""),44374.99861111111)</f>
        <v>44374.99861</v>
      </c>
      <c r="B1737" s="433">
        <f>IFERROR(__xludf.DUMMYFUNCTION("""COMPUTED_VALUE"""),34668.56)</f>
        <v>34668.56</v>
      </c>
      <c r="C1737" s="434">
        <f>IFERROR(__xludf.DUMMYFUNCTION("""COMPUTED_VALUE"""),43959.99861111111)</f>
        <v>43959.99861</v>
      </c>
      <c r="D1737" s="433">
        <f>IFERROR(__xludf.DUMMYFUNCTION("""COMPUTED_VALUE"""),213.4724)</f>
        <v>213.4724</v>
      </c>
    </row>
    <row r="1738">
      <c r="A1738" s="434">
        <f>IFERROR(__xludf.DUMMYFUNCTION("""COMPUTED_VALUE"""),44375.99861111111)</f>
        <v>44375.99861</v>
      </c>
      <c r="B1738" s="433">
        <f>IFERROR(__xludf.DUMMYFUNCTION("""COMPUTED_VALUE"""),34463.3)</f>
        <v>34463.3</v>
      </c>
      <c r="C1738" s="434">
        <f>IFERROR(__xludf.DUMMYFUNCTION("""COMPUTED_VALUE"""),43960.99861111111)</f>
        <v>43960.99861</v>
      </c>
      <c r="D1738" s="433">
        <f>IFERROR(__xludf.DUMMYFUNCTION("""COMPUTED_VALUE"""),212.4471)</f>
        <v>212.4471</v>
      </c>
    </row>
    <row r="1739">
      <c r="A1739" s="434">
        <f>IFERROR(__xludf.DUMMYFUNCTION("""COMPUTED_VALUE"""),44376.99861111111)</f>
        <v>44376.99861</v>
      </c>
      <c r="B1739" s="433">
        <f>IFERROR(__xludf.DUMMYFUNCTION("""COMPUTED_VALUE"""),35852.64)</f>
        <v>35852.64</v>
      </c>
      <c r="C1739" s="434">
        <f>IFERROR(__xludf.DUMMYFUNCTION("""COMPUTED_VALUE"""),43961.99861111111)</f>
        <v>43961.99861</v>
      </c>
      <c r="D1739" s="433">
        <f>IFERROR(__xludf.DUMMYFUNCTION("""COMPUTED_VALUE"""),211.0675)</f>
        <v>211.0675</v>
      </c>
    </row>
    <row r="1740">
      <c r="A1740" s="434">
        <f>IFERROR(__xludf.DUMMYFUNCTION("""COMPUTED_VALUE"""),44377.99861111111)</f>
        <v>44377.99861</v>
      </c>
      <c r="B1740" s="433">
        <f>IFERROR(__xludf.DUMMYFUNCTION("""COMPUTED_VALUE"""),35031.71)</f>
        <v>35031.71</v>
      </c>
      <c r="C1740" s="434">
        <f>IFERROR(__xludf.DUMMYFUNCTION("""COMPUTED_VALUE"""),43962.99861111111)</f>
        <v>43962.99861</v>
      </c>
      <c r="D1740" s="433">
        <f>IFERROR(__xludf.DUMMYFUNCTION("""COMPUTED_VALUE"""),188.6563)</f>
        <v>188.6563</v>
      </c>
    </row>
    <row r="1741">
      <c r="A1741" s="434">
        <f>IFERROR(__xludf.DUMMYFUNCTION("""COMPUTED_VALUE"""),44378.99861111111)</f>
        <v>44378.99861</v>
      </c>
      <c r="B1741" s="433">
        <f>IFERROR(__xludf.DUMMYFUNCTION("""COMPUTED_VALUE"""),33548.11)</f>
        <v>33548.11</v>
      </c>
      <c r="C1741" s="434">
        <f>IFERROR(__xludf.DUMMYFUNCTION("""COMPUTED_VALUE"""),43963.99861111111)</f>
        <v>43963.99861</v>
      </c>
      <c r="D1741" s="433">
        <f>IFERROR(__xludf.DUMMYFUNCTION("""COMPUTED_VALUE"""),185.9618)</f>
        <v>185.9618</v>
      </c>
    </row>
    <row r="1742">
      <c r="A1742" s="434">
        <f>IFERROR(__xludf.DUMMYFUNCTION("""COMPUTED_VALUE"""),44379.99861111111)</f>
        <v>44379.99861</v>
      </c>
      <c r="B1742" s="433">
        <f>IFERROR(__xludf.DUMMYFUNCTION("""COMPUTED_VALUE"""),33830.32)</f>
        <v>33830.32</v>
      </c>
      <c r="C1742" s="434">
        <f>IFERROR(__xludf.DUMMYFUNCTION("""COMPUTED_VALUE"""),43964.99861111111)</f>
        <v>43964.99861</v>
      </c>
      <c r="D1742" s="433">
        <f>IFERROR(__xludf.DUMMYFUNCTION("""COMPUTED_VALUE"""),189.3245)</f>
        <v>189.3245</v>
      </c>
    </row>
    <row r="1743">
      <c r="A1743" s="434">
        <f>IFERROR(__xludf.DUMMYFUNCTION("""COMPUTED_VALUE"""),44380.99861111111)</f>
        <v>44380.99861</v>
      </c>
      <c r="B1743" s="433">
        <f>IFERROR(__xludf.DUMMYFUNCTION("""COMPUTED_VALUE"""),34681.76)</f>
        <v>34681.76</v>
      </c>
      <c r="C1743" s="434">
        <f>IFERROR(__xludf.DUMMYFUNCTION("""COMPUTED_VALUE"""),43965.99861111111)</f>
        <v>43965.99861</v>
      </c>
      <c r="D1743" s="433">
        <f>IFERROR(__xludf.DUMMYFUNCTION("""COMPUTED_VALUE"""),198.9962)</f>
        <v>198.9962</v>
      </c>
    </row>
    <row r="1744">
      <c r="A1744" s="434">
        <f>IFERROR(__xludf.DUMMYFUNCTION("""COMPUTED_VALUE"""),44381.99861111111)</f>
        <v>44381.99861</v>
      </c>
      <c r="B1744" s="433">
        <f>IFERROR(__xludf.DUMMYFUNCTION("""COMPUTED_VALUE"""),35302.52)</f>
        <v>35302.52</v>
      </c>
      <c r="C1744" s="434">
        <f>IFERROR(__xludf.DUMMYFUNCTION("""COMPUTED_VALUE"""),43966.99861111111)</f>
        <v>43966.99861</v>
      </c>
      <c r="D1744" s="433">
        <f>IFERROR(__xludf.DUMMYFUNCTION("""COMPUTED_VALUE"""),203.4894)</f>
        <v>203.4894</v>
      </c>
    </row>
    <row r="1745">
      <c r="A1745" s="434">
        <f>IFERROR(__xludf.DUMMYFUNCTION("""COMPUTED_VALUE"""),44382.99861111111)</f>
        <v>44382.99861</v>
      </c>
      <c r="B1745" s="433">
        <f>IFERROR(__xludf.DUMMYFUNCTION("""COMPUTED_VALUE"""),33707.41)</f>
        <v>33707.41</v>
      </c>
      <c r="C1745" s="434">
        <f>IFERROR(__xludf.DUMMYFUNCTION("""COMPUTED_VALUE"""),43967.99861111111)</f>
        <v>43967.99861</v>
      </c>
      <c r="D1745" s="433">
        <f>IFERROR(__xludf.DUMMYFUNCTION("""COMPUTED_VALUE"""),195.6146)</f>
        <v>195.6146</v>
      </c>
    </row>
    <row r="1746">
      <c r="A1746" s="434">
        <f>IFERROR(__xludf.DUMMYFUNCTION("""COMPUTED_VALUE"""),44383.99861111111)</f>
        <v>44383.99861</v>
      </c>
      <c r="B1746" s="433">
        <f>IFERROR(__xludf.DUMMYFUNCTION("""COMPUTED_VALUE"""),34224.65)</f>
        <v>34224.65</v>
      </c>
      <c r="C1746" s="434">
        <f>IFERROR(__xludf.DUMMYFUNCTION("""COMPUTED_VALUE"""),43968.99861111111)</f>
        <v>43968.99861</v>
      </c>
      <c r="D1746" s="433">
        <f>IFERROR(__xludf.DUMMYFUNCTION("""COMPUTED_VALUE"""),200.4124)</f>
        <v>200.4124</v>
      </c>
    </row>
    <row r="1747">
      <c r="A1747" s="434">
        <f>IFERROR(__xludf.DUMMYFUNCTION("""COMPUTED_VALUE"""),44384.99861111111)</f>
        <v>44384.99861</v>
      </c>
      <c r="B1747" s="433">
        <f>IFERROR(__xludf.DUMMYFUNCTION("""COMPUTED_VALUE"""),33876.87)</f>
        <v>33876.87</v>
      </c>
      <c r="C1747" s="434">
        <f>IFERROR(__xludf.DUMMYFUNCTION("""COMPUTED_VALUE"""),43969.99861111111)</f>
        <v>43969.99861</v>
      </c>
      <c r="D1747" s="433">
        <f>IFERROR(__xludf.DUMMYFUNCTION("""COMPUTED_VALUE"""),207.1091)</f>
        <v>207.1091</v>
      </c>
    </row>
    <row r="1748">
      <c r="A1748" s="434">
        <f>IFERROR(__xludf.DUMMYFUNCTION("""COMPUTED_VALUE"""),44385.99861111111)</f>
        <v>44385.99861</v>
      </c>
      <c r="B1748" s="433">
        <f>IFERROR(__xludf.DUMMYFUNCTION("""COMPUTED_VALUE"""),32865.52)</f>
        <v>32865.52</v>
      </c>
      <c r="C1748" s="434">
        <f>IFERROR(__xludf.DUMMYFUNCTION("""COMPUTED_VALUE"""),43970.99861111111)</f>
        <v>43970.99861</v>
      </c>
      <c r="D1748" s="433">
        <f>IFERROR(__xludf.DUMMYFUNCTION("""COMPUTED_VALUE"""),214.4942)</f>
        <v>214.4942</v>
      </c>
    </row>
    <row r="1749">
      <c r="A1749" s="434">
        <f>IFERROR(__xludf.DUMMYFUNCTION("""COMPUTED_VALUE"""),44386.99861111111)</f>
        <v>44386.99861</v>
      </c>
      <c r="B1749" s="433">
        <f>IFERROR(__xludf.DUMMYFUNCTION("""COMPUTED_VALUE"""),33803.7)</f>
        <v>33803.7</v>
      </c>
      <c r="C1749" s="434">
        <f>IFERROR(__xludf.DUMMYFUNCTION("""COMPUTED_VALUE"""),43971.99861111111)</f>
        <v>43971.99861</v>
      </c>
      <c r="D1749" s="433">
        <f>IFERROR(__xludf.DUMMYFUNCTION("""COMPUTED_VALUE"""),213.6007)</f>
        <v>213.6007</v>
      </c>
    </row>
    <row r="1750">
      <c r="A1750" s="434">
        <f>IFERROR(__xludf.DUMMYFUNCTION("""COMPUTED_VALUE"""),44387.99861111111)</f>
        <v>44387.99861</v>
      </c>
      <c r="B1750" s="433">
        <f>IFERROR(__xludf.DUMMYFUNCTION("""COMPUTED_VALUE"""),33513.73)</f>
        <v>33513.73</v>
      </c>
      <c r="C1750" s="434">
        <f>IFERROR(__xludf.DUMMYFUNCTION("""COMPUTED_VALUE"""),43972.99861111111)</f>
        <v>43972.99861</v>
      </c>
      <c r="D1750" s="433">
        <f>IFERROR(__xludf.DUMMYFUNCTION("""COMPUTED_VALUE"""),209.8564)</f>
        <v>209.8564</v>
      </c>
    </row>
    <row r="1751">
      <c r="A1751" s="434">
        <f>IFERROR(__xludf.DUMMYFUNCTION("""COMPUTED_VALUE"""),44388.99861111111)</f>
        <v>44388.99861</v>
      </c>
      <c r="B1751" s="433">
        <f>IFERROR(__xludf.DUMMYFUNCTION("""COMPUTED_VALUE"""),34246.41)</f>
        <v>34246.41</v>
      </c>
      <c r="C1751" s="434">
        <f>IFERROR(__xludf.DUMMYFUNCTION("""COMPUTED_VALUE"""),43973.99861111111)</f>
        <v>43973.99861</v>
      </c>
      <c r="D1751" s="433">
        <f>IFERROR(__xludf.DUMMYFUNCTION("""COMPUTED_VALUE"""),199.4486)</f>
        <v>199.4486</v>
      </c>
    </row>
    <row r="1752">
      <c r="A1752" s="434">
        <f>IFERROR(__xludf.DUMMYFUNCTION("""COMPUTED_VALUE"""),44389.99861111111)</f>
        <v>44389.99861</v>
      </c>
      <c r="B1752" s="433">
        <f>IFERROR(__xludf.DUMMYFUNCTION("""COMPUTED_VALUE"""),33114.86)</f>
        <v>33114.86</v>
      </c>
      <c r="C1752" s="434">
        <f>IFERROR(__xludf.DUMMYFUNCTION("""COMPUTED_VALUE"""),43974.99861111111)</f>
        <v>43974.99861</v>
      </c>
      <c r="D1752" s="433">
        <f>IFERROR(__xludf.DUMMYFUNCTION("""COMPUTED_VALUE"""),207.5822)</f>
        <v>207.5822</v>
      </c>
    </row>
    <row r="1753">
      <c r="A1753" s="434">
        <f>IFERROR(__xludf.DUMMYFUNCTION("""COMPUTED_VALUE"""),44390.99861111111)</f>
        <v>44390.99861</v>
      </c>
      <c r="B1753" s="433">
        <f>IFERROR(__xludf.DUMMYFUNCTION("""COMPUTED_VALUE"""),32724.95)</f>
        <v>32724.95</v>
      </c>
      <c r="C1753" s="434">
        <f>IFERROR(__xludf.DUMMYFUNCTION("""COMPUTED_VALUE"""),43975.99861111111)</f>
        <v>43975.99861</v>
      </c>
      <c r="D1753" s="433">
        <f>IFERROR(__xludf.DUMMYFUNCTION("""COMPUTED_VALUE"""),208.1708)</f>
        <v>208.1708</v>
      </c>
    </row>
    <row r="1754">
      <c r="A1754" s="434">
        <f>IFERROR(__xludf.DUMMYFUNCTION("""COMPUTED_VALUE"""),44391.99861111111)</f>
        <v>44391.99861</v>
      </c>
      <c r="B1754" s="433">
        <f>IFERROR(__xludf.DUMMYFUNCTION("""COMPUTED_VALUE"""),32817.09)</f>
        <v>32817.09</v>
      </c>
      <c r="C1754" s="434">
        <f>IFERROR(__xludf.DUMMYFUNCTION("""COMPUTED_VALUE"""),43976.99861111111)</f>
        <v>43976.99861</v>
      </c>
      <c r="D1754" s="433">
        <f>IFERROR(__xludf.DUMMYFUNCTION("""COMPUTED_VALUE"""),200.6809)</f>
        <v>200.6809</v>
      </c>
    </row>
    <row r="1755">
      <c r="A1755" s="434">
        <f>IFERROR(__xludf.DUMMYFUNCTION("""COMPUTED_VALUE"""),44392.99861111111)</f>
        <v>44392.99861</v>
      </c>
      <c r="B1755" s="433">
        <f>IFERROR(__xludf.DUMMYFUNCTION("""COMPUTED_VALUE"""),31848.45)</f>
        <v>31848.45</v>
      </c>
      <c r="C1755" s="434">
        <f>IFERROR(__xludf.DUMMYFUNCTION("""COMPUTED_VALUE"""),43977.99861111111)</f>
        <v>43977.99861</v>
      </c>
      <c r="D1755" s="433">
        <f>IFERROR(__xludf.DUMMYFUNCTION("""COMPUTED_VALUE"""),205.2933)</f>
        <v>205.2933</v>
      </c>
    </row>
    <row r="1756">
      <c r="A1756" s="434">
        <f>IFERROR(__xludf.DUMMYFUNCTION("""COMPUTED_VALUE"""),44393.99861111111)</f>
        <v>44393.99861</v>
      </c>
      <c r="B1756" s="433">
        <f>IFERROR(__xludf.DUMMYFUNCTION("""COMPUTED_VALUE"""),31401.63)</f>
        <v>31401.63</v>
      </c>
      <c r="C1756" s="434">
        <f>IFERROR(__xludf.DUMMYFUNCTION("""COMPUTED_VALUE"""),43978.99861111111)</f>
        <v>43978.99861</v>
      </c>
      <c r="D1756" s="433">
        <f>IFERROR(__xludf.DUMMYFUNCTION("""COMPUTED_VALUE"""),201.8859)</f>
        <v>201.8859</v>
      </c>
    </row>
    <row r="1757">
      <c r="A1757" s="434">
        <f>IFERROR(__xludf.DUMMYFUNCTION("""COMPUTED_VALUE"""),44394.99861111111)</f>
        <v>44394.99861</v>
      </c>
      <c r="B1757" s="433">
        <f>IFERROR(__xludf.DUMMYFUNCTION("""COMPUTED_VALUE"""),31539.02)</f>
        <v>31539.02</v>
      </c>
      <c r="C1757" s="434">
        <f>IFERROR(__xludf.DUMMYFUNCTION("""COMPUTED_VALUE"""),43979.99861111111)</f>
        <v>43979.99861</v>
      </c>
      <c r="D1757" s="433">
        <f>IFERROR(__xludf.DUMMYFUNCTION("""COMPUTED_VALUE"""),208.8057)</f>
        <v>208.8057</v>
      </c>
    </row>
    <row r="1758">
      <c r="A1758" s="434">
        <f>IFERROR(__xludf.DUMMYFUNCTION("""COMPUTED_VALUE"""),44395.99861111111)</f>
        <v>44395.99861</v>
      </c>
      <c r="B1758" s="433">
        <f>IFERROR(__xludf.DUMMYFUNCTION("""COMPUTED_VALUE"""),31802.68)</f>
        <v>31802.68</v>
      </c>
      <c r="C1758" s="434">
        <f>IFERROR(__xludf.DUMMYFUNCTION("""COMPUTED_VALUE"""),43980.99861111111)</f>
        <v>43980.99861</v>
      </c>
      <c r="D1758" s="433">
        <f>IFERROR(__xludf.DUMMYFUNCTION("""COMPUTED_VALUE"""),221.4482)</f>
        <v>221.4482</v>
      </c>
    </row>
    <row r="1759">
      <c r="A1759" s="434">
        <f>IFERROR(__xludf.DUMMYFUNCTION("""COMPUTED_VALUE"""),44396.99861111111)</f>
        <v>44396.99861</v>
      </c>
      <c r="B1759" s="433">
        <f>IFERROR(__xludf.DUMMYFUNCTION("""COMPUTED_VALUE"""),30838.26)</f>
        <v>30838.26</v>
      </c>
      <c r="C1759" s="434">
        <f>IFERROR(__xludf.DUMMYFUNCTION("""COMPUTED_VALUE"""),43981.99861111111)</f>
        <v>43981.99861</v>
      </c>
      <c r="D1759" s="433">
        <f>IFERROR(__xludf.DUMMYFUNCTION("""COMPUTED_VALUE"""),220.8855)</f>
        <v>220.8855</v>
      </c>
    </row>
    <row r="1760">
      <c r="A1760" s="434">
        <f>IFERROR(__xludf.DUMMYFUNCTION("""COMPUTED_VALUE"""),44397.99861111111)</f>
        <v>44397.99861</v>
      </c>
      <c r="B1760" s="433">
        <f>IFERROR(__xludf.DUMMYFUNCTION("""COMPUTED_VALUE"""),29790.22)</f>
        <v>29790.22</v>
      </c>
      <c r="C1760" s="434">
        <f>IFERROR(__xludf.DUMMYFUNCTION("""COMPUTED_VALUE"""),43982.99861111111)</f>
        <v>43982.99861</v>
      </c>
      <c r="D1760" s="433">
        <f>IFERROR(__xludf.DUMMYFUNCTION("""COMPUTED_VALUE"""),242.3917)</f>
        <v>242.3917</v>
      </c>
    </row>
    <row r="1761">
      <c r="A1761" s="434">
        <f>IFERROR(__xludf.DUMMYFUNCTION("""COMPUTED_VALUE"""),44398.99861111111)</f>
        <v>44398.99861</v>
      </c>
      <c r="B1761" s="433">
        <f>IFERROR(__xludf.DUMMYFUNCTION("""COMPUTED_VALUE"""),32121.27)</f>
        <v>32121.27</v>
      </c>
      <c r="C1761" s="434">
        <f>IFERROR(__xludf.DUMMYFUNCTION("""COMPUTED_VALUE"""),43983.99861111111)</f>
        <v>43983.99861</v>
      </c>
      <c r="D1761" s="433">
        <f>IFERROR(__xludf.DUMMYFUNCTION("""COMPUTED_VALUE"""),230.6795)</f>
        <v>230.6795</v>
      </c>
    </row>
    <row r="1762">
      <c r="A1762" s="434">
        <f>IFERROR(__xludf.DUMMYFUNCTION("""COMPUTED_VALUE"""),44399.99861111111)</f>
        <v>44399.99861</v>
      </c>
      <c r="B1762" s="433">
        <f>IFERROR(__xludf.DUMMYFUNCTION("""COMPUTED_VALUE"""),32303.9)</f>
        <v>32303.9</v>
      </c>
      <c r="C1762" s="434">
        <f>IFERROR(__xludf.DUMMYFUNCTION("""COMPUTED_VALUE"""),43984.99861111111)</f>
        <v>43984.99861</v>
      </c>
      <c r="D1762" s="433">
        <f>IFERROR(__xludf.DUMMYFUNCTION("""COMPUTED_VALUE"""),247.3977)</f>
        <v>247.3977</v>
      </c>
    </row>
    <row r="1763">
      <c r="A1763" s="434">
        <f>IFERROR(__xludf.DUMMYFUNCTION("""COMPUTED_VALUE"""),44400.99861111111)</f>
        <v>44400.99861</v>
      </c>
      <c r="B1763" s="433">
        <f>IFERROR(__xludf.DUMMYFUNCTION("""COMPUTED_VALUE"""),33604.89)</f>
        <v>33604.89</v>
      </c>
      <c r="C1763" s="434">
        <f>IFERROR(__xludf.DUMMYFUNCTION("""COMPUTED_VALUE"""),43985.99861111111)</f>
        <v>43985.99861</v>
      </c>
      <c r="D1763" s="433">
        <f>IFERROR(__xludf.DUMMYFUNCTION("""COMPUTED_VALUE"""),237.1047)</f>
        <v>237.1047</v>
      </c>
    </row>
    <row r="1764">
      <c r="A1764" s="434">
        <f>IFERROR(__xludf.DUMMYFUNCTION("""COMPUTED_VALUE"""),44401.99861111111)</f>
        <v>44401.99861</v>
      </c>
      <c r="B1764" s="433">
        <f>IFERROR(__xludf.DUMMYFUNCTION("""COMPUTED_VALUE"""),34280.88)</f>
        <v>34280.88</v>
      </c>
      <c r="C1764" s="434">
        <f>IFERROR(__xludf.DUMMYFUNCTION("""COMPUTED_VALUE"""),43986.99861111111)</f>
        <v>43986.99861</v>
      </c>
      <c r="D1764" s="433">
        <f>IFERROR(__xludf.DUMMYFUNCTION("""COMPUTED_VALUE"""),244.2295)</f>
        <v>244.2295</v>
      </c>
    </row>
    <row r="1765">
      <c r="A1765" s="434">
        <f>IFERROR(__xludf.DUMMYFUNCTION("""COMPUTED_VALUE"""),44402.99861111111)</f>
        <v>44402.99861</v>
      </c>
      <c r="B1765" s="433">
        <f>IFERROR(__xludf.DUMMYFUNCTION("""COMPUTED_VALUE"""),35412.74)</f>
        <v>35412.74</v>
      </c>
      <c r="C1765" s="434">
        <f>IFERROR(__xludf.DUMMYFUNCTION("""COMPUTED_VALUE"""),43987.99861111111)</f>
        <v>43987.99861</v>
      </c>
      <c r="D1765" s="433">
        <f>IFERROR(__xludf.DUMMYFUNCTION("""COMPUTED_VALUE"""),244.1536)</f>
        <v>244.1536</v>
      </c>
    </row>
    <row r="1766">
      <c r="A1766" s="434">
        <f>IFERROR(__xludf.DUMMYFUNCTION("""COMPUTED_VALUE"""),44403.99861111111)</f>
        <v>44403.99861</v>
      </c>
      <c r="B1766" s="433">
        <f>IFERROR(__xludf.DUMMYFUNCTION("""COMPUTED_VALUE"""),37306.7)</f>
        <v>37306.7</v>
      </c>
      <c r="C1766" s="434">
        <f>IFERROR(__xludf.DUMMYFUNCTION("""COMPUTED_VALUE"""),43988.99861111111)</f>
        <v>43988.99861</v>
      </c>
      <c r="D1766" s="433">
        <f>IFERROR(__xludf.DUMMYFUNCTION("""COMPUTED_VALUE"""),241.1021)</f>
        <v>241.1021</v>
      </c>
    </row>
    <row r="1767">
      <c r="A1767" s="434">
        <f>IFERROR(__xludf.DUMMYFUNCTION("""COMPUTED_VALUE"""),44404.99861111111)</f>
        <v>44404.99861</v>
      </c>
      <c r="B1767" s="433">
        <f>IFERROR(__xludf.DUMMYFUNCTION("""COMPUTED_VALUE"""),39430.78)</f>
        <v>39430.78</v>
      </c>
      <c r="C1767" s="434">
        <f>IFERROR(__xludf.DUMMYFUNCTION("""COMPUTED_VALUE"""),43989.99861111111)</f>
        <v>43989.99861</v>
      </c>
      <c r="D1767" s="433">
        <f>IFERROR(__xludf.DUMMYFUNCTION("""COMPUTED_VALUE"""),241.8934)</f>
        <v>241.8934</v>
      </c>
    </row>
    <row r="1768">
      <c r="A1768" s="434">
        <f>IFERROR(__xludf.DUMMYFUNCTION("""COMPUTED_VALUE"""),44405.99861111111)</f>
        <v>44405.99861</v>
      </c>
      <c r="B1768" s="433">
        <f>IFERROR(__xludf.DUMMYFUNCTION("""COMPUTED_VALUE"""),40005.39)</f>
        <v>40005.39</v>
      </c>
      <c r="C1768" s="434">
        <f>IFERROR(__xludf.DUMMYFUNCTION("""COMPUTED_VALUE"""),43990.99861111111)</f>
        <v>43990.99861</v>
      </c>
      <c r="D1768" s="433">
        <f>IFERROR(__xludf.DUMMYFUNCTION("""COMPUTED_VALUE"""),245.453)</f>
        <v>245.453</v>
      </c>
    </row>
    <row r="1769">
      <c r="A1769" s="434">
        <f>IFERROR(__xludf.DUMMYFUNCTION("""COMPUTED_VALUE"""),44406.99861111111)</f>
        <v>44406.99861</v>
      </c>
      <c r="B1769" s="433">
        <f>IFERROR(__xludf.DUMMYFUNCTION("""COMPUTED_VALUE"""),40028.84)</f>
        <v>40028.84</v>
      </c>
      <c r="C1769" s="434">
        <f>IFERROR(__xludf.DUMMYFUNCTION("""COMPUTED_VALUE"""),43991.99861111111)</f>
        <v>43991.99861</v>
      </c>
      <c r="D1769" s="433">
        <f>IFERROR(__xludf.DUMMYFUNCTION("""COMPUTED_VALUE"""),247.2407)</f>
        <v>247.2407</v>
      </c>
    </row>
    <row r="1770">
      <c r="A1770" s="434">
        <f>IFERROR(__xludf.DUMMYFUNCTION("""COMPUTED_VALUE"""),44407.99861111111)</f>
        <v>44407.99861</v>
      </c>
      <c r="B1770" s="433">
        <f>IFERROR(__xludf.DUMMYFUNCTION("""COMPUTED_VALUE"""),42249.93)</f>
        <v>42249.93</v>
      </c>
      <c r="C1770" s="434">
        <f>IFERROR(__xludf.DUMMYFUNCTION("""COMPUTED_VALUE"""),43992.99861111111)</f>
        <v>43992.99861</v>
      </c>
      <c r="D1770" s="433">
        <f>IFERROR(__xludf.DUMMYFUNCTION("""COMPUTED_VALUE"""),244.8073)</f>
        <v>244.8073</v>
      </c>
    </row>
    <row r="1771">
      <c r="A1771" s="434">
        <f>IFERROR(__xludf.DUMMYFUNCTION("""COMPUTED_VALUE"""),44408.99861111111)</f>
        <v>44408.99861</v>
      </c>
      <c r="B1771" s="433">
        <f>IFERROR(__xludf.DUMMYFUNCTION("""COMPUTED_VALUE"""),41538.9)</f>
        <v>41538.9</v>
      </c>
      <c r="C1771" s="434">
        <f>IFERROR(__xludf.DUMMYFUNCTION("""COMPUTED_VALUE"""),43993.99861111111)</f>
        <v>43993.99861</v>
      </c>
      <c r="D1771" s="433">
        <f>IFERROR(__xludf.DUMMYFUNCTION("""COMPUTED_VALUE"""),247.8551)</f>
        <v>247.8551</v>
      </c>
    </row>
    <row r="1772">
      <c r="A1772" s="434">
        <f>IFERROR(__xludf.DUMMYFUNCTION("""COMPUTED_VALUE"""),44409.99861111111)</f>
        <v>44409.99861</v>
      </c>
      <c r="B1772" s="433">
        <f>IFERROR(__xludf.DUMMYFUNCTION("""COMPUTED_VALUE"""),39897.94)</f>
        <v>39897.94</v>
      </c>
      <c r="C1772" s="434">
        <f>IFERROR(__xludf.DUMMYFUNCTION("""COMPUTED_VALUE"""),43994.99861111111)</f>
        <v>43994.99861</v>
      </c>
      <c r="D1772" s="433">
        <f>IFERROR(__xludf.DUMMYFUNCTION("""COMPUTED_VALUE"""),230.4503)</f>
        <v>230.4503</v>
      </c>
    </row>
    <row r="1773">
      <c r="A1773" s="434">
        <f>IFERROR(__xludf.DUMMYFUNCTION("""COMPUTED_VALUE"""),44410.99861111111)</f>
        <v>44410.99861</v>
      </c>
      <c r="B1773" s="433">
        <f>IFERROR(__xludf.DUMMYFUNCTION("""COMPUTED_VALUE"""),39179.12)</f>
        <v>39179.12</v>
      </c>
      <c r="C1773" s="434">
        <f>IFERROR(__xludf.DUMMYFUNCTION("""COMPUTED_VALUE"""),43995.99861111111)</f>
        <v>43995.99861</v>
      </c>
      <c r="D1773" s="433">
        <f>IFERROR(__xludf.DUMMYFUNCTION("""COMPUTED_VALUE"""),238.2118)</f>
        <v>238.2118</v>
      </c>
    </row>
    <row r="1774">
      <c r="A1774" s="434">
        <f>IFERROR(__xludf.DUMMYFUNCTION("""COMPUTED_VALUE"""),44411.99861111111)</f>
        <v>44411.99861</v>
      </c>
      <c r="B1774" s="433">
        <f>IFERROR(__xludf.DUMMYFUNCTION("""COMPUTED_VALUE"""),38138.75)</f>
        <v>38138.75</v>
      </c>
      <c r="C1774" s="434">
        <f>IFERROR(__xludf.DUMMYFUNCTION("""COMPUTED_VALUE"""),43996.99861111111)</f>
        <v>43996.99861</v>
      </c>
      <c r="D1774" s="433">
        <f>IFERROR(__xludf.DUMMYFUNCTION("""COMPUTED_VALUE"""),238.8876)</f>
        <v>238.8876</v>
      </c>
    </row>
    <row r="1775">
      <c r="A1775" s="434">
        <f>IFERROR(__xludf.DUMMYFUNCTION("""COMPUTED_VALUE"""),44412.99861111111)</f>
        <v>44412.99861</v>
      </c>
      <c r="B1775" s="433">
        <f>IFERROR(__xludf.DUMMYFUNCTION("""COMPUTED_VALUE"""),39730.27)</f>
        <v>39730.27</v>
      </c>
      <c r="C1775" s="434">
        <f>IFERROR(__xludf.DUMMYFUNCTION("""COMPUTED_VALUE"""),43997.99861111111)</f>
        <v>43997.99861</v>
      </c>
      <c r="D1775" s="433">
        <f>IFERROR(__xludf.DUMMYFUNCTION("""COMPUTED_VALUE"""),233.6109)</f>
        <v>233.6109</v>
      </c>
    </row>
    <row r="1776">
      <c r="A1776" s="434">
        <f>IFERROR(__xludf.DUMMYFUNCTION("""COMPUTED_VALUE"""),44413.99861111111)</f>
        <v>44413.99861</v>
      </c>
      <c r="B1776" s="433">
        <f>IFERROR(__xludf.DUMMYFUNCTION("""COMPUTED_VALUE"""),40872.77)</f>
        <v>40872.77</v>
      </c>
      <c r="C1776" s="434">
        <f>IFERROR(__xludf.DUMMYFUNCTION("""COMPUTED_VALUE"""),43998.99861111111)</f>
        <v>43998.99861</v>
      </c>
      <c r="D1776" s="433">
        <f>IFERROR(__xludf.DUMMYFUNCTION("""COMPUTED_VALUE"""),229.9584)</f>
        <v>229.9584</v>
      </c>
    </row>
    <row r="1777">
      <c r="A1777" s="434">
        <f>IFERROR(__xludf.DUMMYFUNCTION("""COMPUTED_VALUE"""),44414.99861111111)</f>
        <v>44414.99861</v>
      </c>
      <c r="B1777" s="433">
        <f>IFERROR(__xludf.DUMMYFUNCTION("""COMPUTED_VALUE"""),42839.67)</f>
        <v>42839.67</v>
      </c>
      <c r="C1777" s="434">
        <f>IFERROR(__xludf.DUMMYFUNCTION("""COMPUTED_VALUE"""),43999.99861111111)</f>
        <v>43999.99861</v>
      </c>
      <c r="D1777" s="433">
        <f>IFERROR(__xludf.DUMMYFUNCTION("""COMPUTED_VALUE"""),235.0418)</f>
        <v>235.0418</v>
      </c>
    </row>
    <row r="1778">
      <c r="A1778" s="434">
        <f>IFERROR(__xludf.DUMMYFUNCTION("""COMPUTED_VALUE"""),44415.99861111111)</f>
        <v>44415.99861</v>
      </c>
      <c r="B1778" s="433">
        <f>IFERROR(__xludf.DUMMYFUNCTION("""COMPUTED_VALUE"""),44596.43)</f>
        <v>44596.43</v>
      </c>
      <c r="C1778" s="434">
        <f>IFERROR(__xludf.DUMMYFUNCTION("""COMPUTED_VALUE"""),44000.99861111111)</f>
        <v>44000.99861</v>
      </c>
      <c r="D1778" s="433">
        <f>IFERROR(__xludf.DUMMYFUNCTION("""COMPUTED_VALUE"""),233.0514)</f>
        <v>233.0514</v>
      </c>
    </row>
    <row r="1779">
      <c r="A1779" s="434">
        <f>IFERROR(__xludf.DUMMYFUNCTION("""COMPUTED_VALUE"""),44416.99861111111)</f>
        <v>44416.99861</v>
      </c>
      <c r="B1779" s="433">
        <f>IFERROR(__xludf.DUMMYFUNCTION("""COMPUTED_VALUE"""),43804.42)</f>
        <v>43804.42</v>
      </c>
      <c r="C1779" s="434">
        <f>IFERROR(__xludf.DUMMYFUNCTION("""COMPUTED_VALUE"""),44001.99861111111)</f>
        <v>44001.99861</v>
      </c>
      <c r="D1779" s="433">
        <f>IFERROR(__xludf.DUMMYFUNCTION("""COMPUTED_VALUE"""),231.9187)</f>
        <v>231.9187</v>
      </c>
    </row>
    <row r="1780">
      <c r="A1780" s="434">
        <f>IFERROR(__xludf.DUMMYFUNCTION("""COMPUTED_VALUE"""),44417.99861111111)</f>
        <v>44417.99861</v>
      </c>
      <c r="B1780" s="433">
        <f>IFERROR(__xludf.DUMMYFUNCTION("""COMPUTED_VALUE"""),46302.42)</f>
        <v>46302.42</v>
      </c>
      <c r="C1780" s="434">
        <f>IFERROR(__xludf.DUMMYFUNCTION("""COMPUTED_VALUE"""),44002.99861111111)</f>
        <v>44002.99861</v>
      </c>
      <c r="D1780" s="433">
        <f>IFERROR(__xludf.DUMMYFUNCTION("""COMPUTED_VALUE"""),227.6992)</f>
        <v>227.6992</v>
      </c>
    </row>
    <row r="1781">
      <c r="A1781" s="434">
        <f>IFERROR(__xludf.DUMMYFUNCTION("""COMPUTED_VALUE"""),44418.99861111111)</f>
        <v>44418.99861</v>
      </c>
      <c r="B1781" s="433">
        <f>IFERROR(__xludf.DUMMYFUNCTION("""COMPUTED_VALUE"""),45597.24)</f>
        <v>45597.24</v>
      </c>
      <c r="C1781" s="434">
        <f>IFERROR(__xludf.DUMMYFUNCTION("""COMPUTED_VALUE"""),44003.99861111111)</f>
        <v>44003.99861</v>
      </c>
      <c r="D1781" s="433">
        <f>IFERROR(__xludf.DUMMYFUNCTION("""COMPUTED_VALUE"""),229.8194)</f>
        <v>229.8194</v>
      </c>
    </row>
    <row r="1782">
      <c r="A1782" s="434">
        <f>IFERROR(__xludf.DUMMYFUNCTION("""COMPUTED_VALUE"""),44419.99861111111)</f>
        <v>44419.99861</v>
      </c>
      <c r="B1782" s="433">
        <f>IFERROR(__xludf.DUMMYFUNCTION("""COMPUTED_VALUE"""),45580.62)</f>
        <v>45580.62</v>
      </c>
      <c r="C1782" s="434">
        <f>IFERROR(__xludf.DUMMYFUNCTION("""COMPUTED_VALUE"""),44004.99861111111)</f>
        <v>44004.99861</v>
      </c>
      <c r="D1782" s="433">
        <f>IFERROR(__xludf.DUMMYFUNCTION("""COMPUTED_VALUE"""),228.9439)</f>
        <v>228.9439</v>
      </c>
    </row>
    <row r="1783">
      <c r="A1783" s="434">
        <f>IFERROR(__xludf.DUMMYFUNCTION("""COMPUTED_VALUE"""),44420.99861111111)</f>
        <v>44420.99861</v>
      </c>
      <c r="B1783" s="433">
        <f>IFERROR(__xludf.DUMMYFUNCTION("""COMPUTED_VALUE"""),44422.31)</f>
        <v>44422.31</v>
      </c>
      <c r="C1783" s="434">
        <f>IFERROR(__xludf.DUMMYFUNCTION("""COMPUTED_VALUE"""),44005.99861111111)</f>
        <v>44005.99861</v>
      </c>
      <c r="D1783" s="433">
        <f>IFERROR(__xludf.DUMMYFUNCTION("""COMPUTED_VALUE"""),243.0262)</f>
        <v>243.0262</v>
      </c>
    </row>
    <row r="1784">
      <c r="A1784" s="434">
        <f>IFERROR(__xludf.DUMMYFUNCTION("""COMPUTED_VALUE"""),44421.99861111111)</f>
        <v>44421.99861</v>
      </c>
      <c r="B1784" s="433">
        <f>IFERROR(__xludf.DUMMYFUNCTION("""COMPUTED_VALUE"""),47832.95)</f>
        <v>47832.95</v>
      </c>
      <c r="C1784" s="434">
        <f>IFERROR(__xludf.DUMMYFUNCTION("""COMPUTED_VALUE"""),44006.99861111111)</f>
        <v>44006.99861</v>
      </c>
      <c r="D1784" s="433">
        <f>IFERROR(__xludf.DUMMYFUNCTION("""COMPUTED_VALUE"""),244.068)</f>
        <v>244.068</v>
      </c>
    </row>
    <row r="1785">
      <c r="A1785" s="434">
        <f>IFERROR(__xludf.DUMMYFUNCTION("""COMPUTED_VALUE"""),44422.99861111111)</f>
        <v>44422.99861</v>
      </c>
      <c r="B1785" s="433">
        <f>IFERROR(__xludf.DUMMYFUNCTION("""COMPUTED_VALUE"""),47103.48)</f>
        <v>47103.48</v>
      </c>
      <c r="C1785" s="434">
        <f>IFERROR(__xludf.DUMMYFUNCTION("""COMPUTED_VALUE"""),44007.99861111111)</f>
        <v>44007.99861</v>
      </c>
      <c r="D1785" s="433">
        <f>IFERROR(__xludf.DUMMYFUNCTION("""COMPUTED_VALUE"""),235.5908)</f>
        <v>235.5908</v>
      </c>
    </row>
    <row r="1786">
      <c r="A1786" s="434">
        <f>IFERROR(__xludf.DUMMYFUNCTION("""COMPUTED_VALUE"""),44423.99861111111)</f>
        <v>44423.99861</v>
      </c>
      <c r="B1786" s="433">
        <f>IFERROR(__xludf.DUMMYFUNCTION("""COMPUTED_VALUE"""),47035.16)</f>
        <v>47035.16</v>
      </c>
      <c r="C1786" s="434">
        <f>IFERROR(__xludf.DUMMYFUNCTION("""COMPUTED_VALUE"""),44008.99861111111)</f>
        <v>44008.99861</v>
      </c>
      <c r="D1786" s="433">
        <f>IFERROR(__xludf.DUMMYFUNCTION("""COMPUTED_VALUE"""),232.6945)</f>
        <v>232.6945</v>
      </c>
    </row>
    <row r="1787">
      <c r="A1787" s="434">
        <f>IFERROR(__xludf.DUMMYFUNCTION("""COMPUTED_VALUE"""),44424.99861111111)</f>
        <v>44424.99861</v>
      </c>
      <c r="B1787" s="433">
        <f>IFERROR(__xludf.DUMMYFUNCTION("""COMPUTED_VALUE"""),45962.85)</f>
        <v>45962.85</v>
      </c>
      <c r="C1787" s="434">
        <f>IFERROR(__xludf.DUMMYFUNCTION("""COMPUTED_VALUE"""),44009.99861111111)</f>
        <v>44009.99861</v>
      </c>
      <c r="D1787" s="433">
        <f>IFERROR(__xludf.DUMMYFUNCTION("""COMPUTED_VALUE"""),229.9913)</f>
        <v>229.9913</v>
      </c>
    </row>
    <row r="1788">
      <c r="A1788" s="434">
        <f>IFERROR(__xludf.DUMMYFUNCTION("""COMPUTED_VALUE"""),44425.99861111111)</f>
        <v>44425.99861</v>
      </c>
      <c r="B1788" s="433">
        <f>IFERROR(__xludf.DUMMYFUNCTION("""COMPUTED_VALUE"""),44682.28)</f>
        <v>44682.28</v>
      </c>
      <c r="C1788" s="434">
        <f>IFERROR(__xludf.DUMMYFUNCTION("""COMPUTED_VALUE"""),44010.99861111111)</f>
        <v>44010.99861</v>
      </c>
      <c r="D1788" s="433">
        <f>IFERROR(__xludf.DUMMYFUNCTION("""COMPUTED_VALUE"""),222.9224)</f>
        <v>222.9224</v>
      </c>
    </row>
    <row r="1789">
      <c r="A1789" s="434">
        <f>IFERROR(__xludf.DUMMYFUNCTION("""COMPUTED_VALUE"""),44426.99861111111)</f>
        <v>44426.99861</v>
      </c>
      <c r="B1789" s="433">
        <f>IFERROR(__xludf.DUMMYFUNCTION("""COMPUTED_VALUE"""),44747.16)</f>
        <v>44747.16</v>
      </c>
      <c r="C1789" s="434">
        <f>IFERROR(__xludf.DUMMYFUNCTION("""COMPUTED_VALUE"""),44011.99861111111)</f>
        <v>44011.99861</v>
      </c>
      <c r="D1789" s="433">
        <f>IFERROR(__xludf.DUMMYFUNCTION("""COMPUTED_VALUE"""),225.3052)</f>
        <v>225.3052</v>
      </c>
    </row>
    <row r="1790">
      <c r="A1790" s="434">
        <f>IFERROR(__xludf.DUMMYFUNCTION("""COMPUTED_VALUE"""),44427.99861111111)</f>
        <v>44427.99861</v>
      </c>
      <c r="B1790" s="433">
        <f>IFERROR(__xludf.DUMMYFUNCTION("""COMPUTED_VALUE"""),46759.82)</f>
        <v>46759.82</v>
      </c>
      <c r="C1790" s="434">
        <f>IFERROR(__xludf.DUMMYFUNCTION("""COMPUTED_VALUE"""),44012.99861111111)</f>
        <v>44012.99861</v>
      </c>
      <c r="D1790" s="433">
        <f>IFERROR(__xludf.DUMMYFUNCTION("""COMPUTED_VALUE"""),228.3355)</f>
        <v>228.3355</v>
      </c>
    </row>
    <row r="1791">
      <c r="A1791" s="434">
        <f>IFERROR(__xludf.DUMMYFUNCTION("""COMPUTED_VALUE"""),44428.99861111111)</f>
        <v>44428.99861</v>
      </c>
      <c r="B1791" s="433">
        <f>IFERROR(__xludf.DUMMYFUNCTION("""COMPUTED_VALUE"""),49328.58)</f>
        <v>49328.58</v>
      </c>
      <c r="C1791" s="434">
        <f>IFERROR(__xludf.DUMMYFUNCTION("""COMPUTED_VALUE"""),44013.99861111111)</f>
        <v>44013.99861</v>
      </c>
      <c r="D1791" s="433">
        <f>IFERROR(__xludf.DUMMYFUNCTION("""COMPUTED_VALUE"""),226.2872)</f>
        <v>226.2872</v>
      </c>
    </row>
    <row r="1792">
      <c r="A1792" s="434">
        <f>IFERROR(__xludf.DUMMYFUNCTION("""COMPUTED_VALUE"""),44429.99861111111)</f>
        <v>44429.99861</v>
      </c>
      <c r="B1792" s="433">
        <f>IFERROR(__xludf.DUMMYFUNCTION("""COMPUTED_VALUE"""),48880.96)</f>
        <v>48880.96</v>
      </c>
      <c r="C1792" s="434">
        <f>IFERROR(__xludf.DUMMYFUNCTION("""COMPUTED_VALUE"""),44014.99861111111)</f>
        <v>44014.99861</v>
      </c>
      <c r="D1792" s="433">
        <f>IFERROR(__xludf.DUMMYFUNCTION("""COMPUTED_VALUE"""),231.4237)</f>
        <v>231.4237</v>
      </c>
    </row>
    <row r="1793">
      <c r="A1793" s="434">
        <f>IFERROR(__xludf.DUMMYFUNCTION("""COMPUTED_VALUE"""),44430.99861111111)</f>
        <v>44430.99861</v>
      </c>
      <c r="B1793" s="433">
        <f>IFERROR(__xludf.DUMMYFUNCTION("""COMPUTED_VALUE"""),49280.35)</f>
        <v>49280.35</v>
      </c>
      <c r="C1793" s="434">
        <f>IFERROR(__xludf.DUMMYFUNCTION("""COMPUTED_VALUE"""),44015.99861111111)</f>
        <v>44015.99861</v>
      </c>
      <c r="D1793" s="433">
        <f>IFERROR(__xludf.DUMMYFUNCTION("""COMPUTED_VALUE"""),228.9669)</f>
        <v>228.9669</v>
      </c>
    </row>
    <row r="1794">
      <c r="A1794" s="434">
        <f>IFERROR(__xludf.DUMMYFUNCTION("""COMPUTED_VALUE"""),44431.99861111111)</f>
        <v>44431.99861</v>
      </c>
      <c r="B1794" s="433">
        <f>IFERROR(__xludf.DUMMYFUNCTION("""COMPUTED_VALUE"""),49538.76)</f>
        <v>49538.76</v>
      </c>
      <c r="C1794" s="434">
        <f>IFERROR(__xludf.DUMMYFUNCTION("""COMPUTED_VALUE"""),44016.99861111111)</f>
        <v>44016.99861</v>
      </c>
      <c r="D1794" s="433">
        <f>IFERROR(__xludf.DUMMYFUNCTION("""COMPUTED_VALUE"""),225.1646)</f>
        <v>225.1646</v>
      </c>
    </row>
    <row r="1795">
      <c r="A1795" s="434">
        <f>IFERROR(__xludf.DUMMYFUNCTION("""COMPUTED_VALUE"""),44432.99861111111)</f>
        <v>44432.99861</v>
      </c>
      <c r="B1795" s="433">
        <f>IFERROR(__xludf.DUMMYFUNCTION("""COMPUTED_VALUE"""),47720.25)</f>
        <v>47720.25</v>
      </c>
      <c r="C1795" s="434">
        <f>IFERROR(__xludf.DUMMYFUNCTION("""COMPUTED_VALUE"""),44017.99861111111)</f>
        <v>44017.99861</v>
      </c>
      <c r="D1795" s="433">
        <f>IFERROR(__xludf.DUMMYFUNCTION("""COMPUTED_VALUE"""),228.4495)</f>
        <v>228.4495</v>
      </c>
    </row>
    <row r="1796">
      <c r="A1796" s="434">
        <f>IFERROR(__xludf.DUMMYFUNCTION("""COMPUTED_VALUE"""),44433.99861111111)</f>
        <v>44433.99861</v>
      </c>
      <c r="B1796" s="433">
        <f>IFERROR(__xludf.DUMMYFUNCTION("""COMPUTED_VALUE"""),49001.23)</f>
        <v>49001.23</v>
      </c>
      <c r="C1796" s="434">
        <f>IFERROR(__xludf.DUMMYFUNCTION("""COMPUTED_VALUE"""),44018.99861111111)</f>
        <v>44018.99861</v>
      </c>
      <c r="D1796" s="433">
        <f>IFERROR(__xludf.DUMMYFUNCTION("""COMPUTED_VALUE"""),227.7565)</f>
        <v>227.7565</v>
      </c>
    </row>
    <row r="1797">
      <c r="A1797" s="434">
        <f>IFERROR(__xludf.DUMMYFUNCTION("""COMPUTED_VALUE"""),44434.99861111111)</f>
        <v>44434.99861</v>
      </c>
      <c r="B1797" s="433">
        <f>IFERROR(__xludf.DUMMYFUNCTION("""COMPUTED_VALUE"""),46855.93)</f>
        <v>46855.93</v>
      </c>
      <c r="C1797" s="434">
        <f>IFERROR(__xludf.DUMMYFUNCTION("""COMPUTED_VALUE"""),44019.99861111111)</f>
        <v>44019.99861</v>
      </c>
      <c r="D1797" s="433">
        <f>IFERROR(__xludf.DUMMYFUNCTION("""COMPUTED_VALUE"""),241.0424)</f>
        <v>241.0424</v>
      </c>
    </row>
    <row r="1798">
      <c r="A1798" s="434">
        <f>IFERROR(__xludf.DUMMYFUNCTION("""COMPUTED_VALUE"""),44435.99861111111)</f>
        <v>44435.99861</v>
      </c>
      <c r="B1798" s="433">
        <f>IFERROR(__xludf.DUMMYFUNCTION("""COMPUTED_VALUE"""),49072.36)</f>
        <v>49072.36</v>
      </c>
      <c r="C1798" s="434">
        <f>IFERROR(__xludf.DUMMYFUNCTION("""COMPUTED_VALUE"""),44020.99861111111)</f>
        <v>44020.99861</v>
      </c>
      <c r="D1798" s="433">
        <f>IFERROR(__xludf.DUMMYFUNCTION("""COMPUTED_VALUE"""),239.3089)</f>
        <v>239.3089</v>
      </c>
    </row>
    <row r="1799">
      <c r="A1799" s="434">
        <f>IFERROR(__xludf.DUMMYFUNCTION("""COMPUTED_VALUE"""),44436.99861111111)</f>
        <v>44436.99861</v>
      </c>
      <c r="B1799" s="433">
        <f>IFERROR(__xludf.DUMMYFUNCTION("""COMPUTED_VALUE"""),48915.17)</f>
        <v>48915.17</v>
      </c>
      <c r="C1799" s="434">
        <f>IFERROR(__xludf.DUMMYFUNCTION("""COMPUTED_VALUE"""),44021.99861111111)</f>
        <v>44021.99861</v>
      </c>
      <c r="D1799" s="433">
        <f>IFERROR(__xludf.DUMMYFUNCTION("""COMPUTED_VALUE"""),246.5496)</f>
        <v>246.5496</v>
      </c>
    </row>
    <row r="1800">
      <c r="A1800" s="434">
        <f>IFERROR(__xludf.DUMMYFUNCTION("""COMPUTED_VALUE"""),44437.99861111111)</f>
        <v>44437.99861</v>
      </c>
      <c r="B1800" s="433">
        <f>IFERROR(__xludf.DUMMYFUNCTION("""COMPUTED_VALUE"""),48802.72)</f>
        <v>48802.72</v>
      </c>
      <c r="C1800" s="434">
        <f>IFERROR(__xludf.DUMMYFUNCTION("""COMPUTED_VALUE"""),44022.99861111111)</f>
        <v>44022.99861</v>
      </c>
      <c r="D1800" s="433">
        <f>IFERROR(__xludf.DUMMYFUNCTION("""COMPUTED_VALUE"""),242.4987)</f>
        <v>242.4987</v>
      </c>
    </row>
    <row r="1801">
      <c r="A1801" s="434">
        <f>IFERROR(__xludf.DUMMYFUNCTION("""COMPUTED_VALUE"""),44438.99861111111)</f>
        <v>44438.99861</v>
      </c>
      <c r="B1801" s="433">
        <f>IFERROR(__xludf.DUMMYFUNCTION("""COMPUTED_VALUE"""),46996.51)</f>
        <v>46996.51</v>
      </c>
      <c r="C1801" s="434">
        <f>IFERROR(__xludf.DUMMYFUNCTION("""COMPUTED_VALUE"""),44023.99861111111)</f>
        <v>44023.99861</v>
      </c>
      <c r="D1801" s="433">
        <f>IFERROR(__xludf.DUMMYFUNCTION("""COMPUTED_VALUE"""),241.1281)</f>
        <v>241.1281</v>
      </c>
    </row>
    <row r="1802">
      <c r="A1802" s="434">
        <f>IFERROR(__xludf.DUMMYFUNCTION("""COMPUTED_VALUE"""),44439.99861111111)</f>
        <v>44439.99861</v>
      </c>
      <c r="B1802" s="433">
        <f>IFERROR(__xludf.DUMMYFUNCTION("""COMPUTED_VALUE"""),47135.83)</f>
        <v>47135.83</v>
      </c>
      <c r="C1802" s="434">
        <f>IFERROR(__xludf.DUMMYFUNCTION("""COMPUTED_VALUE"""),44024.99861111111)</f>
        <v>44024.99861</v>
      </c>
      <c r="D1802" s="433">
        <f>IFERROR(__xludf.DUMMYFUNCTION("""COMPUTED_VALUE"""),239.4342)</f>
        <v>239.4342</v>
      </c>
    </row>
    <row r="1803">
      <c r="A1803" s="434">
        <f>IFERROR(__xludf.DUMMYFUNCTION("""COMPUTED_VALUE"""),44440.99861111111)</f>
        <v>44440.99861</v>
      </c>
      <c r="B1803" s="433">
        <f>IFERROR(__xludf.DUMMYFUNCTION("""COMPUTED_VALUE"""),48864.18)</f>
        <v>48864.18</v>
      </c>
      <c r="C1803" s="434">
        <f>IFERROR(__xludf.DUMMYFUNCTION("""COMPUTED_VALUE"""),44025.99861111111)</f>
        <v>44025.99861</v>
      </c>
      <c r="D1803" s="433">
        <f>IFERROR(__xludf.DUMMYFUNCTION("""COMPUTED_VALUE"""),242.6157)</f>
        <v>242.6157</v>
      </c>
    </row>
    <row r="1804">
      <c r="A1804" s="434">
        <f>IFERROR(__xludf.DUMMYFUNCTION("""COMPUTED_VALUE"""),44441.99861111111)</f>
        <v>44441.99861</v>
      </c>
      <c r="B1804" s="433">
        <f>IFERROR(__xludf.DUMMYFUNCTION("""COMPUTED_VALUE"""),49295.96)</f>
        <v>49295.96</v>
      </c>
      <c r="C1804" s="434">
        <f>IFERROR(__xludf.DUMMYFUNCTION("""COMPUTED_VALUE"""),44026.99861111111)</f>
        <v>44026.99861</v>
      </c>
      <c r="D1804" s="433">
        <f>IFERROR(__xludf.DUMMYFUNCTION("""COMPUTED_VALUE"""),239.4921)</f>
        <v>239.4921</v>
      </c>
    </row>
    <row r="1805">
      <c r="A1805" s="434">
        <f>IFERROR(__xludf.DUMMYFUNCTION("""COMPUTED_VALUE"""),44442.99861111111)</f>
        <v>44442.99861</v>
      </c>
      <c r="B1805" s="433">
        <f>IFERROR(__xludf.DUMMYFUNCTION("""COMPUTED_VALUE"""),50014.34)</f>
        <v>50014.34</v>
      </c>
      <c r="C1805" s="434">
        <f>IFERROR(__xludf.DUMMYFUNCTION("""COMPUTED_VALUE"""),44027.99861111111)</f>
        <v>44027.99861</v>
      </c>
      <c r="D1805" s="433">
        <f>IFERROR(__xludf.DUMMYFUNCTION("""COMPUTED_VALUE"""),240.3611)</f>
        <v>240.3611</v>
      </c>
    </row>
    <row r="1806">
      <c r="A1806" s="434">
        <f>IFERROR(__xludf.DUMMYFUNCTION("""COMPUTED_VALUE"""),44443.99861111111)</f>
        <v>44443.99861</v>
      </c>
      <c r="B1806" s="433">
        <f>IFERROR(__xludf.DUMMYFUNCTION("""COMPUTED_VALUE"""),49938.51)</f>
        <v>49938.51</v>
      </c>
      <c r="C1806" s="434">
        <f>IFERROR(__xludf.DUMMYFUNCTION("""COMPUTED_VALUE"""),44028.99861111111)</f>
        <v>44028.99861</v>
      </c>
      <c r="D1806" s="433">
        <f>IFERROR(__xludf.DUMMYFUNCTION("""COMPUTED_VALUE"""),238.4738)</f>
        <v>238.4738</v>
      </c>
    </row>
    <row r="1807">
      <c r="A1807" s="434">
        <f>IFERROR(__xludf.DUMMYFUNCTION("""COMPUTED_VALUE"""),44444.99861111111)</f>
        <v>44444.99861</v>
      </c>
      <c r="B1807" s="433">
        <f>IFERROR(__xludf.DUMMYFUNCTION("""COMPUTED_VALUE"""),51783.77)</f>
        <v>51783.77</v>
      </c>
      <c r="C1807" s="434">
        <f>IFERROR(__xludf.DUMMYFUNCTION("""COMPUTED_VALUE"""),44029.99861111111)</f>
        <v>44029.99861</v>
      </c>
      <c r="D1807" s="433">
        <f>IFERROR(__xludf.DUMMYFUNCTION("""COMPUTED_VALUE"""),233.6811)</f>
        <v>233.6811</v>
      </c>
    </row>
    <row r="1808">
      <c r="A1808" s="434">
        <f>IFERROR(__xludf.DUMMYFUNCTION("""COMPUTED_VALUE"""),44445.99861111111)</f>
        <v>44445.99861</v>
      </c>
      <c r="B1808" s="433">
        <f>IFERROR(__xludf.DUMMYFUNCTION("""COMPUTED_VALUE"""),52686.86)</f>
        <v>52686.86</v>
      </c>
      <c r="C1808" s="434">
        <f>IFERROR(__xludf.DUMMYFUNCTION("""COMPUTED_VALUE"""),44030.99861111111)</f>
        <v>44030.99861</v>
      </c>
      <c r="D1808" s="433">
        <f>IFERROR(__xludf.DUMMYFUNCTION("""COMPUTED_VALUE"""),232.7284)</f>
        <v>232.7284</v>
      </c>
    </row>
    <row r="1809">
      <c r="A1809" s="434">
        <f>IFERROR(__xludf.DUMMYFUNCTION("""COMPUTED_VALUE"""),44446.99861111111)</f>
        <v>44446.99861</v>
      </c>
      <c r="B1809" s="433">
        <f>IFERROR(__xludf.DUMMYFUNCTION("""COMPUTED_VALUE"""),46796.45)</f>
        <v>46796.45</v>
      </c>
      <c r="C1809" s="434">
        <f>IFERROR(__xludf.DUMMYFUNCTION("""COMPUTED_VALUE"""),44031.99861111111)</f>
        <v>44031.99861</v>
      </c>
      <c r="D1809" s="433">
        <f>IFERROR(__xludf.DUMMYFUNCTION("""COMPUTED_VALUE"""),235.4284)</f>
        <v>235.4284</v>
      </c>
    </row>
    <row r="1810">
      <c r="A1810" s="434">
        <f>IFERROR(__xludf.DUMMYFUNCTION("""COMPUTED_VALUE"""),44447.99861111111)</f>
        <v>44447.99861</v>
      </c>
      <c r="B1810" s="433">
        <f>IFERROR(__xludf.DUMMYFUNCTION("""COMPUTED_VALUE"""),46074.31)</f>
        <v>46074.31</v>
      </c>
      <c r="C1810" s="434">
        <f>IFERROR(__xludf.DUMMYFUNCTION("""COMPUTED_VALUE"""),44032.99861111111)</f>
        <v>44032.99861</v>
      </c>
      <c r="D1810" s="433">
        <f>IFERROR(__xludf.DUMMYFUNCTION("""COMPUTED_VALUE"""),239.3038)</f>
        <v>239.3038</v>
      </c>
    </row>
    <row r="1811">
      <c r="A1811" s="434">
        <f>IFERROR(__xludf.DUMMYFUNCTION("""COMPUTED_VALUE"""),44448.99861111111)</f>
        <v>44448.99861</v>
      </c>
      <c r="B1811" s="433">
        <f>IFERROR(__xludf.DUMMYFUNCTION("""COMPUTED_VALUE"""),46386.34)</f>
        <v>46386.34</v>
      </c>
      <c r="C1811" s="434">
        <f>IFERROR(__xludf.DUMMYFUNCTION("""COMPUTED_VALUE"""),44033.99861111111)</f>
        <v>44033.99861</v>
      </c>
      <c r="D1811" s="433">
        <f>IFERROR(__xludf.DUMMYFUNCTION("""COMPUTED_VALUE"""),235.7295)</f>
        <v>235.7295</v>
      </c>
    </row>
    <row r="1812">
      <c r="A1812" s="434">
        <f>IFERROR(__xludf.DUMMYFUNCTION("""COMPUTED_VALUE"""),44449.99861111111)</f>
        <v>44449.99861</v>
      </c>
      <c r="B1812" s="433">
        <f>IFERROR(__xludf.DUMMYFUNCTION("""COMPUTED_VALUE"""),44844.22)</f>
        <v>44844.22</v>
      </c>
      <c r="C1812" s="434">
        <f>IFERROR(__xludf.DUMMYFUNCTION("""COMPUTED_VALUE"""),44034.99861111111)</f>
        <v>44034.99861</v>
      </c>
      <c r="D1812" s="433">
        <f>IFERROR(__xludf.DUMMYFUNCTION("""COMPUTED_VALUE"""),245.1335)</f>
        <v>245.1335</v>
      </c>
    </row>
    <row r="1813">
      <c r="A1813" s="434">
        <f>IFERROR(__xludf.DUMMYFUNCTION("""COMPUTED_VALUE"""),44450.99861111111)</f>
        <v>44450.99861</v>
      </c>
      <c r="B1813" s="433">
        <f>IFERROR(__xludf.DUMMYFUNCTION("""COMPUTED_VALUE"""),45164.73)</f>
        <v>45164.73</v>
      </c>
      <c r="C1813" s="434">
        <f>IFERROR(__xludf.DUMMYFUNCTION("""COMPUTED_VALUE"""),44035.99861111111)</f>
        <v>44035.99861</v>
      </c>
      <c r="D1813" s="433">
        <f>IFERROR(__xludf.DUMMYFUNCTION("""COMPUTED_VALUE"""),261.7687)</f>
        <v>261.7687</v>
      </c>
    </row>
    <row r="1814">
      <c r="A1814" s="434">
        <f>IFERROR(__xludf.DUMMYFUNCTION("""COMPUTED_VALUE"""),44451.99861111111)</f>
        <v>44451.99861</v>
      </c>
      <c r="B1814" s="433">
        <f>IFERROR(__xludf.DUMMYFUNCTION("""COMPUTED_VALUE"""),46060.68)</f>
        <v>46060.68</v>
      </c>
      <c r="C1814" s="434">
        <f>IFERROR(__xludf.DUMMYFUNCTION("""COMPUTED_VALUE"""),44036.99861111111)</f>
        <v>44036.99861</v>
      </c>
      <c r="D1814" s="433">
        <f>IFERROR(__xludf.DUMMYFUNCTION("""COMPUTED_VALUE"""),274.6874)</f>
        <v>274.6874</v>
      </c>
    </row>
    <row r="1815">
      <c r="A1815" s="434">
        <f>IFERROR(__xludf.DUMMYFUNCTION("""COMPUTED_VALUE"""),44452.99861111111)</f>
        <v>44452.99861</v>
      </c>
      <c r="B1815" s="433">
        <f>IFERROR(__xludf.DUMMYFUNCTION("""COMPUTED_VALUE"""),44949.85)</f>
        <v>44949.85</v>
      </c>
      <c r="C1815" s="434">
        <f>IFERROR(__xludf.DUMMYFUNCTION("""COMPUTED_VALUE"""),44037.99861111111)</f>
        <v>44037.99861</v>
      </c>
      <c r="D1815" s="433">
        <f>IFERROR(__xludf.DUMMYFUNCTION("""COMPUTED_VALUE"""),279.3281)</f>
        <v>279.3281</v>
      </c>
    </row>
    <row r="1816">
      <c r="A1816" s="434">
        <f>IFERROR(__xludf.DUMMYFUNCTION("""COMPUTED_VALUE"""),44453.99861111111)</f>
        <v>44453.99861</v>
      </c>
      <c r="B1816" s="433">
        <f>IFERROR(__xludf.DUMMYFUNCTION("""COMPUTED_VALUE"""),47069.52)</f>
        <v>47069.52</v>
      </c>
      <c r="C1816" s="434">
        <f>IFERROR(__xludf.DUMMYFUNCTION("""COMPUTED_VALUE"""),44038.99861111111)</f>
        <v>44038.99861</v>
      </c>
      <c r="D1816" s="433">
        <f>IFERROR(__xludf.DUMMYFUNCTION("""COMPUTED_VALUE"""),303.8394)</f>
        <v>303.8394</v>
      </c>
    </row>
    <row r="1817">
      <c r="A1817" s="434">
        <f>IFERROR(__xludf.DUMMYFUNCTION("""COMPUTED_VALUE"""),44454.99861111111)</f>
        <v>44454.99861</v>
      </c>
      <c r="B1817" s="433">
        <f>IFERROR(__xludf.DUMMYFUNCTION("""COMPUTED_VALUE"""),48143.54)</f>
        <v>48143.54</v>
      </c>
      <c r="C1817" s="434">
        <f>IFERROR(__xludf.DUMMYFUNCTION("""COMPUTED_VALUE"""),44039.99861111111)</f>
        <v>44039.99861</v>
      </c>
      <c r="D1817" s="433">
        <f>IFERROR(__xludf.DUMMYFUNCTION("""COMPUTED_VALUE"""),310.2623)</f>
        <v>310.2623</v>
      </c>
    </row>
    <row r="1818">
      <c r="A1818" s="434">
        <f>IFERROR(__xludf.DUMMYFUNCTION("""COMPUTED_VALUE"""),44455.99861111111)</f>
        <v>44455.99861</v>
      </c>
      <c r="B1818" s="433">
        <f>IFERROR(__xludf.DUMMYFUNCTION("""COMPUTED_VALUE"""),47767.87)</f>
        <v>47767.87</v>
      </c>
      <c r="C1818" s="434">
        <f>IFERROR(__xludf.DUMMYFUNCTION("""COMPUTED_VALUE"""),44040.99861111111)</f>
        <v>44040.99861</v>
      </c>
      <c r="D1818" s="433">
        <f>IFERROR(__xludf.DUMMYFUNCTION("""COMPUTED_VALUE"""),322.8578)</f>
        <v>322.8578</v>
      </c>
    </row>
    <row r="1819">
      <c r="A1819" s="434">
        <f>IFERROR(__xludf.DUMMYFUNCTION("""COMPUTED_VALUE"""),44456.99861111111)</f>
        <v>44456.99861</v>
      </c>
      <c r="B1819" s="433">
        <f>IFERROR(__xludf.DUMMYFUNCTION("""COMPUTED_VALUE"""),47282.57)</f>
        <v>47282.57</v>
      </c>
      <c r="C1819" s="434">
        <f>IFERROR(__xludf.DUMMYFUNCTION("""COMPUTED_VALUE"""),44041.99861111111)</f>
        <v>44041.99861</v>
      </c>
      <c r="D1819" s="433">
        <f>IFERROR(__xludf.DUMMYFUNCTION("""COMPUTED_VALUE"""),317.0332)</f>
        <v>317.0332</v>
      </c>
    </row>
    <row r="1820">
      <c r="A1820" s="434">
        <f>IFERROR(__xludf.DUMMYFUNCTION("""COMPUTED_VALUE"""),44457.99861111111)</f>
        <v>44457.99861</v>
      </c>
      <c r="B1820" s="433">
        <f>IFERROR(__xludf.DUMMYFUNCTION("""COMPUTED_VALUE"""),48306.64)</f>
        <v>48306.64</v>
      </c>
      <c r="C1820" s="434">
        <f>IFERROR(__xludf.DUMMYFUNCTION("""COMPUTED_VALUE"""),44042.99861111111)</f>
        <v>44042.99861</v>
      </c>
      <c r="D1820" s="433">
        <f>IFERROR(__xludf.DUMMYFUNCTION("""COMPUTED_VALUE"""),317.489)</f>
        <v>317.489</v>
      </c>
    </row>
    <row r="1821">
      <c r="A1821" s="434">
        <f>IFERROR(__xludf.DUMMYFUNCTION("""COMPUTED_VALUE"""),44458.99861111111)</f>
        <v>44458.99861</v>
      </c>
      <c r="B1821" s="433">
        <f>IFERROR(__xludf.DUMMYFUNCTION("""COMPUTED_VALUE"""),47246.58)</f>
        <v>47246.58</v>
      </c>
      <c r="C1821" s="434">
        <f>IFERROR(__xludf.DUMMYFUNCTION("""COMPUTED_VALUE"""),44043.99861111111)</f>
        <v>44043.99861</v>
      </c>
      <c r="D1821" s="433">
        <f>IFERROR(__xludf.DUMMYFUNCTION("""COMPUTED_VALUE"""),335.3754)</f>
        <v>335.3754</v>
      </c>
    </row>
    <row r="1822">
      <c r="A1822" s="434">
        <f>IFERROR(__xludf.DUMMYFUNCTION("""COMPUTED_VALUE"""),44459.99861111111)</f>
        <v>44459.99861</v>
      </c>
      <c r="B1822" s="433">
        <f>IFERROR(__xludf.DUMMYFUNCTION("""COMPUTED_VALUE"""),42945.56)</f>
        <v>42945.56</v>
      </c>
      <c r="C1822" s="434">
        <f>IFERROR(__xludf.DUMMYFUNCTION("""COMPUTED_VALUE"""),44044.99861111111)</f>
        <v>44044.99861</v>
      </c>
      <c r="D1822" s="433">
        <f>IFERROR(__xludf.DUMMYFUNCTION("""COMPUTED_VALUE"""),346.5904)</f>
        <v>346.5904</v>
      </c>
    </row>
    <row r="1823">
      <c r="A1823" s="434">
        <f>IFERROR(__xludf.DUMMYFUNCTION("""COMPUTED_VALUE"""),44460.99861111111)</f>
        <v>44460.99861</v>
      </c>
      <c r="B1823" s="433">
        <f>IFERROR(__xludf.DUMMYFUNCTION("""COMPUTED_VALUE"""),40585.24)</f>
        <v>40585.24</v>
      </c>
      <c r="C1823" s="434">
        <f>IFERROR(__xludf.DUMMYFUNCTION("""COMPUTED_VALUE"""),44045.99861111111)</f>
        <v>44045.99861</v>
      </c>
      <c r="D1823" s="433">
        <f>IFERROR(__xludf.DUMMYFUNCTION("""COMPUTED_VALUE"""),386.0077)</f>
        <v>386.0077</v>
      </c>
    </row>
    <row r="1824">
      <c r="A1824" s="434">
        <f>IFERROR(__xludf.DUMMYFUNCTION("""COMPUTED_VALUE"""),44461.99861111111)</f>
        <v>44461.99861</v>
      </c>
      <c r="B1824" s="433">
        <f>IFERROR(__xludf.DUMMYFUNCTION("""COMPUTED_VALUE"""),43583.85)</f>
        <v>43583.85</v>
      </c>
      <c r="C1824" s="434">
        <f>IFERROR(__xludf.DUMMYFUNCTION("""COMPUTED_VALUE"""),44046.99861111111)</f>
        <v>44046.99861</v>
      </c>
      <c r="D1824" s="433">
        <f>IFERROR(__xludf.DUMMYFUNCTION("""COMPUTED_VALUE"""),370.5468)</f>
        <v>370.5468</v>
      </c>
    </row>
    <row r="1825">
      <c r="A1825" s="434">
        <f>IFERROR(__xludf.DUMMYFUNCTION("""COMPUTED_VALUE"""),44462.99861111111)</f>
        <v>44462.99861</v>
      </c>
      <c r="B1825" s="433">
        <f>IFERROR(__xludf.DUMMYFUNCTION("""COMPUTED_VALUE"""),44888.98)</f>
        <v>44888.98</v>
      </c>
      <c r="C1825" s="434">
        <f>IFERROR(__xludf.DUMMYFUNCTION("""COMPUTED_VALUE"""),44047.99861111111)</f>
        <v>44047.99861</v>
      </c>
      <c r="D1825" s="433">
        <f>IFERROR(__xludf.DUMMYFUNCTION("""COMPUTED_VALUE"""),387.465)</f>
        <v>387.465</v>
      </c>
    </row>
    <row r="1826">
      <c r="A1826" s="434">
        <f>IFERROR(__xludf.DUMMYFUNCTION("""COMPUTED_VALUE"""),44463.99861111111)</f>
        <v>44463.99861</v>
      </c>
      <c r="B1826" s="433">
        <f>IFERROR(__xludf.DUMMYFUNCTION("""COMPUTED_VALUE"""),42836.94)</f>
        <v>42836.94</v>
      </c>
      <c r="C1826" s="434">
        <f>IFERROR(__xludf.DUMMYFUNCTION("""COMPUTED_VALUE"""),44048.99861111111)</f>
        <v>44048.99861</v>
      </c>
      <c r="D1826" s="433">
        <f>IFERROR(__xludf.DUMMYFUNCTION("""COMPUTED_VALUE"""),390.6572)</f>
        <v>390.6572</v>
      </c>
    </row>
    <row r="1827">
      <c r="A1827" s="434">
        <f>IFERROR(__xludf.DUMMYFUNCTION("""COMPUTED_VALUE"""),44464.99861111111)</f>
        <v>44464.99861</v>
      </c>
      <c r="B1827" s="433">
        <f>IFERROR(__xludf.DUMMYFUNCTION("""COMPUTED_VALUE"""),42707.03)</f>
        <v>42707.03</v>
      </c>
      <c r="C1827" s="434">
        <f>IFERROR(__xludf.DUMMYFUNCTION("""COMPUTED_VALUE"""),44049.99861111111)</f>
        <v>44049.99861</v>
      </c>
      <c r="D1827" s="433">
        <f>IFERROR(__xludf.DUMMYFUNCTION("""COMPUTED_VALUE"""),402.4433)</f>
        <v>402.4433</v>
      </c>
    </row>
    <row r="1828">
      <c r="A1828" s="434">
        <f>IFERROR(__xludf.DUMMYFUNCTION("""COMPUTED_VALUE"""),44465.99861111111)</f>
        <v>44465.99861</v>
      </c>
      <c r="B1828" s="433">
        <f>IFERROR(__xludf.DUMMYFUNCTION("""COMPUTED_VALUE"""),43169.61)</f>
        <v>43169.61</v>
      </c>
      <c r="C1828" s="434">
        <f>IFERROR(__xludf.DUMMYFUNCTION("""COMPUTED_VALUE"""),44050.99861111111)</f>
        <v>44050.99861</v>
      </c>
      <c r="D1828" s="433">
        <f>IFERROR(__xludf.DUMMYFUNCTION("""COMPUTED_VALUE"""),394.9491)</f>
        <v>394.9491</v>
      </c>
    </row>
    <row r="1829">
      <c r="A1829" s="434">
        <f>IFERROR(__xludf.DUMMYFUNCTION("""COMPUTED_VALUE"""),44466.99861111111)</f>
        <v>44466.99861</v>
      </c>
      <c r="B1829" s="433">
        <f>IFERROR(__xludf.DUMMYFUNCTION("""COMPUTED_VALUE"""),42204.58)</f>
        <v>42204.58</v>
      </c>
      <c r="C1829" s="434">
        <f>IFERROR(__xludf.DUMMYFUNCTION("""COMPUTED_VALUE"""),44051.99861111111)</f>
        <v>44051.99861</v>
      </c>
      <c r="D1829" s="433">
        <f>IFERROR(__xludf.DUMMYFUNCTION("""COMPUTED_VALUE"""),378.8452)</f>
        <v>378.8452</v>
      </c>
    </row>
    <row r="1830">
      <c r="A1830" s="434">
        <f>IFERROR(__xludf.DUMMYFUNCTION("""COMPUTED_VALUE"""),44467.99861111111)</f>
        <v>44467.99861</v>
      </c>
      <c r="B1830" s="433">
        <f>IFERROR(__xludf.DUMMYFUNCTION("""COMPUTED_VALUE"""),41046.57)</f>
        <v>41046.57</v>
      </c>
      <c r="C1830" s="434">
        <f>IFERROR(__xludf.DUMMYFUNCTION("""COMPUTED_VALUE"""),44052.99861111111)</f>
        <v>44052.99861</v>
      </c>
      <c r="D1830" s="433">
        <f>IFERROR(__xludf.DUMMYFUNCTION("""COMPUTED_VALUE"""),396.6801)</f>
        <v>396.6801</v>
      </c>
    </row>
    <row r="1831">
      <c r="A1831" s="434">
        <f>IFERROR(__xludf.DUMMYFUNCTION("""COMPUTED_VALUE"""),44468.99861111111)</f>
        <v>44468.99861</v>
      </c>
      <c r="B1831" s="433">
        <f>IFERROR(__xludf.DUMMYFUNCTION("""COMPUTED_VALUE"""),41540.94)</f>
        <v>41540.94</v>
      </c>
      <c r="C1831" s="434">
        <f>IFERROR(__xludf.DUMMYFUNCTION("""COMPUTED_VALUE"""),44053.99861111111)</f>
        <v>44053.99861</v>
      </c>
      <c r="D1831" s="433">
        <f>IFERROR(__xludf.DUMMYFUNCTION("""COMPUTED_VALUE"""),391.6359)</f>
        <v>391.6359</v>
      </c>
    </row>
    <row r="1832">
      <c r="A1832" s="434">
        <f>IFERROR(__xludf.DUMMYFUNCTION("""COMPUTED_VALUE"""),44469.99861111111)</f>
        <v>44469.99861</v>
      </c>
      <c r="B1832" s="433">
        <f>IFERROR(__xludf.DUMMYFUNCTION("""COMPUTED_VALUE"""),43788.04)</f>
        <v>43788.04</v>
      </c>
      <c r="C1832" s="434">
        <f>IFERROR(__xludf.DUMMYFUNCTION("""COMPUTED_VALUE"""),44054.99861111111)</f>
        <v>44054.99861</v>
      </c>
      <c r="D1832" s="433">
        <f>IFERROR(__xludf.DUMMYFUNCTION("""COMPUTED_VALUE"""),396.358)</f>
        <v>396.358</v>
      </c>
    </row>
    <row r="1833">
      <c r="A1833" s="434">
        <f>IFERROR(__xludf.DUMMYFUNCTION("""COMPUTED_VALUE"""),44470.99861111111)</f>
        <v>44470.99861</v>
      </c>
      <c r="B1833" s="433">
        <f>IFERROR(__xludf.DUMMYFUNCTION("""COMPUTED_VALUE"""),48144.0)</f>
        <v>48144</v>
      </c>
      <c r="C1833" s="434">
        <f>IFERROR(__xludf.DUMMYFUNCTION("""COMPUTED_VALUE"""),44055.99861111111)</f>
        <v>44055.99861</v>
      </c>
      <c r="D1833" s="433">
        <f>IFERROR(__xludf.DUMMYFUNCTION("""COMPUTED_VALUE"""),379.4686)</f>
        <v>379.4686</v>
      </c>
    </row>
    <row r="1834">
      <c r="A1834" s="434">
        <f>IFERROR(__xludf.DUMMYFUNCTION("""COMPUTED_VALUE"""),44471.99861111111)</f>
        <v>44471.99861</v>
      </c>
      <c r="B1834" s="433">
        <f>IFERROR(__xludf.DUMMYFUNCTION("""COMPUTED_VALUE"""),47675.17)</f>
        <v>47675.17</v>
      </c>
      <c r="C1834" s="434">
        <f>IFERROR(__xludf.DUMMYFUNCTION("""COMPUTED_VALUE"""),44056.99861111111)</f>
        <v>44056.99861</v>
      </c>
      <c r="D1834" s="433">
        <f>IFERROR(__xludf.DUMMYFUNCTION("""COMPUTED_VALUE"""),390.988)</f>
        <v>390.988</v>
      </c>
    </row>
    <row r="1835">
      <c r="A1835" s="434">
        <f>IFERROR(__xludf.DUMMYFUNCTION("""COMPUTED_VALUE"""),44472.99861111111)</f>
        <v>44472.99861</v>
      </c>
      <c r="B1835" s="433">
        <f>IFERROR(__xludf.DUMMYFUNCTION("""COMPUTED_VALUE"""),48228.48)</f>
        <v>48228.48</v>
      </c>
      <c r="C1835" s="434">
        <f>IFERROR(__xludf.DUMMYFUNCTION("""COMPUTED_VALUE"""),44057.99861111111)</f>
        <v>44057.99861</v>
      </c>
      <c r="D1835" s="433">
        <f>IFERROR(__xludf.DUMMYFUNCTION("""COMPUTED_VALUE"""),393.1084)</f>
        <v>393.1084</v>
      </c>
    </row>
    <row r="1836">
      <c r="A1836" s="434">
        <f>IFERROR(__xludf.DUMMYFUNCTION("""COMPUTED_VALUE"""),44473.99861111111)</f>
        <v>44473.99861</v>
      </c>
      <c r="B1836" s="433">
        <f>IFERROR(__xludf.DUMMYFUNCTION("""COMPUTED_VALUE"""),49264.18)</f>
        <v>49264.18</v>
      </c>
      <c r="C1836" s="434">
        <f>IFERROR(__xludf.DUMMYFUNCTION("""COMPUTED_VALUE"""),44058.99861111111)</f>
        <v>44058.99861</v>
      </c>
      <c r="D1836" s="433">
        <f>IFERROR(__xludf.DUMMYFUNCTION("""COMPUTED_VALUE"""),439.0882)</f>
        <v>439.0882</v>
      </c>
    </row>
    <row r="1837">
      <c r="A1837" s="434">
        <f>IFERROR(__xludf.DUMMYFUNCTION("""COMPUTED_VALUE"""),44474.99861111111)</f>
        <v>44474.99861</v>
      </c>
      <c r="B1837" s="433">
        <f>IFERROR(__xludf.DUMMYFUNCTION("""COMPUTED_VALUE"""),51490.58)</f>
        <v>51490.58</v>
      </c>
      <c r="C1837" s="434">
        <f>IFERROR(__xludf.DUMMYFUNCTION("""COMPUTED_VALUE"""),44059.99861111111)</f>
        <v>44059.99861</v>
      </c>
      <c r="D1837" s="433">
        <f>IFERROR(__xludf.DUMMYFUNCTION("""COMPUTED_VALUE"""),433.2065)</f>
        <v>433.2065</v>
      </c>
    </row>
    <row r="1838">
      <c r="A1838" s="434">
        <f>IFERROR(__xludf.DUMMYFUNCTION("""COMPUTED_VALUE"""),44475.99861111111)</f>
        <v>44475.99861</v>
      </c>
      <c r="B1838" s="433">
        <f>IFERROR(__xludf.DUMMYFUNCTION("""COMPUTED_VALUE"""),55338.91)</f>
        <v>55338.91</v>
      </c>
      <c r="C1838" s="434">
        <f>IFERROR(__xludf.DUMMYFUNCTION("""COMPUTED_VALUE"""),44060.99861111111)</f>
        <v>44060.99861</v>
      </c>
      <c r="D1838" s="433">
        <f>IFERROR(__xludf.DUMMYFUNCTION("""COMPUTED_VALUE"""),434.8272)</f>
        <v>434.8272</v>
      </c>
    </row>
    <row r="1839">
      <c r="A1839" s="434">
        <f>IFERROR(__xludf.DUMMYFUNCTION("""COMPUTED_VALUE"""),44476.99861111111)</f>
        <v>44476.99861</v>
      </c>
      <c r="B1839" s="433">
        <f>IFERROR(__xludf.DUMMYFUNCTION("""COMPUTED_VALUE"""),53781.91)</f>
        <v>53781.91</v>
      </c>
      <c r="C1839" s="434">
        <f>IFERROR(__xludf.DUMMYFUNCTION("""COMPUTED_VALUE"""),44061.99861111111)</f>
        <v>44061.99861</v>
      </c>
      <c r="D1839" s="433">
        <f>IFERROR(__xludf.DUMMYFUNCTION("""COMPUTED_VALUE"""),430.7716)</f>
        <v>430.7716</v>
      </c>
    </row>
    <row r="1840">
      <c r="A1840" s="434">
        <f>IFERROR(__xludf.DUMMYFUNCTION("""COMPUTED_VALUE"""),44477.99861111111)</f>
        <v>44477.99861</v>
      </c>
      <c r="B1840" s="433">
        <f>IFERROR(__xludf.DUMMYFUNCTION("""COMPUTED_VALUE"""),53941.22)</f>
        <v>53941.22</v>
      </c>
      <c r="C1840" s="434">
        <f>IFERROR(__xludf.DUMMYFUNCTION("""COMPUTED_VALUE"""),44062.99861111111)</f>
        <v>44062.99861</v>
      </c>
      <c r="D1840" s="433">
        <f>IFERROR(__xludf.DUMMYFUNCTION("""COMPUTED_VALUE"""),424.1897)</f>
        <v>424.1897</v>
      </c>
    </row>
    <row r="1841">
      <c r="A1841" s="434">
        <f>IFERROR(__xludf.DUMMYFUNCTION("""COMPUTED_VALUE"""),44478.99861111111)</f>
        <v>44478.99861</v>
      </c>
      <c r="B1841" s="433">
        <f>IFERROR(__xludf.DUMMYFUNCTION("""COMPUTED_VALUE"""),54963.55)</f>
        <v>54963.55</v>
      </c>
      <c r="C1841" s="434">
        <f>IFERROR(__xludf.DUMMYFUNCTION("""COMPUTED_VALUE"""),44063.99861111111)</f>
        <v>44063.99861</v>
      </c>
      <c r="D1841" s="433">
        <f>IFERROR(__xludf.DUMMYFUNCTION("""COMPUTED_VALUE"""),410.0639)</f>
        <v>410.0639</v>
      </c>
    </row>
    <row r="1842">
      <c r="A1842" s="434">
        <f>IFERROR(__xludf.DUMMYFUNCTION("""COMPUTED_VALUE"""),44479.99861111111)</f>
        <v>44479.99861</v>
      </c>
      <c r="B1842" s="433">
        <f>IFERROR(__xludf.DUMMYFUNCTION("""COMPUTED_VALUE"""),54701.61)</f>
        <v>54701.61</v>
      </c>
      <c r="C1842" s="434">
        <f>IFERROR(__xludf.DUMMYFUNCTION("""COMPUTED_VALUE"""),44064.99861111111)</f>
        <v>44064.99861</v>
      </c>
      <c r="D1842" s="433">
        <f>IFERROR(__xludf.DUMMYFUNCTION("""COMPUTED_VALUE"""),416.7878)</f>
        <v>416.7878</v>
      </c>
    </row>
    <row r="1843">
      <c r="A1843" s="434">
        <f>IFERROR(__xludf.DUMMYFUNCTION("""COMPUTED_VALUE"""),44480.99861111111)</f>
        <v>44480.99861</v>
      </c>
      <c r="B1843" s="433">
        <f>IFERROR(__xludf.DUMMYFUNCTION("""COMPUTED_VALUE"""),57489.84)</f>
        <v>57489.84</v>
      </c>
      <c r="C1843" s="434">
        <f>IFERROR(__xludf.DUMMYFUNCTION("""COMPUTED_VALUE"""),44065.99861111111)</f>
        <v>44065.99861</v>
      </c>
      <c r="D1843" s="433">
        <f>IFERROR(__xludf.DUMMYFUNCTION("""COMPUTED_VALUE"""),389.1683)</f>
        <v>389.1683</v>
      </c>
    </row>
    <row r="1844">
      <c r="A1844" s="434">
        <f>IFERROR(__xludf.DUMMYFUNCTION("""COMPUTED_VALUE"""),44481.99861111111)</f>
        <v>44481.99861</v>
      </c>
      <c r="B1844" s="433">
        <f>IFERROR(__xludf.DUMMYFUNCTION("""COMPUTED_VALUE"""),56008.42)</f>
        <v>56008.42</v>
      </c>
      <c r="C1844" s="434">
        <f>IFERROR(__xludf.DUMMYFUNCTION("""COMPUTED_VALUE"""),44066.99861111111)</f>
        <v>44066.99861</v>
      </c>
      <c r="D1844" s="433">
        <f>IFERROR(__xludf.DUMMYFUNCTION("""COMPUTED_VALUE"""),396.0147)</f>
        <v>396.0147</v>
      </c>
    </row>
    <row r="1845">
      <c r="A1845" s="434">
        <f>IFERROR(__xludf.DUMMYFUNCTION("""COMPUTED_VALUE"""),44482.99861111111)</f>
        <v>44482.99861</v>
      </c>
      <c r="B1845" s="433">
        <f>IFERROR(__xludf.DUMMYFUNCTION("""COMPUTED_VALUE"""),57383.79)</f>
        <v>57383.79</v>
      </c>
      <c r="C1845" s="434">
        <f>IFERROR(__xludf.DUMMYFUNCTION("""COMPUTED_VALUE"""),44067.99861111111)</f>
        <v>44067.99861</v>
      </c>
      <c r="D1845" s="433">
        <f>IFERROR(__xludf.DUMMYFUNCTION("""COMPUTED_VALUE"""),390.8128)</f>
        <v>390.8128</v>
      </c>
    </row>
    <row r="1846">
      <c r="A1846" s="434">
        <f>IFERROR(__xludf.DUMMYFUNCTION("""COMPUTED_VALUE"""),44483.99861111111)</f>
        <v>44483.99861</v>
      </c>
      <c r="B1846" s="433">
        <f>IFERROR(__xludf.DUMMYFUNCTION("""COMPUTED_VALUE"""),57351.45)</f>
        <v>57351.45</v>
      </c>
      <c r="C1846" s="434">
        <f>IFERROR(__xludf.DUMMYFUNCTION("""COMPUTED_VALUE"""),44068.99861111111)</f>
        <v>44068.99861</v>
      </c>
      <c r="D1846" s="433">
        <f>IFERROR(__xludf.DUMMYFUNCTION("""COMPUTED_VALUE"""),408.3672)</f>
        <v>408.3672</v>
      </c>
    </row>
    <row r="1847">
      <c r="A1847" s="434">
        <f>IFERROR(__xludf.DUMMYFUNCTION("""COMPUTED_VALUE"""),44484.99861111111)</f>
        <v>44484.99861</v>
      </c>
      <c r="B1847" s="433">
        <f>IFERROR(__xludf.DUMMYFUNCTION("""COMPUTED_VALUE"""),61663.95)</f>
        <v>61663.95</v>
      </c>
      <c r="C1847" s="434">
        <f>IFERROR(__xludf.DUMMYFUNCTION("""COMPUTED_VALUE"""),44069.99861111111)</f>
        <v>44069.99861</v>
      </c>
      <c r="D1847" s="433">
        <f>IFERROR(__xludf.DUMMYFUNCTION("""COMPUTED_VALUE"""),382.8756)</f>
        <v>382.8756</v>
      </c>
    </row>
    <row r="1848">
      <c r="A1848" s="434">
        <f>IFERROR(__xludf.DUMMYFUNCTION("""COMPUTED_VALUE"""),44485.99861111111)</f>
        <v>44485.99861</v>
      </c>
      <c r="B1848" s="433">
        <f>IFERROR(__xludf.DUMMYFUNCTION("""COMPUTED_VALUE"""),60863.94)</f>
        <v>60863.94</v>
      </c>
      <c r="C1848" s="434">
        <f>IFERROR(__xludf.DUMMYFUNCTION("""COMPUTED_VALUE"""),44070.99861111111)</f>
        <v>44070.99861</v>
      </c>
      <c r="D1848" s="433">
        <f>IFERROR(__xludf.DUMMYFUNCTION("""COMPUTED_VALUE"""),387.0296)</f>
        <v>387.0296</v>
      </c>
    </row>
    <row r="1849">
      <c r="A1849" s="434">
        <f>IFERROR(__xludf.DUMMYFUNCTION("""COMPUTED_VALUE"""),44486.99861111111)</f>
        <v>44486.99861</v>
      </c>
      <c r="B1849" s="433">
        <f>IFERROR(__xludf.DUMMYFUNCTION("""COMPUTED_VALUE"""),61522.43)</f>
        <v>61522.43</v>
      </c>
      <c r="C1849" s="434">
        <f>IFERROR(__xludf.DUMMYFUNCTION("""COMPUTED_VALUE"""),44071.99861111111)</f>
        <v>44071.99861</v>
      </c>
      <c r="D1849" s="433">
        <f>IFERROR(__xludf.DUMMYFUNCTION("""COMPUTED_VALUE"""),382.5091)</f>
        <v>382.5091</v>
      </c>
    </row>
    <row r="1850">
      <c r="A1850" s="434">
        <f>IFERROR(__xludf.DUMMYFUNCTION("""COMPUTED_VALUE"""),44487.99861111111)</f>
        <v>44487.99861</v>
      </c>
      <c r="B1850" s="433">
        <f>IFERROR(__xludf.DUMMYFUNCTION("""COMPUTED_VALUE"""),62038.73)</f>
        <v>62038.73</v>
      </c>
      <c r="C1850" s="434">
        <f>IFERROR(__xludf.DUMMYFUNCTION("""COMPUTED_VALUE"""),44072.99861111111)</f>
        <v>44072.99861</v>
      </c>
      <c r="D1850" s="433">
        <f>IFERROR(__xludf.DUMMYFUNCTION("""COMPUTED_VALUE"""),395.8563)</f>
        <v>395.8563</v>
      </c>
    </row>
    <row r="1851">
      <c r="A1851" s="434">
        <f>IFERROR(__xludf.DUMMYFUNCTION("""COMPUTED_VALUE"""),44488.99861111111)</f>
        <v>44488.99861</v>
      </c>
      <c r="B1851" s="433">
        <f>IFERROR(__xludf.DUMMYFUNCTION("""COMPUTED_VALUE"""),64244.74)</f>
        <v>64244.74</v>
      </c>
      <c r="C1851" s="434">
        <f>IFERROR(__xludf.DUMMYFUNCTION("""COMPUTED_VALUE"""),44073.99861111111)</f>
        <v>44073.99861</v>
      </c>
      <c r="D1851" s="433">
        <f>IFERROR(__xludf.DUMMYFUNCTION("""COMPUTED_VALUE"""),399.8397)</f>
        <v>399.8397</v>
      </c>
    </row>
    <row r="1852">
      <c r="A1852" s="434">
        <f>IFERROR(__xludf.DUMMYFUNCTION("""COMPUTED_VALUE"""),44489.99861111111)</f>
        <v>44489.99861</v>
      </c>
      <c r="B1852" s="433">
        <f>IFERROR(__xludf.DUMMYFUNCTION("""COMPUTED_VALUE"""),65991.54)</f>
        <v>65991.54</v>
      </c>
      <c r="C1852" s="434">
        <f>IFERROR(__xludf.DUMMYFUNCTION("""COMPUTED_VALUE"""),44074.99861111111)</f>
        <v>44074.99861</v>
      </c>
      <c r="D1852" s="433">
        <f>IFERROR(__xludf.DUMMYFUNCTION("""COMPUTED_VALUE"""),428.9276)</f>
        <v>428.9276</v>
      </c>
    </row>
    <row r="1853">
      <c r="A1853" s="434">
        <f>IFERROR(__xludf.DUMMYFUNCTION("""COMPUTED_VALUE"""),44490.99861111111)</f>
        <v>44490.99861</v>
      </c>
      <c r="B1853" s="433">
        <f>IFERROR(__xludf.DUMMYFUNCTION("""COMPUTED_VALUE"""),62199.87)</f>
        <v>62199.87</v>
      </c>
      <c r="C1853" s="434">
        <f>IFERROR(__xludf.DUMMYFUNCTION("""COMPUTED_VALUE"""),44075.99861111111)</f>
        <v>44075.99861</v>
      </c>
      <c r="D1853" s="433">
        <f>IFERROR(__xludf.DUMMYFUNCTION("""COMPUTED_VALUE"""),435.3569)</f>
        <v>435.3569</v>
      </c>
    </row>
    <row r="1854">
      <c r="A1854" s="434">
        <f>IFERROR(__xludf.DUMMYFUNCTION("""COMPUTED_VALUE"""),44491.99861111111)</f>
        <v>44491.99861</v>
      </c>
      <c r="B1854" s="433">
        <f>IFERROR(__xludf.DUMMYFUNCTION("""COMPUTED_VALUE"""),60693.99)</f>
        <v>60693.99</v>
      </c>
      <c r="C1854" s="434">
        <f>IFERROR(__xludf.DUMMYFUNCTION("""COMPUTED_VALUE"""),44076.99861111111)</f>
        <v>44076.99861</v>
      </c>
      <c r="D1854" s="433">
        <f>IFERROR(__xludf.DUMMYFUNCTION("""COMPUTED_VALUE"""),478.1112)</f>
        <v>478.1112</v>
      </c>
    </row>
    <row r="1855">
      <c r="A1855" s="434">
        <f>IFERROR(__xludf.DUMMYFUNCTION("""COMPUTED_VALUE"""),44492.99861111111)</f>
        <v>44492.99861</v>
      </c>
      <c r="B1855" s="433">
        <f>IFERROR(__xludf.DUMMYFUNCTION("""COMPUTED_VALUE"""),61334.3)</f>
        <v>61334.3</v>
      </c>
      <c r="C1855" s="434">
        <f>IFERROR(__xludf.DUMMYFUNCTION("""COMPUTED_VALUE"""),44077.99861111111)</f>
        <v>44077.99861</v>
      </c>
      <c r="D1855" s="433">
        <f>IFERROR(__xludf.DUMMYFUNCTION("""COMPUTED_VALUE"""),439.462)</f>
        <v>439.462</v>
      </c>
    </row>
    <row r="1856">
      <c r="A1856" s="434">
        <f>IFERROR(__xludf.DUMMYFUNCTION("""COMPUTED_VALUE"""),44493.99861111111)</f>
        <v>44493.99861</v>
      </c>
      <c r="B1856" s="433">
        <f>IFERROR(__xludf.DUMMYFUNCTION("""COMPUTED_VALUE"""),60857.58)</f>
        <v>60857.58</v>
      </c>
      <c r="C1856" s="434">
        <f>IFERROR(__xludf.DUMMYFUNCTION("""COMPUTED_VALUE"""),44078.99861111111)</f>
        <v>44078.99861</v>
      </c>
      <c r="D1856" s="433">
        <f>IFERROR(__xludf.DUMMYFUNCTION("""COMPUTED_VALUE"""),384.008)</f>
        <v>384.008</v>
      </c>
    </row>
    <row r="1857">
      <c r="A1857" s="434">
        <f>IFERROR(__xludf.DUMMYFUNCTION("""COMPUTED_VALUE"""),44494.99861111111)</f>
        <v>44494.99861</v>
      </c>
      <c r="B1857" s="433">
        <f>IFERROR(__xludf.DUMMYFUNCTION("""COMPUTED_VALUE"""),63069.98)</f>
        <v>63069.98</v>
      </c>
      <c r="C1857" s="434">
        <f>IFERROR(__xludf.DUMMYFUNCTION("""COMPUTED_VALUE"""),44079.99861111111)</f>
        <v>44079.99861</v>
      </c>
      <c r="D1857" s="433">
        <f>IFERROR(__xludf.DUMMYFUNCTION("""COMPUTED_VALUE"""),387.2572)</f>
        <v>387.2572</v>
      </c>
    </row>
    <row r="1858">
      <c r="A1858" s="434">
        <f>IFERROR(__xludf.DUMMYFUNCTION("""COMPUTED_VALUE"""),44495.99861111111)</f>
        <v>44495.99861</v>
      </c>
      <c r="B1858" s="433">
        <f>IFERROR(__xludf.DUMMYFUNCTION("""COMPUTED_VALUE"""),60310.41)</f>
        <v>60310.41</v>
      </c>
      <c r="C1858" s="434">
        <f>IFERROR(__xludf.DUMMYFUNCTION("""COMPUTED_VALUE"""),44080.99861111111)</f>
        <v>44080.99861</v>
      </c>
      <c r="D1858" s="433">
        <f>IFERROR(__xludf.DUMMYFUNCTION("""COMPUTED_VALUE"""),333.3766)</f>
        <v>333.3766</v>
      </c>
    </row>
    <row r="1859">
      <c r="A1859" s="434">
        <f>IFERROR(__xludf.DUMMYFUNCTION("""COMPUTED_VALUE"""),44496.99861111111)</f>
        <v>44496.99861</v>
      </c>
      <c r="B1859" s="433">
        <f>IFERROR(__xludf.DUMMYFUNCTION("""COMPUTED_VALUE"""),58446.06)</f>
        <v>58446.06</v>
      </c>
      <c r="C1859" s="434">
        <f>IFERROR(__xludf.DUMMYFUNCTION("""COMPUTED_VALUE"""),44081.99861111111)</f>
        <v>44081.99861</v>
      </c>
      <c r="D1859" s="433">
        <f>IFERROR(__xludf.DUMMYFUNCTION("""COMPUTED_VALUE"""),353.7415)</f>
        <v>353.7415</v>
      </c>
    </row>
    <row r="1860">
      <c r="A1860" s="434">
        <f>IFERROR(__xludf.DUMMYFUNCTION("""COMPUTED_VALUE"""),44497.99861111111)</f>
        <v>44497.99861</v>
      </c>
      <c r="B1860" s="433">
        <f>IFERROR(__xludf.DUMMYFUNCTION("""COMPUTED_VALUE"""),60596.31)</f>
        <v>60596.31</v>
      </c>
      <c r="C1860" s="434">
        <f>IFERROR(__xludf.DUMMYFUNCTION("""COMPUTED_VALUE"""),44082.99861111111)</f>
        <v>44082.99861</v>
      </c>
      <c r="D1860" s="433">
        <f>IFERROR(__xludf.DUMMYFUNCTION("""COMPUTED_VALUE"""),354.2946)</f>
        <v>354.2946</v>
      </c>
    </row>
    <row r="1861">
      <c r="A1861" s="434">
        <f>IFERROR(__xludf.DUMMYFUNCTION("""COMPUTED_VALUE"""),44498.99861111111)</f>
        <v>44498.99861</v>
      </c>
      <c r="B1861" s="433">
        <f>IFERROR(__xludf.DUMMYFUNCTION("""COMPUTED_VALUE"""),62247.62)</f>
        <v>62247.62</v>
      </c>
      <c r="C1861" s="434">
        <f>IFERROR(__xludf.DUMMYFUNCTION("""COMPUTED_VALUE"""),44083.99861111111)</f>
        <v>44083.99861</v>
      </c>
      <c r="D1861" s="433">
        <f>IFERROR(__xludf.DUMMYFUNCTION("""COMPUTED_VALUE"""),336.825)</f>
        <v>336.825</v>
      </c>
    </row>
    <row r="1862">
      <c r="A1862" s="434">
        <f>IFERROR(__xludf.DUMMYFUNCTION("""COMPUTED_VALUE"""),44499.99861111111)</f>
        <v>44499.99861</v>
      </c>
      <c r="B1862" s="433">
        <f>IFERROR(__xludf.DUMMYFUNCTION("""COMPUTED_VALUE"""),61855.9)</f>
        <v>61855.9</v>
      </c>
      <c r="C1862" s="434">
        <f>IFERROR(__xludf.DUMMYFUNCTION("""COMPUTED_VALUE"""),44084.99861111111)</f>
        <v>44084.99861</v>
      </c>
      <c r="D1862" s="433">
        <f>IFERROR(__xludf.DUMMYFUNCTION("""COMPUTED_VALUE"""),352.1294)</f>
        <v>352.1294</v>
      </c>
    </row>
    <row r="1863">
      <c r="A1863" s="434">
        <f>IFERROR(__xludf.DUMMYFUNCTION("""COMPUTED_VALUE"""),44500.99861111111)</f>
        <v>44500.99861</v>
      </c>
      <c r="B1863" s="433">
        <f>IFERROR(__xludf.DUMMYFUNCTION("""COMPUTED_VALUE"""),61340.66)</f>
        <v>61340.66</v>
      </c>
      <c r="C1863" s="434">
        <f>IFERROR(__xludf.DUMMYFUNCTION("""COMPUTED_VALUE"""),44085.99861111111)</f>
        <v>44085.99861</v>
      </c>
      <c r="D1863" s="433">
        <f>IFERROR(__xludf.DUMMYFUNCTION("""COMPUTED_VALUE"""),368.0825)</f>
        <v>368.0825</v>
      </c>
    </row>
    <row r="1864">
      <c r="A1864" s="434">
        <f>IFERROR(__xludf.DUMMYFUNCTION("""COMPUTED_VALUE"""),44501.99861111111)</f>
        <v>44501.99861</v>
      </c>
      <c r="B1864" s="433">
        <f>IFERROR(__xludf.DUMMYFUNCTION("""COMPUTED_VALUE"""),60951.52)</f>
        <v>60951.52</v>
      </c>
      <c r="C1864" s="434">
        <f>IFERROR(__xludf.DUMMYFUNCTION("""COMPUTED_VALUE"""),44086.99861111111)</f>
        <v>44086.99861</v>
      </c>
      <c r="D1864" s="433">
        <f>IFERROR(__xludf.DUMMYFUNCTION("""COMPUTED_VALUE"""),374.5679)</f>
        <v>374.5679</v>
      </c>
    </row>
    <row r="1865">
      <c r="A1865" s="434">
        <f>IFERROR(__xludf.DUMMYFUNCTION("""COMPUTED_VALUE"""),44502.99861111111)</f>
        <v>44502.99861</v>
      </c>
      <c r="B1865" s="433">
        <f>IFERROR(__xludf.DUMMYFUNCTION("""COMPUTED_VALUE"""),63234.6)</f>
        <v>63234.6</v>
      </c>
      <c r="C1865" s="434">
        <f>IFERROR(__xludf.DUMMYFUNCTION("""COMPUTED_VALUE"""),44087.99861111111)</f>
        <v>44087.99861</v>
      </c>
      <c r="D1865" s="433">
        <f>IFERROR(__xludf.DUMMYFUNCTION("""COMPUTED_VALUE"""),387.5077)</f>
        <v>387.5077</v>
      </c>
    </row>
    <row r="1866">
      <c r="A1866" s="434">
        <f>IFERROR(__xludf.DUMMYFUNCTION("""COMPUTED_VALUE"""),44503.99861111111)</f>
        <v>44503.99861</v>
      </c>
      <c r="B1866" s="433">
        <f>IFERROR(__xludf.DUMMYFUNCTION("""COMPUTED_VALUE"""),62920.18)</f>
        <v>62920.18</v>
      </c>
      <c r="C1866" s="434">
        <f>IFERROR(__xludf.DUMMYFUNCTION("""COMPUTED_VALUE"""),44088.99861111111)</f>
        <v>44088.99861</v>
      </c>
      <c r="D1866" s="433">
        <f>IFERROR(__xludf.DUMMYFUNCTION("""COMPUTED_VALUE"""),365.4463)</f>
        <v>365.4463</v>
      </c>
    </row>
    <row r="1867">
      <c r="A1867" s="434">
        <f>IFERROR(__xludf.DUMMYFUNCTION("""COMPUTED_VALUE"""),44504.99861111111)</f>
        <v>44504.99861</v>
      </c>
      <c r="B1867" s="433">
        <f>IFERROR(__xludf.DUMMYFUNCTION("""COMPUTED_VALUE"""),61440.53)</f>
        <v>61440.53</v>
      </c>
      <c r="C1867" s="434">
        <f>IFERROR(__xludf.DUMMYFUNCTION("""COMPUTED_VALUE"""),44089.99861111111)</f>
        <v>44089.99861</v>
      </c>
      <c r="D1867" s="433">
        <f>IFERROR(__xludf.DUMMYFUNCTION("""COMPUTED_VALUE"""),378.4071)</f>
        <v>378.4071</v>
      </c>
    </row>
    <row r="1868">
      <c r="A1868" s="434">
        <f>IFERROR(__xludf.DUMMYFUNCTION("""COMPUTED_VALUE"""),44505.99861111111)</f>
        <v>44505.99861</v>
      </c>
      <c r="B1868" s="433">
        <f>IFERROR(__xludf.DUMMYFUNCTION("""COMPUTED_VALUE"""),60997.62)</f>
        <v>60997.62</v>
      </c>
      <c r="C1868" s="434">
        <f>IFERROR(__xludf.DUMMYFUNCTION("""COMPUTED_VALUE"""),44090.99861111111)</f>
        <v>44090.99861</v>
      </c>
      <c r="D1868" s="433">
        <f>IFERROR(__xludf.DUMMYFUNCTION("""COMPUTED_VALUE"""),364.585)</f>
        <v>364.585</v>
      </c>
    </row>
    <row r="1869">
      <c r="A1869" s="434">
        <f>IFERROR(__xludf.DUMMYFUNCTION("""COMPUTED_VALUE"""),44506.99861111111)</f>
        <v>44506.99861</v>
      </c>
      <c r="B1869" s="433">
        <f>IFERROR(__xludf.DUMMYFUNCTION("""COMPUTED_VALUE"""),61517.57)</f>
        <v>61517.57</v>
      </c>
      <c r="C1869" s="434">
        <f>IFERROR(__xludf.DUMMYFUNCTION("""COMPUTED_VALUE"""),44091.99861111111)</f>
        <v>44091.99861</v>
      </c>
      <c r="D1869" s="433">
        <f>IFERROR(__xludf.DUMMYFUNCTION("""COMPUTED_VALUE"""),365.0319)</f>
        <v>365.0319</v>
      </c>
    </row>
    <row r="1870">
      <c r="A1870" s="434">
        <f>IFERROR(__xludf.DUMMYFUNCTION("""COMPUTED_VALUE"""),44507.99861111111)</f>
        <v>44507.99861</v>
      </c>
      <c r="B1870" s="433">
        <f>IFERROR(__xludf.DUMMYFUNCTION("""COMPUTED_VALUE"""),63294.9)</f>
        <v>63294.9</v>
      </c>
      <c r="C1870" s="434">
        <f>IFERROR(__xludf.DUMMYFUNCTION("""COMPUTED_VALUE"""),44092.99861111111)</f>
        <v>44092.99861</v>
      </c>
      <c r="D1870" s="433">
        <f>IFERROR(__xludf.DUMMYFUNCTION("""COMPUTED_VALUE"""),389.5271)</f>
        <v>389.5271</v>
      </c>
    </row>
    <row r="1871">
      <c r="A1871" s="434">
        <f>IFERROR(__xludf.DUMMYFUNCTION("""COMPUTED_VALUE"""),44508.99861111111)</f>
        <v>44508.99861</v>
      </c>
      <c r="B1871" s="433">
        <f>IFERROR(__xludf.DUMMYFUNCTION("""COMPUTED_VALUE"""),67544.06)</f>
        <v>67544.06</v>
      </c>
      <c r="C1871" s="434">
        <f>IFERROR(__xludf.DUMMYFUNCTION("""COMPUTED_VALUE"""),44093.99861111111)</f>
        <v>44093.99861</v>
      </c>
      <c r="D1871" s="433">
        <f>IFERROR(__xludf.DUMMYFUNCTION("""COMPUTED_VALUE"""),383.6658)</f>
        <v>383.6658</v>
      </c>
    </row>
    <row r="1872">
      <c r="A1872" s="434">
        <f>IFERROR(__xludf.DUMMYFUNCTION("""COMPUTED_VALUE"""),44509.99861111111)</f>
        <v>44509.99861</v>
      </c>
      <c r="B1872" s="433">
        <f>IFERROR(__xludf.DUMMYFUNCTION("""COMPUTED_VALUE"""),66931.48)</f>
        <v>66931.48</v>
      </c>
      <c r="C1872" s="434">
        <f>IFERROR(__xludf.DUMMYFUNCTION("""COMPUTED_VALUE"""),44094.99861111111)</f>
        <v>44094.99861</v>
      </c>
      <c r="D1872" s="433">
        <f>IFERROR(__xludf.DUMMYFUNCTION("""COMPUTED_VALUE"""),385.529)</f>
        <v>385.529</v>
      </c>
    </row>
    <row r="1873">
      <c r="A1873" s="434">
        <f>IFERROR(__xludf.DUMMYFUNCTION("""COMPUTED_VALUE"""),44510.99861111111)</f>
        <v>44510.99861</v>
      </c>
      <c r="B1873" s="433">
        <f>IFERROR(__xludf.DUMMYFUNCTION("""COMPUTED_VALUE"""),64966.11)</f>
        <v>64966.11</v>
      </c>
      <c r="C1873" s="434">
        <f>IFERROR(__xludf.DUMMYFUNCTION("""COMPUTED_VALUE"""),44095.99861111111)</f>
        <v>44095.99861</v>
      </c>
      <c r="D1873" s="433">
        <f>IFERROR(__xludf.DUMMYFUNCTION("""COMPUTED_VALUE"""),370.3157)</f>
        <v>370.3157</v>
      </c>
    </row>
    <row r="1874">
      <c r="A1874" s="434">
        <f>IFERROR(__xludf.DUMMYFUNCTION("""COMPUTED_VALUE"""),44511.99861111111)</f>
        <v>44511.99861</v>
      </c>
      <c r="B1874" s="433">
        <f>IFERROR(__xludf.DUMMYFUNCTION("""COMPUTED_VALUE"""),64832.29)</f>
        <v>64832.29</v>
      </c>
      <c r="C1874" s="434">
        <f>IFERROR(__xludf.DUMMYFUNCTION("""COMPUTED_VALUE"""),44096.99861111111)</f>
        <v>44096.99861</v>
      </c>
      <c r="D1874" s="433">
        <f>IFERROR(__xludf.DUMMYFUNCTION("""COMPUTED_VALUE"""),339.9162)</f>
        <v>339.9162</v>
      </c>
    </row>
    <row r="1875">
      <c r="A1875" s="434">
        <f>IFERROR(__xludf.DUMMYFUNCTION("""COMPUTED_VALUE"""),44512.99861111111)</f>
        <v>44512.99861</v>
      </c>
      <c r="B1875" s="433">
        <f>IFERROR(__xludf.DUMMYFUNCTION("""COMPUTED_VALUE"""),64186.21)</f>
        <v>64186.21</v>
      </c>
      <c r="C1875" s="434">
        <f>IFERROR(__xludf.DUMMYFUNCTION("""COMPUTED_VALUE"""),44097.99861111111)</f>
        <v>44097.99861</v>
      </c>
      <c r="D1875" s="433">
        <f>IFERROR(__xludf.DUMMYFUNCTION("""COMPUTED_VALUE"""),344.8632)</f>
        <v>344.8632</v>
      </c>
    </row>
    <row r="1876">
      <c r="A1876" s="434">
        <f>IFERROR(__xludf.DUMMYFUNCTION("""COMPUTED_VALUE"""),44513.99861111111)</f>
        <v>44513.99861</v>
      </c>
      <c r="B1876" s="433">
        <f>IFERROR(__xludf.DUMMYFUNCTION("""COMPUTED_VALUE"""),64402.5)</f>
        <v>64402.5</v>
      </c>
      <c r="C1876" s="434">
        <f>IFERROR(__xludf.DUMMYFUNCTION("""COMPUTED_VALUE"""),44098.99861111111)</f>
        <v>44098.99861</v>
      </c>
      <c r="D1876" s="433">
        <f>IFERROR(__xludf.DUMMYFUNCTION("""COMPUTED_VALUE"""),320.9872)</f>
        <v>320.9872</v>
      </c>
    </row>
    <row r="1877">
      <c r="A1877" s="434">
        <f>IFERROR(__xludf.DUMMYFUNCTION("""COMPUTED_VALUE"""),44514.99861111111)</f>
        <v>44514.99861</v>
      </c>
      <c r="B1877" s="433">
        <f>IFERROR(__xludf.DUMMYFUNCTION("""COMPUTED_VALUE"""),65476.68)</f>
        <v>65476.68</v>
      </c>
      <c r="C1877" s="434">
        <f>IFERROR(__xludf.DUMMYFUNCTION("""COMPUTED_VALUE"""),44099.99861111111)</f>
        <v>44099.99861</v>
      </c>
      <c r="D1877" s="433">
        <f>IFERROR(__xludf.DUMMYFUNCTION("""COMPUTED_VALUE"""),349.422)</f>
        <v>349.422</v>
      </c>
    </row>
    <row r="1878">
      <c r="A1878" s="434">
        <f>IFERROR(__xludf.DUMMYFUNCTION("""COMPUTED_VALUE"""),44515.99861111111)</f>
        <v>44515.99861</v>
      </c>
      <c r="B1878" s="433">
        <f>IFERROR(__xludf.DUMMYFUNCTION("""COMPUTED_VALUE"""),63573.76)</f>
        <v>63573.76</v>
      </c>
      <c r="C1878" s="434">
        <f>IFERROR(__xludf.DUMMYFUNCTION("""COMPUTED_VALUE"""),44100.99861111111)</f>
        <v>44100.99861</v>
      </c>
      <c r="D1878" s="433">
        <f>IFERROR(__xludf.DUMMYFUNCTION("""COMPUTED_VALUE"""),352.5962)</f>
        <v>352.5962</v>
      </c>
    </row>
    <row r="1879">
      <c r="A1879" s="434">
        <f>IFERROR(__xludf.DUMMYFUNCTION("""COMPUTED_VALUE"""),44516.99861111111)</f>
        <v>44516.99861</v>
      </c>
      <c r="B1879" s="433">
        <f>IFERROR(__xludf.DUMMYFUNCTION("""COMPUTED_VALUE"""),60137.48)</f>
        <v>60137.48</v>
      </c>
      <c r="C1879" s="434">
        <f>IFERROR(__xludf.DUMMYFUNCTION("""COMPUTED_VALUE"""),44101.99861111111)</f>
        <v>44101.99861</v>
      </c>
      <c r="D1879" s="433">
        <f>IFERROR(__xludf.DUMMYFUNCTION("""COMPUTED_VALUE"""),354.7767)</f>
        <v>354.7767</v>
      </c>
    </row>
    <row r="1880">
      <c r="A1880" s="434">
        <f>IFERROR(__xludf.DUMMYFUNCTION("""COMPUTED_VALUE"""),44517.99861111111)</f>
        <v>44517.99861</v>
      </c>
      <c r="B1880" s="433">
        <f>IFERROR(__xludf.DUMMYFUNCTION("""COMPUTED_VALUE"""),60369.67)</f>
        <v>60369.67</v>
      </c>
      <c r="C1880" s="434">
        <f>IFERROR(__xludf.DUMMYFUNCTION("""COMPUTED_VALUE"""),44102.99861111111)</f>
        <v>44102.99861</v>
      </c>
      <c r="D1880" s="433">
        <f>IFERROR(__xludf.DUMMYFUNCTION("""COMPUTED_VALUE"""),358.0449)</f>
        <v>358.0449</v>
      </c>
    </row>
    <row r="1881">
      <c r="A1881" s="434">
        <f>IFERROR(__xludf.DUMMYFUNCTION("""COMPUTED_VALUE"""),44518.99861111111)</f>
        <v>44518.99861</v>
      </c>
      <c r="B1881" s="433">
        <f>IFERROR(__xludf.DUMMYFUNCTION("""COMPUTED_VALUE"""),56908.25)</f>
        <v>56908.25</v>
      </c>
      <c r="C1881" s="434">
        <f>IFERROR(__xludf.DUMMYFUNCTION("""COMPUTED_VALUE"""),44103.99861111111)</f>
        <v>44103.99861</v>
      </c>
      <c r="D1881" s="433">
        <f>IFERROR(__xludf.DUMMYFUNCTION("""COMPUTED_VALUE"""),354.1923)</f>
        <v>354.1923</v>
      </c>
    </row>
    <row r="1882">
      <c r="A1882" s="434">
        <f>IFERROR(__xludf.DUMMYFUNCTION("""COMPUTED_VALUE"""),44519.99861111111)</f>
        <v>44519.99861</v>
      </c>
      <c r="B1882" s="433">
        <f>IFERROR(__xludf.DUMMYFUNCTION("""COMPUTED_VALUE"""),58125.86)</f>
        <v>58125.86</v>
      </c>
      <c r="C1882" s="434">
        <f>IFERROR(__xludf.DUMMYFUNCTION("""COMPUTED_VALUE"""),44104.99861111111)</f>
        <v>44104.99861</v>
      </c>
      <c r="D1882" s="433">
        <f>IFERROR(__xludf.DUMMYFUNCTION("""COMPUTED_VALUE"""),360.0775)</f>
        <v>360.0775</v>
      </c>
    </row>
    <row r="1883">
      <c r="A1883" s="434">
        <f>IFERROR(__xludf.DUMMYFUNCTION("""COMPUTED_VALUE"""),44520.99861111111)</f>
        <v>44520.99861</v>
      </c>
      <c r="B1883" s="433">
        <f>IFERROR(__xludf.DUMMYFUNCTION("""COMPUTED_VALUE"""),59747.74)</f>
        <v>59747.74</v>
      </c>
      <c r="C1883" s="434">
        <f>IFERROR(__xludf.DUMMYFUNCTION("""COMPUTED_VALUE"""),44105.99861111111)</f>
        <v>44105.99861</v>
      </c>
      <c r="D1883" s="433">
        <f>IFERROR(__xludf.DUMMYFUNCTION("""COMPUTED_VALUE"""),360.5608)</f>
        <v>360.5608</v>
      </c>
    </row>
    <row r="1884">
      <c r="A1884" s="434">
        <f>IFERROR(__xludf.DUMMYFUNCTION("""COMPUTED_VALUE"""),44521.99861111111)</f>
        <v>44521.99861</v>
      </c>
      <c r="B1884" s="433">
        <f>IFERROR(__xludf.DUMMYFUNCTION("""COMPUTED_VALUE"""),58770.96)</f>
        <v>58770.96</v>
      </c>
      <c r="C1884" s="434">
        <f>IFERROR(__xludf.DUMMYFUNCTION("""COMPUTED_VALUE"""),44106.99861111111)</f>
        <v>44106.99861</v>
      </c>
      <c r="D1884" s="433">
        <f>IFERROR(__xludf.DUMMYFUNCTION("""COMPUTED_VALUE"""),352.9127)</f>
        <v>352.9127</v>
      </c>
    </row>
    <row r="1885">
      <c r="A1885" s="434">
        <f>IFERROR(__xludf.DUMMYFUNCTION("""COMPUTED_VALUE"""),44522.99861111111)</f>
        <v>44522.99861</v>
      </c>
      <c r="B1885" s="433">
        <f>IFERROR(__xludf.DUMMYFUNCTION("""COMPUTED_VALUE"""),56293.69)</f>
        <v>56293.69</v>
      </c>
      <c r="C1885" s="434">
        <f>IFERROR(__xludf.DUMMYFUNCTION("""COMPUTED_VALUE"""),44107.99861111111)</f>
        <v>44107.99861</v>
      </c>
      <c r="D1885" s="433">
        <f>IFERROR(__xludf.DUMMYFUNCTION("""COMPUTED_VALUE"""),346.2499)</f>
        <v>346.2499</v>
      </c>
    </row>
    <row r="1886">
      <c r="A1886" s="434">
        <f>IFERROR(__xludf.DUMMYFUNCTION("""COMPUTED_VALUE"""),44523.99861111111)</f>
        <v>44523.99861</v>
      </c>
      <c r="B1886" s="433">
        <f>IFERROR(__xludf.DUMMYFUNCTION("""COMPUTED_VALUE"""),57576.93)</f>
        <v>57576.93</v>
      </c>
      <c r="C1886" s="434">
        <f>IFERROR(__xludf.DUMMYFUNCTION("""COMPUTED_VALUE"""),44108.99861111111)</f>
        <v>44108.99861</v>
      </c>
      <c r="D1886" s="433">
        <f>IFERROR(__xludf.DUMMYFUNCTION("""COMPUTED_VALUE"""),346.6245)</f>
        <v>346.6245</v>
      </c>
    </row>
    <row r="1887">
      <c r="A1887" s="434">
        <f>IFERROR(__xludf.DUMMYFUNCTION("""COMPUTED_VALUE"""),44524.99861111111)</f>
        <v>44524.99861</v>
      </c>
      <c r="B1887" s="433">
        <f>IFERROR(__xludf.DUMMYFUNCTION("""COMPUTED_VALUE"""),57191.11)</f>
        <v>57191.11</v>
      </c>
      <c r="C1887" s="434">
        <f>IFERROR(__xludf.DUMMYFUNCTION("""COMPUTED_VALUE"""),44109.99861111111)</f>
        <v>44109.99861</v>
      </c>
      <c r="D1887" s="433">
        <f>IFERROR(__xludf.DUMMYFUNCTION("""COMPUTED_VALUE"""),352.6743)</f>
        <v>352.6743</v>
      </c>
    </row>
    <row r="1888">
      <c r="A1888" s="434">
        <f>IFERROR(__xludf.DUMMYFUNCTION("""COMPUTED_VALUE"""),44525.99861111111)</f>
        <v>44525.99861</v>
      </c>
      <c r="B1888" s="433">
        <f>IFERROR(__xludf.DUMMYFUNCTION("""COMPUTED_VALUE"""),58957.91)</f>
        <v>58957.91</v>
      </c>
      <c r="C1888" s="434">
        <f>IFERROR(__xludf.DUMMYFUNCTION("""COMPUTED_VALUE"""),44110.99861111111)</f>
        <v>44110.99861</v>
      </c>
      <c r="D1888" s="433">
        <f>IFERROR(__xludf.DUMMYFUNCTION("""COMPUTED_VALUE"""),353.9593)</f>
        <v>353.9593</v>
      </c>
    </row>
    <row r="1889">
      <c r="A1889" s="434">
        <f>IFERROR(__xludf.DUMMYFUNCTION("""COMPUTED_VALUE"""),44526.99861111111)</f>
        <v>44526.99861</v>
      </c>
      <c r="B1889" s="433">
        <f>IFERROR(__xludf.DUMMYFUNCTION("""COMPUTED_VALUE"""),53634.31)</f>
        <v>53634.31</v>
      </c>
      <c r="C1889" s="434">
        <f>IFERROR(__xludf.DUMMYFUNCTION("""COMPUTED_VALUE"""),44111.99861111111)</f>
        <v>44111.99861</v>
      </c>
      <c r="D1889" s="433">
        <f>IFERROR(__xludf.DUMMYFUNCTION("""COMPUTED_VALUE"""),341.0034)</f>
        <v>341.0034</v>
      </c>
    </row>
    <row r="1890">
      <c r="A1890" s="434">
        <f>IFERROR(__xludf.DUMMYFUNCTION("""COMPUTED_VALUE"""),44527.99861111111)</f>
        <v>44527.99861</v>
      </c>
      <c r="B1890" s="433">
        <f>IFERROR(__xludf.DUMMYFUNCTION("""COMPUTED_VALUE"""),54809.76)</f>
        <v>54809.76</v>
      </c>
      <c r="C1890" s="434">
        <f>IFERROR(__xludf.DUMMYFUNCTION("""COMPUTED_VALUE"""),44112.99861111111)</f>
        <v>44112.99861</v>
      </c>
      <c r="D1890" s="433">
        <f>IFERROR(__xludf.DUMMYFUNCTION("""COMPUTED_VALUE"""),342.1184)</f>
        <v>342.1184</v>
      </c>
    </row>
    <row r="1891">
      <c r="A1891" s="434">
        <f>IFERROR(__xludf.DUMMYFUNCTION("""COMPUTED_VALUE"""),44528.99861111111)</f>
        <v>44528.99861</v>
      </c>
      <c r="B1891" s="433">
        <f>IFERROR(__xludf.DUMMYFUNCTION("""COMPUTED_VALUE"""),57270.1)</f>
        <v>57270.1</v>
      </c>
      <c r="C1891" s="434">
        <f>IFERROR(__xludf.DUMMYFUNCTION("""COMPUTED_VALUE"""),44113.99861111111)</f>
        <v>44113.99861</v>
      </c>
      <c r="D1891" s="433">
        <f>IFERROR(__xludf.DUMMYFUNCTION("""COMPUTED_VALUE"""),351.1763)</f>
        <v>351.1763</v>
      </c>
    </row>
    <row r="1892">
      <c r="A1892" s="434">
        <f>IFERROR(__xludf.DUMMYFUNCTION("""COMPUTED_VALUE"""),44529.99861111111)</f>
        <v>44529.99861</v>
      </c>
      <c r="B1892" s="433">
        <f>IFERROR(__xludf.DUMMYFUNCTION("""COMPUTED_VALUE"""),57837.01)</f>
        <v>57837.01</v>
      </c>
      <c r="C1892" s="434">
        <f>IFERROR(__xludf.DUMMYFUNCTION("""COMPUTED_VALUE"""),44114.99861111111)</f>
        <v>44114.99861</v>
      </c>
      <c r="D1892" s="433">
        <f>IFERROR(__xludf.DUMMYFUNCTION("""COMPUTED_VALUE"""),365.3562)</f>
        <v>365.3562</v>
      </c>
    </row>
    <row r="1893">
      <c r="A1893" s="434">
        <f>IFERROR(__xludf.DUMMYFUNCTION("""COMPUTED_VALUE"""),44530.99861111111)</f>
        <v>44530.99861</v>
      </c>
      <c r="B1893" s="433">
        <f>IFERROR(__xludf.DUMMYFUNCTION("""COMPUTED_VALUE"""),56959.33)</f>
        <v>56959.33</v>
      </c>
      <c r="C1893" s="434">
        <f>IFERROR(__xludf.DUMMYFUNCTION("""COMPUTED_VALUE"""),44115.99861111111)</f>
        <v>44115.99861</v>
      </c>
      <c r="D1893" s="433">
        <f>IFERROR(__xludf.DUMMYFUNCTION("""COMPUTED_VALUE"""),370.9531)</f>
        <v>370.9531</v>
      </c>
    </row>
    <row r="1894">
      <c r="A1894" s="434">
        <f>IFERROR(__xludf.DUMMYFUNCTION("""COMPUTED_VALUE"""),44531.99861111111)</f>
        <v>44531.99861</v>
      </c>
      <c r="B1894" s="433">
        <f>IFERROR(__xludf.DUMMYFUNCTION("""COMPUTED_VALUE"""),57228.96)</f>
        <v>57228.96</v>
      </c>
      <c r="C1894" s="434">
        <f>IFERROR(__xludf.DUMMYFUNCTION("""COMPUTED_VALUE"""),44116.99861111111)</f>
        <v>44116.99861</v>
      </c>
      <c r="D1894" s="433">
        <f>IFERROR(__xludf.DUMMYFUNCTION("""COMPUTED_VALUE"""),374.6998)</f>
        <v>374.6998</v>
      </c>
    </row>
    <row r="1895">
      <c r="A1895" s="434">
        <f>IFERROR(__xludf.DUMMYFUNCTION("""COMPUTED_VALUE"""),44532.99861111111)</f>
        <v>44532.99861</v>
      </c>
      <c r="B1895" s="433">
        <f>IFERROR(__xludf.DUMMYFUNCTION("""COMPUTED_VALUE"""),56518.51)</f>
        <v>56518.51</v>
      </c>
      <c r="C1895" s="434">
        <f>IFERROR(__xludf.DUMMYFUNCTION("""COMPUTED_VALUE"""),44117.99861111111)</f>
        <v>44117.99861</v>
      </c>
      <c r="D1895" s="433">
        <f>IFERROR(__xludf.DUMMYFUNCTION("""COMPUTED_VALUE"""),386.9668)</f>
        <v>386.9668</v>
      </c>
    </row>
    <row r="1896">
      <c r="A1896" s="434">
        <f>IFERROR(__xludf.DUMMYFUNCTION("""COMPUTED_VALUE"""),44533.99861111111)</f>
        <v>44533.99861</v>
      </c>
      <c r="B1896" s="433">
        <f>IFERROR(__xludf.DUMMYFUNCTION("""COMPUTED_VALUE"""),53662.35)</f>
        <v>53662.35</v>
      </c>
      <c r="C1896" s="434">
        <f>IFERROR(__xludf.DUMMYFUNCTION("""COMPUTED_VALUE"""),44118.99861111111)</f>
        <v>44118.99861</v>
      </c>
      <c r="D1896" s="433">
        <f>IFERROR(__xludf.DUMMYFUNCTION("""COMPUTED_VALUE"""),382.0022)</f>
        <v>382.0022</v>
      </c>
    </row>
    <row r="1897">
      <c r="A1897" s="434">
        <f>IFERROR(__xludf.DUMMYFUNCTION("""COMPUTED_VALUE"""),44534.99861111111)</f>
        <v>44534.99861</v>
      </c>
      <c r="B1897" s="433">
        <f>IFERROR(__xludf.DUMMYFUNCTION("""COMPUTED_VALUE"""),49258.04)</f>
        <v>49258.04</v>
      </c>
      <c r="C1897" s="434">
        <f>IFERROR(__xludf.DUMMYFUNCTION("""COMPUTED_VALUE"""),44119.99861111111)</f>
        <v>44119.99861</v>
      </c>
      <c r="D1897" s="433">
        <f>IFERROR(__xludf.DUMMYFUNCTION("""COMPUTED_VALUE"""),379.1225)</f>
        <v>379.1225</v>
      </c>
    </row>
    <row r="1898">
      <c r="A1898" s="434">
        <f>IFERROR(__xludf.DUMMYFUNCTION("""COMPUTED_VALUE"""),44535.99861111111)</f>
        <v>44535.99861</v>
      </c>
      <c r="B1898" s="433">
        <f>IFERROR(__xludf.DUMMYFUNCTION("""COMPUTED_VALUE"""),49453.48)</f>
        <v>49453.48</v>
      </c>
      <c r="C1898" s="434">
        <f>IFERROR(__xludf.DUMMYFUNCTION("""COMPUTED_VALUE"""),44120.99861111111)</f>
        <v>44120.99861</v>
      </c>
      <c r="D1898" s="433">
        <f>IFERROR(__xludf.DUMMYFUNCTION("""COMPUTED_VALUE"""),377.9177)</f>
        <v>377.9177</v>
      </c>
    </row>
    <row r="1899">
      <c r="A1899" s="434">
        <f>IFERROR(__xludf.DUMMYFUNCTION("""COMPUTED_VALUE"""),44536.99861111111)</f>
        <v>44536.99861</v>
      </c>
      <c r="B1899" s="433">
        <f>IFERROR(__xludf.DUMMYFUNCTION("""COMPUTED_VALUE"""),50594.02)</f>
        <v>50594.02</v>
      </c>
      <c r="C1899" s="434">
        <f>IFERROR(__xludf.DUMMYFUNCTION("""COMPUTED_VALUE"""),44121.99861111111)</f>
        <v>44121.99861</v>
      </c>
      <c r="D1899" s="433">
        <f>IFERROR(__xludf.DUMMYFUNCTION("""COMPUTED_VALUE"""),365.9684)</f>
        <v>365.9684</v>
      </c>
    </row>
    <row r="1900">
      <c r="A1900" s="434">
        <f>IFERROR(__xludf.DUMMYFUNCTION("""COMPUTED_VALUE"""),44537.99861111111)</f>
        <v>44537.99861</v>
      </c>
      <c r="B1900" s="433">
        <f>IFERROR(__xludf.DUMMYFUNCTION("""COMPUTED_VALUE"""),50631.88)</f>
        <v>50631.88</v>
      </c>
      <c r="C1900" s="434">
        <f>IFERROR(__xludf.DUMMYFUNCTION("""COMPUTED_VALUE"""),44122.99861111111)</f>
        <v>44122.99861</v>
      </c>
      <c r="D1900" s="433">
        <f>IFERROR(__xludf.DUMMYFUNCTION("""COMPUTED_VALUE"""),368.768)</f>
        <v>368.768</v>
      </c>
    </row>
    <row r="1901">
      <c r="A1901" s="434">
        <f>IFERROR(__xludf.DUMMYFUNCTION("""COMPUTED_VALUE"""),44538.99861111111)</f>
        <v>44538.99861</v>
      </c>
      <c r="B1901" s="433">
        <f>IFERROR(__xludf.DUMMYFUNCTION("""COMPUTED_VALUE"""),50495.16)</f>
        <v>50495.16</v>
      </c>
      <c r="C1901" s="434">
        <f>IFERROR(__xludf.DUMMYFUNCTION("""COMPUTED_VALUE"""),44123.99861111111)</f>
        <v>44123.99861</v>
      </c>
      <c r="D1901" s="433">
        <f>IFERROR(__xludf.DUMMYFUNCTION("""COMPUTED_VALUE"""),378.5087)</f>
        <v>378.5087</v>
      </c>
    </row>
    <row r="1902">
      <c r="A1902" s="434">
        <f>IFERROR(__xludf.DUMMYFUNCTION("""COMPUTED_VALUE"""),44539.99861111111)</f>
        <v>44539.99861</v>
      </c>
      <c r="B1902" s="433">
        <f>IFERROR(__xludf.DUMMYFUNCTION("""COMPUTED_VALUE"""),47605.4)</f>
        <v>47605.4</v>
      </c>
      <c r="C1902" s="434">
        <f>IFERROR(__xludf.DUMMYFUNCTION("""COMPUTED_VALUE"""),44124.99861111111)</f>
        <v>44124.99861</v>
      </c>
      <c r="D1902" s="433">
        <f>IFERROR(__xludf.DUMMYFUNCTION("""COMPUTED_VALUE"""),379.6983)</f>
        <v>379.6983</v>
      </c>
    </row>
    <row r="1903">
      <c r="A1903" s="434">
        <f>IFERROR(__xludf.DUMMYFUNCTION("""COMPUTED_VALUE"""),44540.99861111111)</f>
        <v>44540.99861</v>
      </c>
      <c r="B1903" s="433">
        <f>IFERROR(__xludf.DUMMYFUNCTION("""COMPUTED_VALUE"""),47157.46)</f>
        <v>47157.46</v>
      </c>
      <c r="C1903" s="434">
        <f>IFERROR(__xludf.DUMMYFUNCTION("""COMPUTED_VALUE"""),44125.99861111111)</f>
        <v>44125.99861</v>
      </c>
      <c r="D1903" s="433">
        <f>IFERROR(__xludf.DUMMYFUNCTION("""COMPUTED_VALUE"""),369.111)</f>
        <v>369.111</v>
      </c>
    </row>
    <row r="1904">
      <c r="A1904" s="434">
        <f>IFERROR(__xludf.DUMMYFUNCTION("""COMPUTED_VALUE"""),44541.99861111111)</f>
        <v>44541.99861</v>
      </c>
      <c r="B1904" s="433">
        <f>IFERROR(__xludf.DUMMYFUNCTION("""COMPUTED_VALUE"""),49340.38)</f>
        <v>49340.38</v>
      </c>
      <c r="C1904" s="434">
        <f>IFERROR(__xludf.DUMMYFUNCTION("""COMPUTED_VALUE"""),44126.99861111111)</f>
        <v>44126.99861</v>
      </c>
      <c r="D1904" s="433">
        <f>IFERROR(__xludf.DUMMYFUNCTION("""COMPUTED_VALUE"""),391.2763)</f>
        <v>391.2763</v>
      </c>
    </row>
    <row r="1905">
      <c r="A1905" s="434">
        <f>IFERROR(__xludf.DUMMYFUNCTION("""COMPUTED_VALUE"""),44542.99861111111)</f>
        <v>44542.99861</v>
      </c>
      <c r="B1905" s="433">
        <f>IFERROR(__xludf.DUMMYFUNCTION("""COMPUTED_VALUE"""),50096.77)</f>
        <v>50096.77</v>
      </c>
      <c r="C1905" s="434">
        <f>IFERROR(__xludf.DUMMYFUNCTION("""COMPUTED_VALUE"""),44127.99861111111)</f>
        <v>44127.99861</v>
      </c>
      <c r="D1905" s="433">
        <f>IFERROR(__xludf.DUMMYFUNCTION("""COMPUTED_VALUE"""),414.1838)</f>
        <v>414.1838</v>
      </c>
    </row>
    <row r="1906">
      <c r="A1906" s="434">
        <f>IFERROR(__xludf.DUMMYFUNCTION("""COMPUTED_VALUE"""),44543.99861111111)</f>
        <v>44543.99861</v>
      </c>
      <c r="B1906" s="433">
        <f>IFERROR(__xludf.DUMMYFUNCTION("""COMPUTED_VALUE"""),46725.26)</f>
        <v>46725.26</v>
      </c>
      <c r="C1906" s="434">
        <f>IFERROR(__xludf.DUMMYFUNCTION("""COMPUTED_VALUE"""),44128.99861111111)</f>
        <v>44128.99861</v>
      </c>
      <c r="D1906" s="433">
        <f>IFERROR(__xludf.DUMMYFUNCTION("""COMPUTED_VALUE"""),409.6678)</f>
        <v>409.6678</v>
      </c>
    </row>
    <row r="1907">
      <c r="A1907" s="434">
        <f>IFERROR(__xludf.DUMMYFUNCTION("""COMPUTED_VALUE"""),44544.99861111111)</f>
        <v>44544.99861</v>
      </c>
      <c r="B1907" s="433">
        <f>IFERROR(__xludf.DUMMYFUNCTION("""COMPUTED_VALUE"""),48387.72)</f>
        <v>48387.72</v>
      </c>
      <c r="C1907" s="434">
        <f>IFERROR(__xludf.DUMMYFUNCTION("""COMPUTED_VALUE"""),44129.99861111111)</f>
        <v>44129.99861</v>
      </c>
      <c r="D1907" s="433">
        <f>IFERROR(__xludf.DUMMYFUNCTION("""COMPUTED_VALUE"""),412.3979)</f>
        <v>412.3979</v>
      </c>
    </row>
    <row r="1908">
      <c r="A1908" s="434">
        <f>IFERROR(__xludf.DUMMYFUNCTION("""COMPUTED_VALUE"""),44545.99861111111)</f>
        <v>44545.99861</v>
      </c>
      <c r="B1908" s="433">
        <f>IFERROR(__xludf.DUMMYFUNCTION("""COMPUTED_VALUE"""),48874.04)</f>
        <v>48874.04</v>
      </c>
      <c r="C1908" s="434">
        <f>IFERROR(__xludf.DUMMYFUNCTION("""COMPUTED_VALUE"""),44130.99861111111)</f>
        <v>44130.99861</v>
      </c>
      <c r="D1908" s="433">
        <f>IFERROR(__xludf.DUMMYFUNCTION("""COMPUTED_VALUE"""),405.7867)</f>
        <v>405.7867</v>
      </c>
    </row>
    <row r="1909">
      <c r="A1909" s="434">
        <f>IFERROR(__xludf.DUMMYFUNCTION("""COMPUTED_VALUE"""),44546.99861111111)</f>
        <v>44546.99861</v>
      </c>
      <c r="B1909" s="433">
        <f>IFERROR(__xludf.DUMMYFUNCTION("""COMPUTED_VALUE"""),47619.86)</f>
        <v>47619.86</v>
      </c>
      <c r="C1909" s="434">
        <f>IFERROR(__xludf.DUMMYFUNCTION("""COMPUTED_VALUE"""),44131.99861111111)</f>
        <v>44131.99861</v>
      </c>
      <c r="D1909" s="433">
        <f>IFERROR(__xludf.DUMMYFUNCTION("""COMPUTED_VALUE"""),393.0667)</f>
        <v>393.0667</v>
      </c>
    </row>
    <row r="1910">
      <c r="A1910" s="434">
        <f>IFERROR(__xludf.DUMMYFUNCTION("""COMPUTED_VALUE"""),44547.99861111111)</f>
        <v>44547.99861</v>
      </c>
      <c r="B1910" s="433">
        <f>IFERROR(__xludf.DUMMYFUNCTION("""COMPUTED_VALUE"""),46180.0)</f>
        <v>46180</v>
      </c>
      <c r="C1910" s="434">
        <f>IFERROR(__xludf.DUMMYFUNCTION("""COMPUTED_VALUE"""),44132.99861111111)</f>
        <v>44132.99861</v>
      </c>
      <c r="D1910" s="433">
        <f>IFERROR(__xludf.DUMMYFUNCTION("""COMPUTED_VALUE"""),403.4428)</f>
        <v>403.4428</v>
      </c>
    </row>
    <row r="1911">
      <c r="A1911" s="434">
        <f>IFERROR(__xludf.DUMMYFUNCTION("""COMPUTED_VALUE"""),44548.99861111111)</f>
        <v>44548.99861</v>
      </c>
      <c r="B1911" s="433">
        <f>IFERROR(__xludf.DUMMYFUNCTION("""COMPUTED_VALUE"""),46862.54)</f>
        <v>46862.54</v>
      </c>
      <c r="C1911" s="434">
        <f>IFERROR(__xludf.DUMMYFUNCTION("""COMPUTED_VALUE"""),44133.99861111111)</f>
        <v>44133.99861</v>
      </c>
      <c r="D1911" s="433">
        <f>IFERROR(__xludf.DUMMYFUNCTION("""COMPUTED_VALUE"""),388.3782)</f>
        <v>388.3782</v>
      </c>
    </row>
    <row r="1912">
      <c r="A1912" s="434">
        <f>IFERROR(__xludf.DUMMYFUNCTION("""COMPUTED_VALUE"""),44549.99861111111)</f>
        <v>44549.99861</v>
      </c>
      <c r="B1912" s="433">
        <f>IFERROR(__xludf.DUMMYFUNCTION("""COMPUTED_VALUE"""),46697.18)</f>
        <v>46697.18</v>
      </c>
      <c r="C1912" s="434">
        <f>IFERROR(__xludf.DUMMYFUNCTION("""COMPUTED_VALUE"""),44134.99861111111)</f>
        <v>44134.99861</v>
      </c>
      <c r="D1912" s="433">
        <f>IFERROR(__xludf.DUMMYFUNCTION("""COMPUTED_VALUE"""),386.4395)</f>
        <v>386.4395</v>
      </c>
    </row>
    <row r="1913">
      <c r="A1913" s="434">
        <f>IFERROR(__xludf.DUMMYFUNCTION("""COMPUTED_VALUE"""),44550.99861111111)</f>
        <v>44550.99861</v>
      </c>
      <c r="B1913" s="433">
        <f>IFERROR(__xludf.DUMMYFUNCTION("""COMPUTED_VALUE"""),46900.94)</f>
        <v>46900.94</v>
      </c>
      <c r="C1913" s="434">
        <f>IFERROR(__xludf.DUMMYFUNCTION("""COMPUTED_VALUE"""),44135.99861111111)</f>
        <v>44135.99861</v>
      </c>
      <c r="D1913" s="433">
        <f>IFERROR(__xludf.DUMMYFUNCTION("""COMPUTED_VALUE"""),382.3722)</f>
        <v>382.3722</v>
      </c>
    </row>
    <row r="1914">
      <c r="A1914" s="434">
        <f>IFERROR(__xludf.DUMMYFUNCTION("""COMPUTED_VALUE"""),44551.99861111111)</f>
        <v>44551.99861</v>
      </c>
      <c r="B1914" s="433">
        <f>IFERROR(__xludf.DUMMYFUNCTION("""COMPUTED_VALUE"""),48903.38)</f>
        <v>48903.38</v>
      </c>
      <c r="C1914" s="434">
        <f>IFERROR(__xludf.DUMMYFUNCTION("""COMPUTED_VALUE"""),44136.99861111111)</f>
        <v>44136.99861</v>
      </c>
      <c r="D1914" s="433">
        <f>IFERROR(__xludf.DUMMYFUNCTION("""COMPUTED_VALUE"""),386.5307)</f>
        <v>386.5307</v>
      </c>
    </row>
    <row r="1915">
      <c r="A1915" s="434">
        <f>IFERROR(__xludf.DUMMYFUNCTION("""COMPUTED_VALUE"""),44552.99861111111)</f>
        <v>44552.99861</v>
      </c>
      <c r="B1915" s="433">
        <f>IFERROR(__xludf.DUMMYFUNCTION("""COMPUTED_VALUE"""),48603.92)</f>
        <v>48603.92</v>
      </c>
      <c r="C1915" s="434">
        <f>IFERROR(__xludf.DUMMYFUNCTION("""COMPUTED_VALUE"""),44137.99861111111)</f>
        <v>44137.99861</v>
      </c>
      <c r="D1915" s="433">
        <f>IFERROR(__xludf.DUMMYFUNCTION("""COMPUTED_VALUE"""),397.6965)</f>
        <v>397.6965</v>
      </c>
    </row>
    <row r="1916">
      <c r="A1916" s="434">
        <f>IFERROR(__xludf.DUMMYFUNCTION("""COMPUTED_VALUE"""),44553.99861111111)</f>
        <v>44553.99861</v>
      </c>
      <c r="B1916" s="433">
        <f>IFERROR(__xludf.DUMMYFUNCTION("""COMPUTED_VALUE"""),50798.09)</f>
        <v>50798.09</v>
      </c>
      <c r="C1916" s="434">
        <f>IFERROR(__xludf.DUMMYFUNCTION("""COMPUTED_VALUE"""),44138.99861111111)</f>
        <v>44138.99861</v>
      </c>
      <c r="D1916" s="433">
        <f>IFERROR(__xludf.DUMMYFUNCTION("""COMPUTED_VALUE"""),382.2273)</f>
        <v>382.2273</v>
      </c>
    </row>
    <row r="1917">
      <c r="A1917" s="434">
        <f>IFERROR(__xludf.DUMMYFUNCTION("""COMPUTED_VALUE"""),44554.99861111111)</f>
        <v>44554.99861</v>
      </c>
      <c r="B1917" s="433">
        <f>IFERROR(__xludf.DUMMYFUNCTION("""COMPUTED_VALUE"""),50802.95)</f>
        <v>50802.95</v>
      </c>
      <c r="C1917" s="434">
        <f>IFERROR(__xludf.DUMMYFUNCTION("""COMPUTED_VALUE"""),44139.99861111111)</f>
        <v>44139.99861</v>
      </c>
      <c r="D1917" s="433">
        <f>IFERROR(__xludf.DUMMYFUNCTION("""COMPUTED_VALUE"""),387.6762)</f>
        <v>387.6762</v>
      </c>
    </row>
    <row r="1918">
      <c r="A1918" s="434">
        <f>IFERROR(__xludf.DUMMYFUNCTION("""COMPUTED_VALUE"""),44555.99861111111)</f>
        <v>44555.99861</v>
      </c>
      <c r="B1918" s="433">
        <f>IFERROR(__xludf.DUMMYFUNCTION("""COMPUTED_VALUE"""),50441.71)</f>
        <v>50441.71</v>
      </c>
      <c r="C1918" s="434">
        <f>IFERROR(__xludf.DUMMYFUNCTION("""COMPUTED_VALUE"""),44140.99861111111)</f>
        <v>44140.99861</v>
      </c>
      <c r="D1918" s="433">
        <f>IFERROR(__xludf.DUMMYFUNCTION("""COMPUTED_VALUE"""),404.5187)</f>
        <v>404.5187</v>
      </c>
    </row>
    <row r="1919">
      <c r="A1919" s="434">
        <f>IFERROR(__xludf.DUMMYFUNCTION("""COMPUTED_VALUE"""),44556.99861111111)</f>
        <v>44556.99861</v>
      </c>
      <c r="B1919" s="433">
        <f>IFERROR(__xludf.DUMMYFUNCTION("""COMPUTED_VALUE"""),50789.87)</f>
        <v>50789.87</v>
      </c>
      <c r="C1919" s="434">
        <f>IFERROR(__xludf.DUMMYFUNCTION("""COMPUTED_VALUE"""),44141.99861111111)</f>
        <v>44141.99861</v>
      </c>
      <c r="D1919" s="433">
        <f>IFERROR(__xludf.DUMMYFUNCTION("""COMPUTED_VALUE"""),414.9618)</f>
        <v>414.9618</v>
      </c>
    </row>
    <row r="1920">
      <c r="A1920" s="434">
        <f>IFERROR(__xludf.DUMMYFUNCTION("""COMPUTED_VALUE"""),44557.99861111111)</f>
        <v>44557.99861</v>
      </c>
      <c r="B1920" s="433">
        <f>IFERROR(__xludf.DUMMYFUNCTION("""COMPUTED_VALUE"""),50681.65)</f>
        <v>50681.65</v>
      </c>
      <c r="C1920" s="434">
        <f>IFERROR(__xludf.DUMMYFUNCTION("""COMPUTED_VALUE"""),44142.99861111111)</f>
        <v>44142.99861</v>
      </c>
      <c r="D1920" s="433">
        <f>IFERROR(__xludf.DUMMYFUNCTION("""COMPUTED_VALUE"""),454.6158)</f>
        <v>454.6158</v>
      </c>
    </row>
    <row r="1921">
      <c r="A1921" s="434">
        <f>IFERROR(__xludf.DUMMYFUNCTION("""COMPUTED_VALUE"""),44558.99861111111)</f>
        <v>44558.99861</v>
      </c>
      <c r="B1921" s="433">
        <f>IFERROR(__xludf.DUMMYFUNCTION("""COMPUTED_VALUE"""),47538.2)</f>
        <v>47538.2</v>
      </c>
      <c r="C1921" s="434">
        <f>IFERROR(__xludf.DUMMYFUNCTION("""COMPUTED_VALUE"""),44143.99861111111)</f>
        <v>44143.99861</v>
      </c>
      <c r="D1921" s="433">
        <f>IFERROR(__xludf.DUMMYFUNCTION("""COMPUTED_VALUE"""),434.0014)</f>
        <v>434.0014</v>
      </c>
    </row>
    <row r="1922">
      <c r="A1922" s="434">
        <f>IFERROR(__xludf.DUMMYFUNCTION("""COMPUTED_VALUE"""),44559.99861111111)</f>
        <v>44559.99861</v>
      </c>
      <c r="B1922" s="433">
        <f>IFERROR(__xludf.DUMMYFUNCTION("""COMPUTED_VALUE"""),46438.42)</f>
        <v>46438.42</v>
      </c>
      <c r="C1922" s="434">
        <f>IFERROR(__xludf.DUMMYFUNCTION("""COMPUTED_VALUE"""),44144.99861111111)</f>
        <v>44144.99861</v>
      </c>
      <c r="D1922" s="433">
        <f>IFERROR(__xludf.DUMMYFUNCTION("""COMPUTED_VALUE"""),454.4239)</f>
        <v>454.4239</v>
      </c>
    </row>
    <row r="1923">
      <c r="A1923" s="434">
        <f>IFERROR(__xludf.DUMMYFUNCTION("""COMPUTED_VALUE"""),44560.99861111111)</f>
        <v>44560.99861</v>
      </c>
      <c r="B1923" s="433">
        <f>IFERROR(__xludf.DUMMYFUNCTION("""COMPUTED_VALUE"""),47129.15)</f>
        <v>47129.15</v>
      </c>
      <c r="C1923" s="434">
        <f>IFERROR(__xludf.DUMMYFUNCTION("""COMPUTED_VALUE"""),44145.99861111111)</f>
        <v>44145.99861</v>
      </c>
      <c r="D1923" s="433">
        <f>IFERROR(__xludf.DUMMYFUNCTION("""COMPUTED_VALUE"""),442.7776)</f>
        <v>442.7776</v>
      </c>
    </row>
    <row r="1924">
      <c r="A1924" s="434">
        <f>IFERROR(__xludf.DUMMYFUNCTION("""COMPUTED_VALUE"""),44561.99861111111)</f>
        <v>44561.99861</v>
      </c>
      <c r="B1924" s="433">
        <f>IFERROR(__xludf.DUMMYFUNCTION("""COMPUTED_VALUE"""),46203.3)</f>
        <v>46203.3</v>
      </c>
      <c r="C1924" s="434">
        <f>IFERROR(__xludf.DUMMYFUNCTION("""COMPUTED_VALUE"""),44146.99861111111)</f>
        <v>44146.99861</v>
      </c>
      <c r="D1924" s="433">
        <f>IFERROR(__xludf.DUMMYFUNCTION("""COMPUTED_VALUE"""),450.5138)</f>
        <v>450.5138</v>
      </c>
    </row>
    <row r="1925">
      <c r="A1925" s="434">
        <f>IFERROR(__xludf.DUMMYFUNCTION("""COMPUTED_VALUE"""),44562.99861111111)</f>
        <v>44562.99861</v>
      </c>
      <c r="B1925" s="433">
        <f>IFERROR(__xludf.DUMMYFUNCTION("""COMPUTED_VALUE"""),47740.14)</f>
        <v>47740.14</v>
      </c>
      <c r="C1925" s="434">
        <f>IFERROR(__xludf.DUMMYFUNCTION("""COMPUTED_VALUE"""),44147.99861111111)</f>
        <v>44147.99861</v>
      </c>
      <c r="D1925" s="433">
        <f>IFERROR(__xludf.DUMMYFUNCTION("""COMPUTED_VALUE"""),461.4055)</f>
        <v>461.4055</v>
      </c>
    </row>
    <row r="1926">
      <c r="A1926" s="434">
        <f>IFERROR(__xludf.DUMMYFUNCTION("""COMPUTED_VALUE"""),44563.99861111111)</f>
        <v>44563.99861</v>
      </c>
      <c r="B1926" s="433">
        <f>IFERROR(__xludf.DUMMYFUNCTION("""COMPUTED_VALUE"""),47311.28)</f>
        <v>47311.28</v>
      </c>
      <c r="C1926" s="434">
        <f>IFERROR(__xludf.DUMMYFUNCTION("""COMPUTED_VALUE"""),44148.99861111111)</f>
        <v>44148.99861</v>
      </c>
      <c r="D1926" s="433">
        <f>IFERROR(__xludf.DUMMYFUNCTION("""COMPUTED_VALUE"""),462.2546)</f>
        <v>462.2546</v>
      </c>
    </row>
    <row r="1927">
      <c r="A1927" s="434">
        <f>IFERROR(__xludf.DUMMYFUNCTION("""COMPUTED_VALUE"""),44564.99861111111)</f>
        <v>44564.99861</v>
      </c>
      <c r="B1927" s="433">
        <f>IFERROR(__xludf.DUMMYFUNCTION("""COMPUTED_VALUE"""),46428.77)</f>
        <v>46428.77</v>
      </c>
      <c r="C1927" s="434">
        <f>IFERROR(__xludf.DUMMYFUNCTION("""COMPUTED_VALUE"""),44149.99861111111)</f>
        <v>44149.99861</v>
      </c>
      <c r="D1927" s="433">
        <f>IFERROR(__xludf.DUMMYFUNCTION("""COMPUTED_VALUE"""),475.1614)</f>
        <v>475.1614</v>
      </c>
    </row>
    <row r="1928">
      <c r="A1928" s="434">
        <f>IFERROR(__xludf.DUMMYFUNCTION("""COMPUTED_VALUE"""),44565.99861111111)</f>
        <v>44565.99861</v>
      </c>
      <c r="B1928" s="433">
        <f>IFERROR(__xludf.DUMMYFUNCTION("""COMPUTED_VALUE"""),45843.78)</f>
        <v>45843.78</v>
      </c>
      <c r="C1928" s="434">
        <f>IFERROR(__xludf.DUMMYFUNCTION("""COMPUTED_VALUE"""),44150.99861111111)</f>
        <v>44150.99861</v>
      </c>
      <c r="D1928" s="433">
        <f>IFERROR(__xludf.DUMMYFUNCTION("""COMPUTED_VALUE"""),458.7589)</f>
        <v>458.7589</v>
      </c>
    </row>
    <row r="1929">
      <c r="A1929" s="434">
        <f>IFERROR(__xludf.DUMMYFUNCTION("""COMPUTED_VALUE"""),44566.99861111111)</f>
        <v>44566.99861</v>
      </c>
      <c r="B1929" s="433">
        <f>IFERROR(__xludf.DUMMYFUNCTION("""COMPUTED_VALUE"""),43443.79)</f>
        <v>43443.79</v>
      </c>
      <c r="C1929" s="434">
        <f>IFERROR(__xludf.DUMMYFUNCTION("""COMPUTED_VALUE"""),44151.99861111111)</f>
        <v>44151.99861</v>
      </c>
      <c r="D1929" s="433">
        <f>IFERROR(__xludf.DUMMYFUNCTION("""COMPUTED_VALUE"""),446.7702)</f>
        <v>446.7702</v>
      </c>
    </row>
    <row r="1930">
      <c r="A1930" s="434">
        <f>IFERROR(__xludf.DUMMYFUNCTION("""COMPUTED_VALUE"""),44567.99861111111)</f>
        <v>44567.99861</v>
      </c>
      <c r="B1930" s="433">
        <f>IFERROR(__xludf.DUMMYFUNCTION("""COMPUTED_VALUE"""),43108.58)</f>
        <v>43108.58</v>
      </c>
      <c r="C1930" s="434">
        <f>IFERROR(__xludf.DUMMYFUNCTION("""COMPUTED_VALUE"""),44152.99861111111)</f>
        <v>44152.99861</v>
      </c>
      <c r="D1930" s="433">
        <f>IFERROR(__xludf.DUMMYFUNCTION("""COMPUTED_VALUE"""),459.8652)</f>
        <v>459.8652</v>
      </c>
    </row>
    <row r="1931">
      <c r="A1931" s="434">
        <f>IFERROR(__xludf.DUMMYFUNCTION("""COMPUTED_VALUE"""),44568.99861111111)</f>
        <v>44568.99861</v>
      </c>
      <c r="B1931" s="433">
        <f>IFERROR(__xludf.DUMMYFUNCTION("""COMPUTED_VALUE"""),41535.77)</f>
        <v>41535.77</v>
      </c>
      <c r="C1931" s="434">
        <f>IFERROR(__xludf.DUMMYFUNCTION("""COMPUTED_VALUE"""),44153.99861111111)</f>
        <v>44153.99861</v>
      </c>
      <c r="D1931" s="433">
        <f>IFERROR(__xludf.DUMMYFUNCTION("""COMPUTED_VALUE"""),481.202)</f>
        <v>481.202</v>
      </c>
    </row>
    <row r="1932">
      <c r="A1932" s="434">
        <f>IFERROR(__xludf.DUMMYFUNCTION("""COMPUTED_VALUE"""),44569.99861111111)</f>
        <v>44569.99861</v>
      </c>
      <c r="B1932" s="433">
        <f>IFERROR(__xludf.DUMMYFUNCTION("""COMPUTED_VALUE"""),41678.56)</f>
        <v>41678.56</v>
      </c>
      <c r="C1932" s="434">
        <f>IFERROR(__xludf.DUMMYFUNCTION("""COMPUTED_VALUE"""),44154.99861111111)</f>
        <v>44154.99861</v>
      </c>
      <c r="D1932" s="433">
        <f>IFERROR(__xludf.DUMMYFUNCTION("""COMPUTED_VALUE"""),479.7097)</f>
        <v>479.7097</v>
      </c>
    </row>
    <row r="1933">
      <c r="A1933" s="434">
        <f>IFERROR(__xludf.DUMMYFUNCTION("""COMPUTED_VALUE"""),44570.99861111111)</f>
        <v>44570.99861</v>
      </c>
      <c r="B1933" s="433">
        <f>IFERROR(__xludf.DUMMYFUNCTION("""COMPUTED_VALUE"""),41857.12)</f>
        <v>41857.12</v>
      </c>
      <c r="C1933" s="434">
        <f>IFERROR(__xludf.DUMMYFUNCTION("""COMPUTED_VALUE"""),44155.99861111111)</f>
        <v>44155.99861</v>
      </c>
      <c r="D1933" s="433">
        <f>IFERROR(__xludf.DUMMYFUNCTION("""COMPUTED_VALUE"""),472.1701)</f>
        <v>472.1701</v>
      </c>
    </row>
    <row r="1934">
      <c r="A1934" s="434">
        <f>IFERROR(__xludf.DUMMYFUNCTION("""COMPUTED_VALUE"""),44571.99861111111)</f>
        <v>44571.99861</v>
      </c>
      <c r="B1934" s="433">
        <f>IFERROR(__xludf.DUMMYFUNCTION("""COMPUTED_VALUE"""),41827.6)</f>
        <v>41827.6</v>
      </c>
      <c r="C1934" s="434">
        <f>IFERROR(__xludf.DUMMYFUNCTION("""COMPUTED_VALUE"""),44156.99861111111)</f>
        <v>44156.99861</v>
      </c>
      <c r="D1934" s="433">
        <f>IFERROR(__xludf.DUMMYFUNCTION("""COMPUTED_VALUE"""),510.4353)</f>
        <v>510.4353</v>
      </c>
    </row>
    <row r="1935">
      <c r="A1935" s="434">
        <f>IFERROR(__xludf.DUMMYFUNCTION("""COMPUTED_VALUE"""),44572.99861111111)</f>
        <v>44572.99861</v>
      </c>
      <c r="B1935" s="433">
        <f>IFERROR(__xludf.DUMMYFUNCTION("""COMPUTED_VALUE"""),42730.86)</f>
        <v>42730.86</v>
      </c>
      <c r="C1935" s="434">
        <f>IFERROR(__xludf.DUMMYFUNCTION("""COMPUTED_VALUE"""),44157.99861111111)</f>
        <v>44157.99861</v>
      </c>
      <c r="D1935" s="433">
        <f>IFERROR(__xludf.DUMMYFUNCTION("""COMPUTED_VALUE"""),551.2267)</f>
        <v>551.2267</v>
      </c>
    </row>
    <row r="1936">
      <c r="A1936" s="434">
        <f>IFERROR(__xludf.DUMMYFUNCTION("""COMPUTED_VALUE"""),44573.99861111111)</f>
        <v>44573.99861</v>
      </c>
      <c r="B1936" s="433">
        <f>IFERROR(__xludf.DUMMYFUNCTION("""COMPUTED_VALUE"""),43901.55)</f>
        <v>43901.55</v>
      </c>
      <c r="C1936" s="434">
        <f>IFERROR(__xludf.DUMMYFUNCTION("""COMPUTED_VALUE"""),44158.99861111111)</f>
        <v>44158.99861</v>
      </c>
      <c r="D1936" s="433">
        <f>IFERROR(__xludf.DUMMYFUNCTION("""COMPUTED_VALUE"""),562.5109)</f>
        <v>562.5109</v>
      </c>
    </row>
    <row r="1937">
      <c r="A1937" s="434">
        <f>IFERROR(__xludf.DUMMYFUNCTION("""COMPUTED_VALUE"""),44574.99861111111)</f>
        <v>44574.99861</v>
      </c>
      <c r="B1937" s="433">
        <f>IFERROR(__xludf.DUMMYFUNCTION("""COMPUTED_VALUE"""),42537.42)</f>
        <v>42537.42</v>
      </c>
      <c r="C1937" s="434">
        <f>IFERROR(__xludf.DUMMYFUNCTION("""COMPUTED_VALUE"""),44159.99861111111)</f>
        <v>44159.99861</v>
      </c>
      <c r="D1937" s="433">
        <f>IFERROR(__xludf.DUMMYFUNCTION("""COMPUTED_VALUE"""),606.9451)</f>
        <v>606.9451</v>
      </c>
    </row>
    <row r="1938">
      <c r="A1938" s="434">
        <f>IFERROR(__xludf.DUMMYFUNCTION("""COMPUTED_VALUE"""),44575.99861111111)</f>
        <v>44575.99861</v>
      </c>
      <c r="B1938" s="433">
        <f>IFERROR(__xludf.DUMMYFUNCTION("""COMPUTED_VALUE"""),43083.03)</f>
        <v>43083.03</v>
      </c>
      <c r="C1938" s="434">
        <f>IFERROR(__xludf.DUMMYFUNCTION("""COMPUTED_VALUE"""),44160.99861111111)</f>
        <v>44160.99861</v>
      </c>
      <c r="D1938" s="433">
        <f>IFERROR(__xludf.DUMMYFUNCTION("""COMPUTED_VALUE"""),605.0942)</f>
        <v>605.0942</v>
      </c>
    </row>
    <row r="1939">
      <c r="A1939" s="434">
        <f>IFERROR(__xludf.DUMMYFUNCTION("""COMPUTED_VALUE"""),44576.99861111111)</f>
        <v>44576.99861</v>
      </c>
      <c r="B1939" s="433">
        <f>IFERROR(__xludf.DUMMYFUNCTION("""COMPUTED_VALUE"""),43093.38)</f>
        <v>43093.38</v>
      </c>
      <c r="C1939" s="434">
        <f>IFERROR(__xludf.DUMMYFUNCTION("""COMPUTED_VALUE"""),44161.99861111111)</f>
        <v>44161.99861</v>
      </c>
      <c r="D1939" s="433">
        <f>IFERROR(__xludf.DUMMYFUNCTION("""COMPUTED_VALUE"""),564.7191)</f>
        <v>564.7191</v>
      </c>
    </row>
    <row r="1940">
      <c r="A1940" s="434">
        <f>IFERROR(__xludf.DUMMYFUNCTION("""COMPUTED_VALUE"""),44577.99861111111)</f>
        <v>44577.99861</v>
      </c>
      <c r="B1940" s="433">
        <f>IFERROR(__xludf.DUMMYFUNCTION("""COMPUTED_VALUE"""),43086.08)</f>
        <v>43086.08</v>
      </c>
      <c r="C1940" s="434">
        <f>IFERROR(__xludf.DUMMYFUNCTION("""COMPUTED_VALUE"""),44162.99861111111)</f>
        <v>44162.99861</v>
      </c>
      <c r="D1940" s="433">
        <f>IFERROR(__xludf.DUMMYFUNCTION("""COMPUTED_VALUE"""),519.9213)</f>
        <v>519.9213</v>
      </c>
    </row>
    <row r="1941">
      <c r="A1941" s="434">
        <f>IFERROR(__xludf.DUMMYFUNCTION("""COMPUTED_VALUE"""),44578.99861111111)</f>
        <v>44578.99861</v>
      </c>
      <c r="B1941" s="433">
        <f>IFERROR(__xludf.DUMMYFUNCTION("""COMPUTED_VALUE"""),42237.48)</f>
        <v>42237.48</v>
      </c>
      <c r="C1941" s="434">
        <f>IFERROR(__xludf.DUMMYFUNCTION("""COMPUTED_VALUE"""),44163.99861111111)</f>
        <v>44163.99861</v>
      </c>
      <c r="D1941" s="433">
        <f>IFERROR(__xludf.DUMMYFUNCTION("""COMPUTED_VALUE"""),518.1377)</f>
        <v>518.1377</v>
      </c>
    </row>
    <row r="1942">
      <c r="A1942" s="434">
        <f>IFERROR(__xludf.DUMMYFUNCTION("""COMPUTED_VALUE"""),44579.99861111111)</f>
        <v>44579.99861</v>
      </c>
      <c r="B1942" s="433">
        <f>IFERROR(__xludf.DUMMYFUNCTION("""COMPUTED_VALUE"""),42367.78)</f>
        <v>42367.78</v>
      </c>
      <c r="C1942" s="434">
        <f>IFERROR(__xludf.DUMMYFUNCTION("""COMPUTED_VALUE"""),44164.99861111111)</f>
        <v>44164.99861</v>
      </c>
      <c r="D1942" s="433">
        <f>IFERROR(__xludf.DUMMYFUNCTION("""COMPUTED_VALUE"""),539.3972)</f>
        <v>539.3972</v>
      </c>
    </row>
    <row r="1943">
      <c r="A1943" s="434">
        <f>IFERROR(__xludf.DUMMYFUNCTION("""COMPUTED_VALUE"""),44580.99861111111)</f>
        <v>44580.99861</v>
      </c>
      <c r="B1943" s="433">
        <f>IFERROR(__xludf.DUMMYFUNCTION("""COMPUTED_VALUE"""),41690.65)</f>
        <v>41690.65</v>
      </c>
      <c r="C1943" s="434">
        <f>IFERROR(__xludf.DUMMYFUNCTION("""COMPUTED_VALUE"""),44165.99861111111)</f>
        <v>44165.99861</v>
      </c>
      <c r="D1943" s="433">
        <f>IFERROR(__xludf.DUMMYFUNCTION("""COMPUTED_VALUE"""),579.8114)</f>
        <v>579.8114</v>
      </c>
    </row>
    <row r="1944">
      <c r="A1944" s="434">
        <f>IFERROR(__xludf.DUMMYFUNCTION("""COMPUTED_VALUE"""),44581.99861111111)</f>
        <v>44581.99861</v>
      </c>
      <c r="B1944" s="433">
        <f>IFERROR(__xludf.DUMMYFUNCTION("""COMPUTED_VALUE"""),40726.07)</f>
        <v>40726.07</v>
      </c>
      <c r="C1944" s="434">
        <f>IFERROR(__xludf.DUMMYFUNCTION("""COMPUTED_VALUE"""),44166.99861111111)</f>
        <v>44166.99861</v>
      </c>
      <c r="D1944" s="433">
        <f>IFERROR(__xludf.DUMMYFUNCTION("""COMPUTED_VALUE"""),617.1148)</f>
        <v>617.1148</v>
      </c>
    </row>
    <row r="1945">
      <c r="A1945" s="434">
        <f>IFERROR(__xludf.DUMMYFUNCTION("""COMPUTED_VALUE"""),44582.99861111111)</f>
        <v>44582.99861</v>
      </c>
      <c r="B1945" s="433">
        <f>IFERROR(__xludf.DUMMYFUNCTION("""COMPUTED_VALUE"""),36493.02)</f>
        <v>36493.02</v>
      </c>
      <c r="C1945" s="434">
        <f>IFERROR(__xludf.DUMMYFUNCTION("""COMPUTED_VALUE"""),44167.99861111111)</f>
        <v>44167.99861</v>
      </c>
      <c r="D1945" s="433">
        <f>IFERROR(__xludf.DUMMYFUNCTION("""COMPUTED_VALUE"""),582.2609)</f>
        <v>582.2609</v>
      </c>
    </row>
    <row r="1946">
      <c r="A1946" s="434">
        <f>IFERROR(__xludf.DUMMYFUNCTION("""COMPUTED_VALUE"""),44583.99861111111)</f>
        <v>44583.99861</v>
      </c>
      <c r="B1946" s="433">
        <f>IFERROR(__xludf.DUMMYFUNCTION("""COMPUTED_VALUE"""),35058.68)</f>
        <v>35058.68</v>
      </c>
      <c r="C1946" s="434">
        <f>IFERROR(__xludf.DUMMYFUNCTION("""COMPUTED_VALUE"""),44168.99861111111)</f>
        <v>44168.99861</v>
      </c>
      <c r="D1946" s="433">
        <f>IFERROR(__xludf.DUMMYFUNCTION("""COMPUTED_VALUE"""),599.3539)</f>
        <v>599.3539</v>
      </c>
    </row>
    <row r="1947">
      <c r="A1947" s="434">
        <f>IFERROR(__xludf.DUMMYFUNCTION("""COMPUTED_VALUE"""),44584.99861111111)</f>
        <v>44584.99861</v>
      </c>
      <c r="B1947" s="433">
        <f>IFERROR(__xludf.DUMMYFUNCTION("""COMPUTED_VALUE"""),36269.66)</f>
        <v>36269.66</v>
      </c>
      <c r="C1947" s="434">
        <f>IFERROR(__xludf.DUMMYFUNCTION("""COMPUTED_VALUE"""),44169.99861111111)</f>
        <v>44169.99861</v>
      </c>
      <c r="D1947" s="433">
        <f>IFERROR(__xludf.DUMMYFUNCTION("""COMPUTED_VALUE"""),615.2997)</f>
        <v>615.2997</v>
      </c>
    </row>
    <row r="1948">
      <c r="A1948" s="434">
        <f>IFERROR(__xludf.DUMMYFUNCTION("""COMPUTED_VALUE"""),44585.99861111111)</f>
        <v>44585.99861</v>
      </c>
      <c r="B1948" s="433">
        <f>IFERROR(__xludf.DUMMYFUNCTION("""COMPUTED_VALUE"""),36686.15)</f>
        <v>36686.15</v>
      </c>
      <c r="C1948" s="434">
        <f>IFERROR(__xludf.DUMMYFUNCTION("""COMPUTED_VALUE"""),44170.99861111111)</f>
        <v>44170.99861</v>
      </c>
      <c r="D1948" s="433">
        <f>IFERROR(__xludf.DUMMYFUNCTION("""COMPUTED_VALUE"""),565.1501)</f>
        <v>565.1501</v>
      </c>
    </row>
    <row r="1949">
      <c r="A1949" s="434">
        <f>IFERROR(__xludf.DUMMYFUNCTION("""COMPUTED_VALUE"""),44586.99861111111)</f>
        <v>44586.99861</v>
      </c>
      <c r="B1949" s="433">
        <f>IFERROR(__xludf.DUMMYFUNCTION("""COMPUTED_VALUE"""),36954.33)</f>
        <v>36954.33</v>
      </c>
      <c r="C1949" s="434">
        <f>IFERROR(__xludf.DUMMYFUNCTION("""COMPUTED_VALUE"""),44171.99861111111)</f>
        <v>44171.99861</v>
      </c>
      <c r="D1949" s="433">
        <f>IFERROR(__xludf.DUMMYFUNCTION("""COMPUTED_VALUE"""),601.1857)</f>
        <v>601.1857</v>
      </c>
    </row>
    <row r="1950">
      <c r="A1950" s="434">
        <f>IFERROR(__xludf.DUMMYFUNCTION("""COMPUTED_VALUE"""),44587.99861111111)</f>
        <v>44587.99861</v>
      </c>
      <c r="B1950" s="433">
        <f>IFERROR(__xludf.DUMMYFUNCTION("""COMPUTED_VALUE"""),36820.86)</f>
        <v>36820.86</v>
      </c>
      <c r="C1950" s="434">
        <f>IFERROR(__xludf.DUMMYFUNCTION("""COMPUTED_VALUE"""),44172.99861111111)</f>
        <v>44172.99861</v>
      </c>
      <c r="D1950" s="433">
        <f>IFERROR(__xludf.DUMMYFUNCTION("""COMPUTED_VALUE"""),602.8036)</f>
        <v>602.8036</v>
      </c>
    </row>
    <row r="1951">
      <c r="A1951" s="434">
        <f>IFERROR(__xludf.DUMMYFUNCTION("""COMPUTED_VALUE"""),44588.99861111111)</f>
        <v>44588.99861</v>
      </c>
      <c r="B1951" s="433">
        <f>IFERROR(__xludf.DUMMYFUNCTION("""COMPUTED_VALUE"""),37121.69)</f>
        <v>37121.69</v>
      </c>
      <c r="C1951" s="434">
        <f>IFERROR(__xludf.DUMMYFUNCTION("""COMPUTED_VALUE"""),44173.99861111111)</f>
        <v>44173.99861</v>
      </c>
      <c r="D1951" s="433">
        <f>IFERROR(__xludf.DUMMYFUNCTION("""COMPUTED_VALUE"""),590.5239)</f>
        <v>590.5239</v>
      </c>
    </row>
    <row r="1952">
      <c r="A1952" s="434">
        <f>IFERROR(__xludf.DUMMYFUNCTION("""COMPUTED_VALUE"""),44589.99861111111)</f>
        <v>44589.99861</v>
      </c>
      <c r="B1952" s="433">
        <f>IFERROR(__xludf.DUMMYFUNCTION("""COMPUTED_VALUE"""),37739.55)</f>
        <v>37739.55</v>
      </c>
      <c r="C1952" s="434">
        <f>IFERROR(__xludf.DUMMYFUNCTION("""COMPUTED_VALUE"""),44174.99861111111)</f>
        <v>44174.99861</v>
      </c>
      <c r="D1952" s="433">
        <f>IFERROR(__xludf.DUMMYFUNCTION("""COMPUTED_VALUE"""),554.3073)</f>
        <v>554.3073</v>
      </c>
    </row>
    <row r="1953">
      <c r="A1953" s="434">
        <f>IFERROR(__xludf.DUMMYFUNCTION("""COMPUTED_VALUE"""),44590.99861111111)</f>
        <v>44590.99861</v>
      </c>
      <c r="B1953" s="433">
        <f>IFERROR(__xludf.DUMMYFUNCTION("""COMPUTED_VALUE"""),38172.41)</f>
        <v>38172.41</v>
      </c>
      <c r="C1953" s="434">
        <f>IFERROR(__xludf.DUMMYFUNCTION("""COMPUTED_VALUE"""),44175.99861111111)</f>
        <v>44175.99861</v>
      </c>
      <c r="D1953" s="433">
        <f>IFERROR(__xludf.DUMMYFUNCTION("""COMPUTED_VALUE"""),574.6001)</f>
        <v>574.6001</v>
      </c>
    </row>
    <row r="1954">
      <c r="A1954" s="434">
        <f>IFERROR(__xludf.DUMMYFUNCTION("""COMPUTED_VALUE"""),44591.99861111111)</f>
        <v>44591.99861</v>
      </c>
      <c r="B1954" s="433">
        <f>IFERROR(__xludf.DUMMYFUNCTION("""COMPUTED_VALUE"""),37911.92)</f>
        <v>37911.92</v>
      </c>
      <c r="C1954" s="434">
        <f>IFERROR(__xludf.DUMMYFUNCTION("""COMPUTED_VALUE"""),44176.99861111111)</f>
        <v>44176.99861</v>
      </c>
      <c r="D1954" s="433">
        <f>IFERROR(__xludf.DUMMYFUNCTION("""COMPUTED_VALUE"""),560.3767)</f>
        <v>560.3767</v>
      </c>
    </row>
    <row r="1955">
      <c r="A1955" s="434">
        <f>IFERROR(__xludf.DUMMYFUNCTION("""COMPUTED_VALUE"""),44592.99861111111)</f>
        <v>44592.99861</v>
      </c>
      <c r="B1955" s="433">
        <f>IFERROR(__xludf.DUMMYFUNCTION("""COMPUTED_VALUE"""),38494.39)</f>
        <v>38494.39</v>
      </c>
      <c r="C1955" s="434">
        <f>IFERROR(__xludf.DUMMYFUNCTION("""COMPUTED_VALUE"""),44177.99861111111)</f>
        <v>44177.99861</v>
      </c>
      <c r="D1955" s="433">
        <f>IFERROR(__xludf.DUMMYFUNCTION("""COMPUTED_VALUE"""),546.7257)</f>
        <v>546.7257</v>
      </c>
    </row>
    <row r="1956">
      <c r="A1956" s="434">
        <f>IFERROR(__xludf.DUMMYFUNCTION("""COMPUTED_VALUE"""),44593.99861111111)</f>
        <v>44593.99861</v>
      </c>
      <c r="B1956" s="433">
        <f>IFERROR(__xludf.DUMMYFUNCTION("""COMPUTED_VALUE"""),38715.46)</f>
        <v>38715.46</v>
      </c>
      <c r="C1956" s="434">
        <f>IFERROR(__xludf.DUMMYFUNCTION("""COMPUTED_VALUE"""),44178.99861111111)</f>
        <v>44178.99861</v>
      </c>
      <c r="D1956" s="433">
        <f>IFERROR(__xludf.DUMMYFUNCTION("""COMPUTED_VALUE"""),569.3876)</f>
        <v>569.3876</v>
      </c>
    </row>
    <row r="1957">
      <c r="A1957" s="434">
        <f>IFERROR(__xludf.DUMMYFUNCTION("""COMPUTED_VALUE"""),44594.99861111111)</f>
        <v>44594.99861</v>
      </c>
      <c r="B1957" s="433">
        <f>IFERROR(__xludf.DUMMYFUNCTION("""COMPUTED_VALUE"""),36908.75)</f>
        <v>36908.75</v>
      </c>
      <c r="C1957" s="434">
        <f>IFERROR(__xludf.DUMMYFUNCTION("""COMPUTED_VALUE"""),44179.99861111111)</f>
        <v>44179.99861</v>
      </c>
      <c r="D1957" s="433">
        <f>IFERROR(__xludf.DUMMYFUNCTION("""COMPUTED_VALUE"""),588.9198)</f>
        <v>588.9198</v>
      </c>
    </row>
    <row r="1958">
      <c r="A1958" s="434">
        <f>IFERROR(__xludf.DUMMYFUNCTION("""COMPUTED_VALUE"""),44595.99861111111)</f>
        <v>44595.99861</v>
      </c>
      <c r="B1958" s="433">
        <f>IFERROR(__xludf.DUMMYFUNCTION("""COMPUTED_VALUE"""),37283.13)</f>
        <v>37283.13</v>
      </c>
      <c r="C1958" s="434">
        <f>IFERROR(__xludf.DUMMYFUNCTION("""COMPUTED_VALUE"""),44180.99861111111)</f>
        <v>44180.99861</v>
      </c>
      <c r="D1958" s="433">
        <f>IFERROR(__xludf.DUMMYFUNCTION("""COMPUTED_VALUE"""),586.5716)</f>
        <v>586.5716</v>
      </c>
    </row>
    <row r="1959">
      <c r="A1959" s="434">
        <f>IFERROR(__xludf.DUMMYFUNCTION("""COMPUTED_VALUE"""),44596.99861111111)</f>
        <v>44596.99861</v>
      </c>
      <c r="B1959" s="433">
        <f>IFERROR(__xludf.DUMMYFUNCTION("""COMPUTED_VALUE"""),41567.76)</f>
        <v>41567.76</v>
      </c>
      <c r="C1959" s="434">
        <f>IFERROR(__xludf.DUMMYFUNCTION("""COMPUTED_VALUE"""),44181.99861111111)</f>
        <v>44181.99861</v>
      </c>
      <c r="D1959" s="433">
        <f>IFERROR(__xludf.DUMMYFUNCTION("""COMPUTED_VALUE"""),589.357)</f>
        <v>589.357</v>
      </c>
    </row>
    <row r="1960">
      <c r="A1960" s="434">
        <f>IFERROR(__xludf.DUMMYFUNCTION("""COMPUTED_VALUE"""),44597.99861111111)</f>
        <v>44597.99861</v>
      </c>
      <c r="B1960" s="433">
        <f>IFERROR(__xludf.DUMMYFUNCTION("""COMPUTED_VALUE"""),41432.18)</f>
        <v>41432.18</v>
      </c>
      <c r="C1960" s="434">
        <f>IFERROR(__xludf.DUMMYFUNCTION("""COMPUTED_VALUE"""),44182.99861111111)</f>
        <v>44182.99861</v>
      </c>
      <c r="D1960" s="433">
        <f>IFERROR(__xludf.DUMMYFUNCTION("""COMPUTED_VALUE"""),639.43)</f>
        <v>639.43</v>
      </c>
    </row>
    <row r="1961">
      <c r="A1961" s="434">
        <f>IFERROR(__xludf.DUMMYFUNCTION("""COMPUTED_VALUE"""),44598.99861111111)</f>
        <v>44598.99861</v>
      </c>
      <c r="B1961" s="433">
        <f>IFERROR(__xludf.DUMMYFUNCTION("""COMPUTED_VALUE"""),42397.85)</f>
        <v>42397.85</v>
      </c>
      <c r="C1961" s="434">
        <f>IFERROR(__xludf.DUMMYFUNCTION("""COMPUTED_VALUE"""),44183.99861111111)</f>
        <v>44183.99861</v>
      </c>
      <c r="D1961" s="433">
        <f>IFERROR(__xludf.DUMMYFUNCTION("""COMPUTED_VALUE"""),640.6535)</f>
        <v>640.6535</v>
      </c>
    </row>
    <row r="1962">
      <c r="A1962" s="434">
        <f>IFERROR(__xludf.DUMMYFUNCTION("""COMPUTED_VALUE"""),44599.99861111111)</f>
        <v>44599.99861</v>
      </c>
      <c r="B1962" s="433">
        <f>IFERROR(__xludf.DUMMYFUNCTION("""COMPUTED_VALUE"""),43853.76)</f>
        <v>43853.76</v>
      </c>
      <c r="C1962" s="434">
        <f>IFERROR(__xludf.DUMMYFUNCTION("""COMPUTED_VALUE"""),44184.99861111111)</f>
        <v>44184.99861</v>
      </c>
      <c r="D1962" s="433">
        <f>IFERROR(__xludf.DUMMYFUNCTION("""COMPUTED_VALUE"""),653.5029)</f>
        <v>653.5029</v>
      </c>
    </row>
    <row r="1963">
      <c r="A1963" s="434">
        <f>IFERROR(__xludf.DUMMYFUNCTION("""COMPUTED_VALUE"""),44600.99861111111)</f>
        <v>44600.99861</v>
      </c>
      <c r="B1963" s="433">
        <f>IFERROR(__xludf.DUMMYFUNCTION("""COMPUTED_VALUE"""),44064.49)</f>
        <v>44064.49</v>
      </c>
      <c r="C1963" s="434">
        <f>IFERROR(__xludf.DUMMYFUNCTION("""COMPUTED_VALUE"""),44185.99861111111)</f>
        <v>44185.99861</v>
      </c>
      <c r="D1963" s="433">
        <f>IFERROR(__xludf.DUMMYFUNCTION("""COMPUTED_VALUE"""),656.8223)</f>
        <v>656.8223</v>
      </c>
    </row>
    <row r="1964">
      <c r="A1964" s="434">
        <f>IFERROR(__xludf.DUMMYFUNCTION("""COMPUTED_VALUE"""),44601.99861111111)</f>
        <v>44601.99861</v>
      </c>
      <c r="B1964" s="433">
        <f>IFERROR(__xludf.DUMMYFUNCTION("""COMPUTED_VALUE"""),44404.75)</f>
        <v>44404.75</v>
      </c>
      <c r="C1964" s="434">
        <f>IFERROR(__xludf.DUMMYFUNCTION("""COMPUTED_VALUE"""),44186.99861111111)</f>
        <v>44186.99861</v>
      </c>
      <c r="D1964" s="433">
        <f>IFERROR(__xludf.DUMMYFUNCTION("""COMPUTED_VALUE"""),635.9215)</f>
        <v>635.9215</v>
      </c>
    </row>
    <row r="1965">
      <c r="A1965" s="434">
        <f>IFERROR(__xludf.DUMMYFUNCTION("""COMPUTED_VALUE"""),44602.99861111111)</f>
        <v>44602.99861</v>
      </c>
      <c r="B1965" s="433">
        <f>IFERROR(__xludf.DUMMYFUNCTION("""COMPUTED_VALUE"""),43517.06)</f>
        <v>43517.06</v>
      </c>
      <c r="C1965" s="434">
        <f>IFERROR(__xludf.DUMMYFUNCTION("""COMPUTED_VALUE"""),44187.99861111111)</f>
        <v>44187.99861</v>
      </c>
      <c r="D1965" s="433">
        <f>IFERROR(__xludf.DUMMYFUNCTION("""COMPUTED_VALUE"""),607.7805)</f>
        <v>607.7805</v>
      </c>
    </row>
    <row r="1966">
      <c r="A1966" s="434">
        <f>IFERROR(__xludf.DUMMYFUNCTION("""COMPUTED_VALUE"""),44603.99861111111)</f>
        <v>44603.99861</v>
      </c>
      <c r="B1966" s="433">
        <f>IFERROR(__xludf.DUMMYFUNCTION("""COMPUTED_VALUE"""),42391.13)</f>
        <v>42391.13</v>
      </c>
      <c r="C1966" s="434">
        <f>IFERROR(__xludf.DUMMYFUNCTION("""COMPUTED_VALUE"""),44188.99861111111)</f>
        <v>44188.99861</v>
      </c>
      <c r="D1966" s="433">
        <f>IFERROR(__xludf.DUMMYFUNCTION("""COMPUTED_VALUE"""),635.6226)</f>
        <v>635.6226</v>
      </c>
    </row>
    <row r="1967">
      <c r="A1967" s="434">
        <f>IFERROR(__xludf.DUMMYFUNCTION("""COMPUTED_VALUE"""),44604.99861111111)</f>
        <v>44604.99861</v>
      </c>
      <c r="B1967" s="433">
        <f>IFERROR(__xludf.DUMMYFUNCTION("""COMPUTED_VALUE"""),42222.13)</f>
        <v>42222.13</v>
      </c>
      <c r="C1967" s="434">
        <f>IFERROR(__xludf.DUMMYFUNCTION("""COMPUTED_VALUE"""),44189.99861111111)</f>
        <v>44189.99861</v>
      </c>
      <c r="D1967" s="433">
        <f>IFERROR(__xludf.DUMMYFUNCTION("""COMPUTED_VALUE"""),581.2261)</f>
        <v>581.2261</v>
      </c>
    </row>
    <row r="1968">
      <c r="A1968" s="434">
        <f>IFERROR(__xludf.DUMMYFUNCTION("""COMPUTED_VALUE"""),44605.99861111111)</f>
        <v>44605.99861</v>
      </c>
      <c r="B1968" s="433">
        <f>IFERROR(__xludf.DUMMYFUNCTION("""COMPUTED_VALUE"""),42053.36)</f>
        <v>42053.36</v>
      </c>
      <c r="C1968" s="434">
        <f>IFERROR(__xludf.DUMMYFUNCTION("""COMPUTED_VALUE"""),44190.99861111111)</f>
        <v>44190.99861</v>
      </c>
      <c r="D1968" s="433">
        <f>IFERROR(__xludf.DUMMYFUNCTION("""COMPUTED_VALUE"""),614.1702)</f>
        <v>614.1702</v>
      </c>
    </row>
    <row r="1969">
      <c r="A1969" s="434">
        <f>IFERROR(__xludf.DUMMYFUNCTION("""COMPUTED_VALUE"""),44606.99861111111)</f>
        <v>44606.99861</v>
      </c>
      <c r="B1969" s="433">
        <f>IFERROR(__xludf.DUMMYFUNCTION("""COMPUTED_VALUE"""),42550.43)</f>
        <v>42550.43</v>
      </c>
      <c r="C1969" s="434">
        <f>IFERROR(__xludf.DUMMYFUNCTION("""COMPUTED_VALUE"""),44191.99861111111)</f>
        <v>44191.99861</v>
      </c>
      <c r="D1969" s="433">
        <f>IFERROR(__xludf.DUMMYFUNCTION("""COMPUTED_VALUE"""),628.1917)</f>
        <v>628.1917</v>
      </c>
    </row>
    <row r="1970">
      <c r="A1970" s="434">
        <f>IFERROR(__xludf.DUMMYFUNCTION("""COMPUTED_VALUE"""),44607.99861111111)</f>
        <v>44607.99861</v>
      </c>
      <c r="B1970" s="433">
        <f>IFERROR(__xludf.DUMMYFUNCTION("""COMPUTED_VALUE"""),44542.77)</f>
        <v>44542.77</v>
      </c>
      <c r="C1970" s="434">
        <f>IFERROR(__xludf.DUMMYFUNCTION("""COMPUTED_VALUE"""),44192.99861111111)</f>
        <v>44192.99861</v>
      </c>
      <c r="D1970" s="433">
        <f>IFERROR(__xludf.DUMMYFUNCTION("""COMPUTED_VALUE"""),637.3682)</f>
        <v>637.3682</v>
      </c>
    </row>
    <row r="1971">
      <c r="A1971" s="434">
        <f>IFERROR(__xludf.DUMMYFUNCTION("""COMPUTED_VALUE"""),44608.99861111111)</f>
        <v>44608.99861</v>
      </c>
      <c r="B1971" s="433">
        <f>IFERROR(__xludf.DUMMYFUNCTION("""COMPUTED_VALUE"""),43867.82)</f>
        <v>43867.82</v>
      </c>
      <c r="C1971" s="434">
        <f>IFERROR(__xludf.DUMMYFUNCTION("""COMPUTED_VALUE"""),44193.99861111111)</f>
        <v>44193.99861</v>
      </c>
      <c r="D1971" s="433">
        <f>IFERROR(__xludf.DUMMYFUNCTION("""COMPUTED_VALUE"""),684.293)</f>
        <v>684.293</v>
      </c>
    </row>
    <row r="1972">
      <c r="A1972" s="434">
        <f>IFERROR(__xludf.DUMMYFUNCTION("""COMPUTED_VALUE"""),44609.99861111111)</f>
        <v>44609.99861</v>
      </c>
      <c r="B1972" s="433">
        <f>IFERROR(__xludf.DUMMYFUNCTION("""COMPUTED_VALUE"""),40552.88)</f>
        <v>40552.88</v>
      </c>
      <c r="C1972" s="434">
        <f>IFERROR(__xludf.DUMMYFUNCTION("""COMPUTED_VALUE"""),44194.99861111111)</f>
        <v>44194.99861</v>
      </c>
      <c r="D1972" s="433">
        <f>IFERROR(__xludf.DUMMYFUNCTION("""COMPUTED_VALUE"""),730.5663)</f>
        <v>730.5663</v>
      </c>
    </row>
    <row r="1973">
      <c r="A1973" s="434">
        <f>IFERROR(__xludf.DUMMYFUNCTION("""COMPUTED_VALUE"""),44610.99861111111)</f>
        <v>44610.99861</v>
      </c>
      <c r="B1973" s="433">
        <f>IFERROR(__xludf.DUMMYFUNCTION("""COMPUTED_VALUE"""),40003.39)</f>
        <v>40003.39</v>
      </c>
      <c r="C1973" s="434">
        <f>IFERROR(__xludf.DUMMYFUNCTION("""COMPUTED_VALUE"""),44195.99861111111)</f>
        <v>44195.99861</v>
      </c>
      <c r="D1973" s="433">
        <f>IFERROR(__xludf.DUMMYFUNCTION("""COMPUTED_VALUE"""),733.9277)</f>
        <v>733.9277</v>
      </c>
    </row>
    <row r="1974">
      <c r="A1974" s="434">
        <f>IFERROR(__xludf.DUMMYFUNCTION("""COMPUTED_VALUE"""),44611.99861111111)</f>
        <v>44611.99861</v>
      </c>
      <c r="B1974" s="433">
        <f>IFERROR(__xludf.DUMMYFUNCTION("""COMPUTED_VALUE"""),40094.09)</f>
        <v>40094.09</v>
      </c>
      <c r="C1974" s="434">
        <f>IFERROR(__xludf.DUMMYFUNCTION("""COMPUTED_VALUE"""),44196.99861111111)</f>
        <v>44196.99861</v>
      </c>
      <c r="D1974" s="433">
        <f>IFERROR(__xludf.DUMMYFUNCTION("""COMPUTED_VALUE"""),752.6987)</f>
        <v>752.6987</v>
      </c>
    </row>
    <row r="1975">
      <c r="A1975" s="434">
        <f>IFERROR(__xludf.DUMMYFUNCTION("""COMPUTED_VALUE"""),44612.99861111111)</f>
        <v>44612.99861</v>
      </c>
      <c r="B1975" s="433">
        <f>IFERROR(__xludf.DUMMYFUNCTION("""COMPUTED_VALUE"""),38378.47)</f>
        <v>38378.47</v>
      </c>
      <c r="C1975" s="434">
        <f>IFERROR(__xludf.DUMMYFUNCTION("""COMPUTED_VALUE"""),44197.99861111111)</f>
        <v>44197.99861</v>
      </c>
      <c r="D1975" s="433">
        <f>IFERROR(__xludf.DUMMYFUNCTION("""COMPUTED_VALUE"""),738.4757)</f>
        <v>738.4757</v>
      </c>
    </row>
    <row r="1976">
      <c r="A1976" s="434">
        <f>IFERROR(__xludf.DUMMYFUNCTION("""COMPUTED_VALUE"""),44613.99861111111)</f>
        <v>44613.99861</v>
      </c>
      <c r="B1976" s="433">
        <f>IFERROR(__xludf.DUMMYFUNCTION("""COMPUTED_VALUE"""),37032.1)</f>
        <v>37032.1</v>
      </c>
      <c r="C1976" s="434">
        <f>IFERROR(__xludf.DUMMYFUNCTION("""COMPUTED_VALUE"""),44198.99861111111)</f>
        <v>44198.99861</v>
      </c>
      <c r="D1976" s="433">
        <f>IFERROR(__xludf.DUMMYFUNCTION("""COMPUTED_VALUE"""),728.8247)</f>
        <v>728.8247</v>
      </c>
    </row>
    <row r="1977">
      <c r="A1977" s="434">
        <f>IFERROR(__xludf.DUMMYFUNCTION("""COMPUTED_VALUE"""),44614.99861111111)</f>
        <v>44614.99861</v>
      </c>
      <c r="B1977" s="433">
        <f>IFERROR(__xludf.DUMMYFUNCTION("""COMPUTED_VALUE"""),38247.22)</f>
        <v>38247.22</v>
      </c>
      <c r="C1977" s="434">
        <f>IFERROR(__xludf.DUMMYFUNCTION("""COMPUTED_VALUE"""),44199.99861111111)</f>
        <v>44199.99861</v>
      </c>
      <c r="D1977" s="433">
        <f>IFERROR(__xludf.DUMMYFUNCTION("""COMPUTED_VALUE"""),776.2558)</f>
        <v>776.2558</v>
      </c>
    </row>
    <row r="1978">
      <c r="A1978" s="434">
        <f>IFERROR(__xludf.DUMMYFUNCTION("""COMPUTED_VALUE"""),44615.99861111111)</f>
        <v>44615.99861</v>
      </c>
      <c r="B1978" s="433">
        <f>IFERROR(__xludf.DUMMYFUNCTION("""COMPUTED_VALUE"""),37242.74)</f>
        <v>37242.74</v>
      </c>
      <c r="C1978" s="434">
        <f>IFERROR(__xludf.DUMMYFUNCTION("""COMPUTED_VALUE"""),44200.99861111111)</f>
        <v>44200.99861</v>
      </c>
      <c r="D1978" s="433">
        <f>IFERROR(__xludf.DUMMYFUNCTION("""COMPUTED_VALUE"""),985.8793)</f>
        <v>985.8793</v>
      </c>
    </row>
    <row r="1979">
      <c r="A1979" s="434">
        <f>IFERROR(__xludf.DUMMYFUNCTION("""COMPUTED_VALUE"""),44616.99861111111)</f>
        <v>44616.99861</v>
      </c>
      <c r="B1979" s="433">
        <f>IFERROR(__xludf.DUMMYFUNCTION("""COMPUTED_VALUE"""),38344.11)</f>
        <v>38344.11</v>
      </c>
      <c r="C1979" s="434">
        <f>IFERROR(__xludf.DUMMYFUNCTION("""COMPUTED_VALUE"""),44201.99861111111)</f>
        <v>44201.99861</v>
      </c>
      <c r="D1979" s="433">
        <f>IFERROR(__xludf.DUMMYFUNCTION("""COMPUTED_VALUE"""),1060.2791)</f>
        <v>1060.2791</v>
      </c>
    </row>
    <row r="1980">
      <c r="A1980" s="434">
        <f>IFERROR(__xludf.DUMMYFUNCTION("""COMPUTED_VALUE"""),44617.99861111111)</f>
        <v>44617.99861</v>
      </c>
      <c r="B1980" s="433">
        <f>IFERROR(__xludf.DUMMYFUNCTION("""COMPUTED_VALUE"""),39226.82)</f>
        <v>39226.82</v>
      </c>
      <c r="C1980" s="434">
        <f>IFERROR(__xludf.DUMMYFUNCTION("""COMPUTED_VALUE"""),44202.99861111111)</f>
        <v>44202.99861</v>
      </c>
      <c r="D1980" s="433">
        <f>IFERROR(__xludf.DUMMYFUNCTION("""COMPUTED_VALUE"""),1107.7648)</f>
        <v>1107.7648</v>
      </c>
    </row>
    <row r="1981">
      <c r="A1981" s="434">
        <f>IFERROR(__xludf.DUMMYFUNCTION("""COMPUTED_VALUE"""),44618.99861111111)</f>
        <v>44618.99861</v>
      </c>
      <c r="B1981" s="433">
        <f>IFERROR(__xludf.DUMMYFUNCTION("""COMPUTED_VALUE"""),39115.22)</f>
        <v>39115.22</v>
      </c>
      <c r="C1981" s="434">
        <f>IFERROR(__xludf.DUMMYFUNCTION("""COMPUTED_VALUE"""),44203.99861111111)</f>
        <v>44203.99861</v>
      </c>
      <c r="D1981" s="433">
        <f>IFERROR(__xludf.DUMMYFUNCTION("""COMPUTED_VALUE"""),1216.917)</f>
        <v>1216.917</v>
      </c>
    </row>
    <row r="1982">
      <c r="A1982" s="434">
        <f>IFERROR(__xludf.DUMMYFUNCTION("""COMPUTED_VALUE"""),44619.99861111111)</f>
        <v>44619.99861</v>
      </c>
      <c r="B1982" s="433">
        <f>IFERROR(__xludf.DUMMYFUNCTION("""COMPUTED_VALUE"""),37710.46)</f>
        <v>37710.46</v>
      </c>
      <c r="C1982" s="434">
        <f>IFERROR(__xludf.DUMMYFUNCTION("""COMPUTED_VALUE"""),44204.99861111111)</f>
        <v>44204.99861</v>
      </c>
      <c r="D1982" s="433">
        <f>IFERROR(__xludf.DUMMYFUNCTION("""COMPUTED_VALUE"""),1224.3155)</f>
        <v>1224.3155</v>
      </c>
    </row>
    <row r="1983">
      <c r="A1983" s="434">
        <f>IFERROR(__xludf.DUMMYFUNCTION("""COMPUTED_VALUE"""),44620.99861111111)</f>
        <v>44620.99861</v>
      </c>
      <c r="B1983" s="433">
        <f>IFERROR(__xludf.DUMMYFUNCTION("""COMPUTED_VALUE"""),43193.8)</f>
        <v>43193.8</v>
      </c>
      <c r="C1983" s="434">
        <f>IFERROR(__xludf.DUMMYFUNCTION("""COMPUTED_VALUE"""),44205.99861111111)</f>
        <v>44205.99861</v>
      </c>
      <c r="D1983" s="433">
        <f>IFERROR(__xludf.DUMMYFUNCTION("""COMPUTED_VALUE"""),1231.3178)</f>
        <v>1231.3178</v>
      </c>
    </row>
    <row r="1984">
      <c r="A1984" s="434">
        <f>IFERROR(__xludf.DUMMYFUNCTION("""COMPUTED_VALUE"""),44621.99861111111)</f>
        <v>44621.99861</v>
      </c>
      <c r="B1984" s="433">
        <f>IFERROR(__xludf.DUMMYFUNCTION("""COMPUTED_VALUE"""),44427.58)</f>
        <v>44427.58</v>
      </c>
      <c r="C1984" s="434">
        <f>IFERROR(__xludf.DUMMYFUNCTION("""COMPUTED_VALUE"""),44206.99861111111)</f>
        <v>44206.99861</v>
      </c>
      <c r="D1984" s="433">
        <f>IFERROR(__xludf.DUMMYFUNCTION("""COMPUTED_VALUE"""),1290.306)</f>
        <v>1290.306</v>
      </c>
    </row>
    <row r="1985">
      <c r="A1985" s="434">
        <f>IFERROR(__xludf.DUMMYFUNCTION("""COMPUTED_VALUE"""),44622.99861111111)</f>
        <v>44622.99861</v>
      </c>
      <c r="B1985" s="433">
        <f>IFERROR(__xludf.DUMMYFUNCTION("""COMPUTED_VALUE"""),43920.23)</f>
        <v>43920.23</v>
      </c>
      <c r="C1985" s="434">
        <f>IFERROR(__xludf.DUMMYFUNCTION("""COMPUTED_VALUE"""),44207.99861111111)</f>
        <v>44207.99861</v>
      </c>
      <c r="D1985" s="433">
        <f>IFERROR(__xludf.DUMMYFUNCTION("""COMPUTED_VALUE"""),1248.975)</f>
        <v>1248.975</v>
      </c>
    </row>
    <row r="1986">
      <c r="A1986" s="434">
        <f>IFERROR(__xludf.DUMMYFUNCTION("""COMPUTED_VALUE"""),44623.99861111111)</f>
        <v>44623.99861</v>
      </c>
      <c r="B1986" s="433">
        <f>IFERROR(__xludf.DUMMYFUNCTION("""COMPUTED_VALUE"""),42464.19)</f>
        <v>42464.19</v>
      </c>
      <c r="C1986" s="434">
        <f>IFERROR(__xludf.DUMMYFUNCTION("""COMPUTED_VALUE"""),44208.99861111111)</f>
        <v>44208.99861</v>
      </c>
      <c r="D1986" s="433">
        <f>IFERROR(__xludf.DUMMYFUNCTION("""COMPUTED_VALUE"""),1085.339)</f>
        <v>1085.339</v>
      </c>
    </row>
    <row r="1987">
      <c r="A1987" s="434">
        <f>IFERROR(__xludf.DUMMYFUNCTION("""COMPUTED_VALUE"""),44624.99861111111)</f>
        <v>44624.99861</v>
      </c>
      <c r="B1987" s="433">
        <f>IFERROR(__xludf.DUMMYFUNCTION("""COMPUTED_VALUE"""),39151.55)</f>
        <v>39151.55</v>
      </c>
      <c r="C1987" s="434">
        <f>IFERROR(__xludf.DUMMYFUNCTION("""COMPUTED_VALUE"""),44209.99861111111)</f>
        <v>44209.99861</v>
      </c>
      <c r="D1987" s="433">
        <f>IFERROR(__xludf.DUMMYFUNCTION("""COMPUTED_VALUE"""),1040.5525)</f>
        <v>1040.5525</v>
      </c>
    </row>
    <row r="1988">
      <c r="A1988" s="434">
        <f>IFERROR(__xludf.DUMMYFUNCTION("""COMPUTED_VALUE"""),44625.99861111111)</f>
        <v>44625.99861</v>
      </c>
      <c r="B1988" s="433">
        <f>IFERROR(__xludf.DUMMYFUNCTION("""COMPUTED_VALUE"""),39397.01)</f>
        <v>39397.01</v>
      </c>
      <c r="C1988" s="434">
        <f>IFERROR(__xludf.DUMMYFUNCTION("""COMPUTED_VALUE"""),44210.99861111111)</f>
        <v>44210.99861</v>
      </c>
      <c r="D1988" s="433">
        <f>IFERROR(__xludf.DUMMYFUNCTION("""COMPUTED_VALUE"""),1139.7446)</f>
        <v>1139.7446</v>
      </c>
    </row>
    <row r="1989">
      <c r="A1989" s="434">
        <f>IFERROR(__xludf.DUMMYFUNCTION("""COMPUTED_VALUE"""),44626.99861111111)</f>
        <v>44626.99861</v>
      </c>
      <c r="B1989" s="433">
        <f>IFERROR(__xludf.DUMMYFUNCTION("""COMPUTED_VALUE"""),38414.21)</f>
        <v>38414.21</v>
      </c>
      <c r="C1989" s="434">
        <f>IFERROR(__xludf.DUMMYFUNCTION("""COMPUTED_VALUE"""),44211.99861111111)</f>
        <v>44211.99861</v>
      </c>
      <c r="D1989" s="433">
        <f>IFERROR(__xludf.DUMMYFUNCTION("""COMPUTED_VALUE"""),1232.3196)</f>
        <v>1232.3196</v>
      </c>
    </row>
    <row r="1990">
      <c r="A1990" s="434">
        <f>IFERROR(__xludf.DUMMYFUNCTION("""COMPUTED_VALUE"""),44627.99861111111)</f>
        <v>44627.99861</v>
      </c>
      <c r="B1990" s="433">
        <f>IFERROR(__xludf.DUMMYFUNCTION("""COMPUTED_VALUE"""),38033.56)</f>
        <v>38033.56</v>
      </c>
      <c r="C1990" s="434">
        <f>IFERROR(__xludf.DUMMYFUNCTION("""COMPUTED_VALUE"""),44212.99861111111)</f>
        <v>44212.99861</v>
      </c>
      <c r="D1990" s="433">
        <f>IFERROR(__xludf.DUMMYFUNCTION("""COMPUTED_VALUE"""),1180.9202)</f>
        <v>1180.9202</v>
      </c>
    </row>
    <row r="1991">
      <c r="A1991" s="434">
        <f>IFERROR(__xludf.DUMMYFUNCTION("""COMPUTED_VALUE"""),44628.99861111111)</f>
        <v>44628.99861</v>
      </c>
      <c r="B1991" s="433">
        <f>IFERROR(__xludf.DUMMYFUNCTION("""COMPUTED_VALUE"""),38751.03)</f>
        <v>38751.03</v>
      </c>
      <c r="C1991" s="434">
        <f>IFERROR(__xludf.DUMMYFUNCTION("""COMPUTED_VALUE"""),44213.99861111111)</f>
        <v>44213.99861</v>
      </c>
      <c r="D1991" s="433">
        <f>IFERROR(__xludf.DUMMYFUNCTION("""COMPUTED_VALUE"""),1218.7291)</f>
        <v>1218.7291</v>
      </c>
    </row>
    <row r="1992">
      <c r="A1992" s="434">
        <f>IFERROR(__xludf.DUMMYFUNCTION("""COMPUTED_VALUE"""),44629.99861111111)</f>
        <v>44629.99861</v>
      </c>
      <c r="B1992" s="433">
        <f>IFERROR(__xludf.DUMMYFUNCTION("""COMPUTED_VALUE"""),41935.94)</f>
        <v>41935.94</v>
      </c>
      <c r="C1992" s="434">
        <f>IFERROR(__xludf.DUMMYFUNCTION("""COMPUTED_VALUE"""),44214.99861111111)</f>
        <v>44214.99861</v>
      </c>
      <c r="D1992" s="433">
        <f>IFERROR(__xludf.DUMMYFUNCTION("""COMPUTED_VALUE"""),1236.1369)</f>
        <v>1236.1369</v>
      </c>
    </row>
    <row r="1993">
      <c r="A1993" s="434">
        <f>IFERROR(__xludf.DUMMYFUNCTION("""COMPUTED_VALUE"""),44630.99861111111)</f>
        <v>44630.99861</v>
      </c>
      <c r="B1993" s="433">
        <f>IFERROR(__xludf.DUMMYFUNCTION("""COMPUTED_VALUE"""),39431.6)</f>
        <v>39431.6</v>
      </c>
      <c r="C1993" s="434">
        <f>IFERROR(__xludf.DUMMYFUNCTION("""COMPUTED_VALUE"""),44215.99861111111)</f>
        <v>44215.99861</v>
      </c>
      <c r="D1993" s="433">
        <f>IFERROR(__xludf.DUMMYFUNCTION("""COMPUTED_VALUE"""),1270.8337)</f>
        <v>1270.8337</v>
      </c>
    </row>
    <row r="1994">
      <c r="A1994" s="434">
        <f>IFERROR(__xludf.DUMMYFUNCTION("""COMPUTED_VALUE"""),44631.99861111111)</f>
        <v>44631.99861</v>
      </c>
      <c r="B1994" s="433">
        <f>IFERROR(__xludf.DUMMYFUNCTION("""COMPUTED_VALUE"""),38735.91)</f>
        <v>38735.91</v>
      </c>
      <c r="C1994" s="434">
        <f>IFERROR(__xludf.DUMMYFUNCTION("""COMPUTED_VALUE"""),44216.99861111111)</f>
        <v>44216.99861</v>
      </c>
      <c r="D1994" s="433">
        <f>IFERROR(__xludf.DUMMYFUNCTION("""COMPUTED_VALUE"""),1375.7627)</f>
        <v>1375.7627</v>
      </c>
    </row>
    <row r="1995">
      <c r="A1995" s="434">
        <f>IFERROR(__xludf.DUMMYFUNCTION("""COMPUTED_VALUE"""),44632.99861111111)</f>
        <v>44632.99861</v>
      </c>
      <c r="B1995" s="433">
        <f>IFERROR(__xludf.DUMMYFUNCTION("""COMPUTED_VALUE"""),38807.06)</f>
        <v>38807.06</v>
      </c>
      <c r="C1995" s="434">
        <f>IFERROR(__xludf.DUMMYFUNCTION("""COMPUTED_VALUE"""),44217.99861111111)</f>
        <v>44217.99861</v>
      </c>
      <c r="D1995" s="433">
        <f>IFERROR(__xludf.DUMMYFUNCTION("""COMPUTED_VALUE"""),1379.8431)</f>
        <v>1379.8431</v>
      </c>
    </row>
    <row r="1996">
      <c r="A1996" s="434">
        <f>IFERROR(__xludf.DUMMYFUNCTION("""COMPUTED_VALUE"""),44633.99861111111)</f>
        <v>44633.99861</v>
      </c>
      <c r="B1996" s="433">
        <f>IFERROR(__xludf.DUMMYFUNCTION("""COMPUTED_VALUE"""),37807.0)</f>
        <v>37807</v>
      </c>
      <c r="C1996" s="434">
        <f>IFERROR(__xludf.DUMMYFUNCTION("""COMPUTED_VALUE"""),44218.99861111111)</f>
        <v>44218.99861</v>
      </c>
      <c r="D1996" s="433">
        <f>IFERROR(__xludf.DUMMYFUNCTION("""COMPUTED_VALUE"""),1107.3613)</f>
        <v>1107.3613</v>
      </c>
    </row>
    <row r="1997">
      <c r="A1997" s="434">
        <f>IFERROR(__xludf.DUMMYFUNCTION("""COMPUTED_VALUE"""),44634.99861111111)</f>
        <v>44634.99861</v>
      </c>
      <c r="B1997" s="433">
        <f>IFERROR(__xludf.DUMMYFUNCTION("""COMPUTED_VALUE"""),39678.98)</f>
        <v>39678.98</v>
      </c>
      <c r="C1997" s="434">
        <f>IFERROR(__xludf.DUMMYFUNCTION("""COMPUTED_VALUE"""),44219.99861111111)</f>
        <v>44219.99861</v>
      </c>
      <c r="D1997" s="433">
        <f>IFERROR(__xludf.DUMMYFUNCTION("""COMPUTED_VALUE"""),1224.9475)</f>
        <v>1224.9475</v>
      </c>
    </row>
    <row r="1998">
      <c r="A1998" s="434">
        <f>IFERROR(__xludf.DUMMYFUNCTION("""COMPUTED_VALUE"""),44635.99861111111)</f>
        <v>44635.99861</v>
      </c>
      <c r="B1998" s="433">
        <f>IFERROR(__xludf.DUMMYFUNCTION("""COMPUTED_VALUE"""),39301.8)</f>
        <v>39301.8</v>
      </c>
      <c r="C1998" s="434">
        <f>IFERROR(__xludf.DUMMYFUNCTION("""COMPUTED_VALUE"""),44220.99861111111)</f>
        <v>44220.99861</v>
      </c>
      <c r="D1998" s="433">
        <f>IFERROR(__xludf.DUMMYFUNCTION("""COMPUTED_VALUE"""),1225.8672)</f>
        <v>1225.8672</v>
      </c>
    </row>
    <row r="1999">
      <c r="A1999" s="434">
        <f>IFERROR(__xludf.DUMMYFUNCTION("""COMPUTED_VALUE"""),44636.99861111111)</f>
        <v>44636.99861</v>
      </c>
      <c r="B1999" s="433">
        <f>IFERROR(__xludf.DUMMYFUNCTION("""COMPUTED_VALUE"""),41119.14)</f>
        <v>41119.14</v>
      </c>
      <c r="C1999" s="434">
        <f>IFERROR(__xludf.DUMMYFUNCTION("""COMPUTED_VALUE"""),44221.99861111111)</f>
        <v>44221.99861</v>
      </c>
      <c r="D1999" s="433">
        <f>IFERROR(__xludf.DUMMYFUNCTION("""COMPUTED_VALUE"""),1391.2153)</f>
        <v>1391.2153</v>
      </c>
    </row>
    <row r="2000">
      <c r="A2000" s="434">
        <f>IFERROR(__xludf.DUMMYFUNCTION("""COMPUTED_VALUE"""),44637.99861111111)</f>
        <v>44637.99861</v>
      </c>
      <c r="B2000" s="433">
        <f>IFERROR(__xludf.DUMMYFUNCTION("""COMPUTED_VALUE"""),40939.39)</f>
        <v>40939.39</v>
      </c>
      <c r="C2000" s="434">
        <f>IFERROR(__xludf.DUMMYFUNCTION("""COMPUTED_VALUE"""),44222.99861111111)</f>
        <v>44222.99861</v>
      </c>
      <c r="D2000" s="433">
        <f>IFERROR(__xludf.DUMMYFUNCTION("""COMPUTED_VALUE"""),1318.4213)</f>
        <v>1318.4213</v>
      </c>
    </row>
    <row r="2001">
      <c r="A2001" s="434">
        <f>IFERROR(__xludf.DUMMYFUNCTION("""COMPUTED_VALUE"""),44638.99861111111)</f>
        <v>44638.99861</v>
      </c>
      <c r="B2001" s="433">
        <f>IFERROR(__xludf.DUMMYFUNCTION("""COMPUTED_VALUE"""),41768.4)</f>
        <v>41768.4</v>
      </c>
      <c r="C2001" s="434">
        <f>IFERROR(__xludf.DUMMYFUNCTION("""COMPUTED_VALUE"""),44223.99861111111)</f>
        <v>44223.99861</v>
      </c>
      <c r="D2001" s="433">
        <f>IFERROR(__xludf.DUMMYFUNCTION("""COMPUTED_VALUE"""),1368.0741)</f>
        <v>1368.0741</v>
      </c>
    </row>
    <row r="2002">
      <c r="A2002" s="434">
        <f>IFERROR(__xludf.DUMMYFUNCTION("""COMPUTED_VALUE"""),44639.99861111111)</f>
        <v>44639.99861</v>
      </c>
      <c r="B2002" s="433">
        <f>IFERROR(__xludf.DUMMYFUNCTION("""COMPUTED_VALUE"""),42216.27)</f>
        <v>42216.27</v>
      </c>
      <c r="C2002" s="434">
        <f>IFERROR(__xludf.DUMMYFUNCTION("""COMPUTED_VALUE"""),44224.99861111111)</f>
        <v>44224.99861</v>
      </c>
      <c r="D2002" s="433">
        <f>IFERROR(__xludf.DUMMYFUNCTION("""COMPUTED_VALUE"""),1245.9765)</f>
        <v>1245.9765</v>
      </c>
    </row>
    <row r="2003">
      <c r="A2003" s="434">
        <f>IFERROR(__xludf.DUMMYFUNCTION("""COMPUTED_VALUE"""),44640.99861111111)</f>
        <v>44640.99861</v>
      </c>
      <c r="B2003" s="433">
        <f>IFERROR(__xludf.DUMMYFUNCTION("""COMPUTED_VALUE"""),41255.24)</f>
        <v>41255.24</v>
      </c>
      <c r="C2003" s="434">
        <f>IFERROR(__xludf.DUMMYFUNCTION("""COMPUTED_VALUE"""),44225.99861111111)</f>
        <v>44225.99861</v>
      </c>
      <c r="D2003" s="433">
        <f>IFERROR(__xludf.DUMMYFUNCTION("""COMPUTED_VALUE"""),1338.127)</f>
        <v>1338.127</v>
      </c>
    </row>
    <row r="2004">
      <c r="A2004" s="434">
        <f>IFERROR(__xludf.DUMMYFUNCTION("""COMPUTED_VALUE"""),44641.99861111111)</f>
        <v>44641.99861</v>
      </c>
      <c r="B2004" s="433">
        <f>IFERROR(__xludf.DUMMYFUNCTION("""COMPUTED_VALUE"""),41035.93)</f>
        <v>41035.93</v>
      </c>
      <c r="C2004" s="434">
        <f>IFERROR(__xludf.DUMMYFUNCTION("""COMPUTED_VALUE"""),44226.99861111111)</f>
        <v>44226.99861</v>
      </c>
      <c r="D2004" s="433">
        <f>IFERROR(__xludf.DUMMYFUNCTION("""COMPUTED_VALUE"""),1386.9601)</f>
        <v>1386.9601</v>
      </c>
    </row>
    <row r="2005">
      <c r="A2005" s="434">
        <f>IFERROR(__xludf.DUMMYFUNCTION("""COMPUTED_VALUE"""),44642.99861111111)</f>
        <v>44642.99861</v>
      </c>
      <c r="B2005" s="433">
        <f>IFERROR(__xludf.DUMMYFUNCTION("""COMPUTED_VALUE"""),42370.4)</f>
        <v>42370.4</v>
      </c>
      <c r="C2005" s="434">
        <f>IFERROR(__xludf.DUMMYFUNCTION("""COMPUTED_VALUE"""),44227.99861111111)</f>
        <v>44227.99861</v>
      </c>
      <c r="D2005" s="433">
        <f>IFERROR(__xludf.DUMMYFUNCTION("""COMPUTED_VALUE"""),1371.6268)</f>
        <v>1371.6268</v>
      </c>
    </row>
    <row r="2006">
      <c r="A2006" s="434">
        <f>IFERROR(__xludf.DUMMYFUNCTION("""COMPUTED_VALUE"""),44643.99861111111)</f>
        <v>44643.99861</v>
      </c>
      <c r="B2006" s="433">
        <f>IFERROR(__xludf.DUMMYFUNCTION("""COMPUTED_VALUE"""),42906.23)</f>
        <v>42906.23</v>
      </c>
      <c r="C2006" s="434">
        <f>IFERROR(__xludf.DUMMYFUNCTION("""COMPUTED_VALUE"""),44228.99861111111)</f>
        <v>44228.99861</v>
      </c>
      <c r="D2006" s="433">
        <f>IFERROR(__xludf.DUMMYFUNCTION("""COMPUTED_VALUE"""),1302.8629)</f>
        <v>1302.8629</v>
      </c>
    </row>
    <row r="2007">
      <c r="A2007" s="434">
        <f>IFERROR(__xludf.DUMMYFUNCTION("""COMPUTED_VALUE"""),44644.99861111111)</f>
        <v>44644.99861</v>
      </c>
      <c r="B2007" s="433">
        <f>IFERROR(__xludf.DUMMYFUNCTION("""COMPUTED_VALUE"""),44008.34)</f>
        <v>44008.34</v>
      </c>
      <c r="C2007" s="434">
        <f>IFERROR(__xludf.DUMMYFUNCTION("""COMPUTED_VALUE"""),44229.99861111111)</f>
        <v>44229.99861</v>
      </c>
      <c r="D2007" s="433">
        <f>IFERROR(__xludf.DUMMYFUNCTION("""COMPUTED_VALUE"""),1381.3718)</f>
        <v>1381.3718</v>
      </c>
    </row>
    <row r="2008">
      <c r="A2008" s="434">
        <f>IFERROR(__xludf.DUMMYFUNCTION("""COMPUTED_VALUE"""),44645.99861111111)</f>
        <v>44645.99861</v>
      </c>
      <c r="B2008" s="433">
        <f>IFERROR(__xludf.DUMMYFUNCTION("""COMPUTED_VALUE"""),44334.06)</f>
        <v>44334.06</v>
      </c>
      <c r="C2008" s="434">
        <f>IFERROR(__xludf.DUMMYFUNCTION("""COMPUTED_VALUE"""),44230.99861111111)</f>
        <v>44230.99861</v>
      </c>
      <c r="D2008" s="433">
        <f>IFERROR(__xludf.DUMMYFUNCTION("""COMPUTED_VALUE"""),1518.3802)</f>
        <v>1518.3802</v>
      </c>
    </row>
    <row r="2009">
      <c r="A2009" s="434">
        <f>IFERROR(__xludf.DUMMYFUNCTION("""COMPUTED_VALUE"""),44646.99861111111)</f>
        <v>44646.99861</v>
      </c>
      <c r="B2009" s="433">
        <f>IFERROR(__xludf.DUMMYFUNCTION("""COMPUTED_VALUE"""),44550.53)</f>
        <v>44550.53</v>
      </c>
      <c r="C2009" s="434">
        <f>IFERROR(__xludf.DUMMYFUNCTION("""COMPUTED_VALUE"""),44231.99861111111)</f>
        <v>44231.99861</v>
      </c>
      <c r="D2009" s="433">
        <f>IFERROR(__xludf.DUMMYFUNCTION("""COMPUTED_VALUE"""),1668.7795)</f>
        <v>1668.7795</v>
      </c>
    </row>
    <row r="2010">
      <c r="A2010" s="434">
        <f>IFERROR(__xludf.DUMMYFUNCTION("""COMPUTED_VALUE"""),44647.99861111111)</f>
        <v>44647.99861</v>
      </c>
      <c r="B2010" s="433">
        <f>IFERROR(__xludf.DUMMYFUNCTION("""COMPUTED_VALUE"""),46843.74)</f>
        <v>46843.74</v>
      </c>
      <c r="C2010" s="434">
        <f>IFERROR(__xludf.DUMMYFUNCTION("""COMPUTED_VALUE"""),44232.99861111111)</f>
        <v>44232.99861</v>
      </c>
      <c r="D2010" s="433">
        <f>IFERROR(__xludf.DUMMYFUNCTION("""COMPUTED_VALUE"""),1598.0498)</f>
        <v>1598.0498</v>
      </c>
    </row>
    <row r="2011">
      <c r="A2011" s="434">
        <f>IFERROR(__xludf.DUMMYFUNCTION("""COMPUTED_VALUE"""),44648.99861111111)</f>
        <v>44648.99861</v>
      </c>
      <c r="B2011" s="433">
        <f>IFERROR(__xludf.DUMMYFUNCTION("""COMPUTED_VALUE"""),47102.41)</f>
        <v>47102.41</v>
      </c>
      <c r="C2011" s="434">
        <f>IFERROR(__xludf.DUMMYFUNCTION("""COMPUTED_VALUE"""),44233.99861111111)</f>
        <v>44233.99861</v>
      </c>
      <c r="D2011" s="433">
        <f>IFERROR(__xludf.DUMMYFUNCTION("""COMPUTED_VALUE"""),1720.6335)</f>
        <v>1720.6335</v>
      </c>
    </row>
    <row r="2012">
      <c r="A2012" s="434">
        <f>IFERROR(__xludf.DUMMYFUNCTION("""COMPUTED_VALUE"""),44649.99861111111)</f>
        <v>44649.99861</v>
      </c>
      <c r="B2012" s="433">
        <f>IFERROR(__xludf.DUMMYFUNCTION("""COMPUTED_VALUE"""),47451.56)</f>
        <v>47451.56</v>
      </c>
      <c r="C2012" s="434">
        <f>IFERROR(__xludf.DUMMYFUNCTION("""COMPUTED_VALUE"""),44234.99861111111)</f>
        <v>44234.99861</v>
      </c>
      <c r="D2012" s="433">
        <f>IFERROR(__xludf.DUMMYFUNCTION("""COMPUTED_VALUE"""),1674.6453)</f>
        <v>1674.6453</v>
      </c>
    </row>
    <row r="2013">
      <c r="A2013" s="434">
        <f>IFERROR(__xludf.DUMMYFUNCTION("""COMPUTED_VALUE"""),44650.99861111111)</f>
        <v>44650.99861</v>
      </c>
      <c r="B2013" s="433">
        <f>IFERROR(__xludf.DUMMYFUNCTION("""COMPUTED_VALUE"""),47049.11)</f>
        <v>47049.11</v>
      </c>
      <c r="C2013" s="434">
        <f>IFERROR(__xludf.DUMMYFUNCTION("""COMPUTED_VALUE"""),44235.99861111111)</f>
        <v>44235.99861</v>
      </c>
      <c r="D2013" s="433">
        <f>IFERROR(__xludf.DUMMYFUNCTION("""COMPUTED_VALUE"""),1601.5088)</f>
        <v>1601.5088</v>
      </c>
    </row>
    <row r="2014">
      <c r="A2014" s="434">
        <f>IFERROR(__xludf.DUMMYFUNCTION("""COMPUTED_VALUE"""),44651.99861111111)</f>
        <v>44651.99861</v>
      </c>
      <c r="B2014" s="433">
        <f>IFERROR(__xludf.DUMMYFUNCTION("""COMPUTED_VALUE"""),45521.5)</f>
        <v>45521.5</v>
      </c>
      <c r="C2014" s="434">
        <f>IFERROR(__xludf.DUMMYFUNCTION("""COMPUTED_VALUE"""),44236.99861111111)</f>
        <v>44236.99861</v>
      </c>
      <c r="D2014" s="433">
        <f>IFERROR(__xludf.DUMMYFUNCTION("""COMPUTED_VALUE"""),1754.8113)</f>
        <v>1754.8113</v>
      </c>
    </row>
    <row r="2015">
      <c r="A2015" s="434">
        <f>IFERROR(__xludf.DUMMYFUNCTION("""COMPUTED_VALUE"""),44652.99861111111)</f>
        <v>44652.99861</v>
      </c>
      <c r="B2015" s="433">
        <f>IFERROR(__xludf.DUMMYFUNCTION("""COMPUTED_VALUE"""),46304.0)</f>
        <v>46304</v>
      </c>
      <c r="C2015" s="434">
        <f>IFERROR(__xludf.DUMMYFUNCTION("""COMPUTED_VALUE"""),44237.99861111111)</f>
        <v>44237.99861</v>
      </c>
      <c r="D2015" s="433">
        <f>IFERROR(__xludf.DUMMYFUNCTION("""COMPUTED_VALUE"""),1771.4456)</f>
        <v>1771.4456</v>
      </c>
    </row>
    <row r="2016">
      <c r="A2016" s="434">
        <f>IFERROR(__xludf.DUMMYFUNCTION("""COMPUTED_VALUE"""),44653.99861111111)</f>
        <v>44653.99861</v>
      </c>
      <c r="B2016" s="433">
        <f>IFERROR(__xludf.DUMMYFUNCTION("""COMPUTED_VALUE"""),45806.01)</f>
        <v>45806.01</v>
      </c>
      <c r="C2016" s="434">
        <f>IFERROR(__xludf.DUMMYFUNCTION("""COMPUTED_VALUE"""),44238.99861111111)</f>
        <v>44238.99861</v>
      </c>
      <c r="D2016" s="433">
        <f>IFERROR(__xludf.DUMMYFUNCTION("""COMPUTED_VALUE"""),1736.079)</f>
        <v>1736.079</v>
      </c>
    </row>
    <row r="2017">
      <c r="A2017" s="434">
        <f>IFERROR(__xludf.DUMMYFUNCTION("""COMPUTED_VALUE"""),44654.99861111111)</f>
        <v>44654.99861</v>
      </c>
      <c r="B2017" s="433">
        <f>IFERROR(__xludf.DUMMYFUNCTION("""COMPUTED_VALUE"""),46401.85)</f>
        <v>46401.85</v>
      </c>
      <c r="C2017" s="434">
        <f>IFERROR(__xludf.DUMMYFUNCTION("""COMPUTED_VALUE"""),44239.99861111111)</f>
        <v>44239.99861</v>
      </c>
      <c r="D2017" s="433">
        <f>IFERROR(__xludf.DUMMYFUNCTION("""COMPUTED_VALUE"""),1788.1502)</f>
        <v>1788.1502</v>
      </c>
    </row>
    <row r="2018">
      <c r="A2018" s="434">
        <f>IFERROR(__xludf.DUMMYFUNCTION("""COMPUTED_VALUE"""),44655.99861111111)</f>
        <v>44655.99861</v>
      </c>
      <c r="B2018" s="433">
        <f>IFERROR(__xludf.DUMMYFUNCTION("""COMPUTED_VALUE"""),46603.81)</f>
        <v>46603.81</v>
      </c>
      <c r="C2018" s="434">
        <f>IFERROR(__xludf.DUMMYFUNCTION("""COMPUTED_VALUE"""),44240.99861111111)</f>
        <v>44240.99861</v>
      </c>
      <c r="D2018" s="433">
        <f>IFERROR(__xludf.DUMMYFUNCTION("""COMPUTED_VALUE"""),1852.4241)</f>
        <v>1852.4241</v>
      </c>
    </row>
    <row r="2019">
      <c r="A2019" s="434">
        <f>IFERROR(__xludf.DUMMYFUNCTION("""COMPUTED_VALUE"""),44656.99861111111)</f>
        <v>44656.99861</v>
      </c>
      <c r="B2019" s="433">
        <f>IFERROR(__xludf.DUMMYFUNCTION("""COMPUTED_VALUE"""),45500.39)</f>
        <v>45500.39</v>
      </c>
      <c r="C2019" s="434">
        <f>IFERROR(__xludf.DUMMYFUNCTION("""COMPUTED_VALUE"""),44241.99861111111)</f>
        <v>44241.99861</v>
      </c>
      <c r="D2019" s="433">
        <f>IFERROR(__xludf.DUMMYFUNCTION("""COMPUTED_VALUE"""),1815.1477)</f>
        <v>1815.1477</v>
      </c>
    </row>
    <row r="2020">
      <c r="A2020" s="434">
        <f>IFERROR(__xludf.DUMMYFUNCTION("""COMPUTED_VALUE"""),44657.99861111111)</f>
        <v>44657.99861</v>
      </c>
      <c r="B2020" s="433">
        <f>IFERROR(__xludf.DUMMYFUNCTION("""COMPUTED_VALUE"""),43185.37)</f>
        <v>43185.37</v>
      </c>
      <c r="C2020" s="434">
        <f>IFERROR(__xludf.DUMMYFUNCTION("""COMPUTED_VALUE"""),44242.99861111111)</f>
        <v>44242.99861</v>
      </c>
      <c r="D2020" s="433">
        <f>IFERROR(__xludf.DUMMYFUNCTION("""COMPUTED_VALUE"""),1804.5081)</f>
        <v>1804.5081</v>
      </c>
    </row>
    <row r="2021">
      <c r="A2021" s="434">
        <f>IFERROR(__xludf.DUMMYFUNCTION("""COMPUTED_VALUE"""),44658.99861111111)</f>
        <v>44658.99861</v>
      </c>
      <c r="B2021" s="433">
        <f>IFERROR(__xludf.DUMMYFUNCTION("""COMPUTED_VALUE"""),43464.14)</f>
        <v>43464.14</v>
      </c>
      <c r="C2021" s="434">
        <f>IFERROR(__xludf.DUMMYFUNCTION("""COMPUTED_VALUE"""),44243.99861111111)</f>
        <v>44243.99861</v>
      </c>
      <c r="D2021" s="433">
        <f>IFERROR(__xludf.DUMMYFUNCTION("""COMPUTED_VALUE"""),1773.0111)</f>
        <v>1773.0111</v>
      </c>
    </row>
    <row r="2022">
      <c r="A2022" s="434">
        <f>IFERROR(__xludf.DUMMYFUNCTION("""COMPUTED_VALUE"""),44659.99861111111)</f>
        <v>44659.99861</v>
      </c>
      <c r="B2022" s="433">
        <f>IFERROR(__xludf.DUMMYFUNCTION("""COMPUTED_VALUE"""),42265.17)</f>
        <v>42265.17</v>
      </c>
      <c r="C2022" s="434">
        <f>IFERROR(__xludf.DUMMYFUNCTION("""COMPUTED_VALUE"""),44244.99861111111)</f>
        <v>44244.99861</v>
      </c>
      <c r="D2022" s="433">
        <f>IFERROR(__xludf.DUMMYFUNCTION("""COMPUTED_VALUE"""),1784.2856)</f>
        <v>1784.2856</v>
      </c>
    </row>
    <row r="2023">
      <c r="A2023" s="434">
        <f>IFERROR(__xludf.DUMMYFUNCTION("""COMPUTED_VALUE"""),44660.99861111111)</f>
        <v>44660.99861</v>
      </c>
      <c r="B2023" s="433">
        <f>IFERROR(__xludf.DUMMYFUNCTION("""COMPUTED_VALUE"""),42761.67)</f>
        <v>42761.67</v>
      </c>
      <c r="C2023" s="434">
        <f>IFERROR(__xludf.DUMMYFUNCTION("""COMPUTED_VALUE"""),44245.99861111111)</f>
        <v>44245.99861</v>
      </c>
      <c r="D2023" s="433">
        <f>IFERROR(__xludf.DUMMYFUNCTION("""COMPUTED_VALUE"""),1856.9813)</f>
        <v>1856.9813</v>
      </c>
    </row>
    <row r="2024">
      <c r="A2024" s="434">
        <f>IFERROR(__xludf.DUMMYFUNCTION("""COMPUTED_VALUE"""),44661.99861111111)</f>
        <v>44661.99861</v>
      </c>
      <c r="B2024" s="433">
        <f>IFERROR(__xludf.DUMMYFUNCTION("""COMPUTED_VALUE"""),42152.54)</f>
        <v>42152.54</v>
      </c>
      <c r="C2024" s="434">
        <f>IFERROR(__xludf.DUMMYFUNCTION("""COMPUTED_VALUE"""),44246.99861111111)</f>
        <v>44246.99861</v>
      </c>
      <c r="D2024" s="433">
        <f>IFERROR(__xludf.DUMMYFUNCTION("""COMPUTED_VALUE"""),1943.5258)</f>
        <v>1943.5258</v>
      </c>
    </row>
    <row r="2025">
      <c r="A2025" s="434">
        <f>IFERROR(__xludf.DUMMYFUNCTION("""COMPUTED_VALUE"""),44662.99861111111)</f>
        <v>44662.99861</v>
      </c>
      <c r="B2025" s="433">
        <f>IFERROR(__xludf.DUMMYFUNCTION("""COMPUTED_VALUE"""),39497.65)</f>
        <v>39497.65</v>
      </c>
      <c r="C2025" s="434">
        <f>IFERROR(__xludf.DUMMYFUNCTION("""COMPUTED_VALUE"""),44247.99861111111)</f>
        <v>44247.99861</v>
      </c>
      <c r="D2025" s="433">
        <f>IFERROR(__xludf.DUMMYFUNCTION("""COMPUTED_VALUE"""),1959.9984)</f>
        <v>1959.9984</v>
      </c>
    </row>
    <row r="2026">
      <c r="A2026" s="434">
        <f>IFERROR(__xludf.DUMMYFUNCTION("""COMPUTED_VALUE"""),44663.99861111111)</f>
        <v>44663.99861</v>
      </c>
      <c r="B2026" s="433">
        <f>IFERROR(__xludf.DUMMYFUNCTION("""COMPUTED_VALUE"""),40079.43)</f>
        <v>40079.43</v>
      </c>
      <c r="C2026" s="434">
        <f>IFERROR(__xludf.DUMMYFUNCTION("""COMPUTED_VALUE"""),44248.99861111111)</f>
        <v>44248.99861</v>
      </c>
      <c r="D2026" s="433">
        <f>IFERROR(__xludf.DUMMYFUNCTION("""COMPUTED_VALUE"""),1900.7499)</f>
        <v>1900.7499</v>
      </c>
    </row>
    <row r="2027">
      <c r="A2027" s="434">
        <f>IFERROR(__xludf.DUMMYFUNCTION("""COMPUTED_VALUE"""),44664.99861111111)</f>
        <v>44664.99861</v>
      </c>
      <c r="B2027" s="433">
        <f>IFERROR(__xludf.DUMMYFUNCTION("""COMPUTED_VALUE"""),41139.08)</f>
        <v>41139.08</v>
      </c>
      <c r="C2027" s="434">
        <f>IFERROR(__xludf.DUMMYFUNCTION("""COMPUTED_VALUE"""),44249.99861111111)</f>
        <v>44249.99861</v>
      </c>
      <c r="D2027" s="433">
        <f>IFERROR(__xludf.DUMMYFUNCTION("""COMPUTED_VALUE"""),1932.6752)</f>
        <v>1932.6752</v>
      </c>
    </row>
    <row r="2028">
      <c r="A2028" s="434">
        <f>IFERROR(__xludf.DUMMYFUNCTION("""COMPUTED_VALUE"""),44665.99861111111)</f>
        <v>44665.99861</v>
      </c>
      <c r="B2028" s="433">
        <f>IFERROR(__xludf.DUMMYFUNCTION("""COMPUTED_VALUE"""),39940.07)</f>
        <v>39940.07</v>
      </c>
      <c r="C2028" s="434">
        <f>IFERROR(__xludf.DUMMYFUNCTION("""COMPUTED_VALUE"""),44250.99861111111)</f>
        <v>44250.99861</v>
      </c>
      <c r="D2028" s="433">
        <f>IFERROR(__xludf.DUMMYFUNCTION("""COMPUTED_VALUE"""),1772.2916)</f>
        <v>1772.2916</v>
      </c>
    </row>
    <row r="2029">
      <c r="A2029" s="434">
        <f>IFERROR(__xludf.DUMMYFUNCTION("""COMPUTED_VALUE"""),44666.99861111111)</f>
        <v>44666.99861</v>
      </c>
      <c r="B2029" s="433">
        <f>IFERROR(__xludf.DUMMYFUNCTION("""COMPUTED_VALUE"""),40557.21)</f>
        <v>40557.21</v>
      </c>
      <c r="C2029" s="434">
        <f>IFERROR(__xludf.DUMMYFUNCTION("""COMPUTED_VALUE"""),44251.99861111111)</f>
        <v>44251.99861</v>
      </c>
      <c r="D2029" s="433">
        <f>IFERROR(__xludf.DUMMYFUNCTION("""COMPUTED_VALUE"""),1572.1328)</f>
        <v>1572.1328</v>
      </c>
    </row>
    <row r="2030">
      <c r="A2030" s="434">
        <f>IFERROR(__xludf.DUMMYFUNCTION("""COMPUTED_VALUE"""),44667.99861111111)</f>
        <v>44667.99861</v>
      </c>
      <c r="B2030" s="433">
        <f>IFERROR(__xludf.DUMMYFUNCTION("""COMPUTED_VALUE"""),40390.67)</f>
        <v>40390.67</v>
      </c>
      <c r="C2030" s="434">
        <f>IFERROR(__xludf.DUMMYFUNCTION("""COMPUTED_VALUE"""),44252.99861111111)</f>
        <v>44252.99861</v>
      </c>
      <c r="D2030" s="433">
        <f>IFERROR(__xludf.DUMMYFUNCTION("""COMPUTED_VALUE"""),1630.8576)</f>
        <v>1630.8576</v>
      </c>
    </row>
    <row r="2031">
      <c r="A2031" s="434">
        <f>IFERROR(__xludf.DUMMYFUNCTION("""COMPUTED_VALUE"""),44668.99861111111)</f>
        <v>44668.99861</v>
      </c>
      <c r="B2031" s="433">
        <f>IFERROR(__xludf.DUMMYFUNCTION("""COMPUTED_VALUE"""),39692.88)</f>
        <v>39692.88</v>
      </c>
      <c r="C2031" s="434">
        <f>IFERROR(__xludf.DUMMYFUNCTION("""COMPUTED_VALUE"""),44253.99861111111)</f>
        <v>44253.99861</v>
      </c>
      <c r="D2031" s="433">
        <f>IFERROR(__xludf.DUMMYFUNCTION("""COMPUTED_VALUE"""),1477.7163)</f>
        <v>1477.7163</v>
      </c>
    </row>
    <row r="2032">
      <c r="A2032" s="434">
        <f>IFERROR(__xludf.DUMMYFUNCTION("""COMPUTED_VALUE"""),44669.99861111111)</f>
        <v>44669.99861</v>
      </c>
      <c r="B2032" s="433">
        <f>IFERROR(__xludf.DUMMYFUNCTION("""COMPUTED_VALUE"""),40802.55)</f>
        <v>40802.55</v>
      </c>
      <c r="C2032" s="434">
        <f>IFERROR(__xludf.DUMMYFUNCTION("""COMPUTED_VALUE"""),44254.99861111111)</f>
        <v>44254.99861</v>
      </c>
      <c r="D2032" s="433">
        <f>IFERROR(__xludf.DUMMYFUNCTION("""COMPUTED_VALUE"""),1443.6115)</f>
        <v>1443.6115</v>
      </c>
    </row>
    <row r="2033">
      <c r="A2033" s="434">
        <f>IFERROR(__xludf.DUMMYFUNCTION("""COMPUTED_VALUE"""),44670.99861111111)</f>
        <v>44670.99861</v>
      </c>
      <c r="B2033" s="433">
        <f>IFERROR(__xludf.DUMMYFUNCTION("""COMPUTED_VALUE"""),41498.5)</f>
        <v>41498.5</v>
      </c>
      <c r="C2033" s="434">
        <f>IFERROR(__xludf.DUMMYFUNCTION("""COMPUTED_VALUE"""),44255.99861111111)</f>
        <v>44255.99861</v>
      </c>
      <c r="D2033" s="433">
        <f>IFERROR(__xludf.DUMMYFUNCTION("""COMPUTED_VALUE"""),1449.2996)</f>
        <v>1449.2996</v>
      </c>
    </row>
    <row r="2034">
      <c r="A2034" s="434">
        <f>IFERROR(__xludf.DUMMYFUNCTION("""COMPUTED_VALUE"""),44671.99861111111)</f>
        <v>44671.99861</v>
      </c>
      <c r="B2034" s="433">
        <f>IFERROR(__xludf.DUMMYFUNCTION("""COMPUTED_VALUE"""),41362.92)</f>
        <v>41362.92</v>
      </c>
      <c r="C2034" s="434">
        <f>IFERROR(__xludf.DUMMYFUNCTION("""COMPUTED_VALUE"""),44256.99861111111)</f>
        <v>44256.99861</v>
      </c>
      <c r="D2034" s="433">
        <f>IFERROR(__xludf.DUMMYFUNCTION("""COMPUTED_VALUE"""),1423.3547)</f>
        <v>1423.3547</v>
      </c>
    </row>
    <row r="2035">
      <c r="A2035" s="434">
        <f>IFERROR(__xludf.DUMMYFUNCTION("""COMPUTED_VALUE"""),44672.99861111111)</f>
        <v>44672.99861</v>
      </c>
      <c r="B2035" s="433">
        <f>IFERROR(__xludf.DUMMYFUNCTION("""COMPUTED_VALUE"""),40475.13)</f>
        <v>40475.13</v>
      </c>
      <c r="C2035" s="434">
        <f>IFERROR(__xludf.DUMMYFUNCTION("""COMPUTED_VALUE"""),44257.99861111111)</f>
        <v>44257.99861</v>
      </c>
      <c r="D2035" s="433">
        <f>IFERROR(__xludf.DUMMYFUNCTION("""COMPUTED_VALUE"""),1568.2855)</f>
        <v>1568.2855</v>
      </c>
    </row>
    <row r="2036">
      <c r="A2036" s="434">
        <f>IFERROR(__xludf.DUMMYFUNCTION("""COMPUTED_VALUE"""),44673.99861111111)</f>
        <v>44673.99861</v>
      </c>
      <c r="B2036" s="433">
        <f>IFERROR(__xludf.DUMMYFUNCTION("""COMPUTED_VALUE"""),39707.38)</f>
        <v>39707.38</v>
      </c>
      <c r="C2036" s="434">
        <f>IFERROR(__xludf.DUMMYFUNCTION("""COMPUTED_VALUE"""),44258.99861111111)</f>
        <v>44258.99861</v>
      </c>
      <c r="D2036" s="433">
        <f>IFERROR(__xludf.DUMMYFUNCTION("""COMPUTED_VALUE"""),1488.046)</f>
        <v>1488.046</v>
      </c>
    </row>
    <row r="2037">
      <c r="A2037" s="434">
        <f>IFERROR(__xludf.DUMMYFUNCTION("""COMPUTED_VALUE"""),44674.99861111111)</f>
        <v>44674.99861</v>
      </c>
      <c r="B2037" s="433">
        <f>IFERROR(__xludf.DUMMYFUNCTION("""COMPUTED_VALUE"""),39444.2)</f>
        <v>39444.2</v>
      </c>
      <c r="C2037" s="434">
        <f>IFERROR(__xludf.DUMMYFUNCTION("""COMPUTED_VALUE"""),44259.99861111111)</f>
        <v>44259.99861</v>
      </c>
      <c r="D2037" s="433">
        <f>IFERROR(__xludf.DUMMYFUNCTION("""COMPUTED_VALUE"""),1565.6077)</f>
        <v>1565.6077</v>
      </c>
    </row>
    <row r="2038">
      <c r="A2038" s="434">
        <f>IFERROR(__xludf.DUMMYFUNCTION("""COMPUTED_VALUE"""),44675.99861111111)</f>
        <v>44675.99861</v>
      </c>
      <c r="B2038" s="433">
        <f>IFERROR(__xludf.DUMMYFUNCTION("""COMPUTED_VALUE"""),39467.37)</f>
        <v>39467.37</v>
      </c>
      <c r="C2038" s="434">
        <f>IFERROR(__xludf.DUMMYFUNCTION("""COMPUTED_VALUE"""),44260.99861111111)</f>
        <v>44260.99861</v>
      </c>
      <c r="D2038" s="433">
        <f>IFERROR(__xludf.DUMMYFUNCTION("""COMPUTED_VALUE"""),1531.1556)</f>
        <v>1531.1556</v>
      </c>
    </row>
    <row r="2039">
      <c r="A2039" s="434">
        <f>IFERROR(__xludf.DUMMYFUNCTION("""COMPUTED_VALUE"""),44676.99861111111)</f>
        <v>44676.99861</v>
      </c>
      <c r="B2039" s="433">
        <f>IFERROR(__xludf.DUMMYFUNCTION("""COMPUTED_VALUE"""),40433.51)</f>
        <v>40433.51</v>
      </c>
      <c r="C2039" s="434">
        <f>IFERROR(__xludf.DUMMYFUNCTION("""COMPUTED_VALUE"""),44261.99861111111)</f>
        <v>44261.99861</v>
      </c>
      <c r="D2039" s="433">
        <f>IFERROR(__xludf.DUMMYFUNCTION("""COMPUTED_VALUE"""),1536.8906)</f>
        <v>1536.8906</v>
      </c>
    </row>
    <row r="2040">
      <c r="A2040" s="434">
        <f>IFERROR(__xludf.DUMMYFUNCTION("""COMPUTED_VALUE"""),44677.99861111111)</f>
        <v>44677.99861</v>
      </c>
      <c r="B2040" s="433">
        <f>IFERROR(__xludf.DUMMYFUNCTION("""COMPUTED_VALUE"""),38126.08)</f>
        <v>38126.08</v>
      </c>
      <c r="C2040" s="434">
        <f>IFERROR(__xludf.DUMMYFUNCTION("""COMPUTED_VALUE"""),44262.99861111111)</f>
        <v>44262.99861</v>
      </c>
      <c r="D2040" s="433">
        <f>IFERROR(__xludf.DUMMYFUNCTION("""COMPUTED_VALUE"""),1662.4229)</f>
        <v>1662.4229</v>
      </c>
    </row>
    <row r="2041">
      <c r="A2041" s="434">
        <f>IFERROR(__xludf.DUMMYFUNCTION("""COMPUTED_VALUE"""),44678.99861111111)</f>
        <v>44678.99861</v>
      </c>
      <c r="B2041" s="433">
        <f>IFERROR(__xludf.DUMMYFUNCTION("""COMPUTED_VALUE"""),39242.54)</f>
        <v>39242.54</v>
      </c>
      <c r="C2041" s="434">
        <f>IFERROR(__xludf.DUMMYFUNCTION("""COMPUTED_VALUE"""),44263.99861111111)</f>
        <v>44263.99861</v>
      </c>
      <c r="D2041" s="433">
        <f>IFERROR(__xludf.DUMMYFUNCTION("""COMPUTED_VALUE"""),1739.5408)</f>
        <v>1739.5408</v>
      </c>
    </row>
    <row r="2042">
      <c r="A2042" s="434">
        <f>IFERROR(__xludf.DUMMYFUNCTION("""COMPUTED_VALUE"""),44679.99861111111)</f>
        <v>44679.99861</v>
      </c>
      <c r="B2042" s="433">
        <f>IFERROR(__xludf.DUMMYFUNCTION("""COMPUTED_VALUE"""),39749.89)</f>
        <v>39749.89</v>
      </c>
      <c r="C2042" s="434">
        <f>IFERROR(__xludf.DUMMYFUNCTION("""COMPUTED_VALUE"""),44264.99861111111)</f>
        <v>44264.99861</v>
      </c>
      <c r="D2042" s="433">
        <f>IFERROR(__xludf.DUMMYFUNCTION("""COMPUTED_VALUE"""),1838.9522)</f>
        <v>1838.9522</v>
      </c>
    </row>
    <row r="2043">
      <c r="A2043" s="434">
        <f>IFERROR(__xludf.DUMMYFUNCTION("""COMPUTED_VALUE"""),44680.99861111111)</f>
        <v>44680.99861</v>
      </c>
      <c r="B2043" s="433">
        <f>IFERROR(__xludf.DUMMYFUNCTION("""COMPUTED_VALUE"""),38586.69)</f>
        <v>38586.69</v>
      </c>
      <c r="C2043" s="434">
        <f>IFERROR(__xludf.DUMMYFUNCTION("""COMPUTED_VALUE"""),44265.99861111111)</f>
        <v>44265.99861</v>
      </c>
      <c r="D2043" s="433">
        <f>IFERROR(__xludf.DUMMYFUNCTION("""COMPUTED_VALUE"""),1873.2574)</f>
        <v>1873.2574</v>
      </c>
    </row>
    <row r="2044">
      <c r="A2044" s="434">
        <f>IFERROR(__xludf.DUMMYFUNCTION("""COMPUTED_VALUE"""),44681.99861111111)</f>
        <v>44681.99861</v>
      </c>
      <c r="B2044" s="433">
        <f>IFERROR(__xludf.DUMMYFUNCTION("""COMPUTED_VALUE"""),37648.9)</f>
        <v>37648.9</v>
      </c>
      <c r="C2044" s="434">
        <f>IFERROR(__xludf.DUMMYFUNCTION("""COMPUTED_VALUE"""),44266.99861111111)</f>
        <v>44266.99861</v>
      </c>
      <c r="D2044" s="433">
        <f>IFERROR(__xludf.DUMMYFUNCTION("""COMPUTED_VALUE"""),1778.9853)</f>
        <v>1778.9853</v>
      </c>
    </row>
    <row r="2045">
      <c r="A2045" s="434">
        <f>IFERROR(__xludf.DUMMYFUNCTION("""COMPUTED_VALUE"""),44682.99861111111)</f>
        <v>44682.99861</v>
      </c>
      <c r="B2045" s="433">
        <f>IFERROR(__xludf.DUMMYFUNCTION("""COMPUTED_VALUE"""),38481.88)</f>
        <v>38481.88</v>
      </c>
      <c r="C2045" s="434">
        <f>IFERROR(__xludf.DUMMYFUNCTION("""COMPUTED_VALUE"""),44267.99861111111)</f>
        <v>44267.99861</v>
      </c>
      <c r="D2045" s="433">
        <f>IFERROR(__xludf.DUMMYFUNCTION("""COMPUTED_VALUE"""),1839.4973)</f>
        <v>1839.4973</v>
      </c>
    </row>
    <row r="2046">
      <c r="A2046" s="434">
        <f>IFERROR(__xludf.DUMMYFUNCTION("""COMPUTED_VALUE"""),44683.99861111111)</f>
        <v>44683.99861</v>
      </c>
      <c r="B2046" s="433">
        <f>IFERROR(__xludf.DUMMYFUNCTION("""COMPUTED_VALUE"""),38508.14)</f>
        <v>38508.14</v>
      </c>
      <c r="C2046" s="434">
        <f>IFERROR(__xludf.DUMMYFUNCTION("""COMPUTED_VALUE"""),44268.99861111111)</f>
        <v>44268.99861</v>
      </c>
      <c r="D2046" s="433">
        <f>IFERROR(__xludf.DUMMYFUNCTION("""COMPUTED_VALUE"""),1760.2834)</f>
        <v>1760.2834</v>
      </c>
    </row>
    <row r="2047">
      <c r="A2047" s="434">
        <f>IFERROR(__xludf.DUMMYFUNCTION("""COMPUTED_VALUE"""),44684.99861111111)</f>
        <v>44684.99861</v>
      </c>
      <c r="B2047" s="433">
        <f>IFERROR(__xludf.DUMMYFUNCTION("""COMPUTED_VALUE"""),37719.81)</f>
        <v>37719.81</v>
      </c>
      <c r="C2047" s="434">
        <f>IFERROR(__xludf.DUMMYFUNCTION("""COMPUTED_VALUE"""),44269.99861111111)</f>
        <v>44269.99861</v>
      </c>
      <c r="D2047" s="433">
        <f>IFERROR(__xludf.DUMMYFUNCTION("""COMPUTED_VALUE"""),1921.578)</f>
        <v>1921.578</v>
      </c>
    </row>
    <row r="2048">
      <c r="A2048" s="434">
        <f>IFERROR(__xludf.DUMMYFUNCTION("""COMPUTED_VALUE"""),44685.99861111111)</f>
        <v>44685.99861</v>
      </c>
      <c r="B2048" s="433">
        <f>IFERROR(__xludf.DUMMYFUNCTION("""COMPUTED_VALUE"""),39680.81)</f>
        <v>39680.81</v>
      </c>
      <c r="C2048" s="434">
        <f>IFERROR(__xludf.DUMMYFUNCTION("""COMPUTED_VALUE"""),44270.99861111111)</f>
        <v>44270.99861</v>
      </c>
      <c r="D2048" s="433">
        <f>IFERROR(__xludf.DUMMYFUNCTION("""COMPUTED_VALUE"""),1844.7606)</f>
        <v>1844.7606</v>
      </c>
    </row>
    <row r="2049">
      <c r="A2049" s="434">
        <f>IFERROR(__xludf.DUMMYFUNCTION("""COMPUTED_VALUE"""),44686.99861111111)</f>
        <v>44686.99861</v>
      </c>
      <c r="B2049" s="433">
        <f>IFERROR(__xludf.DUMMYFUNCTION("""COMPUTED_VALUE"""),36544.63)</f>
        <v>36544.63</v>
      </c>
      <c r="C2049" s="434">
        <f>IFERROR(__xludf.DUMMYFUNCTION("""COMPUTED_VALUE"""),44271.99861111111)</f>
        <v>44271.99861</v>
      </c>
      <c r="D2049" s="433">
        <f>IFERROR(__xludf.DUMMYFUNCTION("""COMPUTED_VALUE"""),1788.2608)</f>
        <v>1788.2608</v>
      </c>
    </row>
    <row r="2050">
      <c r="A2050" s="434">
        <f>IFERROR(__xludf.DUMMYFUNCTION("""COMPUTED_VALUE"""),44687.99861111111)</f>
        <v>44687.99861</v>
      </c>
      <c r="B2050" s="433">
        <f>IFERROR(__xludf.DUMMYFUNCTION("""COMPUTED_VALUE"""),36008.08)</f>
        <v>36008.08</v>
      </c>
      <c r="C2050" s="434">
        <f>IFERROR(__xludf.DUMMYFUNCTION("""COMPUTED_VALUE"""),44272.99861111111)</f>
        <v>44272.99861</v>
      </c>
      <c r="D2050" s="433">
        <f>IFERROR(__xludf.DUMMYFUNCTION("""COMPUTED_VALUE"""),1809.975)</f>
        <v>1809.975</v>
      </c>
    </row>
    <row r="2051">
      <c r="A2051" s="434">
        <f>IFERROR(__xludf.DUMMYFUNCTION("""COMPUTED_VALUE"""),44688.99861111111)</f>
        <v>44688.99861</v>
      </c>
      <c r="B2051" s="433">
        <f>IFERROR(__xludf.DUMMYFUNCTION("""COMPUTED_VALUE"""),35468.61)</f>
        <v>35468.61</v>
      </c>
      <c r="C2051" s="434">
        <f>IFERROR(__xludf.DUMMYFUNCTION("""COMPUTED_VALUE"""),44273.99861111111)</f>
        <v>44273.99861</v>
      </c>
      <c r="D2051" s="433">
        <f>IFERROR(__xludf.DUMMYFUNCTION("""COMPUTED_VALUE"""),1833.7157)</f>
        <v>1833.7157</v>
      </c>
    </row>
    <row r="2052">
      <c r="A2052" s="434">
        <f>IFERROR(__xludf.DUMMYFUNCTION("""COMPUTED_VALUE"""),44689.99861111111)</f>
        <v>44689.99861</v>
      </c>
      <c r="B2052" s="433">
        <f>IFERROR(__xludf.DUMMYFUNCTION("""COMPUTED_VALUE"""),34036.79)</f>
        <v>34036.79</v>
      </c>
      <c r="C2052" s="434">
        <f>IFERROR(__xludf.DUMMYFUNCTION("""COMPUTED_VALUE"""),44274.99861111111)</f>
        <v>44274.99861</v>
      </c>
      <c r="D2052" s="433">
        <f>IFERROR(__xludf.DUMMYFUNCTION("""COMPUTED_VALUE"""),1777.5248)</f>
        <v>1777.5248</v>
      </c>
    </row>
    <row r="2053">
      <c r="A2053" s="434">
        <f>IFERROR(__xludf.DUMMYFUNCTION("""COMPUTED_VALUE"""),44690.99861111111)</f>
        <v>44690.99861</v>
      </c>
      <c r="B2053" s="433">
        <f>IFERROR(__xludf.DUMMYFUNCTION("""COMPUTED_VALUE"""),30082.03)</f>
        <v>30082.03</v>
      </c>
      <c r="C2053" s="434">
        <f>IFERROR(__xludf.DUMMYFUNCTION("""COMPUTED_VALUE"""),44275.99861111111)</f>
        <v>44275.99861</v>
      </c>
      <c r="D2053" s="433">
        <f>IFERROR(__xludf.DUMMYFUNCTION("""COMPUTED_VALUE"""),1814.517)</f>
        <v>1814.517</v>
      </c>
    </row>
    <row r="2054">
      <c r="A2054" s="434">
        <f>IFERROR(__xludf.DUMMYFUNCTION("""COMPUTED_VALUE"""),44691.99861111111)</f>
        <v>44691.99861</v>
      </c>
      <c r="B2054" s="433">
        <f>IFERROR(__xludf.DUMMYFUNCTION("""COMPUTED_VALUE"""),31004.42)</f>
        <v>31004.42</v>
      </c>
      <c r="C2054" s="434">
        <f>IFERROR(__xludf.DUMMYFUNCTION("""COMPUTED_VALUE"""),44276.99861111111)</f>
        <v>44276.99861</v>
      </c>
      <c r="D2054" s="433">
        <f>IFERROR(__xludf.DUMMYFUNCTION("""COMPUTED_VALUE"""),1801.2197)</f>
        <v>1801.2197</v>
      </c>
    </row>
    <row r="2055">
      <c r="A2055" s="434">
        <f>IFERROR(__xludf.DUMMYFUNCTION("""COMPUTED_VALUE"""),44692.99861111111)</f>
        <v>44692.99861</v>
      </c>
      <c r="B2055" s="433">
        <f>IFERROR(__xludf.DUMMYFUNCTION("""COMPUTED_VALUE"""),28977.96)</f>
        <v>28977.96</v>
      </c>
      <c r="C2055" s="434">
        <f>IFERROR(__xludf.DUMMYFUNCTION("""COMPUTED_VALUE"""),44277.99861111111)</f>
        <v>44277.99861</v>
      </c>
      <c r="D2055" s="433">
        <f>IFERROR(__xludf.DUMMYFUNCTION("""COMPUTED_VALUE"""),1786.4438)</f>
        <v>1786.4438</v>
      </c>
    </row>
    <row r="2056">
      <c r="A2056" s="434">
        <f>IFERROR(__xludf.DUMMYFUNCTION("""COMPUTED_VALUE"""),44693.99861111111)</f>
        <v>44693.99861</v>
      </c>
      <c r="B2056" s="433">
        <f>IFERROR(__xludf.DUMMYFUNCTION("""COMPUTED_VALUE"""),28979.68)</f>
        <v>28979.68</v>
      </c>
      <c r="C2056" s="434">
        <f>IFERROR(__xludf.DUMMYFUNCTION("""COMPUTED_VALUE"""),44278.99861111111)</f>
        <v>44278.99861</v>
      </c>
      <c r="D2056" s="433">
        <f>IFERROR(__xludf.DUMMYFUNCTION("""COMPUTED_VALUE"""),1683.7475)</f>
        <v>1683.7475</v>
      </c>
    </row>
    <row r="2057">
      <c r="A2057" s="434">
        <f>IFERROR(__xludf.DUMMYFUNCTION("""COMPUTED_VALUE"""),44694.99861111111)</f>
        <v>44694.99861</v>
      </c>
      <c r="B2057" s="433">
        <f>IFERROR(__xludf.DUMMYFUNCTION("""COMPUTED_VALUE"""),29247.62)</f>
        <v>29247.62</v>
      </c>
      <c r="C2057" s="434">
        <f>IFERROR(__xludf.DUMMYFUNCTION("""COMPUTED_VALUE"""),44279.99861111111)</f>
        <v>44279.99861</v>
      </c>
      <c r="D2057" s="433">
        <f>IFERROR(__xludf.DUMMYFUNCTION("""COMPUTED_VALUE"""),1680.6072)</f>
        <v>1680.6072</v>
      </c>
    </row>
    <row r="2058">
      <c r="A2058" s="434">
        <f>IFERROR(__xludf.DUMMYFUNCTION("""COMPUTED_VALUE"""),44695.99861111111)</f>
        <v>44695.99861</v>
      </c>
      <c r="B2058" s="433">
        <f>IFERROR(__xludf.DUMMYFUNCTION("""COMPUTED_VALUE"""),30054.1)</f>
        <v>30054.1</v>
      </c>
      <c r="C2058" s="434">
        <f>IFERROR(__xludf.DUMMYFUNCTION("""COMPUTED_VALUE"""),44280.99861111111)</f>
        <v>44280.99861</v>
      </c>
      <c r="D2058" s="433">
        <f>IFERROR(__xludf.DUMMYFUNCTION("""COMPUTED_VALUE"""),1586.8345)</f>
        <v>1586.8345</v>
      </c>
    </row>
    <row r="2059">
      <c r="A2059" s="434">
        <f>IFERROR(__xludf.DUMMYFUNCTION("""COMPUTED_VALUE"""),44696.99861111111)</f>
        <v>44696.99861</v>
      </c>
      <c r="B2059" s="433">
        <f>IFERROR(__xludf.DUMMYFUNCTION("""COMPUTED_VALUE"""),31290.31)</f>
        <v>31290.31</v>
      </c>
      <c r="C2059" s="434">
        <f>IFERROR(__xludf.DUMMYFUNCTION("""COMPUTED_VALUE"""),44281.99861111111)</f>
        <v>44281.99861</v>
      </c>
      <c r="D2059" s="433">
        <f>IFERROR(__xludf.DUMMYFUNCTION("""COMPUTED_VALUE"""),1601.8869)</f>
        <v>1601.8869</v>
      </c>
    </row>
    <row r="2060">
      <c r="A2060" s="434">
        <f>IFERROR(__xludf.DUMMYFUNCTION("""COMPUTED_VALUE"""),44697.99861111111)</f>
        <v>44697.99861</v>
      </c>
      <c r="B2060" s="433">
        <f>IFERROR(__xludf.DUMMYFUNCTION("""COMPUTED_VALUE"""),29833.7)</f>
        <v>29833.7</v>
      </c>
      <c r="C2060" s="434">
        <f>IFERROR(__xludf.DUMMYFUNCTION("""COMPUTED_VALUE"""),44282.99861111111)</f>
        <v>44282.99861</v>
      </c>
      <c r="D2060" s="433">
        <f>IFERROR(__xludf.DUMMYFUNCTION("""COMPUTED_VALUE"""),1712.7053)</f>
        <v>1712.7053</v>
      </c>
    </row>
    <row r="2061">
      <c r="A2061" s="434">
        <f>IFERROR(__xludf.DUMMYFUNCTION("""COMPUTED_VALUE"""),44698.99861111111)</f>
        <v>44698.99861</v>
      </c>
      <c r="B2061" s="433">
        <f>IFERROR(__xludf.DUMMYFUNCTION("""COMPUTED_VALUE"""),30416.16)</f>
        <v>30416.16</v>
      </c>
      <c r="C2061" s="434">
        <f>IFERROR(__xludf.DUMMYFUNCTION("""COMPUTED_VALUE"""),44283.99861111111)</f>
        <v>44283.99861</v>
      </c>
      <c r="D2061" s="433">
        <f>IFERROR(__xludf.DUMMYFUNCTION("""COMPUTED_VALUE"""),1717.4449)</f>
        <v>1717.4449</v>
      </c>
    </row>
    <row r="2062">
      <c r="A2062" s="434">
        <f>IFERROR(__xludf.DUMMYFUNCTION("""COMPUTED_VALUE"""),44699.99861111111)</f>
        <v>44699.99861</v>
      </c>
      <c r="B2062" s="433">
        <f>IFERROR(__xludf.DUMMYFUNCTION("""COMPUTED_VALUE"""),28664.44)</f>
        <v>28664.44</v>
      </c>
      <c r="C2062" s="434">
        <f>IFERROR(__xludf.DUMMYFUNCTION("""COMPUTED_VALUE"""),44284.99861111111)</f>
        <v>44284.99861</v>
      </c>
      <c r="D2062" s="433">
        <f>IFERROR(__xludf.DUMMYFUNCTION("""COMPUTED_VALUE"""),1691.2029)</f>
        <v>1691.2029</v>
      </c>
    </row>
    <row r="2063">
      <c r="A2063" s="434">
        <f>IFERROR(__xludf.DUMMYFUNCTION("""COMPUTED_VALUE"""),44700.99861111111)</f>
        <v>44700.99861</v>
      </c>
      <c r="B2063" s="433">
        <f>IFERROR(__xludf.DUMMYFUNCTION("""COMPUTED_VALUE"""),30280.26)</f>
        <v>30280.26</v>
      </c>
      <c r="C2063" s="434">
        <f>IFERROR(__xludf.DUMMYFUNCTION("""COMPUTED_VALUE"""),44285.99861111111)</f>
        <v>44285.99861</v>
      </c>
      <c r="D2063" s="433">
        <f>IFERROR(__xludf.DUMMYFUNCTION("""COMPUTED_VALUE"""),1824.9838)</f>
        <v>1824.9838</v>
      </c>
    </row>
    <row r="2064">
      <c r="A2064" s="434">
        <f>IFERROR(__xludf.DUMMYFUNCTION("""COMPUTED_VALUE"""),44701.99861111111)</f>
        <v>44701.99861</v>
      </c>
      <c r="B2064" s="433">
        <f>IFERROR(__xludf.DUMMYFUNCTION("""COMPUTED_VALUE"""),29160.5)</f>
        <v>29160.5</v>
      </c>
      <c r="C2064" s="434">
        <f>IFERROR(__xludf.DUMMYFUNCTION("""COMPUTED_VALUE"""),44286.99861111111)</f>
        <v>44286.99861</v>
      </c>
      <c r="D2064" s="433">
        <f>IFERROR(__xludf.DUMMYFUNCTION("""COMPUTED_VALUE"""),1848.6146)</f>
        <v>1848.6146</v>
      </c>
    </row>
    <row r="2065">
      <c r="A2065" s="434">
        <f>IFERROR(__xludf.DUMMYFUNCTION("""COMPUTED_VALUE"""),44702.99861111111)</f>
        <v>44702.99861</v>
      </c>
      <c r="B2065" s="433">
        <f>IFERROR(__xludf.DUMMYFUNCTION("""COMPUTED_VALUE"""),29410.01)</f>
        <v>29410.01</v>
      </c>
      <c r="C2065" s="434">
        <f>IFERROR(__xludf.DUMMYFUNCTION("""COMPUTED_VALUE"""),44287.99861111111)</f>
        <v>44287.99861</v>
      </c>
      <c r="D2065" s="433">
        <f>IFERROR(__xludf.DUMMYFUNCTION("""COMPUTED_VALUE"""),1937.4821)</f>
        <v>1937.4821</v>
      </c>
    </row>
    <row r="2066">
      <c r="A2066" s="434">
        <f>IFERROR(__xludf.DUMMYFUNCTION("""COMPUTED_VALUE"""),44703.99861111111)</f>
        <v>44703.99861</v>
      </c>
      <c r="B2066" s="433">
        <f>IFERROR(__xludf.DUMMYFUNCTION("""COMPUTED_VALUE"""),30264.81)</f>
        <v>30264.81</v>
      </c>
      <c r="C2066" s="434">
        <f>IFERROR(__xludf.DUMMYFUNCTION("""COMPUTED_VALUE"""),44288.99861111111)</f>
        <v>44288.99861</v>
      </c>
      <c r="D2066" s="433">
        <f>IFERROR(__xludf.DUMMYFUNCTION("""COMPUTED_VALUE"""),1973.7277)</f>
        <v>1973.7277</v>
      </c>
    </row>
    <row r="2067">
      <c r="A2067" s="434">
        <f>IFERROR(__xludf.DUMMYFUNCTION("""COMPUTED_VALUE"""),44704.99861111111)</f>
        <v>44704.99861</v>
      </c>
      <c r="B2067" s="433">
        <f>IFERROR(__xludf.DUMMYFUNCTION("""COMPUTED_VALUE"""),29075.09)</f>
        <v>29075.09</v>
      </c>
      <c r="C2067" s="434">
        <f>IFERROR(__xludf.DUMMYFUNCTION("""COMPUTED_VALUE"""),44289.99861111111)</f>
        <v>44289.99861</v>
      </c>
      <c r="D2067" s="433">
        <f>IFERROR(__xludf.DUMMYFUNCTION("""COMPUTED_VALUE"""),2144.845)</f>
        <v>2144.845</v>
      </c>
    </row>
    <row r="2068">
      <c r="A2068" s="434">
        <f>IFERROR(__xludf.DUMMYFUNCTION("""COMPUTED_VALUE"""),44705.99861111111)</f>
        <v>44705.99861</v>
      </c>
      <c r="B2068" s="433">
        <f>IFERROR(__xludf.DUMMYFUNCTION("""COMPUTED_VALUE"""),29631.11)</f>
        <v>29631.11</v>
      </c>
      <c r="C2068" s="434">
        <f>IFERROR(__xludf.DUMMYFUNCTION("""COMPUTED_VALUE"""),44290.99861111111)</f>
        <v>44290.99861</v>
      </c>
      <c r="D2068" s="433">
        <f>IFERROR(__xludf.DUMMYFUNCTION("""COMPUTED_VALUE"""),2010.9793)</f>
        <v>2010.9793</v>
      </c>
    </row>
    <row r="2069">
      <c r="A2069" s="434">
        <f>IFERROR(__xludf.DUMMYFUNCTION("""COMPUTED_VALUE"""),44706.99861111111)</f>
        <v>44706.99861</v>
      </c>
      <c r="B2069" s="433">
        <f>IFERROR(__xludf.DUMMYFUNCTION("""COMPUTED_VALUE"""),29506.05)</f>
        <v>29506.05</v>
      </c>
      <c r="C2069" s="434">
        <f>IFERROR(__xludf.DUMMYFUNCTION("""COMPUTED_VALUE"""),44291.99861111111)</f>
        <v>44291.99861</v>
      </c>
      <c r="D2069" s="433">
        <f>IFERROR(__xludf.DUMMYFUNCTION("""COMPUTED_VALUE"""),2096.8942)</f>
        <v>2096.8942</v>
      </c>
    </row>
    <row r="2070">
      <c r="A2070" s="434">
        <f>IFERROR(__xludf.DUMMYFUNCTION("""COMPUTED_VALUE"""),44707.99861111111)</f>
        <v>44707.99861</v>
      </c>
      <c r="B2070" s="433">
        <f>IFERROR(__xludf.DUMMYFUNCTION("""COMPUTED_VALUE"""),29187.76)</f>
        <v>29187.76</v>
      </c>
      <c r="C2070" s="434">
        <f>IFERROR(__xludf.DUMMYFUNCTION("""COMPUTED_VALUE"""),44292.99861111111)</f>
        <v>44292.99861</v>
      </c>
      <c r="D2070" s="433">
        <f>IFERROR(__xludf.DUMMYFUNCTION("""COMPUTED_VALUE"""),2115.1452)</f>
        <v>2115.1452</v>
      </c>
    </row>
    <row r="2071">
      <c r="A2071" s="434">
        <f>IFERROR(__xludf.DUMMYFUNCTION("""COMPUTED_VALUE"""),44708.99861111111)</f>
        <v>44708.99861</v>
      </c>
      <c r="B2071" s="433">
        <f>IFERROR(__xludf.DUMMYFUNCTION("""COMPUTED_VALUE"""),28594.66)</f>
        <v>28594.66</v>
      </c>
      <c r="C2071" s="434">
        <f>IFERROR(__xludf.DUMMYFUNCTION("""COMPUTED_VALUE"""),44293.99861111111)</f>
        <v>44293.99861</v>
      </c>
      <c r="D2071" s="433">
        <f>IFERROR(__xludf.DUMMYFUNCTION("""COMPUTED_VALUE"""),2117.7272)</f>
        <v>2117.7272</v>
      </c>
    </row>
    <row r="2072">
      <c r="A2072" s="434">
        <f>IFERROR(__xludf.DUMMYFUNCTION("""COMPUTED_VALUE"""),44709.99861111111)</f>
        <v>44709.99861</v>
      </c>
      <c r="B2072" s="433">
        <f>IFERROR(__xludf.DUMMYFUNCTION("""COMPUTED_VALUE"""),29013.92)</f>
        <v>29013.92</v>
      </c>
      <c r="C2072" s="434">
        <f>IFERROR(__xludf.DUMMYFUNCTION("""COMPUTED_VALUE"""),44294.99861111111)</f>
        <v>44294.99861</v>
      </c>
      <c r="D2072" s="433">
        <f>IFERROR(__xludf.DUMMYFUNCTION("""COMPUTED_VALUE"""),1967.577)</f>
        <v>1967.577</v>
      </c>
    </row>
    <row r="2073">
      <c r="A2073" s="434">
        <f>IFERROR(__xludf.DUMMYFUNCTION("""COMPUTED_VALUE"""),44710.99861111111)</f>
        <v>44710.99861</v>
      </c>
      <c r="B2073" s="433">
        <f>IFERROR(__xludf.DUMMYFUNCTION("""COMPUTED_VALUE"""),29453.97)</f>
        <v>29453.97</v>
      </c>
      <c r="C2073" s="434">
        <f>IFERROR(__xludf.DUMMYFUNCTION("""COMPUTED_VALUE"""),44295.99861111111)</f>
        <v>44295.99861</v>
      </c>
      <c r="D2073" s="433">
        <f>IFERROR(__xludf.DUMMYFUNCTION("""COMPUTED_VALUE"""),2082.6963)</f>
        <v>2082.6963</v>
      </c>
    </row>
    <row r="2074">
      <c r="A2074" s="434">
        <f>IFERROR(__xludf.DUMMYFUNCTION("""COMPUTED_VALUE"""),44711.99861111111)</f>
        <v>44711.99861</v>
      </c>
      <c r="B2074" s="433">
        <f>IFERROR(__xludf.DUMMYFUNCTION("""COMPUTED_VALUE"""),31716.84)</f>
        <v>31716.84</v>
      </c>
      <c r="C2074" s="434">
        <f>IFERROR(__xludf.DUMMYFUNCTION("""COMPUTED_VALUE"""),44296.99861111111)</f>
        <v>44296.99861</v>
      </c>
      <c r="D2074" s="433">
        <f>IFERROR(__xludf.DUMMYFUNCTION("""COMPUTED_VALUE"""),2067.3225)</f>
        <v>2067.3225</v>
      </c>
    </row>
    <row r="2075">
      <c r="A2075" s="434">
        <f>IFERROR(__xludf.DUMMYFUNCTION("""COMPUTED_VALUE"""),44712.99861111111)</f>
        <v>44712.99861</v>
      </c>
      <c r="B2075" s="433">
        <f>IFERROR(__xludf.DUMMYFUNCTION("""COMPUTED_VALUE"""),31772.85)</f>
        <v>31772.85</v>
      </c>
      <c r="C2075" s="434">
        <f>IFERROR(__xludf.DUMMYFUNCTION("""COMPUTED_VALUE"""),44297.99861111111)</f>
        <v>44297.99861</v>
      </c>
      <c r="D2075" s="433">
        <f>IFERROR(__xludf.DUMMYFUNCTION("""COMPUTED_VALUE"""),2133.6116)</f>
        <v>2133.6116</v>
      </c>
    </row>
    <row r="2076">
      <c r="A2076" s="434">
        <f>IFERROR(__xludf.DUMMYFUNCTION("""COMPUTED_VALUE"""),44713.99861111111)</f>
        <v>44713.99861</v>
      </c>
      <c r="B2076" s="433">
        <f>IFERROR(__xludf.DUMMYFUNCTION("""COMPUTED_VALUE"""),29789.13)</f>
        <v>29789.13</v>
      </c>
      <c r="C2076" s="434">
        <f>IFERROR(__xludf.DUMMYFUNCTION("""COMPUTED_VALUE"""),44298.99861111111)</f>
        <v>44298.99861</v>
      </c>
      <c r="D2076" s="433">
        <f>IFERROR(__xludf.DUMMYFUNCTION("""COMPUTED_VALUE"""),2162.6677)</f>
        <v>2162.6677</v>
      </c>
    </row>
    <row r="2077">
      <c r="A2077" s="434">
        <f>IFERROR(__xludf.DUMMYFUNCTION("""COMPUTED_VALUE"""),44714.99861111111)</f>
        <v>44714.99861</v>
      </c>
      <c r="B2077" s="433">
        <f>IFERROR(__xludf.DUMMYFUNCTION("""COMPUTED_VALUE"""),30441.68)</f>
        <v>30441.68</v>
      </c>
      <c r="C2077" s="434">
        <f>IFERROR(__xludf.DUMMYFUNCTION("""COMPUTED_VALUE"""),44299.99861111111)</f>
        <v>44299.99861</v>
      </c>
      <c r="D2077" s="433">
        <f>IFERROR(__xludf.DUMMYFUNCTION("""COMPUTED_VALUE"""),2139.8838)</f>
        <v>2139.8838</v>
      </c>
    </row>
    <row r="2078">
      <c r="A2078" s="434">
        <f>IFERROR(__xludf.DUMMYFUNCTION("""COMPUTED_VALUE"""),44715.99861111111)</f>
        <v>44715.99861</v>
      </c>
      <c r="B2078" s="433">
        <f>IFERROR(__xludf.DUMMYFUNCTION("""COMPUTED_VALUE"""),29681.62)</f>
        <v>29681.62</v>
      </c>
      <c r="C2078" s="434">
        <f>IFERROR(__xludf.DUMMYFUNCTION("""COMPUTED_VALUE"""),44300.99861111111)</f>
        <v>44300.99861</v>
      </c>
      <c r="D2078" s="433">
        <f>IFERROR(__xludf.DUMMYFUNCTION("""COMPUTED_VALUE"""),2308.6084)</f>
        <v>2308.6084</v>
      </c>
    </row>
    <row r="2079">
      <c r="A2079" s="434">
        <f>IFERROR(__xludf.DUMMYFUNCTION("""COMPUTED_VALUE"""),44716.99861111111)</f>
        <v>44716.99861</v>
      </c>
      <c r="B2079" s="433">
        <f>IFERROR(__xludf.DUMMYFUNCTION("""COMPUTED_VALUE"""),29849.81)</f>
        <v>29849.81</v>
      </c>
      <c r="C2079" s="434">
        <f>IFERROR(__xludf.DUMMYFUNCTION("""COMPUTED_VALUE"""),44301.99861111111)</f>
        <v>44301.99861</v>
      </c>
      <c r="D2079" s="433">
        <f>IFERROR(__xludf.DUMMYFUNCTION("""COMPUTED_VALUE"""),2453.3274)</f>
        <v>2453.3274</v>
      </c>
    </row>
    <row r="2080">
      <c r="A2080" s="434">
        <f>IFERROR(__xludf.DUMMYFUNCTION("""COMPUTED_VALUE"""),44717.99861111111)</f>
        <v>44717.99861</v>
      </c>
      <c r="B2080" s="433">
        <f>IFERROR(__xludf.DUMMYFUNCTION("""COMPUTED_VALUE"""),29904.38)</f>
        <v>29904.38</v>
      </c>
      <c r="C2080" s="434">
        <f>IFERROR(__xludf.DUMMYFUNCTION("""COMPUTED_VALUE"""),44302.99861111111)</f>
        <v>44302.99861</v>
      </c>
      <c r="D2080" s="433">
        <f>IFERROR(__xludf.DUMMYFUNCTION("""COMPUTED_VALUE"""),2524.7274)</f>
        <v>2524.7274</v>
      </c>
    </row>
    <row r="2081">
      <c r="A2081" s="434">
        <f>IFERROR(__xludf.DUMMYFUNCTION("""COMPUTED_VALUE"""),44718.99861111111)</f>
        <v>44718.99861</v>
      </c>
      <c r="B2081" s="433">
        <f>IFERROR(__xludf.DUMMYFUNCTION("""COMPUTED_VALUE"""),31363.37)</f>
        <v>31363.37</v>
      </c>
      <c r="C2081" s="434">
        <f>IFERROR(__xludf.DUMMYFUNCTION("""COMPUTED_VALUE"""),44303.99861111111)</f>
        <v>44303.99861</v>
      </c>
      <c r="D2081" s="433">
        <f>IFERROR(__xludf.DUMMYFUNCTION("""COMPUTED_VALUE"""),2436.9674)</f>
        <v>2436.9674</v>
      </c>
    </row>
    <row r="2082">
      <c r="A2082" s="434">
        <f>IFERROR(__xludf.DUMMYFUNCTION("""COMPUTED_VALUE"""),44719.99861111111)</f>
        <v>44719.99861</v>
      </c>
      <c r="B2082" s="433">
        <f>IFERROR(__xludf.DUMMYFUNCTION("""COMPUTED_VALUE"""),31110.29)</f>
        <v>31110.29</v>
      </c>
      <c r="C2082" s="434">
        <f>IFERROR(__xludf.DUMMYFUNCTION("""COMPUTED_VALUE"""),44304.99861111111)</f>
        <v>44304.99861</v>
      </c>
      <c r="D2082" s="433">
        <f>IFERROR(__xludf.DUMMYFUNCTION("""COMPUTED_VALUE"""),2347.5663)</f>
        <v>2347.5663</v>
      </c>
    </row>
    <row r="2083">
      <c r="A2083" s="434">
        <f>IFERROR(__xludf.DUMMYFUNCTION("""COMPUTED_VALUE"""),44720.99861111111)</f>
        <v>44720.99861</v>
      </c>
      <c r="B2083" s="433">
        <f>IFERROR(__xludf.DUMMYFUNCTION("""COMPUTED_VALUE"""),30197.43)</f>
        <v>30197.43</v>
      </c>
      <c r="C2083" s="434">
        <f>IFERROR(__xludf.DUMMYFUNCTION("""COMPUTED_VALUE"""),44305.99861111111)</f>
        <v>44305.99861</v>
      </c>
      <c r="D2083" s="433">
        <f>IFERROR(__xludf.DUMMYFUNCTION("""COMPUTED_VALUE"""),2229.1875)</f>
        <v>2229.1875</v>
      </c>
    </row>
    <row r="2084">
      <c r="A2084" s="434">
        <f>IFERROR(__xludf.DUMMYFUNCTION("""COMPUTED_VALUE"""),44721.99861111111)</f>
        <v>44721.99861</v>
      </c>
      <c r="B2084" s="433">
        <f>IFERROR(__xludf.DUMMYFUNCTION("""COMPUTED_VALUE"""),30090.58)</f>
        <v>30090.58</v>
      </c>
      <c r="C2084" s="434">
        <f>IFERROR(__xludf.DUMMYFUNCTION("""COMPUTED_VALUE"""),44306.99861111111)</f>
        <v>44306.99861</v>
      </c>
      <c r="D2084" s="433">
        <f>IFERROR(__xludf.DUMMYFUNCTION("""COMPUTED_VALUE"""),2154.3164)</f>
        <v>2154.3164</v>
      </c>
    </row>
    <row r="2085">
      <c r="A2085" s="434">
        <f>IFERROR(__xludf.DUMMYFUNCTION("""COMPUTED_VALUE"""),44722.99861111111)</f>
        <v>44722.99861</v>
      </c>
      <c r="B2085" s="433">
        <f>IFERROR(__xludf.DUMMYFUNCTION("""COMPUTED_VALUE"""),29061.1)</f>
        <v>29061.1</v>
      </c>
      <c r="C2085" s="434">
        <f>IFERROR(__xludf.DUMMYFUNCTION("""COMPUTED_VALUE"""),44307.99861111111)</f>
        <v>44307.99861</v>
      </c>
      <c r="D2085" s="433">
        <f>IFERROR(__xludf.DUMMYFUNCTION("""COMPUTED_VALUE"""),2345.6776)</f>
        <v>2345.6776</v>
      </c>
    </row>
    <row r="2086">
      <c r="A2086" s="434">
        <f>IFERROR(__xludf.DUMMYFUNCTION("""COMPUTED_VALUE"""),44723.99861111111)</f>
        <v>44723.99861</v>
      </c>
      <c r="B2086" s="433">
        <f>IFERROR(__xludf.DUMMYFUNCTION("""COMPUTED_VALUE"""),28384.03)</f>
        <v>28384.03</v>
      </c>
      <c r="C2086" s="434">
        <f>IFERROR(__xludf.DUMMYFUNCTION("""COMPUTED_VALUE"""),44308.99861111111)</f>
        <v>44308.99861</v>
      </c>
      <c r="D2086" s="433">
        <f>IFERROR(__xludf.DUMMYFUNCTION("""COMPUTED_VALUE"""),2354.5683)</f>
        <v>2354.5683</v>
      </c>
    </row>
    <row r="2087">
      <c r="A2087" s="434">
        <f>IFERROR(__xludf.DUMMYFUNCTION("""COMPUTED_VALUE"""),44724.99861111111)</f>
        <v>44724.99861</v>
      </c>
      <c r="B2087" s="433">
        <f>IFERROR(__xludf.DUMMYFUNCTION("""COMPUTED_VALUE"""),26599.2)</f>
        <v>26599.2</v>
      </c>
      <c r="C2087" s="434">
        <f>IFERROR(__xludf.DUMMYFUNCTION("""COMPUTED_VALUE"""),44309.99861111111)</f>
        <v>44309.99861</v>
      </c>
      <c r="D2087" s="433">
        <f>IFERROR(__xludf.DUMMYFUNCTION("""COMPUTED_VALUE"""),2392.8522)</f>
        <v>2392.8522</v>
      </c>
    </row>
    <row r="2088">
      <c r="A2088" s="434">
        <f>IFERROR(__xludf.DUMMYFUNCTION("""COMPUTED_VALUE"""),44725.99861111111)</f>
        <v>44725.99861</v>
      </c>
      <c r="B2088" s="433">
        <f>IFERROR(__xludf.DUMMYFUNCTION("""COMPUTED_VALUE"""),22439.37)</f>
        <v>22439.37</v>
      </c>
      <c r="C2088" s="434">
        <f>IFERROR(__xludf.DUMMYFUNCTION("""COMPUTED_VALUE"""),44310.99861111111)</f>
        <v>44310.99861</v>
      </c>
      <c r="D2088" s="433">
        <f>IFERROR(__xludf.DUMMYFUNCTION("""COMPUTED_VALUE"""),2357.1378)</f>
        <v>2357.1378</v>
      </c>
    </row>
    <row r="2089">
      <c r="A2089" s="434">
        <f>IFERROR(__xludf.DUMMYFUNCTION("""COMPUTED_VALUE"""),44726.99861111111)</f>
        <v>44726.99861</v>
      </c>
      <c r="B2089" s="433">
        <f>IFERROR(__xludf.DUMMYFUNCTION("""COMPUTED_VALUE"""),22145.76)</f>
        <v>22145.76</v>
      </c>
      <c r="C2089" s="434">
        <f>IFERROR(__xludf.DUMMYFUNCTION("""COMPUTED_VALUE"""),44311.99861111111)</f>
        <v>44311.99861</v>
      </c>
      <c r="D2089" s="433">
        <f>IFERROR(__xludf.DUMMYFUNCTION("""COMPUTED_VALUE"""),2216.7604)</f>
        <v>2216.7604</v>
      </c>
    </row>
    <row r="2090">
      <c r="A2090" s="434">
        <f>IFERROR(__xludf.DUMMYFUNCTION("""COMPUTED_VALUE"""),44727.99861111111)</f>
        <v>44727.99861</v>
      </c>
      <c r="B2090" s="433">
        <f>IFERROR(__xludf.DUMMYFUNCTION("""COMPUTED_VALUE"""),22567.14)</f>
        <v>22567.14</v>
      </c>
      <c r="C2090" s="434">
        <f>IFERROR(__xludf.DUMMYFUNCTION("""COMPUTED_VALUE"""),44312.99861111111)</f>
        <v>44312.99861</v>
      </c>
      <c r="D2090" s="433">
        <f>IFERROR(__xludf.DUMMYFUNCTION("""COMPUTED_VALUE"""),2311.7241)</f>
        <v>2311.7241</v>
      </c>
    </row>
    <row r="2091">
      <c r="A2091" s="434">
        <f>IFERROR(__xludf.DUMMYFUNCTION("""COMPUTED_VALUE"""),44728.99861111111)</f>
        <v>44728.99861</v>
      </c>
      <c r="B2091" s="433">
        <f>IFERROR(__xludf.DUMMYFUNCTION("""COMPUTED_VALUE"""),20375.4)</f>
        <v>20375.4</v>
      </c>
      <c r="C2091" s="434">
        <f>IFERROR(__xludf.DUMMYFUNCTION("""COMPUTED_VALUE"""),44313.99861111111)</f>
        <v>44313.99861</v>
      </c>
      <c r="D2091" s="433">
        <f>IFERROR(__xludf.DUMMYFUNCTION("""COMPUTED_VALUE"""),2546.2323)</f>
        <v>2546.2323</v>
      </c>
    </row>
    <row r="2092">
      <c r="A2092" s="434">
        <f>IFERROR(__xludf.DUMMYFUNCTION("""COMPUTED_VALUE"""),44729.99861111111)</f>
        <v>44729.99861</v>
      </c>
      <c r="B2092" s="433">
        <f>IFERROR(__xludf.DUMMYFUNCTION("""COMPUTED_VALUE"""),20437.65)</f>
        <v>20437.65</v>
      </c>
      <c r="C2092" s="434">
        <f>IFERROR(__xludf.DUMMYFUNCTION("""COMPUTED_VALUE"""),44314.99861111111)</f>
        <v>44314.99861</v>
      </c>
      <c r="D2092" s="433">
        <f>IFERROR(__xludf.DUMMYFUNCTION("""COMPUTED_VALUE"""),2672.603)</f>
        <v>2672.603</v>
      </c>
    </row>
    <row r="2093">
      <c r="A2093" s="434">
        <f>IFERROR(__xludf.DUMMYFUNCTION("""COMPUTED_VALUE"""),44730.99861111111)</f>
        <v>44730.99861</v>
      </c>
      <c r="B2093" s="433">
        <f>IFERROR(__xludf.DUMMYFUNCTION("""COMPUTED_VALUE"""),18971.42)</f>
        <v>18971.42</v>
      </c>
      <c r="C2093" s="434">
        <f>IFERROR(__xludf.DUMMYFUNCTION("""COMPUTED_VALUE"""),44315.99861111111)</f>
        <v>44315.99861</v>
      </c>
      <c r="D2093" s="433">
        <f>IFERROR(__xludf.DUMMYFUNCTION("""COMPUTED_VALUE"""),2740.723)</f>
        <v>2740.723</v>
      </c>
    </row>
    <row r="2094">
      <c r="A2094" s="434">
        <f>IFERROR(__xludf.DUMMYFUNCTION("""COMPUTED_VALUE"""),44731.99861111111)</f>
        <v>44731.99861</v>
      </c>
      <c r="B2094" s="433">
        <f>IFERROR(__xludf.DUMMYFUNCTION("""COMPUTED_VALUE"""),20559.79)</f>
        <v>20559.79</v>
      </c>
      <c r="C2094" s="434">
        <f>IFERROR(__xludf.DUMMYFUNCTION("""COMPUTED_VALUE"""),44316.99861111111)</f>
        <v>44316.99861</v>
      </c>
      <c r="D2094" s="433">
        <f>IFERROR(__xludf.DUMMYFUNCTION("""COMPUTED_VALUE"""),2766.2634)</f>
        <v>2766.2634</v>
      </c>
    </row>
    <row r="2095">
      <c r="A2095" s="434">
        <f>IFERROR(__xludf.DUMMYFUNCTION("""COMPUTED_VALUE"""),44732.99861111111)</f>
        <v>44732.99861</v>
      </c>
      <c r="B2095" s="433">
        <f>IFERROR(__xludf.DUMMYFUNCTION("""COMPUTED_VALUE"""),20568.29)</f>
        <v>20568.29</v>
      </c>
      <c r="C2095" s="434">
        <f>IFERROR(__xludf.DUMMYFUNCTION("""COMPUTED_VALUE"""),44317.99861111111)</f>
        <v>44317.99861</v>
      </c>
      <c r="D2095" s="433">
        <f>IFERROR(__xludf.DUMMYFUNCTION("""COMPUTED_VALUE"""),2777.1667)</f>
        <v>2777.1667</v>
      </c>
    </row>
    <row r="2096">
      <c r="A2096" s="434">
        <f>IFERROR(__xludf.DUMMYFUNCTION("""COMPUTED_VALUE"""),44733.99861111111)</f>
        <v>44733.99861</v>
      </c>
      <c r="B2096" s="433">
        <f>IFERROR(__xludf.DUMMYFUNCTION("""COMPUTED_VALUE"""),20702.51)</f>
        <v>20702.51</v>
      </c>
      <c r="C2096" s="434">
        <f>IFERROR(__xludf.DUMMYFUNCTION("""COMPUTED_VALUE"""),44318.99861111111)</f>
        <v>44318.99861</v>
      </c>
      <c r="D2096" s="433">
        <f>IFERROR(__xludf.DUMMYFUNCTION("""COMPUTED_VALUE"""),2951.6343)</f>
        <v>2951.6343</v>
      </c>
    </row>
    <row r="2097">
      <c r="A2097" s="434">
        <f>IFERROR(__xludf.DUMMYFUNCTION("""COMPUTED_VALUE"""),44734.99861111111)</f>
        <v>44734.99861</v>
      </c>
      <c r="B2097" s="433">
        <f>IFERROR(__xludf.DUMMYFUNCTION("""COMPUTED_VALUE"""),19960.41)</f>
        <v>19960.41</v>
      </c>
      <c r="C2097" s="434">
        <f>IFERROR(__xludf.DUMMYFUNCTION("""COMPUTED_VALUE"""),44319.99861111111)</f>
        <v>44319.99861</v>
      </c>
      <c r="D2097" s="433">
        <f>IFERROR(__xludf.DUMMYFUNCTION("""COMPUTED_VALUE"""),2953.3324)</f>
        <v>2953.3324</v>
      </c>
    </row>
    <row r="2098">
      <c r="A2098" s="434">
        <f>IFERROR(__xludf.DUMMYFUNCTION("""COMPUTED_VALUE"""),44735.99861111111)</f>
        <v>44735.99861</v>
      </c>
      <c r="B2098" s="433">
        <f>IFERROR(__xludf.DUMMYFUNCTION("""COMPUTED_VALUE"""),21088.29)</f>
        <v>21088.29</v>
      </c>
      <c r="C2098" s="434">
        <f>IFERROR(__xludf.DUMMYFUNCTION("""COMPUTED_VALUE"""),44320.99861111111)</f>
        <v>44320.99861</v>
      </c>
      <c r="D2098" s="433">
        <f>IFERROR(__xludf.DUMMYFUNCTION("""COMPUTED_VALUE"""),3433.9625)</f>
        <v>3433.9625</v>
      </c>
    </row>
    <row r="2099">
      <c r="A2099" s="434">
        <f>IFERROR(__xludf.DUMMYFUNCTION("""COMPUTED_VALUE"""),44736.99861111111)</f>
        <v>44736.99861</v>
      </c>
      <c r="B2099" s="433">
        <f>IFERROR(__xludf.DUMMYFUNCTION("""COMPUTED_VALUE"""),21218.06)</f>
        <v>21218.06</v>
      </c>
      <c r="C2099" s="434">
        <f>IFERROR(__xludf.DUMMYFUNCTION("""COMPUTED_VALUE"""),44321.99861111111)</f>
        <v>44321.99861</v>
      </c>
      <c r="D2099" s="433">
        <f>IFERROR(__xludf.DUMMYFUNCTION("""COMPUTED_VALUE"""),3241.6019)</f>
        <v>3241.6019</v>
      </c>
    </row>
    <row r="2100">
      <c r="A2100" s="434">
        <f>IFERROR(__xludf.DUMMYFUNCTION("""COMPUTED_VALUE"""),44737.99861111111)</f>
        <v>44737.99861</v>
      </c>
      <c r="B2100" s="433">
        <f>IFERROR(__xludf.DUMMYFUNCTION("""COMPUTED_VALUE"""),21483.74)</f>
        <v>21483.74</v>
      </c>
      <c r="C2100" s="434">
        <f>IFERROR(__xludf.DUMMYFUNCTION("""COMPUTED_VALUE"""),44322.99861111111)</f>
        <v>44322.99861</v>
      </c>
      <c r="D2100" s="433">
        <f>IFERROR(__xludf.DUMMYFUNCTION("""COMPUTED_VALUE"""),3535.2231)</f>
        <v>3535.2231</v>
      </c>
    </row>
    <row r="2101">
      <c r="A2101" s="434">
        <f>IFERROR(__xludf.DUMMYFUNCTION("""COMPUTED_VALUE"""),44738.99861111111)</f>
        <v>44738.99861</v>
      </c>
      <c r="B2101" s="433">
        <f>IFERROR(__xludf.DUMMYFUNCTION("""COMPUTED_VALUE"""),21036.57)</f>
        <v>21036.57</v>
      </c>
      <c r="C2101" s="434">
        <f>IFERROR(__xludf.DUMMYFUNCTION("""COMPUTED_VALUE"""),44323.99861111111)</f>
        <v>44323.99861</v>
      </c>
      <c r="D2101" s="433">
        <f>IFERROR(__xludf.DUMMYFUNCTION("""COMPUTED_VALUE"""),3483.0526)</f>
        <v>3483.0526</v>
      </c>
    </row>
    <row r="2102">
      <c r="A2102" s="434">
        <f>IFERROR(__xludf.DUMMYFUNCTION("""COMPUTED_VALUE"""),44739.99861111111)</f>
        <v>44739.99861</v>
      </c>
      <c r="B2102" s="433">
        <f>IFERROR(__xludf.DUMMYFUNCTION("""COMPUTED_VALUE"""),20709.37)</f>
        <v>20709.37</v>
      </c>
      <c r="C2102" s="434">
        <f>IFERROR(__xludf.DUMMYFUNCTION("""COMPUTED_VALUE"""),44324.99861111111)</f>
        <v>44324.99861</v>
      </c>
      <c r="D2102" s="433">
        <f>IFERROR(__xludf.DUMMYFUNCTION("""COMPUTED_VALUE"""),3486.2294)</f>
        <v>3486.2294</v>
      </c>
    </row>
    <row r="2103">
      <c r="A2103" s="434">
        <f>IFERROR(__xludf.DUMMYFUNCTION("""COMPUTED_VALUE"""),44740.99861111111)</f>
        <v>44740.99861</v>
      </c>
      <c r="B2103" s="433">
        <f>IFERROR(__xludf.DUMMYFUNCTION("""COMPUTED_VALUE"""),20261.63)</f>
        <v>20261.63</v>
      </c>
      <c r="C2103" s="434">
        <f>IFERROR(__xludf.DUMMYFUNCTION("""COMPUTED_VALUE"""),44325.99861111111)</f>
        <v>44325.99861</v>
      </c>
      <c r="D2103" s="433">
        <f>IFERROR(__xludf.DUMMYFUNCTION("""COMPUTED_VALUE"""),3892.9169)</f>
        <v>3892.9169</v>
      </c>
    </row>
    <row r="2104">
      <c r="A2104" s="434">
        <f>IFERROR(__xludf.DUMMYFUNCTION("""COMPUTED_VALUE"""),44741.99861111111)</f>
        <v>44741.99861</v>
      </c>
      <c r="B2104" s="433">
        <f>IFERROR(__xludf.DUMMYFUNCTION("""COMPUTED_VALUE"""),20097.49)</f>
        <v>20097.49</v>
      </c>
      <c r="C2104" s="434">
        <f>IFERROR(__xludf.DUMMYFUNCTION("""COMPUTED_VALUE"""),44326.99861111111)</f>
        <v>44326.99861</v>
      </c>
      <c r="D2104" s="433">
        <f>IFERROR(__xludf.DUMMYFUNCTION("""COMPUTED_VALUE"""),3915.3366)</f>
        <v>3915.3366</v>
      </c>
    </row>
    <row r="2105">
      <c r="A2105" s="434">
        <f>IFERROR(__xludf.DUMMYFUNCTION("""COMPUTED_VALUE"""),44742.99861111111)</f>
        <v>44742.99861</v>
      </c>
      <c r="B2105" s="433">
        <f>IFERROR(__xludf.DUMMYFUNCTION("""COMPUTED_VALUE"""),19913.14)</f>
        <v>19913.14</v>
      </c>
      <c r="C2105" s="434">
        <f>IFERROR(__xludf.DUMMYFUNCTION("""COMPUTED_VALUE"""),44327.99861111111)</f>
        <v>44327.99861</v>
      </c>
      <c r="D2105" s="433">
        <f>IFERROR(__xludf.DUMMYFUNCTION("""COMPUTED_VALUE"""),3923.2929)</f>
        <v>3923.2929</v>
      </c>
    </row>
    <row r="2106">
      <c r="A2106" s="434">
        <f>IFERROR(__xludf.DUMMYFUNCTION("""COMPUTED_VALUE"""),44743.99861111111)</f>
        <v>44743.99861</v>
      </c>
      <c r="B2106" s="433">
        <f>IFERROR(__xludf.DUMMYFUNCTION("""COMPUTED_VALUE"""),19249.26)</f>
        <v>19249.26</v>
      </c>
      <c r="C2106" s="434">
        <f>IFERROR(__xludf.DUMMYFUNCTION("""COMPUTED_VALUE"""),44328.99861111111)</f>
        <v>44328.99861</v>
      </c>
      <c r="D2106" s="433">
        <f>IFERROR(__xludf.DUMMYFUNCTION("""COMPUTED_VALUE"""),4171.8341)</f>
        <v>4171.8341</v>
      </c>
    </row>
    <row r="2107">
      <c r="A2107" s="434">
        <f>IFERROR(__xludf.DUMMYFUNCTION("""COMPUTED_VALUE"""),44744.99861111111)</f>
        <v>44744.99861</v>
      </c>
      <c r="B2107" s="433">
        <f>IFERROR(__xludf.DUMMYFUNCTION("""COMPUTED_VALUE"""),19228.16)</f>
        <v>19228.16</v>
      </c>
      <c r="C2107" s="434">
        <f>IFERROR(__xludf.DUMMYFUNCTION("""COMPUTED_VALUE"""),44329.99861111111)</f>
        <v>44329.99861</v>
      </c>
      <c r="D2107" s="433">
        <f>IFERROR(__xludf.DUMMYFUNCTION("""COMPUTED_VALUE"""),3618.2999)</f>
        <v>3618.2999</v>
      </c>
    </row>
    <row r="2108">
      <c r="A2108" s="434">
        <f>IFERROR(__xludf.DUMMYFUNCTION("""COMPUTED_VALUE"""),44745.99861111111)</f>
        <v>44745.99861</v>
      </c>
      <c r="B2108" s="433">
        <f>IFERROR(__xludf.DUMMYFUNCTION("""COMPUTED_VALUE"""),19296.46)</f>
        <v>19296.46</v>
      </c>
      <c r="C2108" s="434">
        <f>IFERROR(__xludf.DUMMYFUNCTION("""COMPUTED_VALUE"""),44330.99861111111)</f>
        <v>44330.99861</v>
      </c>
      <c r="D2108" s="433">
        <f>IFERROR(__xludf.DUMMYFUNCTION("""COMPUTED_VALUE"""),3733.0275)</f>
        <v>3733.0275</v>
      </c>
    </row>
    <row r="2109">
      <c r="A2109" s="434">
        <f>IFERROR(__xludf.DUMMYFUNCTION("""COMPUTED_VALUE"""),44746.99861111111)</f>
        <v>44746.99861</v>
      </c>
      <c r="B2109" s="433">
        <f>IFERROR(__xludf.DUMMYFUNCTION("""COMPUTED_VALUE"""),20212.47)</f>
        <v>20212.47</v>
      </c>
      <c r="C2109" s="434">
        <f>IFERROR(__xludf.DUMMYFUNCTION("""COMPUTED_VALUE"""),44331.99861111111)</f>
        <v>44331.99861</v>
      </c>
      <c r="D2109" s="433">
        <f>IFERROR(__xludf.DUMMYFUNCTION("""COMPUTED_VALUE"""),4099.6677)</f>
        <v>4099.6677</v>
      </c>
    </row>
    <row r="2110">
      <c r="A2110" s="434">
        <f>IFERROR(__xludf.DUMMYFUNCTION("""COMPUTED_VALUE"""),44747.99861111111)</f>
        <v>44747.99861</v>
      </c>
      <c r="B2110" s="433">
        <f>IFERROR(__xludf.DUMMYFUNCTION("""COMPUTED_VALUE"""),20175.0)</f>
        <v>20175</v>
      </c>
      <c r="C2110" s="434">
        <f>IFERROR(__xludf.DUMMYFUNCTION("""COMPUTED_VALUE"""),44332.99861111111)</f>
        <v>44332.99861</v>
      </c>
      <c r="D2110" s="433">
        <f>IFERROR(__xludf.DUMMYFUNCTION("""COMPUTED_VALUE"""),3631.8928)</f>
        <v>3631.8928</v>
      </c>
    </row>
    <row r="2111">
      <c r="A2111" s="434">
        <f>IFERROR(__xludf.DUMMYFUNCTION("""COMPUTED_VALUE"""),44748.99861111111)</f>
        <v>44748.99861</v>
      </c>
      <c r="B2111" s="433">
        <f>IFERROR(__xludf.DUMMYFUNCTION("""COMPUTED_VALUE"""),20548.82)</f>
        <v>20548.82</v>
      </c>
      <c r="C2111" s="434">
        <f>IFERROR(__xludf.DUMMYFUNCTION("""COMPUTED_VALUE"""),44333.99861111111)</f>
        <v>44333.99861</v>
      </c>
      <c r="D2111" s="433">
        <f>IFERROR(__xludf.DUMMYFUNCTION("""COMPUTED_VALUE"""),3562.2718)</f>
        <v>3562.2718</v>
      </c>
    </row>
    <row r="2112">
      <c r="A2112" s="434">
        <f>IFERROR(__xludf.DUMMYFUNCTION("""COMPUTED_VALUE"""),44749.99861111111)</f>
        <v>44749.99861</v>
      </c>
      <c r="B2112" s="433">
        <f>IFERROR(__xludf.DUMMYFUNCTION("""COMPUTED_VALUE"""),21631.71)</f>
        <v>21631.71</v>
      </c>
      <c r="C2112" s="434">
        <f>IFERROR(__xludf.DUMMYFUNCTION("""COMPUTED_VALUE"""),44334.99861111111)</f>
        <v>44334.99861</v>
      </c>
      <c r="D2112" s="433">
        <f>IFERROR(__xludf.DUMMYFUNCTION("""COMPUTED_VALUE"""),3253.2298)</f>
        <v>3253.2298</v>
      </c>
    </row>
    <row r="2113">
      <c r="A2113" s="434">
        <f>IFERROR(__xludf.DUMMYFUNCTION("""COMPUTED_VALUE"""),44750.99861111111)</f>
        <v>44750.99861</v>
      </c>
      <c r="B2113" s="433">
        <f>IFERROR(__xludf.DUMMYFUNCTION("""COMPUTED_VALUE"""),21606.68)</f>
        <v>21606.68</v>
      </c>
      <c r="C2113" s="434">
        <f>IFERROR(__xludf.DUMMYFUNCTION("""COMPUTED_VALUE"""),44335.99861111111)</f>
        <v>44335.99861</v>
      </c>
      <c r="D2113" s="433">
        <f>IFERROR(__xludf.DUMMYFUNCTION("""COMPUTED_VALUE"""),3370.1159)</f>
        <v>3370.1159</v>
      </c>
    </row>
    <row r="2114">
      <c r="A2114" s="434">
        <f>IFERROR(__xludf.DUMMYFUNCTION("""COMPUTED_VALUE"""),44751.99861111111)</f>
        <v>44751.99861</v>
      </c>
      <c r="B2114" s="433">
        <f>IFERROR(__xludf.DUMMYFUNCTION("""COMPUTED_VALUE"""),21581.61)</f>
        <v>21581.61</v>
      </c>
      <c r="C2114" s="434">
        <f>IFERROR(__xludf.DUMMYFUNCTION("""COMPUTED_VALUE"""),44336.99861111111)</f>
        <v>44336.99861</v>
      </c>
      <c r="D2114" s="433">
        <f>IFERROR(__xludf.DUMMYFUNCTION("""COMPUTED_VALUE"""),2490.5376)</f>
        <v>2490.5376</v>
      </c>
    </row>
    <row r="2115">
      <c r="A2115" s="434">
        <f>IFERROR(__xludf.DUMMYFUNCTION("""COMPUTED_VALUE"""),44752.99861111111)</f>
        <v>44752.99861</v>
      </c>
      <c r="B2115" s="433">
        <f>IFERROR(__xludf.DUMMYFUNCTION("""COMPUTED_VALUE"""),20843.7)</f>
        <v>20843.7</v>
      </c>
      <c r="C2115" s="434">
        <f>IFERROR(__xludf.DUMMYFUNCTION("""COMPUTED_VALUE"""),44337.99861111111)</f>
        <v>44337.99861</v>
      </c>
      <c r="D2115" s="433">
        <f>IFERROR(__xludf.DUMMYFUNCTION("""COMPUTED_VALUE"""),2814.2915)</f>
        <v>2814.2915</v>
      </c>
    </row>
    <row r="2116">
      <c r="A2116" s="434">
        <f>IFERROR(__xludf.DUMMYFUNCTION("""COMPUTED_VALUE"""),44753.99861111111)</f>
        <v>44753.99861</v>
      </c>
      <c r="B2116" s="433">
        <f>IFERROR(__xludf.DUMMYFUNCTION("""COMPUTED_VALUE"""),19947.45)</f>
        <v>19947.45</v>
      </c>
      <c r="C2116" s="434">
        <f>IFERROR(__xludf.DUMMYFUNCTION("""COMPUTED_VALUE"""),44338.99861111111)</f>
        <v>44338.99861</v>
      </c>
      <c r="D2116" s="433">
        <f>IFERROR(__xludf.DUMMYFUNCTION("""COMPUTED_VALUE"""),2433.3006)</f>
        <v>2433.3006</v>
      </c>
    </row>
    <row r="2117">
      <c r="A2117" s="434">
        <f>IFERROR(__xludf.DUMMYFUNCTION("""COMPUTED_VALUE"""),44754.99861111111)</f>
        <v>44754.99861</v>
      </c>
      <c r="B2117" s="433">
        <f>IFERROR(__xludf.DUMMYFUNCTION("""COMPUTED_VALUE"""),19316.26)</f>
        <v>19316.26</v>
      </c>
      <c r="C2117" s="434">
        <f>IFERROR(__xludf.DUMMYFUNCTION("""COMPUTED_VALUE"""),44339.99861111111)</f>
        <v>44339.99861</v>
      </c>
      <c r="D2117" s="433">
        <f>IFERROR(__xludf.DUMMYFUNCTION("""COMPUTED_VALUE"""),2273.7581)</f>
        <v>2273.7581</v>
      </c>
    </row>
    <row r="2118">
      <c r="A2118" s="434">
        <f>IFERROR(__xludf.DUMMYFUNCTION("""COMPUTED_VALUE"""),44755.99861111111)</f>
        <v>44755.99861</v>
      </c>
      <c r="B2118" s="433">
        <f>IFERROR(__xludf.DUMMYFUNCTION("""COMPUTED_VALUE"""),20240.1)</f>
        <v>20240.1</v>
      </c>
      <c r="C2118" s="434">
        <f>IFERROR(__xludf.DUMMYFUNCTION("""COMPUTED_VALUE"""),44340.99861111111)</f>
        <v>44340.99861</v>
      </c>
      <c r="D2118" s="433">
        <f>IFERROR(__xludf.DUMMYFUNCTION("""COMPUTED_VALUE"""),2145.7337)</f>
        <v>2145.7337</v>
      </c>
    </row>
    <row r="2119">
      <c r="A2119" s="434">
        <f>IFERROR(__xludf.DUMMYFUNCTION("""COMPUTED_VALUE"""),44756.99861111111)</f>
        <v>44756.99861</v>
      </c>
      <c r="B2119" s="433">
        <f>IFERROR(__xludf.DUMMYFUNCTION("""COMPUTED_VALUE"""),20577.69)</f>
        <v>20577.69</v>
      </c>
      <c r="C2119" s="434">
        <f>IFERROR(__xludf.DUMMYFUNCTION("""COMPUTED_VALUE"""),44341.99861111111)</f>
        <v>44341.99861</v>
      </c>
      <c r="D2119" s="433">
        <f>IFERROR(__xludf.DUMMYFUNCTION("""COMPUTED_VALUE"""),2660.4029)</f>
        <v>2660.4029</v>
      </c>
    </row>
    <row r="2120">
      <c r="A2120" s="434">
        <f>IFERROR(__xludf.DUMMYFUNCTION("""COMPUTED_VALUE"""),44757.99861111111)</f>
        <v>44757.99861</v>
      </c>
      <c r="B2120" s="433">
        <f>IFERROR(__xludf.DUMMYFUNCTION("""COMPUTED_VALUE"""),20825.41)</f>
        <v>20825.41</v>
      </c>
      <c r="C2120" s="434">
        <f>IFERROR(__xludf.DUMMYFUNCTION("""COMPUTED_VALUE"""),44342.99861111111)</f>
        <v>44342.99861</v>
      </c>
      <c r="D2120" s="433">
        <f>IFERROR(__xludf.DUMMYFUNCTION("""COMPUTED_VALUE"""),2720.2907)</f>
        <v>2720.2907</v>
      </c>
    </row>
    <row r="2121">
      <c r="A2121" s="434">
        <f>IFERROR(__xludf.DUMMYFUNCTION("""COMPUTED_VALUE"""),44758.99861111111)</f>
        <v>44758.99861</v>
      </c>
      <c r="B2121" s="433">
        <f>IFERROR(__xludf.DUMMYFUNCTION("""COMPUTED_VALUE"""),21198.3)</f>
        <v>21198.3</v>
      </c>
      <c r="C2121" s="434">
        <f>IFERROR(__xludf.DUMMYFUNCTION("""COMPUTED_VALUE"""),44343.99861111111)</f>
        <v>44343.99861</v>
      </c>
      <c r="D2121" s="433">
        <f>IFERROR(__xludf.DUMMYFUNCTION("""COMPUTED_VALUE"""),2872.6924)</f>
        <v>2872.6924</v>
      </c>
    </row>
    <row r="2122">
      <c r="A2122" s="434">
        <f>IFERROR(__xludf.DUMMYFUNCTION("""COMPUTED_VALUE"""),44759.99861111111)</f>
        <v>44759.99861</v>
      </c>
      <c r="B2122" s="433">
        <f>IFERROR(__xludf.DUMMYFUNCTION("""COMPUTED_VALUE"""),20788.07)</f>
        <v>20788.07</v>
      </c>
      <c r="C2122" s="434">
        <f>IFERROR(__xludf.DUMMYFUNCTION("""COMPUTED_VALUE"""),44344.99861111111)</f>
        <v>44344.99861</v>
      </c>
      <c r="D2122" s="433">
        <f>IFERROR(__xludf.DUMMYFUNCTION("""COMPUTED_VALUE"""),2717.2521)</f>
        <v>2717.2521</v>
      </c>
    </row>
    <row r="2123">
      <c r="A2123" s="434">
        <f>IFERROR(__xludf.DUMMYFUNCTION("""COMPUTED_VALUE"""),44760.99861111111)</f>
        <v>44760.99861</v>
      </c>
      <c r="B2123" s="433">
        <f>IFERROR(__xludf.DUMMYFUNCTION("""COMPUTED_VALUE"""),22495.43)</f>
        <v>22495.43</v>
      </c>
      <c r="C2123" s="434">
        <f>IFERROR(__xludf.DUMMYFUNCTION("""COMPUTED_VALUE"""),44345.99861111111)</f>
        <v>44345.99861</v>
      </c>
      <c r="D2123" s="433">
        <f>IFERROR(__xludf.DUMMYFUNCTION("""COMPUTED_VALUE"""),2407.6098)</f>
        <v>2407.6098</v>
      </c>
    </row>
    <row r="2124">
      <c r="A2124" s="434">
        <f>IFERROR(__xludf.DUMMYFUNCTION("""COMPUTED_VALUE"""),44761.99861111111)</f>
        <v>44761.99861</v>
      </c>
      <c r="B2124" s="433">
        <f>IFERROR(__xludf.DUMMYFUNCTION("""COMPUTED_VALUE"""),23405.52)</f>
        <v>23405.52</v>
      </c>
      <c r="C2124" s="434">
        <f>IFERROR(__xludf.DUMMYFUNCTION("""COMPUTED_VALUE"""),44346.99861111111)</f>
        <v>44346.99861</v>
      </c>
      <c r="D2124" s="433">
        <f>IFERROR(__xludf.DUMMYFUNCTION("""COMPUTED_VALUE"""),2260.428)</f>
        <v>2260.428</v>
      </c>
    </row>
    <row r="2125">
      <c r="A2125" s="434">
        <f>IFERROR(__xludf.DUMMYFUNCTION("""COMPUTED_VALUE"""),44762.99861111111)</f>
        <v>44762.99861</v>
      </c>
      <c r="B2125" s="433">
        <f>IFERROR(__xludf.DUMMYFUNCTION("""COMPUTED_VALUE"""),23221.96)</f>
        <v>23221.96</v>
      </c>
      <c r="C2125" s="434">
        <f>IFERROR(__xludf.DUMMYFUNCTION("""COMPUTED_VALUE"""),44347.99861111111)</f>
        <v>44347.99861</v>
      </c>
      <c r="D2125" s="433">
        <f>IFERROR(__xludf.DUMMYFUNCTION("""COMPUTED_VALUE"""),2377.9304)</f>
        <v>2377.9304</v>
      </c>
    </row>
    <row r="2126">
      <c r="A2126" s="434">
        <f>IFERROR(__xludf.DUMMYFUNCTION("""COMPUTED_VALUE"""),44763.99861111111)</f>
        <v>44763.99861</v>
      </c>
      <c r="B2126" s="433">
        <f>IFERROR(__xludf.DUMMYFUNCTION("""COMPUTED_VALUE"""),23145.74)</f>
        <v>23145.74</v>
      </c>
      <c r="C2126" s="434">
        <f>IFERROR(__xludf.DUMMYFUNCTION("""COMPUTED_VALUE"""),44348.99861111111)</f>
        <v>44348.99861</v>
      </c>
      <c r="D2126" s="433">
        <f>IFERROR(__xludf.DUMMYFUNCTION("""COMPUTED_VALUE"""),2725.9893)</f>
        <v>2725.9893</v>
      </c>
    </row>
    <row r="2127">
      <c r="A2127" s="434">
        <f>IFERROR(__xludf.DUMMYFUNCTION("""COMPUTED_VALUE"""),44764.99861111111)</f>
        <v>44764.99861</v>
      </c>
      <c r="B2127" s="433">
        <f>IFERROR(__xludf.DUMMYFUNCTION("""COMPUTED_VALUE"""),22680.97)</f>
        <v>22680.97</v>
      </c>
      <c r="C2127" s="434">
        <f>IFERROR(__xludf.DUMMYFUNCTION("""COMPUTED_VALUE"""),44349.99861111111)</f>
        <v>44349.99861</v>
      </c>
      <c r="D2127" s="433">
        <f>IFERROR(__xludf.DUMMYFUNCTION("""COMPUTED_VALUE"""),2625.6692)</f>
        <v>2625.6692</v>
      </c>
    </row>
    <row r="2128">
      <c r="A2128" s="434">
        <f>IFERROR(__xludf.DUMMYFUNCTION("""COMPUTED_VALUE"""),44765.99861111111)</f>
        <v>44765.99861</v>
      </c>
      <c r="B2128" s="433">
        <f>IFERROR(__xludf.DUMMYFUNCTION("""COMPUTED_VALUE"""),22450.51)</f>
        <v>22450.51</v>
      </c>
      <c r="C2128" s="434">
        <f>IFERROR(__xludf.DUMMYFUNCTION("""COMPUTED_VALUE"""),44350.99861111111)</f>
        <v>44350.99861</v>
      </c>
      <c r="D2128" s="433">
        <f>IFERROR(__xludf.DUMMYFUNCTION("""COMPUTED_VALUE"""),2715.2168)</f>
        <v>2715.2168</v>
      </c>
    </row>
    <row r="2129">
      <c r="A2129" s="434">
        <f>IFERROR(__xludf.DUMMYFUNCTION("""COMPUTED_VALUE"""),44766.99861111111)</f>
        <v>44766.99861</v>
      </c>
      <c r="B2129" s="433">
        <f>IFERROR(__xludf.DUMMYFUNCTION("""COMPUTED_VALUE"""),22582.44)</f>
        <v>22582.44</v>
      </c>
      <c r="C2129" s="434">
        <f>IFERROR(__xludf.DUMMYFUNCTION("""COMPUTED_VALUE"""),44351.99861111111)</f>
        <v>44351.99861</v>
      </c>
      <c r="D2129" s="433">
        <f>IFERROR(__xludf.DUMMYFUNCTION("""COMPUTED_VALUE"""),2849.6614)</f>
        <v>2849.6614</v>
      </c>
    </row>
    <row r="2130">
      <c r="A2130" s="434">
        <f>IFERROR(__xludf.DUMMYFUNCTION("""COMPUTED_VALUE"""),44767.99861111111)</f>
        <v>44767.99861</v>
      </c>
      <c r="B2130" s="433">
        <f>IFERROR(__xludf.DUMMYFUNCTION("""COMPUTED_VALUE"""),21296.21)</f>
        <v>21296.21</v>
      </c>
      <c r="C2130" s="434">
        <f>IFERROR(__xludf.DUMMYFUNCTION("""COMPUTED_VALUE"""),44352.99861111111)</f>
        <v>44352.99861</v>
      </c>
      <c r="D2130" s="433">
        <f>IFERROR(__xludf.DUMMYFUNCTION("""COMPUTED_VALUE"""),2689.2768)</f>
        <v>2689.2768</v>
      </c>
    </row>
    <row r="2131">
      <c r="A2131" s="434">
        <f>IFERROR(__xludf.DUMMYFUNCTION("""COMPUTED_VALUE"""),44768.99861111111)</f>
        <v>44768.99861</v>
      </c>
      <c r="B2131" s="433">
        <f>IFERROR(__xludf.DUMMYFUNCTION("""COMPUTED_VALUE"""),21265.27)</f>
        <v>21265.27</v>
      </c>
      <c r="C2131" s="434">
        <f>IFERROR(__xludf.DUMMYFUNCTION("""COMPUTED_VALUE"""),44353.99861111111)</f>
        <v>44353.99861</v>
      </c>
      <c r="D2131" s="433">
        <f>IFERROR(__xludf.DUMMYFUNCTION("""COMPUTED_VALUE"""),2623.5661)</f>
        <v>2623.5661</v>
      </c>
    </row>
    <row r="2132">
      <c r="A2132" s="434">
        <f>IFERROR(__xludf.DUMMYFUNCTION("""COMPUTED_VALUE"""),44769.99861111111)</f>
        <v>44769.99861</v>
      </c>
      <c r="B2132" s="433">
        <f>IFERROR(__xludf.DUMMYFUNCTION("""COMPUTED_VALUE"""),22956.37)</f>
        <v>22956.37</v>
      </c>
      <c r="C2132" s="434">
        <f>IFERROR(__xludf.DUMMYFUNCTION("""COMPUTED_VALUE"""),44354.99861111111)</f>
        <v>44354.99861</v>
      </c>
      <c r="D2132" s="433">
        <f>IFERROR(__xludf.DUMMYFUNCTION("""COMPUTED_VALUE"""),2721.6868)</f>
        <v>2721.6868</v>
      </c>
    </row>
    <row r="2133">
      <c r="A2133" s="434">
        <f>IFERROR(__xludf.DUMMYFUNCTION("""COMPUTED_VALUE"""),44770.99861111111)</f>
        <v>44770.99861</v>
      </c>
      <c r="B2133" s="433">
        <f>IFERROR(__xludf.DUMMYFUNCTION("""COMPUTED_VALUE"""),23853.65)</f>
        <v>23853.65</v>
      </c>
      <c r="C2133" s="434">
        <f>IFERROR(__xludf.DUMMYFUNCTION("""COMPUTED_VALUE"""),44355.99861111111)</f>
        <v>44355.99861</v>
      </c>
      <c r="D2133" s="433">
        <f>IFERROR(__xludf.DUMMYFUNCTION("""COMPUTED_VALUE"""),2592.8998)</f>
        <v>2592.8998</v>
      </c>
    </row>
    <row r="2134">
      <c r="A2134" s="434">
        <f>IFERROR(__xludf.DUMMYFUNCTION("""COMPUTED_VALUE"""),44771.99861111111)</f>
        <v>44771.99861</v>
      </c>
      <c r="B2134" s="433">
        <f>IFERROR(__xludf.DUMMYFUNCTION("""COMPUTED_VALUE"""),23776.16)</f>
        <v>23776.16</v>
      </c>
      <c r="C2134" s="434">
        <f>IFERROR(__xludf.DUMMYFUNCTION("""COMPUTED_VALUE"""),44356.99861111111)</f>
        <v>44356.99861</v>
      </c>
      <c r="D2134" s="433">
        <f>IFERROR(__xludf.DUMMYFUNCTION("""COMPUTED_VALUE"""),2520.2066)</f>
        <v>2520.2066</v>
      </c>
    </row>
    <row r="2135">
      <c r="A2135" s="434">
        <f>IFERROR(__xludf.DUMMYFUNCTION("""COMPUTED_VALUE"""),44772.99861111111)</f>
        <v>44772.99861</v>
      </c>
      <c r="B2135" s="433">
        <f>IFERROR(__xludf.DUMMYFUNCTION("""COMPUTED_VALUE"""),23643.25)</f>
        <v>23643.25</v>
      </c>
      <c r="C2135" s="434">
        <f>IFERROR(__xludf.DUMMYFUNCTION("""COMPUTED_VALUE"""),44357.99861111111)</f>
        <v>44357.99861</v>
      </c>
      <c r="D2135" s="433">
        <f>IFERROR(__xludf.DUMMYFUNCTION("""COMPUTED_VALUE"""),2615.8328)</f>
        <v>2615.8328</v>
      </c>
    </row>
    <row r="2136">
      <c r="A2136" s="434">
        <f>IFERROR(__xludf.DUMMYFUNCTION("""COMPUTED_VALUE"""),44773.99861111111)</f>
        <v>44773.99861</v>
      </c>
      <c r="B2136" s="433">
        <f>IFERROR(__xludf.DUMMYFUNCTION("""COMPUTED_VALUE"""),23308.66)</f>
        <v>23308.66</v>
      </c>
      <c r="C2136" s="434">
        <f>IFERROR(__xludf.DUMMYFUNCTION("""COMPUTED_VALUE"""),44358.99861111111)</f>
        <v>44358.99861</v>
      </c>
      <c r="D2136" s="433">
        <f>IFERROR(__xludf.DUMMYFUNCTION("""COMPUTED_VALUE"""),2458.3354)</f>
        <v>2458.3354</v>
      </c>
    </row>
    <row r="2137">
      <c r="A2137" s="434">
        <f>IFERROR(__xludf.DUMMYFUNCTION("""COMPUTED_VALUE"""),44774.99861111111)</f>
        <v>44774.99861</v>
      </c>
      <c r="B2137" s="433">
        <f>IFERROR(__xludf.DUMMYFUNCTION("""COMPUTED_VALUE"""),23274.66)</f>
        <v>23274.66</v>
      </c>
      <c r="C2137" s="434">
        <f>IFERROR(__xludf.DUMMYFUNCTION("""COMPUTED_VALUE"""),44359.99861111111)</f>
        <v>44359.99861</v>
      </c>
      <c r="D2137" s="433">
        <f>IFERROR(__xludf.DUMMYFUNCTION("""COMPUTED_VALUE"""),2344.855)</f>
        <v>2344.855</v>
      </c>
    </row>
    <row r="2138">
      <c r="A2138" s="434">
        <f>IFERROR(__xludf.DUMMYFUNCTION("""COMPUTED_VALUE"""),44775.99861111111)</f>
        <v>44775.99861</v>
      </c>
      <c r="B2138" s="433">
        <f>IFERROR(__xludf.DUMMYFUNCTION("""COMPUTED_VALUE"""),22990.85)</f>
        <v>22990.85</v>
      </c>
      <c r="C2138" s="434">
        <f>IFERROR(__xludf.DUMMYFUNCTION("""COMPUTED_VALUE"""),44360.99861111111)</f>
        <v>44360.99861</v>
      </c>
      <c r="D2138" s="433">
        <f>IFERROR(__xludf.DUMMYFUNCTION("""COMPUTED_VALUE"""),2364.7672)</f>
        <v>2364.7672</v>
      </c>
    </row>
    <row r="2139">
      <c r="A2139" s="434">
        <f>IFERROR(__xludf.DUMMYFUNCTION("""COMPUTED_VALUE"""),44776.99861111111)</f>
        <v>44776.99861</v>
      </c>
      <c r="B2139" s="433">
        <f>IFERROR(__xludf.DUMMYFUNCTION("""COMPUTED_VALUE"""),22829.02)</f>
        <v>22829.02</v>
      </c>
      <c r="C2139" s="434">
        <f>IFERROR(__xludf.DUMMYFUNCTION("""COMPUTED_VALUE"""),44361.99861111111)</f>
        <v>44361.99861</v>
      </c>
      <c r="D2139" s="433">
        <f>IFERROR(__xludf.DUMMYFUNCTION("""COMPUTED_VALUE"""),2518.4949)</f>
        <v>2518.4949</v>
      </c>
    </row>
    <row r="2140">
      <c r="A2140" s="434">
        <f>IFERROR(__xludf.DUMMYFUNCTION("""COMPUTED_VALUE"""),44777.99861111111)</f>
        <v>44777.99861</v>
      </c>
      <c r="B2140" s="433">
        <f>IFERROR(__xludf.DUMMYFUNCTION("""COMPUTED_VALUE"""),22611.98)</f>
        <v>22611.98</v>
      </c>
      <c r="C2140" s="434">
        <f>IFERROR(__xludf.DUMMYFUNCTION("""COMPUTED_VALUE"""),44362.99861111111)</f>
        <v>44362.99861</v>
      </c>
      <c r="D2140" s="433">
        <f>IFERROR(__xludf.DUMMYFUNCTION("""COMPUTED_VALUE"""),2567.0231)</f>
        <v>2567.0231</v>
      </c>
    </row>
    <row r="2141">
      <c r="A2141" s="434">
        <f>IFERROR(__xludf.DUMMYFUNCTION("""COMPUTED_VALUE"""),44778.99861111111)</f>
        <v>44778.99861</v>
      </c>
      <c r="B2141" s="433">
        <f>IFERROR(__xludf.DUMMYFUNCTION("""COMPUTED_VALUE"""),23295.85)</f>
        <v>23295.85</v>
      </c>
      <c r="C2141" s="434">
        <f>IFERROR(__xludf.DUMMYFUNCTION("""COMPUTED_VALUE"""),44363.99861111111)</f>
        <v>44363.99861</v>
      </c>
      <c r="D2141" s="433">
        <f>IFERROR(__xludf.DUMMYFUNCTION("""COMPUTED_VALUE"""),2527.3395)</f>
        <v>2527.3395</v>
      </c>
    </row>
    <row r="2142">
      <c r="A2142" s="434">
        <f>IFERROR(__xludf.DUMMYFUNCTION("""COMPUTED_VALUE"""),44779.99861111111)</f>
        <v>44779.99861</v>
      </c>
      <c r="B2142" s="433">
        <f>IFERROR(__xludf.DUMMYFUNCTION("""COMPUTED_VALUE"""),22947.0)</f>
        <v>22947</v>
      </c>
      <c r="C2142" s="434">
        <f>IFERROR(__xludf.DUMMYFUNCTION("""COMPUTED_VALUE"""),44364.99861111111)</f>
        <v>44364.99861</v>
      </c>
      <c r="D2142" s="433">
        <f>IFERROR(__xludf.DUMMYFUNCTION("""COMPUTED_VALUE"""),2365.7179)</f>
        <v>2365.7179</v>
      </c>
    </row>
    <row r="2143">
      <c r="A2143" s="434">
        <f>IFERROR(__xludf.DUMMYFUNCTION("""COMPUTED_VALUE"""),44780.99861111111)</f>
        <v>44780.99861</v>
      </c>
      <c r="B2143" s="433">
        <f>IFERROR(__xludf.DUMMYFUNCTION("""COMPUTED_VALUE"""),23176.28)</f>
        <v>23176.28</v>
      </c>
      <c r="C2143" s="434">
        <f>IFERROR(__xludf.DUMMYFUNCTION("""COMPUTED_VALUE"""),44365.99861111111)</f>
        <v>44365.99861</v>
      </c>
      <c r="D2143" s="433">
        <f>IFERROR(__xludf.DUMMYFUNCTION("""COMPUTED_VALUE"""),2369.7761)</f>
        <v>2369.7761</v>
      </c>
    </row>
    <row r="2144">
      <c r="A2144" s="434">
        <f>IFERROR(__xludf.DUMMYFUNCTION("""COMPUTED_VALUE"""),44781.99861111111)</f>
        <v>44781.99861</v>
      </c>
      <c r="B2144" s="433">
        <f>IFERROR(__xludf.DUMMYFUNCTION("""COMPUTED_VALUE"""),23814.56)</f>
        <v>23814.56</v>
      </c>
      <c r="C2144" s="434">
        <f>IFERROR(__xludf.DUMMYFUNCTION("""COMPUTED_VALUE"""),44366.99861111111)</f>
        <v>44366.99861</v>
      </c>
      <c r="D2144" s="433">
        <f>IFERROR(__xludf.DUMMYFUNCTION("""COMPUTED_VALUE"""),2232.0072)</f>
        <v>2232.0072</v>
      </c>
    </row>
    <row r="2145">
      <c r="A2145" s="434">
        <f>IFERROR(__xludf.DUMMYFUNCTION("""COMPUTED_VALUE"""),44782.99861111111)</f>
        <v>44782.99861</v>
      </c>
      <c r="B2145" s="433">
        <f>IFERROR(__xludf.DUMMYFUNCTION("""COMPUTED_VALUE"""),23151.76)</f>
        <v>23151.76</v>
      </c>
      <c r="C2145" s="434">
        <f>IFERROR(__xludf.DUMMYFUNCTION("""COMPUTED_VALUE"""),44367.99861111111)</f>
        <v>44367.99861</v>
      </c>
      <c r="D2145" s="433">
        <f>IFERROR(__xludf.DUMMYFUNCTION("""COMPUTED_VALUE"""),2173.4392)</f>
        <v>2173.4392</v>
      </c>
    </row>
    <row r="2146">
      <c r="A2146" s="434">
        <f>IFERROR(__xludf.DUMMYFUNCTION("""COMPUTED_VALUE"""),44783.99861111111)</f>
        <v>44783.99861</v>
      </c>
      <c r="B2146" s="433">
        <f>IFERROR(__xludf.DUMMYFUNCTION("""COMPUTED_VALUE"""),23955.45)</f>
        <v>23955.45</v>
      </c>
      <c r="C2146" s="434">
        <f>IFERROR(__xludf.DUMMYFUNCTION("""COMPUTED_VALUE"""),44368.99861111111)</f>
        <v>44368.99861</v>
      </c>
      <c r="D2146" s="433">
        <f>IFERROR(__xludf.DUMMYFUNCTION("""COMPUTED_VALUE"""),2257.3402)</f>
        <v>2257.3402</v>
      </c>
    </row>
    <row r="2147">
      <c r="A2147" s="434">
        <f>IFERROR(__xludf.DUMMYFUNCTION("""COMPUTED_VALUE"""),44784.99861111111)</f>
        <v>44784.99861</v>
      </c>
      <c r="B2147" s="433">
        <f>IFERROR(__xludf.DUMMYFUNCTION("""COMPUTED_VALUE"""),23940.98)</f>
        <v>23940.98</v>
      </c>
      <c r="C2147" s="434">
        <f>IFERROR(__xludf.DUMMYFUNCTION("""COMPUTED_VALUE"""),44369.99861111111)</f>
        <v>44369.99861</v>
      </c>
      <c r="D2147" s="433">
        <f>IFERROR(__xludf.DUMMYFUNCTION("""COMPUTED_VALUE"""),1879.1096)</f>
        <v>1879.1096</v>
      </c>
    </row>
    <row r="2148">
      <c r="A2148" s="434">
        <f>IFERROR(__xludf.DUMMYFUNCTION("""COMPUTED_VALUE"""),44785.99861111111)</f>
        <v>44785.99861</v>
      </c>
      <c r="B2148" s="433">
        <f>IFERROR(__xludf.DUMMYFUNCTION("""COMPUTED_VALUE"""),24406.11)</f>
        <v>24406.11</v>
      </c>
      <c r="C2148" s="434">
        <f>IFERROR(__xludf.DUMMYFUNCTION("""COMPUTED_VALUE"""),44370.99861111111)</f>
        <v>44370.99861</v>
      </c>
      <c r="D2148" s="433">
        <f>IFERROR(__xludf.DUMMYFUNCTION("""COMPUTED_VALUE"""),1872.7099)</f>
        <v>1872.7099</v>
      </c>
    </row>
    <row r="2149">
      <c r="A2149" s="434">
        <f>IFERROR(__xludf.DUMMYFUNCTION("""COMPUTED_VALUE"""),44786.99861111111)</f>
        <v>44786.99861</v>
      </c>
      <c r="B2149" s="433">
        <f>IFERROR(__xludf.DUMMYFUNCTION("""COMPUTED_VALUE"""),24445.89)</f>
        <v>24445.89</v>
      </c>
      <c r="C2149" s="434">
        <f>IFERROR(__xludf.DUMMYFUNCTION("""COMPUTED_VALUE"""),44371.99861111111)</f>
        <v>44371.99861</v>
      </c>
      <c r="D2149" s="433">
        <f>IFERROR(__xludf.DUMMYFUNCTION("""COMPUTED_VALUE"""),1960.5484)</f>
        <v>1960.5484</v>
      </c>
    </row>
    <row r="2150">
      <c r="A2150" s="434">
        <f>IFERROR(__xludf.DUMMYFUNCTION("""COMPUTED_VALUE"""),44787.99861111111)</f>
        <v>44787.99861</v>
      </c>
      <c r="B2150" s="433">
        <f>IFERROR(__xludf.DUMMYFUNCTION("""COMPUTED_VALUE"""),24310.07)</f>
        <v>24310.07</v>
      </c>
      <c r="C2150" s="434">
        <f>IFERROR(__xludf.DUMMYFUNCTION("""COMPUTED_VALUE"""),44372.99861111111)</f>
        <v>44372.99861</v>
      </c>
      <c r="D2150" s="433">
        <f>IFERROR(__xludf.DUMMYFUNCTION("""COMPUTED_VALUE"""),1996.7067)</f>
        <v>1996.7067</v>
      </c>
    </row>
    <row r="2151">
      <c r="A2151" s="434">
        <f>IFERROR(__xludf.DUMMYFUNCTION("""COMPUTED_VALUE"""),44788.99861111111)</f>
        <v>44788.99861</v>
      </c>
      <c r="B2151" s="433">
        <f>IFERROR(__xludf.DUMMYFUNCTION("""COMPUTED_VALUE"""),24101.31)</f>
        <v>24101.31</v>
      </c>
      <c r="C2151" s="434">
        <f>IFERROR(__xludf.DUMMYFUNCTION("""COMPUTED_VALUE"""),44373.99861111111)</f>
        <v>44373.99861</v>
      </c>
      <c r="D2151" s="433">
        <f>IFERROR(__xludf.DUMMYFUNCTION("""COMPUTED_VALUE"""),1803.0337)</f>
        <v>1803.0337</v>
      </c>
    </row>
    <row r="2152">
      <c r="A2152" s="434">
        <f>IFERROR(__xludf.DUMMYFUNCTION("""COMPUTED_VALUE"""),44789.99861111111)</f>
        <v>44789.99861</v>
      </c>
      <c r="B2152" s="433">
        <f>IFERROR(__xludf.DUMMYFUNCTION("""COMPUTED_VALUE"""),23859.28)</f>
        <v>23859.28</v>
      </c>
      <c r="C2152" s="434">
        <f>IFERROR(__xludf.DUMMYFUNCTION("""COMPUTED_VALUE"""),44374.99861111111)</f>
        <v>44374.99861</v>
      </c>
      <c r="D2152" s="433">
        <f>IFERROR(__xludf.DUMMYFUNCTION("""COMPUTED_VALUE"""),1821.5437)</f>
        <v>1821.5437</v>
      </c>
    </row>
    <row r="2153">
      <c r="A2153" s="434">
        <f>IFERROR(__xludf.DUMMYFUNCTION("""COMPUTED_VALUE"""),44790.99861111111)</f>
        <v>44790.99861</v>
      </c>
      <c r="B2153" s="433">
        <f>IFERROR(__xludf.DUMMYFUNCTION("""COMPUTED_VALUE"""),23336.89)</f>
        <v>23336.89</v>
      </c>
      <c r="C2153" s="434">
        <f>IFERROR(__xludf.DUMMYFUNCTION("""COMPUTED_VALUE"""),44375.99861111111)</f>
        <v>44375.99861</v>
      </c>
      <c r="D2153" s="433">
        <f>IFERROR(__xludf.DUMMYFUNCTION("""COMPUTED_VALUE"""),1986.2946)</f>
        <v>1986.2946</v>
      </c>
    </row>
    <row r="2154">
      <c r="A2154" s="434">
        <f>IFERROR(__xludf.DUMMYFUNCTION("""COMPUTED_VALUE"""),44791.99861111111)</f>
        <v>44791.99861</v>
      </c>
      <c r="B2154" s="433">
        <f>IFERROR(__xludf.DUMMYFUNCTION("""COMPUTED_VALUE"""),23200.79)</f>
        <v>23200.79</v>
      </c>
      <c r="C2154" s="434">
        <f>IFERROR(__xludf.DUMMYFUNCTION("""COMPUTED_VALUE"""),44376.99861111111)</f>
        <v>44376.99861</v>
      </c>
      <c r="D2154" s="433">
        <f>IFERROR(__xludf.DUMMYFUNCTION("""COMPUTED_VALUE"""),2082.0258)</f>
        <v>2082.0258</v>
      </c>
    </row>
    <row r="2155">
      <c r="A2155" s="434">
        <f>IFERROR(__xludf.DUMMYFUNCTION("""COMPUTED_VALUE"""),44792.99861111111)</f>
        <v>44792.99861</v>
      </c>
      <c r="B2155" s="433">
        <f>IFERROR(__xludf.DUMMYFUNCTION("""COMPUTED_VALUE"""),20832.04)</f>
        <v>20832.04</v>
      </c>
      <c r="C2155" s="434">
        <f>IFERROR(__xludf.DUMMYFUNCTION("""COMPUTED_VALUE"""),44377.99861111111)</f>
        <v>44377.99861</v>
      </c>
      <c r="D2155" s="433">
        <f>IFERROR(__xludf.DUMMYFUNCTION("""COMPUTED_VALUE"""),2160.0367)</f>
        <v>2160.0367</v>
      </c>
    </row>
    <row r="2156">
      <c r="A2156" s="434">
        <f>IFERROR(__xludf.DUMMYFUNCTION("""COMPUTED_VALUE"""),44793.99861111111)</f>
        <v>44793.99861</v>
      </c>
      <c r="B2156" s="433">
        <f>IFERROR(__xludf.DUMMYFUNCTION("""COMPUTED_VALUE"""),21139.86)</f>
        <v>21139.86</v>
      </c>
      <c r="C2156" s="434">
        <f>IFERROR(__xludf.DUMMYFUNCTION("""COMPUTED_VALUE"""),44378.99861111111)</f>
        <v>44378.99861</v>
      </c>
      <c r="D2156" s="433">
        <f>IFERROR(__xludf.DUMMYFUNCTION("""COMPUTED_VALUE"""),2265.3716)</f>
        <v>2265.3716</v>
      </c>
    </row>
    <row r="2157">
      <c r="A2157" s="434">
        <f>IFERROR(__xludf.DUMMYFUNCTION("""COMPUTED_VALUE"""),44794.99861111111)</f>
        <v>44794.99861</v>
      </c>
      <c r="B2157" s="433">
        <f>IFERROR(__xludf.DUMMYFUNCTION("""COMPUTED_VALUE"""),21514.74)</f>
        <v>21514.74</v>
      </c>
      <c r="C2157" s="434">
        <f>IFERROR(__xludf.DUMMYFUNCTION("""COMPUTED_VALUE"""),44379.99861111111)</f>
        <v>44379.99861</v>
      </c>
      <c r="D2157" s="433">
        <f>IFERROR(__xludf.DUMMYFUNCTION("""COMPUTED_VALUE"""),2100.873)</f>
        <v>2100.873</v>
      </c>
    </row>
    <row r="2158">
      <c r="A2158" s="434">
        <f>IFERROR(__xludf.DUMMYFUNCTION("""COMPUTED_VALUE"""),44795.99861111111)</f>
        <v>44795.99861</v>
      </c>
      <c r="B2158" s="433">
        <f>IFERROR(__xludf.DUMMYFUNCTION("""COMPUTED_VALUE"""),21405.4)</f>
        <v>21405.4</v>
      </c>
      <c r="C2158" s="434">
        <f>IFERROR(__xludf.DUMMYFUNCTION("""COMPUTED_VALUE"""),44380.99861111111)</f>
        <v>44380.99861</v>
      </c>
      <c r="D2158" s="433">
        <f>IFERROR(__xludf.DUMMYFUNCTION("""COMPUTED_VALUE"""),2160.5657)</f>
        <v>2160.5657</v>
      </c>
    </row>
    <row r="2159">
      <c r="A2159" s="434">
        <f>IFERROR(__xludf.DUMMYFUNCTION("""COMPUTED_VALUE"""),44796.99861111111)</f>
        <v>44796.99861</v>
      </c>
      <c r="B2159" s="433">
        <f>IFERROR(__xludf.DUMMYFUNCTION("""COMPUTED_VALUE"""),21520.98)</f>
        <v>21520.98</v>
      </c>
      <c r="C2159" s="434">
        <f>IFERROR(__xludf.DUMMYFUNCTION("""COMPUTED_VALUE"""),44381.99861111111)</f>
        <v>44381.99861</v>
      </c>
      <c r="D2159" s="433">
        <f>IFERROR(__xludf.DUMMYFUNCTION("""COMPUTED_VALUE"""),2228.8988)</f>
        <v>2228.8988</v>
      </c>
    </row>
    <row r="2160">
      <c r="A2160" s="434">
        <f>IFERROR(__xludf.DUMMYFUNCTION("""COMPUTED_VALUE"""),44797.99861111111)</f>
        <v>44797.99861</v>
      </c>
      <c r="B2160" s="433">
        <f>IFERROR(__xludf.DUMMYFUNCTION("""COMPUTED_VALUE"""),21366.2)</f>
        <v>21366.2</v>
      </c>
      <c r="C2160" s="434">
        <f>IFERROR(__xludf.DUMMYFUNCTION("""COMPUTED_VALUE"""),44382.99861111111)</f>
        <v>44382.99861</v>
      </c>
      <c r="D2160" s="433">
        <f>IFERROR(__xludf.DUMMYFUNCTION("""COMPUTED_VALUE"""),2311.1429)</f>
        <v>2311.1429</v>
      </c>
    </row>
    <row r="2161">
      <c r="A2161" s="434">
        <f>IFERROR(__xludf.DUMMYFUNCTION("""COMPUTED_VALUE"""),44798.99861111111)</f>
        <v>44798.99861</v>
      </c>
      <c r="B2161" s="433">
        <f>IFERROR(__xludf.DUMMYFUNCTION("""COMPUTED_VALUE"""),21565.53)</f>
        <v>21565.53</v>
      </c>
      <c r="C2161" s="434">
        <f>IFERROR(__xludf.DUMMYFUNCTION("""COMPUTED_VALUE"""),44383.99861111111)</f>
        <v>44383.99861</v>
      </c>
      <c r="D2161" s="433">
        <f>IFERROR(__xludf.DUMMYFUNCTION("""COMPUTED_VALUE"""),2203.93)</f>
        <v>2203.93</v>
      </c>
    </row>
    <row r="2162">
      <c r="A2162" s="434">
        <f>IFERROR(__xludf.DUMMYFUNCTION("""COMPUTED_VALUE"""),44799.99861111111)</f>
        <v>44799.99861</v>
      </c>
      <c r="B2162" s="433">
        <f>IFERROR(__xludf.DUMMYFUNCTION("""COMPUTED_VALUE"""),20248.2)</f>
        <v>20248.2</v>
      </c>
      <c r="C2162" s="434">
        <f>IFERROR(__xludf.DUMMYFUNCTION("""COMPUTED_VALUE"""),44384.99861111111)</f>
        <v>44384.99861</v>
      </c>
      <c r="D2162" s="433">
        <f>IFERROR(__xludf.DUMMYFUNCTION("""COMPUTED_VALUE"""),2317.4313)</f>
        <v>2317.4313</v>
      </c>
    </row>
    <row r="2163">
      <c r="A2163" s="434">
        <f>IFERROR(__xludf.DUMMYFUNCTION("""COMPUTED_VALUE"""),44800.99861111111)</f>
        <v>44800.99861</v>
      </c>
      <c r="B2163" s="433">
        <f>IFERROR(__xludf.DUMMYFUNCTION("""COMPUTED_VALUE"""),20032.95)</f>
        <v>20032.95</v>
      </c>
      <c r="C2163" s="434">
        <f>IFERROR(__xludf.DUMMYFUNCTION("""COMPUTED_VALUE"""),44385.99861111111)</f>
        <v>44385.99861</v>
      </c>
      <c r="D2163" s="433">
        <f>IFERROR(__xludf.DUMMYFUNCTION("""COMPUTED_VALUE"""),2320.4204)</f>
        <v>2320.4204</v>
      </c>
    </row>
    <row r="2164">
      <c r="A2164" s="434">
        <f>IFERROR(__xludf.DUMMYFUNCTION("""COMPUTED_VALUE"""),44801.99861111111)</f>
        <v>44801.99861</v>
      </c>
      <c r="B2164" s="433">
        <f>IFERROR(__xludf.DUMMYFUNCTION("""COMPUTED_VALUE"""),19549.44)</f>
        <v>19549.44</v>
      </c>
      <c r="C2164" s="434">
        <f>IFERROR(__xludf.DUMMYFUNCTION("""COMPUTED_VALUE"""),44386.99861111111)</f>
        <v>44386.99861</v>
      </c>
      <c r="D2164" s="433">
        <f>IFERROR(__xludf.DUMMYFUNCTION("""COMPUTED_VALUE"""),2110.5015)</f>
        <v>2110.5015</v>
      </c>
    </row>
    <row r="2165">
      <c r="A2165" s="434">
        <f>IFERROR(__xludf.DUMMYFUNCTION("""COMPUTED_VALUE"""),44802.99861111111)</f>
        <v>44802.99861</v>
      </c>
      <c r="B2165" s="433">
        <f>IFERROR(__xludf.DUMMYFUNCTION("""COMPUTED_VALUE"""),20295.56)</f>
        <v>20295.56</v>
      </c>
      <c r="C2165" s="434">
        <f>IFERROR(__xludf.DUMMYFUNCTION("""COMPUTED_VALUE"""),44387.99861111111)</f>
        <v>44387.99861</v>
      </c>
      <c r="D2165" s="433">
        <f>IFERROR(__xludf.DUMMYFUNCTION("""COMPUTED_VALUE"""),2151.0219)</f>
        <v>2151.0219</v>
      </c>
    </row>
    <row r="2166">
      <c r="A2166" s="434">
        <f>IFERROR(__xludf.DUMMYFUNCTION("""COMPUTED_VALUE"""),44803.99861111111)</f>
        <v>44803.99861</v>
      </c>
      <c r="B2166" s="433">
        <f>IFERROR(__xludf.DUMMYFUNCTION("""COMPUTED_VALUE"""),19809.94)</f>
        <v>19809.94</v>
      </c>
      <c r="C2166" s="434">
        <f>IFERROR(__xludf.DUMMYFUNCTION("""COMPUTED_VALUE"""),44388.99861111111)</f>
        <v>44388.99861</v>
      </c>
      <c r="D2166" s="433">
        <f>IFERROR(__xludf.DUMMYFUNCTION("""COMPUTED_VALUE"""),2116.4812)</f>
        <v>2116.4812</v>
      </c>
    </row>
    <row r="2167">
      <c r="A2167" s="434">
        <f>IFERROR(__xludf.DUMMYFUNCTION("""COMPUTED_VALUE"""),44804.99861111111)</f>
        <v>44804.99861</v>
      </c>
      <c r="B2167" s="433">
        <f>IFERROR(__xludf.DUMMYFUNCTION("""COMPUTED_VALUE"""),20049.38)</f>
        <v>20049.38</v>
      </c>
      <c r="C2167" s="434">
        <f>IFERROR(__xludf.DUMMYFUNCTION("""COMPUTED_VALUE"""),44389.99861111111)</f>
        <v>44389.99861</v>
      </c>
      <c r="D2167" s="433">
        <f>IFERROR(__xludf.DUMMYFUNCTION("""COMPUTED_VALUE"""),2138.8748)</f>
        <v>2138.8748</v>
      </c>
    </row>
    <row r="2168">
      <c r="A2168" s="434">
        <f>IFERROR(__xludf.DUMMYFUNCTION("""COMPUTED_VALUE"""),44805.99861111111)</f>
        <v>44805.99861</v>
      </c>
      <c r="B2168" s="433">
        <f>IFERROR(__xludf.DUMMYFUNCTION("""COMPUTED_VALUE"""),20126.31)</f>
        <v>20126.31</v>
      </c>
      <c r="C2168" s="434">
        <f>IFERROR(__xludf.DUMMYFUNCTION("""COMPUTED_VALUE"""),44390.99861111111)</f>
        <v>44390.99861</v>
      </c>
      <c r="D2168" s="433">
        <f>IFERROR(__xludf.DUMMYFUNCTION("""COMPUTED_VALUE"""),2025.5455)</f>
        <v>2025.5455</v>
      </c>
    </row>
    <row r="2169">
      <c r="A2169" s="434">
        <f>IFERROR(__xludf.DUMMYFUNCTION("""COMPUTED_VALUE"""),44806.99861111111)</f>
        <v>44806.99861</v>
      </c>
      <c r="B2169" s="433">
        <f>IFERROR(__xludf.DUMMYFUNCTION("""COMPUTED_VALUE"""),19954.64)</f>
        <v>19954.64</v>
      </c>
      <c r="C2169" s="434">
        <f>IFERROR(__xludf.DUMMYFUNCTION("""COMPUTED_VALUE"""),44391.99861111111)</f>
        <v>44391.99861</v>
      </c>
      <c r="D2169" s="433">
        <f>IFERROR(__xludf.DUMMYFUNCTION("""COMPUTED_VALUE"""),1937.6539)</f>
        <v>1937.6539</v>
      </c>
    </row>
    <row r="2170">
      <c r="A2170" s="434">
        <f>IFERROR(__xludf.DUMMYFUNCTION("""COMPUTED_VALUE"""),44807.99861111111)</f>
        <v>44807.99861</v>
      </c>
      <c r="B2170" s="433">
        <f>IFERROR(__xludf.DUMMYFUNCTION("""COMPUTED_VALUE"""),19831.3)</f>
        <v>19831.3</v>
      </c>
      <c r="C2170" s="434">
        <f>IFERROR(__xludf.DUMMYFUNCTION("""COMPUTED_VALUE"""),44392.99861111111)</f>
        <v>44392.99861</v>
      </c>
      <c r="D2170" s="433">
        <f>IFERROR(__xludf.DUMMYFUNCTION("""COMPUTED_VALUE"""),1991.6402)</f>
        <v>1991.6402</v>
      </c>
    </row>
    <row r="2171">
      <c r="A2171" s="434">
        <f>IFERROR(__xludf.DUMMYFUNCTION("""COMPUTED_VALUE"""),44808.99861111111)</f>
        <v>44808.99861</v>
      </c>
      <c r="B2171" s="433">
        <f>IFERROR(__xludf.DUMMYFUNCTION("""COMPUTED_VALUE"""),19999.47)</f>
        <v>19999.47</v>
      </c>
      <c r="C2171" s="434">
        <f>IFERROR(__xludf.DUMMYFUNCTION("""COMPUTED_VALUE"""),44393.99861111111)</f>
        <v>44393.99861</v>
      </c>
      <c r="D2171" s="433">
        <f>IFERROR(__xludf.DUMMYFUNCTION("""COMPUTED_VALUE"""),1913.8466)</f>
        <v>1913.8466</v>
      </c>
    </row>
    <row r="2172">
      <c r="A2172" s="434">
        <f>IFERROR(__xludf.DUMMYFUNCTION("""COMPUTED_VALUE"""),44809.99861111111)</f>
        <v>44809.99861</v>
      </c>
      <c r="B2172" s="433">
        <f>IFERROR(__xludf.DUMMYFUNCTION("""COMPUTED_VALUE"""),19793.39)</f>
        <v>19793.39</v>
      </c>
      <c r="C2172" s="434">
        <f>IFERROR(__xludf.DUMMYFUNCTION("""COMPUTED_VALUE"""),44394.99861111111)</f>
        <v>44394.99861</v>
      </c>
      <c r="D2172" s="433">
        <f>IFERROR(__xludf.DUMMYFUNCTION("""COMPUTED_VALUE"""),1871.5028)</f>
        <v>1871.5028</v>
      </c>
    </row>
    <row r="2173">
      <c r="A2173" s="434">
        <f>IFERROR(__xludf.DUMMYFUNCTION("""COMPUTED_VALUE"""),44810.99861111111)</f>
        <v>44810.99861</v>
      </c>
      <c r="B2173" s="433">
        <f>IFERROR(__xludf.DUMMYFUNCTION("""COMPUTED_VALUE"""),18786.95)</f>
        <v>18786.95</v>
      </c>
      <c r="C2173" s="434">
        <f>IFERROR(__xludf.DUMMYFUNCTION("""COMPUTED_VALUE"""),44395.99861111111)</f>
        <v>44395.99861</v>
      </c>
      <c r="D2173" s="433">
        <f>IFERROR(__xludf.DUMMYFUNCTION("""COMPUTED_VALUE"""),1900.9333)</f>
        <v>1900.9333</v>
      </c>
    </row>
    <row r="2174">
      <c r="A2174" s="434">
        <f>IFERROR(__xludf.DUMMYFUNCTION("""COMPUTED_VALUE"""),44811.99861111111)</f>
        <v>44811.99861</v>
      </c>
      <c r="B2174" s="433">
        <f>IFERROR(__xludf.DUMMYFUNCTION("""COMPUTED_VALUE"""),19285.02)</f>
        <v>19285.02</v>
      </c>
      <c r="C2174" s="434">
        <f>IFERROR(__xludf.DUMMYFUNCTION("""COMPUTED_VALUE"""),44396.99861111111)</f>
        <v>44396.99861</v>
      </c>
      <c r="D2174" s="433">
        <f>IFERROR(__xludf.DUMMYFUNCTION("""COMPUTED_VALUE"""),1892.0822)</f>
        <v>1892.0822</v>
      </c>
    </row>
    <row r="2175">
      <c r="A2175" s="434">
        <f>IFERROR(__xludf.DUMMYFUNCTION("""COMPUTED_VALUE"""),44812.99861111111)</f>
        <v>44812.99861</v>
      </c>
      <c r="B2175" s="433">
        <f>IFERROR(__xludf.DUMMYFUNCTION("""COMPUTED_VALUE"""),19319.55)</f>
        <v>19319.55</v>
      </c>
      <c r="C2175" s="434">
        <f>IFERROR(__xludf.DUMMYFUNCTION("""COMPUTED_VALUE"""),44397.99861111111)</f>
        <v>44397.99861</v>
      </c>
      <c r="D2175" s="433">
        <f>IFERROR(__xludf.DUMMYFUNCTION("""COMPUTED_VALUE"""),1815.1589)</f>
        <v>1815.1589</v>
      </c>
    </row>
    <row r="2176">
      <c r="A2176" s="434">
        <f>IFERROR(__xludf.DUMMYFUNCTION("""COMPUTED_VALUE"""),44813.99861111111)</f>
        <v>44813.99861</v>
      </c>
      <c r="B2176" s="433">
        <f>IFERROR(__xludf.DUMMYFUNCTION("""COMPUTED_VALUE"""),21369.86)</f>
        <v>21369.86</v>
      </c>
      <c r="C2176" s="434">
        <f>IFERROR(__xludf.DUMMYFUNCTION("""COMPUTED_VALUE"""),44398.99861111111)</f>
        <v>44398.99861</v>
      </c>
      <c r="D2176" s="433">
        <f>IFERROR(__xludf.DUMMYFUNCTION("""COMPUTED_VALUE"""),1782.094)</f>
        <v>1782.094</v>
      </c>
    </row>
    <row r="2177">
      <c r="A2177" s="434">
        <f>IFERROR(__xludf.DUMMYFUNCTION("""COMPUTED_VALUE"""),44814.99861111111)</f>
        <v>44814.99861</v>
      </c>
      <c r="B2177" s="433">
        <f>IFERROR(__xludf.DUMMYFUNCTION("""COMPUTED_VALUE"""),21659.33)</f>
        <v>21659.33</v>
      </c>
      <c r="C2177" s="434">
        <f>IFERROR(__xludf.DUMMYFUNCTION("""COMPUTED_VALUE"""),44399.99861111111)</f>
        <v>44399.99861</v>
      </c>
      <c r="D2177" s="433">
        <f>IFERROR(__xludf.DUMMYFUNCTION("""COMPUTED_VALUE"""),1989.8112)</f>
        <v>1989.8112</v>
      </c>
    </row>
    <row r="2178">
      <c r="A2178" s="434">
        <f>IFERROR(__xludf.DUMMYFUNCTION("""COMPUTED_VALUE"""),44815.99861111111)</f>
        <v>44815.99861</v>
      </c>
      <c r="B2178" s="433">
        <f>IFERROR(__xludf.DUMMYFUNCTION("""COMPUTED_VALUE"""),21819.66)</f>
        <v>21819.66</v>
      </c>
      <c r="C2178" s="434">
        <f>IFERROR(__xludf.DUMMYFUNCTION("""COMPUTED_VALUE"""),44400.99861111111)</f>
        <v>44400.99861</v>
      </c>
      <c r="D2178" s="433">
        <f>IFERROR(__xludf.DUMMYFUNCTION("""COMPUTED_VALUE"""),2029.9517)</f>
        <v>2029.9517</v>
      </c>
    </row>
    <row r="2179">
      <c r="A2179" s="434">
        <f>IFERROR(__xludf.DUMMYFUNCTION("""COMPUTED_VALUE"""),44816.99861111111)</f>
        <v>44816.99861</v>
      </c>
      <c r="B2179" s="433">
        <f>IFERROR(__xludf.DUMMYFUNCTION("""COMPUTED_VALUE"""),22394.26)</f>
        <v>22394.26</v>
      </c>
      <c r="C2179" s="434">
        <f>IFERROR(__xludf.DUMMYFUNCTION("""COMPUTED_VALUE"""),44401.99861111111)</f>
        <v>44401.99861</v>
      </c>
      <c r="D2179" s="433">
        <f>IFERROR(__xludf.DUMMYFUNCTION("""COMPUTED_VALUE"""),2109.063)</f>
        <v>2109.063</v>
      </c>
    </row>
    <row r="2180">
      <c r="A2180" s="434">
        <f>IFERROR(__xludf.DUMMYFUNCTION("""COMPUTED_VALUE"""),44817.99861111111)</f>
        <v>44817.99861</v>
      </c>
      <c r="B2180" s="433">
        <f>IFERROR(__xludf.DUMMYFUNCTION("""COMPUTED_VALUE"""),20172.65)</f>
        <v>20172.65</v>
      </c>
      <c r="C2180" s="434">
        <f>IFERROR(__xludf.DUMMYFUNCTION("""COMPUTED_VALUE"""),44402.99861111111)</f>
        <v>44402.99861</v>
      </c>
      <c r="D2180" s="433">
        <f>IFERROR(__xludf.DUMMYFUNCTION("""COMPUTED_VALUE"""),2187.3542)</f>
        <v>2187.3542</v>
      </c>
    </row>
    <row r="2181">
      <c r="A2181" s="434">
        <f>IFERROR(__xludf.DUMMYFUNCTION("""COMPUTED_VALUE"""),44818.99861111111)</f>
        <v>44818.99861</v>
      </c>
      <c r="B2181" s="433">
        <f>IFERROR(__xludf.DUMMYFUNCTION("""COMPUTED_VALUE"""),20222.53)</f>
        <v>20222.53</v>
      </c>
      <c r="C2181" s="434">
        <f>IFERROR(__xludf.DUMMYFUNCTION("""COMPUTED_VALUE"""),44403.99861111111)</f>
        <v>44403.99861</v>
      </c>
      <c r="D2181" s="433">
        <f>IFERROR(__xludf.DUMMYFUNCTION("""COMPUTED_VALUE"""),2177.3295)</f>
        <v>2177.3295</v>
      </c>
    </row>
    <row r="2182">
      <c r="A2182" s="434">
        <f>IFERROR(__xludf.DUMMYFUNCTION("""COMPUTED_VALUE"""),44819.99861111111)</f>
        <v>44819.99861</v>
      </c>
      <c r="B2182" s="433">
        <f>IFERROR(__xludf.DUMMYFUNCTION("""COMPUTED_VALUE"""),19698.31)</f>
        <v>19698.31</v>
      </c>
      <c r="C2182" s="434">
        <f>IFERROR(__xludf.DUMMYFUNCTION("""COMPUTED_VALUE"""),44404.99861111111)</f>
        <v>44404.99861</v>
      </c>
      <c r="D2182" s="433">
        <f>IFERROR(__xludf.DUMMYFUNCTION("""COMPUTED_VALUE"""),2223.873)</f>
        <v>2223.873</v>
      </c>
    </row>
    <row r="2183">
      <c r="A2183" s="434">
        <f>IFERROR(__xludf.DUMMYFUNCTION("""COMPUTED_VALUE"""),44820.99861111111)</f>
        <v>44820.99861</v>
      </c>
      <c r="B2183" s="433">
        <f>IFERROR(__xludf.DUMMYFUNCTION("""COMPUTED_VALUE"""),19800.92)</f>
        <v>19800.92</v>
      </c>
      <c r="C2183" s="434">
        <f>IFERROR(__xludf.DUMMYFUNCTION("""COMPUTED_VALUE"""),44405.99861111111)</f>
        <v>44405.99861</v>
      </c>
      <c r="D2183" s="433">
        <f>IFERROR(__xludf.DUMMYFUNCTION("""COMPUTED_VALUE"""),2297.9427)</f>
        <v>2297.9427</v>
      </c>
    </row>
    <row r="2184">
      <c r="A2184" s="434">
        <f>IFERROR(__xludf.DUMMYFUNCTION("""COMPUTED_VALUE"""),44821.99861111111)</f>
        <v>44821.99861</v>
      </c>
      <c r="B2184" s="433">
        <f>IFERROR(__xludf.DUMMYFUNCTION("""COMPUTED_VALUE"""),20116.79)</f>
        <v>20116.79</v>
      </c>
      <c r="C2184" s="434">
        <f>IFERROR(__xludf.DUMMYFUNCTION("""COMPUTED_VALUE"""),44406.99861111111)</f>
        <v>44406.99861</v>
      </c>
      <c r="D2184" s="433">
        <f>IFERROR(__xludf.DUMMYFUNCTION("""COMPUTED_VALUE"""),2290.5693)</f>
        <v>2290.5693</v>
      </c>
    </row>
    <row r="2185">
      <c r="A2185" s="434">
        <f>IFERROR(__xludf.DUMMYFUNCTION("""COMPUTED_VALUE"""),44822.99861111111)</f>
        <v>44822.99861</v>
      </c>
      <c r="B2185" s="433">
        <f>IFERROR(__xludf.DUMMYFUNCTION("""COMPUTED_VALUE"""),19417.64)</f>
        <v>19417.64</v>
      </c>
      <c r="C2185" s="434">
        <f>IFERROR(__xludf.DUMMYFUNCTION("""COMPUTED_VALUE"""),44407.99861111111)</f>
        <v>44407.99861</v>
      </c>
      <c r="D2185" s="433">
        <f>IFERROR(__xludf.DUMMYFUNCTION("""COMPUTED_VALUE"""),2383.9407)</f>
        <v>2383.9407</v>
      </c>
    </row>
    <row r="2186">
      <c r="A2186" s="434">
        <f>IFERROR(__xludf.DUMMYFUNCTION("""COMPUTED_VALUE"""),44823.99861111111)</f>
        <v>44823.99861</v>
      </c>
      <c r="B2186" s="433">
        <f>IFERROR(__xludf.DUMMYFUNCTION("""COMPUTED_VALUE"""),19536.58)</f>
        <v>19536.58</v>
      </c>
      <c r="C2186" s="434">
        <f>IFERROR(__xludf.DUMMYFUNCTION("""COMPUTED_VALUE"""),44408.99861111111)</f>
        <v>44408.99861</v>
      </c>
      <c r="D2186" s="433">
        <f>IFERROR(__xludf.DUMMYFUNCTION("""COMPUTED_VALUE"""),2453.5249)</f>
        <v>2453.5249</v>
      </c>
    </row>
    <row r="2187">
      <c r="A2187" s="434">
        <f>IFERROR(__xludf.DUMMYFUNCTION("""COMPUTED_VALUE"""),44824.99861111111)</f>
        <v>44824.99861</v>
      </c>
      <c r="B2187" s="433">
        <f>IFERROR(__xludf.DUMMYFUNCTION("""COMPUTED_VALUE"""),18875.99)</f>
        <v>18875.99</v>
      </c>
      <c r="C2187" s="434">
        <f>IFERROR(__xludf.DUMMYFUNCTION("""COMPUTED_VALUE"""),44409.99861111111)</f>
        <v>44409.99861</v>
      </c>
      <c r="D2187" s="433">
        <f>IFERROR(__xludf.DUMMYFUNCTION("""COMPUTED_VALUE"""),2521.2525)</f>
        <v>2521.2525</v>
      </c>
    </row>
    <row r="2188">
      <c r="A2188" s="434">
        <f>IFERROR(__xludf.DUMMYFUNCTION("""COMPUTED_VALUE"""),44825.99861111111)</f>
        <v>44825.99861</v>
      </c>
      <c r="B2188" s="433">
        <f>IFERROR(__xludf.DUMMYFUNCTION("""COMPUTED_VALUE"""),18489.82)</f>
        <v>18489.82</v>
      </c>
      <c r="C2188" s="434">
        <f>IFERROR(__xludf.DUMMYFUNCTION("""COMPUTED_VALUE"""),44410.99861111111)</f>
        <v>44410.99861</v>
      </c>
      <c r="D2188" s="433">
        <f>IFERROR(__xludf.DUMMYFUNCTION("""COMPUTED_VALUE"""),2563.4899)</f>
        <v>2563.4899</v>
      </c>
    </row>
    <row r="2189">
      <c r="A2189" s="434">
        <f>IFERROR(__xludf.DUMMYFUNCTION("""COMPUTED_VALUE"""),44826.99861111111)</f>
        <v>44826.99861</v>
      </c>
      <c r="B2189" s="433">
        <f>IFERROR(__xludf.DUMMYFUNCTION("""COMPUTED_VALUE"""),19405.05)</f>
        <v>19405.05</v>
      </c>
      <c r="C2189" s="434">
        <f>IFERROR(__xludf.DUMMYFUNCTION("""COMPUTED_VALUE"""),44411.99861111111)</f>
        <v>44411.99861</v>
      </c>
      <c r="D2189" s="433">
        <f>IFERROR(__xludf.DUMMYFUNCTION("""COMPUTED_VALUE"""),2596.9142)</f>
        <v>2596.9142</v>
      </c>
    </row>
    <row r="2190">
      <c r="A2190" s="434">
        <f>IFERROR(__xludf.DUMMYFUNCTION("""COMPUTED_VALUE"""),44827.99861111111)</f>
        <v>44827.99861</v>
      </c>
      <c r="B2190" s="433">
        <f>IFERROR(__xludf.DUMMYFUNCTION("""COMPUTED_VALUE"""),19291.41)</f>
        <v>19291.41</v>
      </c>
      <c r="C2190" s="434">
        <f>IFERROR(__xludf.DUMMYFUNCTION("""COMPUTED_VALUE"""),44412.99861111111)</f>
        <v>44412.99861</v>
      </c>
      <c r="D2190" s="433">
        <f>IFERROR(__xludf.DUMMYFUNCTION("""COMPUTED_VALUE"""),2503.6573)</f>
        <v>2503.6573</v>
      </c>
    </row>
    <row r="2191">
      <c r="A2191" s="434">
        <f>IFERROR(__xludf.DUMMYFUNCTION("""COMPUTED_VALUE"""),44828.99861111111)</f>
        <v>44828.99861</v>
      </c>
      <c r="B2191" s="433">
        <f>IFERROR(__xludf.DUMMYFUNCTION("""COMPUTED_VALUE"""),18921.97)</f>
        <v>18921.97</v>
      </c>
      <c r="C2191" s="434">
        <f>IFERROR(__xludf.DUMMYFUNCTION("""COMPUTED_VALUE"""),44413.99861111111)</f>
        <v>44413.99861</v>
      </c>
      <c r="D2191" s="433">
        <f>IFERROR(__xludf.DUMMYFUNCTION("""COMPUTED_VALUE"""),2719.0789)</f>
        <v>2719.0789</v>
      </c>
    </row>
    <row r="2192">
      <c r="A2192" s="434">
        <f>IFERROR(__xludf.DUMMYFUNCTION("""COMPUTED_VALUE"""),44829.99861111111)</f>
        <v>44829.99861</v>
      </c>
      <c r="B2192" s="433">
        <f>IFERROR(__xludf.DUMMYFUNCTION("""COMPUTED_VALUE"""),18802.33)</f>
        <v>18802.33</v>
      </c>
      <c r="C2192" s="434">
        <f>IFERROR(__xludf.DUMMYFUNCTION("""COMPUTED_VALUE"""),44414.99861111111)</f>
        <v>44414.99861</v>
      </c>
      <c r="D2192" s="433">
        <f>IFERROR(__xludf.DUMMYFUNCTION("""COMPUTED_VALUE"""),2840.1678)</f>
        <v>2840.1678</v>
      </c>
    </row>
    <row r="2193">
      <c r="A2193" s="434">
        <f>IFERROR(__xludf.DUMMYFUNCTION("""COMPUTED_VALUE"""),44830.99861111111)</f>
        <v>44830.99861</v>
      </c>
      <c r="B2193" s="433">
        <f>IFERROR(__xludf.DUMMYFUNCTION("""COMPUTED_VALUE"""),19225.28)</f>
        <v>19225.28</v>
      </c>
      <c r="C2193" s="434">
        <f>IFERROR(__xludf.DUMMYFUNCTION("""COMPUTED_VALUE"""),44415.99861111111)</f>
        <v>44415.99861</v>
      </c>
      <c r="D2193" s="433">
        <f>IFERROR(__xludf.DUMMYFUNCTION("""COMPUTED_VALUE"""),2878.4002)</f>
        <v>2878.4002</v>
      </c>
    </row>
    <row r="2194">
      <c r="A2194" s="434">
        <f>IFERROR(__xludf.DUMMYFUNCTION("""COMPUTED_VALUE"""),44831.99861111111)</f>
        <v>44831.99861</v>
      </c>
      <c r="B2194" s="433">
        <f>IFERROR(__xludf.DUMMYFUNCTION("""COMPUTED_VALUE"""),19081.24)</f>
        <v>19081.24</v>
      </c>
      <c r="C2194" s="434">
        <f>IFERROR(__xludf.DUMMYFUNCTION("""COMPUTED_VALUE"""),44416.99861111111)</f>
        <v>44416.99861</v>
      </c>
      <c r="D2194" s="433">
        <f>IFERROR(__xludf.DUMMYFUNCTION("""COMPUTED_VALUE"""),3150.7508)</f>
        <v>3150.7508</v>
      </c>
    </row>
    <row r="2195">
      <c r="A2195" s="434">
        <f>IFERROR(__xludf.DUMMYFUNCTION("""COMPUTED_VALUE"""),44832.99861111111)</f>
        <v>44832.99861</v>
      </c>
      <c r="B2195" s="433">
        <f>IFERROR(__xludf.DUMMYFUNCTION("""COMPUTED_VALUE"""),19413.34)</f>
        <v>19413.34</v>
      </c>
      <c r="C2195" s="434">
        <f>IFERROR(__xludf.DUMMYFUNCTION("""COMPUTED_VALUE"""),44417.99861111111)</f>
        <v>44417.99861</v>
      </c>
      <c r="D2195" s="433">
        <f>IFERROR(__xludf.DUMMYFUNCTION("""COMPUTED_VALUE"""),3031.755)</f>
        <v>3031.755</v>
      </c>
    </row>
    <row r="2196">
      <c r="A2196" s="434">
        <f>IFERROR(__xludf.DUMMYFUNCTION("""COMPUTED_VALUE"""),44833.99861111111)</f>
        <v>44833.99861</v>
      </c>
      <c r="B2196" s="433">
        <f>IFERROR(__xludf.DUMMYFUNCTION("""COMPUTED_VALUE"""),19592.01)</f>
        <v>19592.01</v>
      </c>
      <c r="C2196" s="434">
        <f>IFERROR(__xludf.DUMMYFUNCTION("""COMPUTED_VALUE"""),44418.99861111111)</f>
        <v>44418.99861</v>
      </c>
      <c r="D2196" s="433">
        <f>IFERROR(__xludf.DUMMYFUNCTION("""COMPUTED_VALUE"""),3165.8956)</f>
        <v>3165.8956</v>
      </c>
    </row>
    <row r="2197">
      <c r="A2197" s="434">
        <f>IFERROR(__xludf.DUMMYFUNCTION("""COMPUTED_VALUE"""),44834.99861111111)</f>
        <v>44834.99861</v>
      </c>
      <c r="B2197" s="433">
        <f>IFERROR(__xludf.DUMMYFUNCTION("""COMPUTED_VALUE"""),19424.58)</f>
        <v>19424.58</v>
      </c>
      <c r="C2197" s="434">
        <f>IFERROR(__xludf.DUMMYFUNCTION("""COMPUTED_VALUE"""),44419.99861111111)</f>
        <v>44419.99861</v>
      </c>
      <c r="D2197" s="433">
        <f>IFERROR(__xludf.DUMMYFUNCTION("""COMPUTED_VALUE"""),3145.5825)</f>
        <v>3145.5825</v>
      </c>
    </row>
    <row r="2198">
      <c r="A2198" s="434">
        <f>IFERROR(__xludf.DUMMYFUNCTION("""COMPUTED_VALUE"""),44835.99861111111)</f>
        <v>44835.99861</v>
      </c>
      <c r="B2198" s="433">
        <f>IFERROR(__xludf.DUMMYFUNCTION("""COMPUTED_VALUE"""),19313.35)</f>
        <v>19313.35</v>
      </c>
      <c r="C2198" s="434">
        <f>IFERROR(__xludf.DUMMYFUNCTION("""COMPUTED_VALUE"""),44420.99861111111)</f>
        <v>44420.99861</v>
      </c>
      <c r="D2198" s="433">
        <f>IFERROR(__xludf.DUMMYFUNCTION("""COMPUTED_VALUE"""),3166.9903)</f>
        <v>3166.9903</v>
      </c>
    </row>
    <row r="2199">
      <c r="A2199" s="434">
        <f>IFERROR(__xludf.DUMMYFUNCTION("""COMPUTED_VALUE"""),44836.99861111111)</f>
        <v>44836.99861</v>
      </c>
      <c r="B2199" s="433">
        <f>IFERROR(__xludf.DUMMYFUNCTION("""COMPUTED_VALUE"""),19049.65)</f>
        <v>19049.65</v>
      </c>
      <c r="C2199" s="434">
        <f>IFERROR(__xludf.DUMMYFUNCTION("""COMPUTED_VALUE"""),44421.99861111111)</f>
        <v>44421.99861</v>
      </c>
      <c r="D2199" s="433">
        <f>IFERROR(__xludf.DUMMYFUNCTION("""COMPUTED_VALUE"""),3054.8527)</f>
        <v>3054.8527</v>
      </c>
    </row>
    <row r="2200">
      <c r="A2200" s="434">
        <f>IFERROR(__xludf.DUMMYFUNCTION("""COMPUTED_VALUE"""),44837.99861111111)</f>
        <v>44837.99861</v>
      </c>
      <c r="B2200" s="433">
        <f>IFERROR(__xludf.DUMMYFUNCTION("""COMPUTED_VALUE"""),19628.51)</f>
        <v>19628.51</v>
      </c>
      <c r="C2200" s="434">
        <f>IFERROR(__xludf.DUMMYFUNCTION("""COMPUTED_VALUE"""),44422.99861111111)</f>
        <v>44422.99861</v>
      </c>
      <c r="D2200" s="433">
        <f>IFERROR(__xludf.DUMMYFUNCTION("""COMPUTED_VALUE"""),3315.4532)</f>
        <v>3315.4532</v>
      </c>
    </row>
    <row r="2201">
      <c r="A2201" s="434">
        <f>IFERROR(__xludf.DUMMYFUNCTION("""COMPUTED_VALUE"""),44838.99861111111)</f>
        <v>44838.99861</v>
      </c>
      <c r="B2201" s="433">
        <f>IFERROR(__xludf.DUMMYFUNCTION("""COMPUTED_VALUE"""),20339.85)</f>
        <v>20339.85</v>
      </c>
      <c r="C2201" s="434">
        <f>IFERROR(__xludf.DUMMYFUNCTION("""COMPUTED_VALUE"""),44423.99861111111)</f>
        <v>44423.99861</v>
      </c>
      <c r="D2201" s="433">
        <f>IFERROR(__xludf.DUMMYFUNCTION("""COMPUTED_VALUE"""),3268.9519)</f>
        <v>3268.9519</v>
      </c>
    </row>
    <row r="2202">
      <c r="A2202" s="434">
        <f>IFERROR(__xludf.DUMMYFUNCTION("""COMPUTED_VALUE"""),44839.99861111111)</f>
        <v>44839.99861</v>
      </c>
      <c r="B2202" s="433">
        <f>IFERROR(__xludf.DUMMYFUNCTION("""COMPUTED_VALUE"""),20159.57)</f>
        <v>20159.57</v>
      </c>
      <c r="C2202" s="434">
        <f>IFERROR(__xludf.DUMMYFUNCTION("""COMPUTED_VALUE"""),44424.99861111111)</f>
        <v>44424.99861</v>
      </c>
      <c r="D2202" s="433">
        <f>IFERROR(__xludf.DUMMYFUNCTION("""COMPUTED_VALUE"""),3311.7088)</f>
        <v>3311.7088</v>
      </c>
    </row>
    <row r="2203">
      <c r="A2203" s="434">
        <f>IFERROR(__xludf.DUMMYFUNCTION("""COMPUTED_VALUE"""),44840.99861111111)</f>
        <v>44840.99861</v>
      </c>
      <c r="B2203" s="433">
        <f>IFERROR(__xludf.DUMMYFUNCTION("""COMPUTED_VALUE"""),19961.14)</f>
        <v>19961.14</v>
      </c>
      <c r="C2203" s="434">
        <f>IFERROR(__xludf.DUMMYFUNCTION("""COMPUTED_VALUE"""),44425.99861111111)</f>
        <v>44425.99861</v>
      </c>
      <c r="D2203" s="433">
        <f>IFERROR(__xludf.DUMMYFUNCTION("""COMPUTED_VALUE"""),3154.1881)</f>
        <v>3154.1881</v>
      </c>
    </row>
    <row r="2204">
      <c r="A2204" s="434">
        <f>IFERROR(__xludf.DUMMYFUNCTION("""COMPUTED_VALUE"""),44841.99861111111)</f>
        <v>44841.99861</v>
      </c>
      <c r="B2204" s="433">
        <f>IFERROR(__xludf.DUMMYFUNCTION("""COMPUTED_VALUE"""),19531.26)</f>
        <v>19531.26</v>
      </c>
      <c r="C2204" s="434">
        <f>IFERROR(__xludf.DUMMYFUNCTION("""COMPUTED_VALUE"""),44426.99861111111)</f>
        <v>44426.99861</v>
      </c>
      <c r="D2204" s="433">
        <f>IFERROR(__xludf.DUMMYFUNCTION("""COMPUTED_VALUE"""),3033.8012)</f>
        <v>3033.8012</v>
      </c>
    </row>
    <row r="2205">
      <c r="A2205" s="434">
        <f>IFERROR(__xludf.DUMMYFUNCTION("""COMPUTED_VALUE"""),44842.99861111111)</f>
        <v>44842.99861</v>
      </c>
      <c r="B2205" s="433">
        <f>IFERROR(__xludf.DUMMYFUNCTION("""COMPUTED_VALUE"""),19415.62)</f>
        <v>19415.62</v>
      </c>
      <c r="C2205" s="434">
        <f>IFERROR(__xludf.DUMMYFUNCTION("""COMPUTED_VALUE"""),44427.99861111111)</f>
        <v>44427.99861</v>
      </c>
      <c r="D2205" s="433">
        <f>IFERROR(__xludf.DUMMYFUNCTION("""COMPUTED_VALUE"""),3026.7949)</f>
        <v>3026.7949</v>
      </c>
    </row>
    <row r="2206">
      <c r="A2206" s="434">
        <f>IFERROR(__xludf.DUMMYFUNCTION("""COMPUTED_VALUE"""),44843.99861111111)</f>
        <v>44843.99861</v>
      </c>
      <c r="B2206" s="433">
        <f>IFERROR(__xludf.DUMMYFUNCTION("""COMPUTED_VALUE"""),19442.08)</f>
        <v>19442.08</v>
      </c>
      <c r="C2206" s="434">
        <f>IFERROR(__xludf.DUMMYFUNCTION("""COMPUTED_VALUE"""),44428.99861111111)</f>
        <v>44428.99861</v>
      </c>
      <c r="D2206" s="433">
        <f>IFERROR(__xludf.DUMMYFUNCTION("""COMPUTED_VALUE"""),3194.5265)</f>
        <v>3194.5265</v>
      </c>
    </row>
    <row r="2207">
      <c r="A2207" s="434">
        <f>IFERROR(__xludf.DUMMYFUNCTION("""COMPUTED_VALUE"""),44844.99861111111)</f>
        <v>44844.99861</v>
      </c>
      <c r="B2207" s="433">
        <f>IFERROR(__xludf.DUMMYFUNCTION("""COMPUTED_VALUE"""),19130.02)</f>
        <v>19130.02</v>
      </c>
      <c r="C2207" s="434">
        <f>IFERROR(__xludf.DUMMYFUNCTION("""COMPUTED_VALUE"""),44429.99861111111)</f>
        <v>44429.99861</v>
      </c>
      <c r="D2207" s="433">
        <f>IFERROR(__xludf.DUMMYFUNCTION("""COMPUTED_VALUE"""),3283.4382)</f>
        <v>3283.4382</v>
      </c>
    </row>
    <row r="2208">
      <c r="A2208" s="434">
        <f>IFERROR(__xludf.DUMMYFUNCTION("""COMPUTED_VALUE"""),44845.99861111111)</f>
        <v>44845.99861</v>
      </c>
      <c r="B2208" s="433">
        <f>IFERROR(__xludf.DUMMYFUNCTION("""COMPUTED_VALUE"""),19058.85)</f>
        <v>19058.85</v>
      </c>
      <c r="C2208" s="434">
        <f>IFERROR(__xludf.DUMMYFUNCTION("""COMPUTED_VALUE"""),44430.99861111111)</f>
        <v>44430.99861</v>
      </c>
      <c r="D2208" s="433">
        <f>IFERROR(__xludf.DUMMYFUNCTION("""COMPUTED_VALUE"""),3228.7261)</f>
        <v>3228.7261</v>
      </c>
    </row>
    <row r="2209">
      <c r="A2209" s="434">
        <f>IFERROR(__xludf.DUMMYFUNCTION("""COMPUTED_VALUE"""),44846.99861111111)</f>
        <v>44846.99861</v>
      </c>
      <c r="B2209" s="433">
        <f>IFERROR(__xludf.DUMMYFUNCTION("""COMPUTED_VALUE"""),19154.69)</f>
        <v>19154.69</v>
      </c>
      <c r="C2209" s="434">
        <f>IFERROR(__xludf.DUMMYFUNCTION("""COMPUTED_VALUE"""),44431.99861111111)</f>
        <v>44431.99861</v>
      </c>
      <c r="D2209" s="433">
        <f>IFERROR(__xludf.DUMMYFUNCTION("""COMPUTED_VALUE"""),3250.9981)</f>
        <v>3250.9981</v>
      </c>
    </row>
    <row r="2210">
      <c r="A2210" s="434">
        <f>IFERROR(__xludf.DUMMYFUNCTION("""COMPUTED_VALUE"""),44847.99861111111)</f>
        <v>44847.99861</v>
      </c>
      <c r="B2210" s="433">
        <f>IFERROR(__xludf.DUMMYFUNCTION("""COMPUTED_VALUE"""),19379.66)</f>
        <v>19379.66</v>
      </c>
      <c r="C2210" s="434">
        <f>IFERROR(__xludf.DUMMYFUNCTION("""COMPUTED_VALUE"""),44432.99861111111)</f>
        <v>44432.99861</v>
      </c>
      <c r="D2210" s="433">
        <f>IFERROR(__xludf.DUMMYFUNCTION("""COMPUTED_VALUE"""),3326.8544)</f>
        <v>3326.8544</v>
      </c>
    </row>
    <row r="2211">
      <c r="A2211" s="434">
        <f>IFERROR(__xludf.DUMMYFUNCTION("""COMPUTED_VALUE"""),44848.99861111111)</f>
        <v>44848.99861</v>
      </c>
      <c r="B2211" s="433">
        <f>IFERROR(__xludf.DUMMYFUNCTION("""COMPUTED_VALUE"""),19179.87)</f>
        <v>19179.87</v>
      </c>
      <c r="C2211" s="434">
        <f>IFERROR(__xludf.DUMMYFUNCTION("""COMPUTED_VALUE"""),44433.99861111111)</f>
        <v>44433.99861</v>
      </c>
      <c r="D2211" s="433">
        <f>IFERROR(__xludf.DUMMYFUNCTION("""COMPUTED_VALUE"""),3195.6687)</f>
        <v>3195.6687</v>
      </c>
    </row>
    <row r="2212">
      <c r="A2212" s="434">
        <f>IFERROR(__xludf.DUMMYFUNCTION("""COMPUTED_VALUE"""),44849.99861111111)</f>
        <v>44849.99861</v>
      </c>
      <c r="B2212" s="433">
        <f>IFERROR(__xludf.DUMMYFUNCTION("""COMPUTED_VALUE"""),19067.66)</f>
        <v>19067.66</v>
      </c>
      <c r="C2212" s="434">
        <f>IFERROR(__xludf.DUMMYFUNCTION("""COMPUTED_VALUE"""),44434.99861111111)</f>
        <v>44434.99861</v>
      </c>
      <c r="D2212" s="433">
        <f>IFERROR(__xludf.DUMMYFUNCTION("""COMPUTED_VALUE"""),3229.4522)</f>
        <v>3229.4522</v>
      </c>
    </row>
    <row r="2213">
      <c r="A2213" s="434">
        <f>IFERROR(__xludf.DUMMYFUNCTION("""COMPUTED_VALUE"""),44850.99861111111)</f>
        <v>44850.99861</v>
      </c>
      <c r="B2213" s="433">
        <f>IFERROR(__xludf.DUMMYFUNCTION("""COMPUTED_VALUE"""),19262.56)</f>
        <v>19262.56</v>
      </c>
      <c r="C2213" s="434">
        <f>IFERROR(__xludf.DUMMYFUNCTION("""COMPUTED_VALUE"""),44435.99861111111)</f>
        <v>44435.99861</v>
      </c>
      <c r="D2213" s="433">
        <f>IFERROR(__xludf.DUMMYFUNCTION("""COMPUTED_VALUE"""),3099.0422)</f>
        <v>3099.0422</v>
      </c>
    </row>
    <row r="2214">
      <c r="A2214" s="434">
        <f>IFERROR(__xludf.DUMMYFUNCTION("""COMPUTED_VALUE"""),44851.99861111111)</f>
        <v>44851.99861</v>
      </c>
      <c r="B2214" s="433">
        <f>IFERROR(__xludf.DUMMYFUNCTION("""COMPUTED_VALUE"""),19548.49)</f>
        <v>19548.49</v>
      </c>
      <c r="C2214" s="434">
        <f>IFERROR(__xludf.DUMMYFUNCTION("""COMPUTED_VALUE"""),44436.99861111111)</f>
        <v>44436.99861</v>
      </c>
      <c r="D2214" s="433">
        <f>IFERROR(__xludf.DUMMYFUNCTION("""COMPUTED_VALUE"""),3284.846)</f>
        <v>3284.846</v>
      </c>
    </row>
    <row r="2215">
      <c r="A2215" s="434">
        <f>IFERROR(__xludf.DUMMYFUNCTION("""COMPUTED_VALUE"""),44852.99861111111)</f>
        <v>44852.99861</v>
      </c>
      <c r="B2215" s="433">
        <f>IFERROR(__xludf.DUMMYFUNCTION("""COMPUTED_VALUE"""),19328.7)</f>
        <v>19328.7</v>
      </c>
      <c r="C2215" s="434">
        <f>IFERROR(__xludf.DUMMYFUNCTION("""COMPUTED_VALUE"""),44437.99861111111)</f>
        <v>44437.99861</v>
      </c>
      <c r="D2215" s="433">
        <f>IFERROR(__xludf.DUMMYFUNCTION("""COMPUTED_VALUE"""),3248.046)</f>
        <v>3248.046</v>
      </c>
    </row>
    <row r="2216">
      <c r="A2216" s="434">
        <f>IFERROR(__xludf.DUMMYFUNCTION("""COMPUTED_VALUE"""),44853.99861111111)</f>
        <v>44853.99861</v>
      </c>
      <c r="B2216" s="433">
        <f>IFERROR(__xludf.DUMMYFUNCTION("""COMPUTED_VALUE"""),19124.24)</f>
        <v>19124.24</v>
      </c>
      <c r="C2216" s="434">
        <f>IFERROR(__xludf.DUMMYFUNCTION("""COMPUTED_VALUE"""),44438.99861111111)</f>
        <v>44438.99861</v>
      </c>
      <c r="D2216" s="433">
        <f>IFERROR(__xludf.DUMMYFUNCTION("""COMPUTED_VALUE"""),3218.8248)</f>
        <v>3218.8248</v>
      </c>
    </row>
    <row r="2217">
      <c r="A2217" s="434">
        <f>IFERROR(__xludf.DUMMYFUNCTION("""COMPUTED_VALUE"""),44854.99861111111)</f>
        <v>44854.99861</v>
      </c>
      <c r="B2217" s="433">
        <f>IFERROR(__xludf.DUMMYFUNCTION("""COMPUTED_VALUE"""),19042.79)</f>
        <v>19042.79</v>
      </c>
      <c r="C2217" s="434">
        <f>IFERROR(__xludf.DUMMYFUNCTION("""COMPUTED_VALUE"""),44439.99861111111)</f>
        <v>44439.99861</v>
      </c>
      <c r="D2217" s="433">
        <f>IFERROR(__xludf.DUMMYFUNCTION("""COMPUTED_VALUE"""),3219.0345)</f>
        <v>3219.0345</v>
      </c>
    </row>
    <row r="2218">
      <c r="A2218" s="434">
        <f>IFERROR(__xludf.DUMMYFUNCTION("""COMPUTED_VALUE"""),44855.99861111111)</f>
        <v>44855.99861</v>
      </c>
      <c r="B2218" s="433">
        <f>IFERROR(__xludf.DUMMYFUNCTION("""COMPUTED_VALUE"""),19163.11)</f>
        <v>19163.11</v>
      </c>
      <c r="C2218" s="434">
        <f>IFERROR(__xludf.DUMMYFUNCTION("""COMPUTED_VALUE"""),44440.99861111111)</f>
        <v>44440.99861</v>
      </c>
      <c r="D2218" s="433">
        <f>IFERROR(__xludf.DUMMYFUNCTION("""COMPUTED_VALUE"""),3415.3848)</f>
        <v>3415.3848</v>
      </c>
    </row>
    <row r="2219">
      <c r="A2219" s="434">
        <f>IFERROR(__xludf.DUMMYFUNCTION("""COMPUTED_VALUE"""),44856.99861111111)</f>
        <v>44856.99861</v>
      </c>
      <c r="B2219" s="433">
        <f>IFERROR(__xludf.DUMMYFUNCTION("""COMPUTED_VALUE"""),19205.42)</f>
        <v>19205.42</v>
      </c>
      <c r="C2219" s="434">
        <f>IFERROR(__xludf.DUMMYFUNCTION("""COMPUTED_VALUE"""),44441.99861111111)</f>
        <v>44441.99861</v>
      </c>
      <c r="D2219" s="433">
        <f>IFERROR(__xludf.DUMMYFUNCTION("""COMPUTED_VALUE"""),3812.1767)</f>
        <v>3812.1767</v>
      </c>
    </row>
    <row r="2220">
      <c r="A2220" s="434">
        <f>IFERROR(__xludf.DUMMYFUNCTION("""COMPUTED_VALUE"""),44857.99861111111)</f>
        <v>44857.99861</v>
      </c>
      <c r="B2220" s="433">
        <f>IFERROR(__xludf.DUMMYFUNCTION("""COMPUTED_VALUE"""),19567.69)</f>
        <v>19567.69</v>
      </c>
      <c r="C2220" s="434">
        <f>IFERROR(__xludf.DUMMYFUNCTION("""COMPUTED_VALUE"""),44442.99861111111)</f>
        <v>44442.99861</v>
      </c>
      <c r="D2220" s="433">
        <f>IFERROR(__xludf.DUMMYFUNCTION("""COMPUTED_VALUE"""),3804.1491)</f>
        <v>3804.1491</v>
      </c>
    </row>
    <row r="2221">
      <c r="A2221" s="434">
        <f>IFERROR(__xludf.DUMMYFUNCTION("""COMPUTED_VALUE"""),44858.99861111111)</f>
        <v>44858.99861</v>
      </c>
      <c r="B2221" s="433">
        <f>IFERROR(__xludf.DUMMYFUNCTION("""COMPUTED_VALUE"""),19328.92)</f>
        <v>19328.92</v>
      </c>
      <c r="C2221" s="434">
        <f>IFERROR(__xludf.DUMMYFUNCTION("""COMPUTED_VALUE"""),44443.99861111111)</f>
        <v>44443.99861</v>
      </c>
      <c r="D2221" s="433">
        <f>IFERROR(__xludf.DUMMYFUNCTION("""COMPUTED_VALUE"""),3933.8274)</f>
        <v>3933.8274</v>
      </c>
    </row>
    <row r="2222">
      <c r="A2222" s="434">
        <f>IFERROR(__xludf.DUMMYFUNCTION("""COMPUTED_VALUE"""),44859.99861111111)</f>
        <v>44859.99861</v>
      </c>
      <c r="B2222" s="433">
        <f>IFERROR(__xludf.DUMMYFUNCTION("""COMPUTED_VALUE"""),20083.96)</f>
        <v>20083.96</v>
      </c>
      <c r="C2222" s="434">
        <f>IFERROR(__xludf.DUMMYFUNCTION("""COMPUTED_VALUE"""),44444.99861111111)</f>
        <v>44444.99861</v>
      </c>
      <c r="D2222" s="433">
        <f>IFERROR(__xludf.DUMMYFUNCTION("""COMPUTED_VALUE"""),3892.1897)</f>
        <v>3892.1897</v>
      </c>
    </row>
    <row r="2223">
      <c r="A2223" s="434">
        <f>IFERROR(__xludf.DUMMYFUNCTION("""COMPUTED_VALUE"""),44860.99861111111)</f>
        <v>44860.99861</v>
      </c>
      <c r="B2223" s="433">
        <f>IFERROR(__xludf.DUMMYFUNCTION("""COMPUTED_VALUE"""),20775.2)</f>
        <v>20775.2</v>
      </c>
      <c r="C2223" s="434">
        <f>IFERROR(__xludf.DUMMYFUNCTION("""COMPUTED_VALUE"""),44445.99861111111)</f>
        <v>44445.99861</v>
      </c>
      <c r="D2223" s="433">
        <f>IFERROR(__xludf.DUMMYFUNCTION("""COMPUTED_VALUE"""),3948.6822)</f>
        <v>3948.6822</v>
      </c>
    </row>
    <row r="2224">
      <c r="A2224" s="434">
        <f>IFERROR(__xludf.DUMMYFUNCTION("""COMPUTED_VALUE"""),44861.99861111111)</f>
        <v>44861.99861</v>
      </c>
      <c r="B2224" s="433">
        <f>IFERROR(__xludf.DUMMYFUNCTION("""COMPUTED_VALUE"""),20290.61)</f>
        <v>20290.61</v>
      </c>
      <c r="C2224" s="434">
        <f>IFERROR(__xludf.DUMMYFUNCTION("""COMPUTED_VALUE"""),44446.99861111111)</f>
        <v>44446.99861</v>
      </c>
      <c r="D2224" s="433">
        <f>IFERROR(__xludf.DUMMYFUNCTION("""COMPUTED_VALUE"""),3916.7764)</f>
        <v>3916.7764</v>
      </c>
    </row>
    <row r="2225">
      <c r="A2225" s="434">
        <f>IFERROR(__xludf.DUMMYFUNCTION("""COMPUTED_VALUE"""),44862.99861111111)</f>
        <v>44862.99861</v>
      </c>
      <c r="B2225" s="433">
        <f>IFERROR(__xludf.DUMMYFUNCTION("""COMPUTED_VALUE"""),20596.03)</f>
        <v>20596.03</v>
      </c>
      <c r="C2225" s="434">
        <f>IFERROR(__xludf.DUMMYFUNCTION("""COMPUTED_VALUE"""),44447.99861111111)</f>
        <v>44447.99861</v>
      </c>
      <c r="D2225" s="433">
        <f>IFERROR(__xludf.DUMMYFUNCTION("""COMPUTED_VALUE"""),3425.9743)</f>
        <v>3425.9743</v>
      </c>
    </row>
    <row r="2226">
      <c r="A2226" s="434">
        <f>IFERROR(__xludf.DUMMYFUNCTION("""COMPUTED_VALUE"""),44863.99861111111)</f>
        <v>44863.99861</v>
      </c>
      <c r="B2226" s="433">
        <f>IFERROR(__xludf.DUMMYFUNCTION("""COMPUTED_VALUE"""),20813.51)</f>
        <v>20813.51</v>
      </c>
      <c r="C2226" s="434">
        <f>IFERROR(__xludf.DUMMYFUNCTION("""COMPUTED_VALUE"""),44448.99861111111)</f>
        <v>44448.99861</v>
      </c>
      <c r="D2226" s="433">
        <f>IFERROR(__xludf.DUMMYFUNCTION("""COMPUTED_VALUE"""),3516.4234)</f>
        <v>3516.4234</v>
      </c>
    </row>
    <row r="2227">
      <c r="A2227" s="434">
        <f>IFERROR(__xludf.DUMMYFUNCTION("""COMPUTED_VALUE"""),44864.99861111111)</f>
        <v>44864.99861</v>
      </c>
      <c r="B2227" s="433">
        <f>IFERROR(__xludf.DUMMYFUNCTION("""COMPUTED_VALUE"""),20624.13)</f>
        <v>20624.13</v>
      </c>
      <c r="C2227" s="434">
        <f>IFERROR(__xludf.DUMMYFUNCTION("""COMPUTED_VALUE"""),44449.99861111111)</f>
        <v>44449.99861</v>
      </c>
      <c r="D2227" s="433">
        <f>IFERROR(__xludf.DUMMYFUNCTION("""COMPUTED_VALUE"""),3437.3846)</f>
        <v>3437.3846</v>
      </c>
    </row>
    <row r="2228">
      <c r="A2228" s="434">
        <f>IFERROR(__xludf.DUMMYFUNCTION("""COMPUTED_VALUE"""),44865.99861111111)</f>
        <v>44865.99861</v>
      </c>
      <c r="B2228" s="433">
        <f>IFERROR(__xludf.DUMMYFUNCTION("""COMPUTED_VALUE"""),20492.16)</f>
        <v>20492.16</v>
      </c>
      <c r="C2228" s="434">
        <f>IFERROR(__xludf.DUMMYFUNCTION("""COMPUTED_VALUE"""),44450.99861111111)</f>
        <v>44450.99861</v>
      </c>
      <c r="D2228" s="433">
        <f>IFERROR(__xludf.DUMMYFUNCTION("""COMPUTED_VALUE"""),3212.8992)</f>
        <v>3212.8992</v>
      </c>
    </row>
    <row r="2229">
      <c r="A2229" s="434">
        <f>IFERROR(__xludf.DUMMYFUNCTION("""COMPUTED_VALUE"""),44866.99861111111)</f>
        <v>44866.99861</v>
      </c>
      <c r="B2229" s="433">
        <f>IFERROR(__xludf.DUMMYFUNCTION("""COMPUTED_VALUE"""),20480.07)</f>
        <v>20480.07</v>
      </c>
      <c r="C2229" s="434">
        <f>IFERROR(__xludf.DUMMYFUNCTION("""COMPUTED_VALUE"""),44451.99861111111)</f>
        <v>44451.99861</v>
      </c>
      <c r="D2229" s="433">
        <f>IFERROR(__xludf.DUMMYFUNCTION("""COMPUTED_VALUE"""),3274.266)</f>
        <v>3274.266</v>
      </c>
    </row>
    <row r="2230">
      <c r="A2230" s="434">
        <f>IFERROR(__xludf.DUMMYFUNCTION("""COMPUTED_VALUE"""),44867.99861111111)</f>
        <v>44867.99861</v>
      </c>
      <c r="B2230" s="433">
        <f>IFERROR(__xludf.DUMMYFUNCTION("""COMPUTED_VALUE"""),20151.43)</f>
        <v>20151.43</v>
      </c>
      <c r="C2230" s="434">
        <f>IFERROR(__xludf.DUMMYFUNCTION("""COMPUTED_VALUE"""),44452.99861111111)</f>
        <v>44452.99861</v>
      </c>
      <c r="D2230" s="433">
        <f>IFERROR(__xludf.DUMMYFUNCTION("""COMPUTED_VALUE"""),3407.8624)</f>
        <v>3407.8624</v>
      </c>
    </row>
    <row r="2231">
      <c r="A2231" s="434">
        <f>IFERROR(__xludf.DUMMYFUNCTION("""COMPUTED_VALUE"""),44868.99861111111)</f>
        <v>44868.99861</v>
      </c>
      <c r="B2231" s="433">
        <f>IFERROR(__xludf.DUMMYFUNCTION("""COMPUTED_VALUE"""),20206.75)</f>
        <v>20206.75</v>
      </c>
      <c r="C2231" s="434">
        <f>IFERROR(__xludf.DUMMYFUNCTION("""COMPUTED_VALUE"""),44453.99861111111)</f>
        <v>44453.99861</v>
      </c>
      <c r="D2231" s="433">
        <f>IFERROR(__xludf.DUMMYFUNCTION("""COMPUTED_VALUE"""),3273.631)</f>
        <v>3273.631</v>
      </c>
    </row>
    <row r="2232">
      <c r="A2232" s="434">
        <f>IFERROR(__xludf.DUMMYFUNCTION("""COMPUTED_VALUE"""),44869.99861111111)</f>
        <v>44869.99861</v>
      </c>
      <c r="B2232" s="433">
        <f>IFERROR(__xludf.DUMMYFUNCTION("""COMPUTED_VALUE"""),21147.78)</f>
        <v>21147.78</v>
      </c>
      <c r="C2232" s="434">
        <f>IFERROR(__xludf.DUMMYFUNCTION("""COMPUTED_VALUE"""),44454.99861111111)</f>
        <v>44454.99861</v>
      </c>
      <c r="D2232" s="433">
        <f>IFERROR(__xludf.DUMMYFUNCTION("""COMPUTED_VALUE"""),3443.1474)</f>
        <v>3443.1474</v>
      </c>
    </row>
    <row r="2233">
      <c r="A2233" s="434">
        <f>IFERROR(__xludf.DUMMYFUNCTION("""COMPUTED_VALUE"""),44870.99861111111)</f>
        <v>44870.99861</v>
      </c>
      <c r="B2233" s="433">
        <f>IFERROR(__xludf.DUMMYFUNCTION("""COMPUTED_VALUE"""),21298.16)</f>
        <v>21298.16</v>
      </c>
      <c r="C2233" s="434">
        <f>IFERROR(__xludf.DUMMYFUNCTION("""COMPUTED_VALUE"""),44455.99861111111)</f>
        <v>44455.99861</v>
      </c>
      <c r="D2233" s="433">
        <f>IFERROR(__xludf.DUMMYFUNCTION("""COMPUTED_VALUE"""),3615.8131)</f>
        <v>3615.8131</v>
      </c>
    </row>
    <row r="2234">
      <c r="A2234" s="434">
        <f>IFERROR(__xludf.DUMMYFUNCTION("""COMPUTED_VALUE"""),44871.99861111111)</f>
        <v>44871.99861</v>
      </c>
      <c r="B2234" s="433">
        <f>IFERROR(__xludf.DUMMYFUNCTION("""COMPUTED_VALUE"""),20912.94)</f>
        <v>20912.94</v>
      </c>
      <c r="C2234" s="434">
        <f>IFERROR(__xludf.DUMMYFUNCTION("""COMPUTED_VALUE"""),44456.99861111111)</f>
        <v>44456.99861</v>
      </c>
      <c r="D2234" s="433">
        <f>IFERROR(__xludf.DUMMYFUNCTION("""COMPUTED_VALUE"""),3562.516)</f>
        <v>3562.516</v>
      </c>
    </row>
    <row r="2235">
      <c r="A2235" s="434">
        <f>IFERROR(__xludf.DUMMYFUNCTION("""COMPUTED_VALUE"""),44872.99861111111)</f>
        <v>44872.99861</v>
      </c>
      <c r="B2235" s="433">
        <f>IFERROR(__xludf.DUMMYFUNCTION("""COMPUTED_VALUE"""),20588.9)</f>
        <v>20588.9</v>
      </c>
      <c r="C2235" s="434">
        <f>IFERROR(__xludf.DUMMYFUNCTION("""COMPUTED_VALUE"""),44457.99861111111)</f>
        <v>44457.99861</v>
      </c>
      <c r="D2235" s="433">
        <f>IFERROR(__xludf.DUMMYFUNCTION("""COMPUTED_VALUE"""),3394.0824)</f>
        <v>3394.0824</v>
      </c>
    </row>
    <row r="2236">
      <c r="A2236" s="434">
        <f>IFERROR(__xludf.DUMMYFUNCTION("""COMPUTED_VALUE"""),44873.99861111111)</f>
        <v>44873.99861</v>
      </c>
      <c r="B2236" s="433">
        <f>IFERROR(__xludf.DUMMYFUNCTION("""COMPUTED_VALUE"""),18525.02)</f>
        <v>18525.02</v>
      </c>
      <c r="C2236" s="434">
        <f>IFERROR(__xludf.DUMMYFUNCTION("""COMPUTED_VALUE"""),44458.99861111111)</f>
        <v>44458.99861</v>
      </c>
      <c r="D2236" s="433">
        <f>IFERROR(__xludf.DUMMYFUNCTION("""COMPUTED_VALUE"""),3428.4938)</f>
        <v>3428.4938</v>
      </c>
    </row>
    <row r="2237">
      <c r="A2237" s="434">
        <f>IFERROR(__xludf.DUMMYFUNCTION("""COMPUTED_VALUE"""),44874.99861111111)</f>
        <v>44874.99861</v>
      </c>
      <c r="B2237" s="433">
        <f>IFERROR(__xludf.DUMMYFUNCTION("""COMPUTED_VALUE"""),15866.11)</f>
        <v>15866.11</v>
      </c>
      <c r="C2237" s="434">
        <f>IFERROR(__xludf.DUMMYFUNCTION("""COMPUTED_VALUE"""),44459.99861111111)</f>
        <v>44459.99861</v>
      </c>
      <c r="D2237" s="433">
        <f>IFERROR(__xludf.DUMMYFUNCTION("""COMPUTED_VALUE"""),3332.9876)</f>
        <v>3332.9876</v>
      </c>
    </row>
    <row r="2238">
      <c r="A2238" s="434">
        <f>IFERROR(__xludf.DUMMYFUNCTION("""COMPUTED_VALUE"""),44875.99861111111)</f>
        <v>44875.99861</v>
      </c>
      <c r="B2238" s="433">
        <f>IFERROR(__xludf.DUMMYFUNCTION("""COMPUTED_VALUE"""),17565.25)</f>
        <v>17565.25</v>
      </c>
      <c r="C2238" s="434">
        <f>IFERROR(__xludf.DUMMYFUNCTION("""COMPUTED_VALUE"""),44460.99861111111)</f>
        <v>44460.99861</v>
      </c>
      <c r="D2238" s="433">
        <f>IFERROR(__xludf.DUMMYFUNCTION("""COMPUTED_VALUE"""),2973.0148)</f>
        <v>2973.0148</v>
      </c>
    </row>
    <row r="2239">
      <c r="A2239" s="434">
        <f>IFERROR(__xludf.DUMMYFUNCTION("""COMPUTED_VALUE"""),44876.99861111111)</f>
        <v>44876.99861</v>
      </c>
      <c r="B2239" s="433">
        <f>IFERROR(__xludf.DUMMYFUNCTION("""COMPUTED_VALUE"""),17011.75)</f>
        <v>17011.75</v>
      </c>
      <c r="C2239" s="434">
        <f>IFERROR(__xludf.DUMMYFUNCTION("""COMPUTED_VALUE"""),44461.99861111111)</f>
        <v>44461.99861</v>
      </c>
      <c r="D2239" s="433">
        <f>IFERROR(__xludf.DUMMYFUNCTION("""COMPUTED_VALUE"""),2786.3745)</f>
        <v>2786.3745</v>
      </c>
    </row>
    <row r="2240">
      <c r="A2240" s="434">
        <f>IFERROR(__xludf.DUMMYFUNCTION("""COMPUTED_VALUE"""),44877.99861111111)</f>
        <v>44877.99861</v>
      </c>
      <c r="B2240" s="433">
        <f>IFERROR(__xludf.DUMMYFUNCTION("""COMPUTED_VALUE"""),16782.38)</f>
        <v>16782.38</v>
      </c>
      <c r="C2240" s="434">
        <f>IFERROR(__xludf.DUMMYFUNCTION("""COMPUTED_VALUE"""),44462.99861111111)</f>
        <v>44462.99861</v>
      </c>
      <c r="D2240" s="433">
        <f>IFERROR(__xludf.DUMMYFUNCTION("""COMPUTED_VALUE"""),3073.2104)</f>
        <v>3073.2104</v>
      </c>
    </row>
    <row r="2241">
      <c r="A2241" s="434">
        <f>IFERROR(__xludf.DUMMYFUNCTION("""COMPUTED_VALUE"""),44878.99861111111)</f>
        <v>44878.99861</v>
      </c>
      <c r="B2241" s="433">
        <f>IFERROR(__xludf.DUMMYFUNCTION("""COMPUTED_VALUE"""),16305.44)</f>
        <v>16305.44</v>
      </c>
      <c r="C2241" s="434">
        <f>IFERROR(__xludf.DUMMYFUNCTION("""COMPUTED_VALUE"""),44463.99861111111)</f>
        <v>44463.99861</v>
      </c>
      <c r="D2241" s="433">
        <f>IFERROR(__xludf.DUMMYFUNCTION("""COMPUTED_VALUE"""),3149.6397)</f>
        <v>3149.6397</v>
      </c>
    </row>
    <row r="2242">
      <c r="A2242" s="434">
        <f>IFERROR(__xludf.DUMMYFUNCTION("""COMPUTED_VALUE"""),44879.99861111111)</f>
        <v>44879.99861</v>
      </c>
      <c r="B2242" s="433">
        <f>IFERROR(__xludf.DUMMYFUNCTION("""COMPUTED_VALUE"""),16597.69)</f>
        <v>16597.69</v>
      </c>
      <c r="C2242" s="434">
        <f>IFERROR(__xludf.DUMMYFUNCTION("""COMPUTED_VALUE"""),44464.99861111111)</f>
        <v>44464.99861</v>
      </c>
      <c r="D2242" s="433">
        <f>IFERROR(__xludf.DUMMYFUNCTION("""COMPUTED_VALUE"""),2935.1234)</f>
        <v>2935.1234</v>
      </c>
    </row>
    <row r="2243">
      <c r="A2243" s="434">
        <f>IFERROR(__xludf.DUMMYFUNCTION("""COMPUTED_VALUE"""),44880.99861111111)</f>
        <v>44880.99861</v>
      </c>
      <c r="B2243" s="433">
        <f>IFERROR(__xludf.DUMMYFUNCTION("""COMPUTED_VALUE"""),16877.02)</f>
        <v>16877.02</v>
      </c>
      <c r="C2243" s="434">
        <f>IFERROR(__xludf.DUMMYFUNCTION("""COMPUTED_VALUE"""),44465.99861111111)</f>
        <v>44465.99861</v>
      </c>
      <c r="D2243" s="433">
        <f>IFERROR(__xludf.DUMMYFUNCTION("""COMPUTED_VALUE"""),2931.8509)</f>
        <v>2931.8509</v>
      </c>
    </row>
    <row r="2244">
      <c r="A2244" s="434">
        <f>IFERROR(__xludf.DUMMYFUNCTION("""COMPUTED_VALUE"""),44881.99861111111)</f>
        <v>44881.99861</v>
      </c>
      <c r="B2244" s="433">
        <f>IFERROR(__xludf.DUMMYFUNCTION("""COMPUTED_VALUE"""),16659.37)</f>
        <v>16659.37</v>
      </c>
      <c r="C2244" s="434">
        <f>IFERROR(__xludf.DUMMYFUNCTION("""COMPUTED_VALUE"""),44466.99861111111)</f>
        <v>44466.99861</v>
      </c>
      <c r="D2244" s="433">
        <f>IFERROR(__xludf.DUMMYFUNCTION("""COMPUTED_VALUE"""),3059.9855)</f>
        <v>3059.9855</v>
      </c>
    </row>
    <row r="2245">
      <c r="A2245" s="434">
        <f>IFERROR(__xludf.DUMMYFUNCTION("""COMPUTED_VALUE"""),44882.99861111111)</f>
        <v>44882.99861</v>
      </c>
      <c r="B2245" s="433">
        <f>IFERROR(__xludf.DUMMYFUNCTION("""COMPUTED_VALUE"""),16681.11)</f>
        <v>16681.11</v>
      </c>
      <c r="C2245" s="434">
        <f>IFERROR(__xludf.DUMMYFUNCTION("""COMPUTED_VALUE"""),44467.99861111111)</f>
        <v>44467.99861</v>
      </c>
      <c r="D2245" s="433">
        <f>IFERROR(__xludf.DUMMYFUNCTION("""COMPUTED_VALUE"""),2914.5375)</f>
        <v>2914.5375</v>
      </c>
    </row>
    <row r="2246">
      <c r="A2246" s="434">
        <f>IFERROR(__xludf.DUMMYFUNCTION("""COMPUTED_VALUE"""),44883.99861111111)</f>
        <v>44883.99861</v>
      </c>
      <c r="B2246" s="433">
        <f>IFERROR(__xludf.DUMMYFUNCTION("""COMPUTED_VALUE"""),16683.38)</f>
        <v>16683.38</v>
      </c>
      <c r="C2246" s="434">
        <f>IFERROR(__xludf.DUMMYFUNCTION("""COMPUTED_VALUE"""),44468.99861111111)</f>
        <v>44468.99861</v>
      </c>
      <c r="D2246" s="433">
        <f>IFERROR(__xludf.DUMMYFUNCTION("""COMPUTED_VALUE"""),2816.5077)</f>
        <v>2816.5077</v>
      </c>
    </row>
    <row r="2247">
      <c r="A2247" s="434">
        <f>IFERROR(__xludf.DUMMYFUNCTION("""COMPUTED_VALUE"""),44884.99861111111)</f>
        <v>44884.99861</v>
      </c>
      <c r="B2247" s="433">
        <f>IFERROR(__xludf.DUMMYFUNCTION("""COMPUTED_VALUE"""),16692.46)</f>
        <v>16692.46</v>
      </c>
      <c r="C2247" s="434">
        <f>IFERROR(__xludf.DUMMYFUNCTION("""COMPUTED_VALUE"""),44469.99861111111)</f>
        <v>44469.99861</v>
      </c>
      <c r="D2247" s="433">
        <f>IFERROR(__xludf.DUMMYFUNCTION("""COMPUTED_VALUE"""),2857.0999)</f>
        <v>2857.0999</v>
      </c>
    </row>
    <row r="2248">
      <c r="A2248" s="434">
        <f>IFERROR(__xludf.DUMMYFUNCTION("""COMPUTED_VALUE"""),44885.99861111111)</f>
        <v>44885.99861</v>
      </c>
      <c r="B2248" s="433">
        <f>IFERROR(__xludf.DUMMYFUNCTION("""COMPUTED_VALUE"""),16263.55)</f>
        <v>16263.55</v>
      </c>
      <c r="C2248" s="434">
        <f>IFERROR(__xludf.DUMMYFUNCTION("""COMPUTED_VALUE"""),44470.99861111111)</f>
        <v>44470.99861</v>
      </c>
      <c r="D2248" s="433">
        <f>IFERROR(__xludf.DUMMYFUNCTION("""COMPUTED_VALUE"""),3019.4355)</f>
        <v>3019.4355</v>
      </c>
    </row>
    <row r="2249">
      <c r="A2249" s="434">
        <f>IFERROR(__xludf.DUMMYFUNCTION("""COMPUTED_VALUE"""),44886.99861111111)</f>
        <v>44886.99861</v>
      </c>
      <c r="B2249" s="433">
        <f>IFERROR(__xludf.DUMMYFUNCTION("""COMPUTED_VALUE"""),15768.67)</f>
        <v>15768.67</v>
      </c>
      <c r="C2249" s="434">
        <f>IFERROR(__xludf.DUMMYFUNCTION("""COMPUTED_VALUE"""),44471.99861111111)</f>
        <v>44471.99861</v>
      </c>
      <c r="D2249" s="433">
        <f>IFERROR(__xludf.DUMMYFUNCTION("""COMPUTED_VALUE"""),3317.8379)</f>
        <v>3317.8379</v>
      </c>
    </row>
    <row r="2250">
      <c r="A2250" s="434">
        <f>IFERROR(__xludf.DUMMYFUNCTION("""COMPUTED_VALUE"""),44887.99861111111)</f>
        <v>44887.99861</v>
      </c>
      <c r="B2250" s="433">
        <f>IFERROR(__xludf.DUMMYFUNCTION("""COMPUTED_VALUE"""),16195.35)</f>
        <v>16195.35</v>
      </c>
      <c r="C2250" s="434">
        <f>IFERROR(__xludf.DUMMYFUNCTION("""COMPUTED_VALUE"""),44472.99861111111)</f>
        <v>44472.99861</v>
      </c>
      <c r="D2250" s="433">
        <f>IFERROR(__xludf.DUMMYFUNCTION("""COMPUTED_VALUE"""),3409.657)</f>
        <v>3409.657</v>
      </c>
    </row>
    <row r="2251">
      <c r="A2251" s="434">
        <f>IFERROR(__xludf.DUMMYFUNCTION("""COMPUTED_VALUE"""),44888.99861111111)</f>
        <v>44888.99861</v>
      </c>
      <c r="B2251" s="433">
        <f>IFERROR(__xludf.DUMMYFUNCTION("""COMPUTED_VALUE"""),16598.29)</f>
        <v>16598.29</v>
      </c>
      <c r="C2251" s="434">
        <f>IFERROR(__xludf.DUMMYFUNCTION("""COMPUTED_VALUE"""),44473.99861111111)</f>
        <v>44473.99861</v>
      </c>
      <c r="D2251" s="433">
        <f>IFERROR(__xludf.DUMMYFUNCTION("""COMPUTED_VALUE"""),3414.5392)</f>
        <v>3414.5392</v>
      </c>
    </row>
    <row r="2252">
      <c r="A2252" s="434">
        <f>IFERROR(__xludf.DUMMYFUNCTION("""COMPUTED_VALUE"""),44889.99861111111)</f>
        <v>44889.99861</v>
      </c>
      <c r="B2252" s="433">
        <f>IFERROR(__xludf.DUMMYFUNCTION("""COMPUTED_VALUE"""),16593.78)</f>
        <v>16593.78</v>
      </c>
      <c r="C2252" s="434">
        <f>IFERROR(__xludf.DUMMYFUNCTION("""COMPUTED_VALUE"""),44474.99861111111)</f>
        <v>44474.99861</v>
      </c>
      <c r="D2252" s="433">
        <f>IFERROR(__xludf.DUMMYFUNCTION("""COMPUTED_VALUE"""),3377.8866)</f>
        <v>3377.8866</v>
      </c>
    </row>
    <row r="2253">
      <c r="A2253" s="434">
        <f>IFERROR(__xludf.DUMMYFUNCTION("""COMPUTED_VALUE"""),44890.99861111111)</f>
        <v>44890.99861</v>
      </c>
      <c r="B2253" s="433">
        <f>IFERROR(__xludf.DUMMYFUNCTION("""COMPUTED_VALUE"""),16507.52)</f>
        <v>16507.52</v>
      </c>
      <c r="C2253" s="434">
        <f>IFERROR(__xludf.DUMMYFUNCTION("""COMPUTED_VALUE"""),44475.99861111111)</f>
        <v>44475.99861</v>
      </c>
      <c r="D2253" s="433">
        <f>IFERROR(__xludf.DUMMYFUNCTION("""COMPUTED_VALUE"""),3515.2189)</f>
        <v>3515.2189</v>
      </c>
    </row>
    <row r="2254">
      <c r="A2254" s="434">
        <f>IFERROR(__xludf.DUMMYFUNCTION("""COMPUTED_VALUE"""),44891.99861111111)</f>
        <v>44891.99861</v>
      </c>
      <c r="B2254" s="433">
        <f>IFERROR(__xludf.DUMMYFUNCTION("""COMPUTED_VALUE"""),16449.59)</f>
        <v>16449.59</v>
      </c>
      <c r="C2254" s="434">
        <f>IFERROR(__xludf.DUMMYFUNCTION("""COMPUTED_VALUE"""),44476.99861111111)</f>
        <v>44476.99861</v>
      </c>
      <c r="D2254" s="433">
        <f>IFERROR(__xludf.DUMMYFUNCTION("""COMPUTED_VALUE"""),3567.3997)</f>
        <v>3567.3997</v>
      </c>
    </row>
    <row r="2255">
      <c r="A2255" s="434">
        <f>IFERROR(__xludf.DUMMYFUNCTION("""COMPUTED_VALUE"""),44892.99861111111)</f>
        <v>44892.99861</v>
      </c>
      <c r="B2255" s="433">
        <f>IFERROR(__xludf.DUMMYFUNCTION("""COMPUTED_VALUE"""),16419.52)</f>
        <v>16419.52</v>
      </c>
      <c r="C2255" s="434">
        <f>IFERROR(__xludf.DUMMYFUNCTION("""COMPUTED_VALUE"""),44477.99861111111)</f>
        <v>44477.99861</v>
      </c>
      <c r="D2255" s="433">
        <f>IFERROR(__xludf.DUMMYFUNCTION("""COMPUTED_VALUE"""),3580.5082)</f>
        <v>3580.5082</v>
      </c>
    </row>
    <row r="2256">
      <c r="A2256" s="434">
        <f>IFERROR(__xludf.DUMMYFUNCTION("""COMPUTED_VALUE"""),44893.99861111111)</f>
        <v>44893.99861</v>
      </c>
      <c r="B2256" s="433">
        <f>IFERROR(__xludf.DUMMYFUNCTION("""COMPUTED_VALUE"""),16206.38)</f>
        <v>16206.38</v>
      </c>
      <c r="C2256" s="434">
        <f>IFERROR(__xludf.DUMMYFUNCTION("""COMPUTED_VALUE"""),44478.99861111111)</f>
        <v>44478.99861</v>
      </c>
      <c r="D2256" s="433">
        <f>IFERROR(__xludf.DUMMYFUNCTION("""COMPUTED_VALUE"""),3549.8738)</f>
        <v>3549.8738</v>
      </c>
    </row>
    <row r="2257">
      <c r="A2257" s="434">
        <f>IFERROR(__xludf.DUMMYFUNCTION("""COMPUTED_VALUE"""),44894.99861111111)</f>
        <v>44894.99861</v>
      </c>
      <c r="B2257" s="433">
        <f>IFERROR(__xludf.DUMMYFUNCTION("""COMPUTED_VALUE"""),16433.22)</f>
        <v>16433.22</v>
      </c>
      <c r="C2257" s="434">
        <f>IFERROR(__xludf.DUMMYFUNCTION("""COMPUTED_VALUE"""),44479.99861111111)</f>
        <v>44479.99861</v>
      </c>
      <c r="D2257" s="433">
        <f>IFERROR(__xludf.DUMMYFUNCTION("""COMPUTED_VALUE"""),3570.2968)</f>
        <v>3570.2968</v>
      </c>
    </row>
    <row r="2258">
      <c r="A2258" s="434">
        <f>IFERROR(__xludf.DUMMYFUNCTION("""COMPUTED_VALUE"""),44895.99861111111)</f>
        <v>44895.99861</v>
      </c>
      <c r="B2258" s="433">
        <f>IFERROR(__xludf.DUMMYFUNCTION("""COMPUTED_VALUE"""),17162.97)</f>
        <v>17162.97</v>
      </c>
      <c r="C2258" s="434">
        <f>IFERROR(__xludf.DUMMYFUNCTION("""COMPUTED_VALUE"""),44480.99861111111)</f>
        <v>44480.99861</v>
      </c>
      <c r="D2258" s="433">
        <f>IFERROR(__xludf.DUMMYFUNCTION("""COMPUTED_VALUE"""),3385.7617)</f>
        <v>3385.7617</v>
      </c>
    </row>
    <row r="2259">
      <c r="A2259" s="434">
        <f>IFERROR(__xludf.DUMMYFUNCTION("""COMPUTED_VALUE"""),44896.99861111111)</f>
        <v>44896.99861</v>
      </c>
      <c r="B2259" s="433">
        <f>IFERROR(__xludf.DUMMYFUNCTION("""COMPUTED_VALUE"""),16969.37)</f>
        <v>16969.37</v>
      </c>
      <c r="C2259" s="434">
        <f>IFERROR(__xludf.DUMMYFUNCTION("""COMPUTED_VALUE"""),44481.99861111111)</f>
        <v>44481.99861</v>
      </c>
      <c r="D2259" s="433">
        <f>IFERROR(__xludf.DUMMYFUNCTION("""COMPUTED_VALUE"""),3532.8615)</f>
        <v>3532.8615</v>
      </c>
    </row>
    <row r="2260">
      <c r="A2260" s="434">
        <f>IFERROR(__xludf.DUMMYFUNCTION("""COMPUTED_VALUE"""),44897.99861111111)</f>
        <v>44897.99861</v>
      </c>
      <c r="B2260" s="433">
        <f>IFERROR(__xludf.DUMMYFUNCTION("""COMPUTED_VALUE"""),17089.62)</f>
        <v>17089.62</v>
      </c>
      <c r="C2260" s="434">
        <f>IFERROR(__xludf.DUMMYFUNCTION("""COMPUTED_VALUE"""),44482.99861111111)</f>
        <v>44482.99861</v>
      </c>
      <c r="D2260" s="433">
        <f>IFERROR(__xludf.DUMMYFUNCTION("""COMPUTED_VALUE"""),3489.9274)</f>
        <v>3489.9274</v>
      </c>
    </row>
    <row r="2261">
      <c r="A2261" s="434">
        <f>IFERROR(__xludf.DUMMYFUNCTION("""COMPUTED_VALUE"""),44898.99861111111)</f>
        <v>44898.99861</v>
      </c>
      <c r="B2261" s="433">
        <f>IFERROR(__xludf.DUMMYFUNCTION("""COMPUTED_VALUE"""),16884.0)</f>
        <v>16884</v>
      </c>
      <c r="C2261" s="434">
        <f>IFERROR(__xludf.DUMMYFUNCTION("""COMPUTED_VALUE"""),44483.99861111111)</f>
        <v>44483.99861</v>
      </c>
      <c r="D2261" s="433">
        <f>IFERROR(__xludf.DUMMYFUNCTION("""COMPUTED_VALUE"""),3617.1591)</f>
        <v>3617.1591</v>
      </c>
    </row>
    <row r="2262">
      <c r="A2262" s="434">
        <f>IFERROR(__xludf.DUMMYFUNCTION("""COMPUTED_VALUE"""),44899.99861111111)</f>
        <v>44899.99861</v>
      </c>
      <c r="B2262" s="433">
        <f>IFERROR(__xludf.DUMMYFUNCTION("""COMPUTED_VALUE"""),17107.33)</f>
        <v>17107.33</v>
      </c>
      <c r="C2262" s="434">
        <f>IFERROR(__xludf.DUMMYFUNCTION("""COMPUTED_VALUE"""),44484.99861111111)</f>
        <v>44484.99861</v>
      </c>
      <c r="D2262" s="433">
        <f>IFERROR(__xludf.DUMMYFUNCTION("""COMPUTED_VALUE"""),3783.1716)</f>
        <v>3783.1716</v>
      </c>
    </row>
    <row r="2263">
      <c r="A2263" s="434">
        <f>IFERROR(__xludf.DUMMYFUNCTION("""COMPUTED_VALUE"""),44900.99861111111)</f>
        <v>44900.99861</v>
      </c>
      <c r="B2263" s="433">
        <f>IFERROR(__xludf.DUMMYFUNCTION("""COMPUTED_VALUE"""),16965.47)</f>
        <v>16965.47</v>
      </c>
      <c r="C2263" s="434">
        <f>IFERROR(__xludf.DUMMYFUNCTION("""COMPUTED_VALUE"""),44485.99861111111)</f>
        <v>44485.99861</v>
      </c>
      <c r="D2263" s="433">
        <f>IFERROR(__xludf.DUMMYFUNCTION("""COMPUTED_VALUE"""),3860.3823)</f>
        <v>3860.3823</v>
      </c>
    </row>
    <row r="2264">
      <c r="A2264" s="434">
        <f>IFERROR(__xludf.DUMMYFUNCTION("""COMPUTED_VALUE"""),44901.99861111111)</f>
        <v>44901.99861</v>
      </c>
      <c r="B2264" s="433">
        <f>IFERROR(__xludf.DUMMYFUNCTION("""COMPUTED_VALUE"""),17083.02)</f>
        <v>17083.02</v>
      </c>
      <c r="C2264" s="434">
        <f>IFERROR(__xludf.DUMMYFUNCTION("""COMPUTED_VALUE"""),44486.99861111111)</f>
        <v>44486.99861</v>
      </c>
      <c r="D2264" s="433">
        <f>IFERROR(__xludf.DUMMYFUNCTION("""COMPUTED_VALUE"""),3821.8062)</f>
        <v>3821.8062</v>
      </c>
    </row>
    <row r="2265">
      <c r="A2265" s="434">
        <f>IFERROR(__xludf.DUMMYFUNCTION("""COMPUTED_VALUE"""),44902.99861111111)</f>
        <v>44902.99861</v>
      </c>
      <c r="B2265" s="433">
        <f>IFERROR(__xludf.DUMMYFUNCTION("""COMPUTED_VALUE"""),16836.91)</f>
        <v>16836.91</v>
      </c>
      <c r="C2265" s="434">
        <f>IFERROR(__xludf.DUMMYFUNCTION("""COMPUTED_VALUE"""),44487.99861111111)</f>
        <v>44487.99861</v>
      </c>
      <c r="D2265" s="433">
        <f>IFERROR(__xludf.DUMMYFUNCTION("""COMPUTED_VALUE"""),3854.6728)</f>
        <v>3854.6728</v>
      </c>
    </row>
    <row r="2266">
      <c r="A2266" s="434">
        <f>IFERROR(__xludf.DUMMYFUNCTION("""COMPUTED_VALUE"""),44903.99861111111)</f>
        <v>44903.99861</v>
      </c>
      <c r="B2266" s="433">
        <f>IFERROR(__xludf.DUMMYFUNCTION("""COMPUTED_VALUE"""),17227.73)</f>
        <v>17227.73</v>
      </c>
      <c r="C2266" s="434">
        <f>IFERROR(__xludf.DUMMYFUNCTION("""COMPUTED_VALUE"""),44488.99861111111)</f>
        <v>44488.99861</v>
      </c>
      <c r="D2266" s="433">
        <f>IFERROR(__xludf.DUMMYFUNCTION("""COMPUTED_VALUE"""),3742.4653)</f>
        <v>3742.4653</v>
      </c>
    </row>
    <row r="2267">
      <c r="A2267" s="434">
        <f>IFERROR(__xludf.DUMMYFUNCTION("""COMPUTED_VALUE"""),44904.99861111111)</f>
        <v>44904.99861</v>
      </c>
      <c r="B2267" s="433">
        <f>IFERROR(__xludf.DUMMYFUNCTION("""COMPUTED_VALUE"""),17126.82)</f>
        <v>17126.82</v>
      </c>
      <c r="C2267" s="434">
        <f>IFERROR(__xludf.DUMMYFUNCTION("""COMPUTED_VALUE"""),44489.99861111111)</f>
        <v>44489.99861</v>
      </c>
      <c r="D2267" s="433">
        <f>IFERROR(__xludf.DUMMYFUNCTION("""COMPUTED_VALUE"""),3888.1025)</f>
        <v>3888.1025</v>
      </c>
    </row>
    <row r="2268">
      <c r="A2268" s="434">
        <f>IFERROR(__xludf.DUMMYFUNCTION("""COMPUTED_VALUE"""),44905.99861111111)</f>
        <v>44905.99861</v>
      </c>
      <c r="B2268" s="433">
        <f>IFERROR(__xludf.DUMMYFUNCTION("""COMPUTED_VALUE"""),17126.43)</f>
        <v>17126.43</v>
      </c>
      <c r="C2268" s="434">
        <f>IFERROR(__xludf.DUMMYFUNCTION("""COMPUTED_VALUE"""),44490.99861111111)</f>
        <v>44490.99861</v>
      </c>
      <c r="D2268" s="433">
        <f>IFERROR(__xludf.DUMMYFUNCTION("""COMPUTED_VALUE"""),4154.6159)</f>
        <v>4154.6159</v>
      </c>
    </row>
    <row r="2269">
      <c r="A2269" s="434">
        <f>IFERROR(__xludf.DUMMYFUNCTION("""COMPUTED_VALUE"""),44906.99861111111)</f>
        <v>44906.99861</v>
      </c>
      <c r="B2269" s="433">
        <f>IFERROR(__xludf.DUMMYFUNCTION("""COMPUTED_VALUE"""),17092.67)</f>
        <v>17092.67</v>
      </c>
      <c r="C2269" s="434">
        <f>IFERROR(__xludf.DUMMYFUNCTION("""COMPUTED_VALUE"""),44491.99861111111)</f>
        <v>44491.99861</v>
      </c>
      <c r="D2269" s="433">
        <f>IFERROR(__xludf.DUMMYFUNCTION("""COMPUTED_VALUE"""),4084.1797)</f>
        <v>4084.1797</v>
      </c>
    </row>
    <row r="2270">
      <c r="A2270" s="434">
        <f>IFERROR(__xludf.DUMMYFUNCTION("""COMPUTED_VALUE"""),44907.99861111111)</f>
        <v>44907.99861</v>
      </c>
      <c r="B2270" s="433">
        <f>IFERROR(__xludf.DUMMYFUNCTION("""COMPUTED_VALUE"""),17206.42)</f>
        <v>17206.42</v>
      </c>
      <c r="C2270" s="434">
        <f>IFERROR(__xludf.DUMMYFUNCTION("""COMPUTED_VALUE"""),44492.99861111111)</f>
        <v>44492.99861</v>
      </c>
      <c r="D2270" s="433">
        <f>IFERROR(__xludf.DUMMYFUNCTION("""COMPUTED_VALUE"""),3967.7563)</f>
        <v>3967.7563</v>
      </c>
    </row>
    <row r="2271">
      <c r="A2271" s="434">
        <f>IFERROR(__xludf.DUMMYFUNCTION("""COMPUTED_VALUE"""),44908.99861111111)</f>
        <v>44908.99861</v>
      </c>
      <c r="B2271" s="433">
        <f>IFERROR(__xludf.DUMMYFUNCTION("""COMPUTED_VALUE"""),17777.01)</f>
        <v>17777.01</v>
      </c>
      <c r="C2271" s="434">
        <f>IFERROR(__xludf.DUMMYFUNCTION("""COMPUTED_VALUE"""),44493.99861111111)</f>
        <v>44493.99861</v>
      </c>
      <c r="D2271" s="433">
        <f>IFERROR(__xludf.DUMMYFUNCTION("""COMPUTED_VALUE"""),4183.2868)</f>
        <v>4183.2868</v>
      </c>
    </row>
    <row r="2272">
      <c r="A2272" s="434">
        <f>IFERROR(__xludf.DUMMYFUNCTION("""COMPUTED_VALUE"""),44909.99861111111)</f>
        <v>44909.99861</v>
      </c>
      <c r="B2272" s="433">
        <f>IFERROR(__xludf.DUMMYFUNCTION("""COMPUTED_VALUE"""),17800.52)</f>
        <v>17800.52</v>
      </c>
      <c r="C2272" s="434">
        <f>IFERROR(__xludf.DUMMYFUNCTION("""COMPUTED_VALUE"""),44494.99861111111)</f>
        <v>44494.99861</v>
      </c>
      <c r="D2272" s="433">
        <f>IFERROR(__xludf.DUMMYFUNCTION("""COMPUTED_VALUE"""),4082.5495)</f>
        <v>4082.5495</v>
      </c>
    </row>
    <row r="2273">
      <c r="A2273" s="434">
        <f>IFERROR(__xludf.DUMMYFUNCTION("""COMPUTED_VALUE"""),44910.99861111111)</f>
        <v>44910.99861</v>
      </c>
      <c r="B2273" s="433">
        <f>IFERROR(__xludf.DUMMYFUNCTION("""COMPUTED_VALUE"""),17356.58)</f>
        <v>17356.58</v>
      </c>
      <c r="C2273" s="434">
        <f>IFERROR(__xludf.DUMMYFUNCTION("""COMPUTED_VALUE"""),44495.99861111111)</f>
        <v>44495.99861</v>
      </c>
      <c r="D2273" s="433">
        <f>IFERROR(__xludf.DUMMYFUNCTION("""COMPUTED_VALUE"""),4210.8972)</f>
        <v>4210.8972</v>
      </c>
    </row>
    <row r="2274">
      <c r="A2274" s="434">
        <f>IFERROR(__xludf.DUMMYFUNCTION("""COMPUTED_VALUE"""),44911.99861111111)</f>
        <v>44911.99861</v>
      </c>
      <c r="B2274" s="433">
        <f>IFERROR(__xludf.DUMMYFUNCTION("""COMPUTED_VALUE"""),16630.27)</f>
        <v>16630.27</v>
      </c>
      <c r="C2274" s="434">
        <f>IFERROR(__xludf.DUMMYFUNCTION("""COMPUTED_VALUE"""),44496.99861111111)</f>
        <v>44496.99861</v>
      </c>
      <c r="D2274" s="433">
        <f>IFERROR(__xludf.DUMMYFUNCTION("""COMPUTED_VALUE"""),4127.9295)</f>
        <v>4127.9295</v>
      </c>
    </row>
    <row r="2275">
      <c r="A2275" s="434">
        <f>IFERROR(__xludf.DUMMYFUNCTION("""COMPUTED_VALUE"""),44912.99861111111)</f>
        <v>44912.99861</v>
      </c>
      <c r="B2275" s="433">
        <f>IFERROR(__xludf.DUMMYFUNCTION("""COMPUTED_VALUE"""),16778.62)</f>
        <v>16778.62</v>
      </c>
      <c r="C2275" s="434">
        <f>IFERROR(__xludf.DUMMYFUNCTION("""COMPUTED_VALUE"""),44497.99861111111)</f>
        <v>44497.99861</v>
      </c>
      <c r="D2275" s="433">
        <f>IFERROR(__xludf.DUMMYFUNCTION("""COMPUTED_VALUE"""),3935.6198)</f>
        <v>3935.6198</v>
      </c>
    </row>
    <row r="2276">
      <c r="A2276" s="434">
        <f>IFERROR(__xludf.DUMMYFUNCTION("""COMPUTED_VALUE"""),44913.99861111111)</f>
        <v>44913.99861</v>
      </c>
      <c r="B2276" s="433">
        <f>IFERROR(__xludf.DUMMYFUNCTION("""COMPUTED_VALUE"""),16742.15)</f>
        <v>16742.15</v>
      </c>
      <c r="C2276" s="434">
        <f>IFERROR(__xludf.DUMMYFUNCTION("""COMPUTED_VALUE"""),44498.99861111111)</f>
        <v>44498.99861</v>
      </c>
      <c r="D2276" s="433">
        <f>IFERROR(__xludf.DUMMYFUNCTION("""COMPUTED_VALUE"""),4279.9112)</f>
        <v>4279.9112</v>
      </c>
    </row>
    <row r="2277">
      <c r="A2277" s="434">
        <f>IFERROR(__xludf.DUMMYFUNCTION("""COMPUTED_VALUE"""),44914.99861111111)</f>
        <v>44914.99861</v>
      </c>
      <c r="B2277" s="433">
        <f>IFERROR(__xludf.DUMMYFUNCTION("""COMPUTED_VALUE"""),16440.61)</f>
        <v>16440.61</v>
      </c>
      <c r="C2277" s="434">
        <f>IFERROR(__xludf.DUMMYFUNCTION("""COMPUTED_VALUE"""),44499.99861111111)</f>
        <v>44499.99861</v>
      </c>
      <c r="D2277" s="433">
        <f>IFERROR(__xludf.DUMMYFUNCTION("""COMPUTED_VALUE"""),4416.2653)</f>
        <v>4416.2653</v>
      </c>
    </row>
    <row r="2278">
      <c r="A2278" s="434">
        <f>IFERROR(__xludf.DUMMYFUNCTION("""COMPUTED_VALUE"""),44915.99861111111)</f>
        <v>44915.99861</v>
      </c>
      <c r="B2278" s="433">
        <f>IFERROR(__xludf.DUMMYFUNCTION("""COMPUTED_VALUE"""),16900.58)</f>
        <v>16900.58</v>
      </c>
      <c r="C2278" s="434">
        <f>IFERROR(__xludf.DUMMYFUNCTION("""COMPUTED_VALUE"""),44500.99861111111)</f>
        <v>44500.99861</v>
      </c>
      <c r="D2278" s="433">
        <f>IFERROR(__xludf.DUMMYFUNCTION("""COMPUTED_VALUE"""),4328.8132)</f>
        <v>4328.8132</v>
      </c>
    </row>
    <row r="2279">
      <c r="A2279" s="434">
        <f>IFERROR(__xludf.DUMMYFUNCTION("""COMPUTED_VALUE"""),44916.99861111111)</f>
        <v>44916.99861</v>
      </c>
      <c r="B2279" s="433">
        <f>IFERROR(__xludf.DUMMYFUNCTION("""COMPUTED_VALUE"""),16825.72)</f>
        <v>16825.72</v>
      </c>
      <c r="C2279" s="434">
        <f>IFERROR(__xludf.DUMMYFUNCTION("""COMPUTED_VALUE"""),44501.99861111111)</f>
        <v>44501.99861</v>
      </c>
      <c r="D2279" s="433">
        <f>IFERROR(__xludf.DUMMYFUNCTION("""COMPUTED_VALUE"""),4285.0076)</f>
        <v>4285.0076</v>
      </c>
    </row>
    <row r="2280">
      <c r="A2280" s="434">
        <f>IFERROR(__xludf.DUMMYFUNCTION("""COMPUTED_VALUE"""),44917.99861111111)</f>
        <v>44917.99861</v>
      </c>
      <c r="B2280" s="433">
        <f>IFERROR(__xludf.DUMMYFUNCTION("""COMPUTED_VALUE"""),16816.22)</f>
        <v>16816.22</v>
      </c>
      <c r="C2280" s="434">
        <f>IFERROR(__xludf.DUMMYFUNCTION("""COMPUTED_VALUE"""),44502.99861111111)</f>
        <v>44502.99861</v>
      </c>
      <c r="D2280" s="433">
        <f>IFERROR(__xludf.DUMMYFUNCTION("""COMPUTED_VALUE"""),4327.0885)</f>
        <v>4327.0885</v>
      </c>
    </row>
    <row r="2281">
      <c r="A2281" s="434">
        <f>IFERROR(__xludf.DUMMYFUNCTION("""COMPUTED_VALUE"""),44918.99861111111)</f>
        <v>44918.99861</v>
      </c>
      <c r="B2281" s="433">
        <f>IFERROR(__xludf.DUMMYFUNCTION("""COMPUTED_VALUE"""),16780.65)</f>
        <v>16780.65</v>
      </c>
      <c r="C2281" s="434">
        <f>IFERROR(__xludf.DUMMYFUNCTION("""COMPUTED_VALUE"""),44503.99861111111)</f>
        <v>44503.99861</v>
      </c>
      <c r="D2281" s="433">
        <f>IFERROR(__xludf.DUMMYFUNCTION("""COMPUTED_VALUE"""),4598.2)</f>
        <v>4598.2</v>
      </c>
    </row>
    <row r="2282">
      <c r="A2282" s="434">
        <f>IFERROR(__xludf.DUMMYFUNCTION("""COMPUTED_VALUE"""),44919.99861111111)</f>
        <v>44919.99861</v>
      </c>
      <c r="B2282" s="433">
        <f>IFERROR(__xludf.DUMMYFUNCTION("""COMPUTED_VALUE"""),16835.31)</f>
        <v>16835.31</v>
      </c>
      <c r="C2282" s="434">
        <f>IFERROR(__xludf.DUMMYFUNCTION("""COMPUTED_VALUE"""),44504.99861111111)</f>
        <v>44504.99861</v>
      </c>
      <c r="D2282" s="433">
        <f>IFERROR(__xludf.DUMMYFUNCTION("""COMPUTED_VALUE"""),4597.777)</f>
        <v>4597.777</v>
      </c>
    </row>
    <row r="2283">
      <c r="A2283" s="434">
        <f>IFERROR(__xludf.DUMMYFUNCTION("""COMPUTED_VALUE"""),44920.99861111111)</f>
        <v>44920.99861</v>
      </c>
      <c r="B2283" s="433">
        <f>IFERROR(__xludf.DUMMYFUNCTION("""COMPUTED_VALUE"""),16827.57)</f>
        <v>16827.57</v>
      </c>
      <c r="C2283" s="434">
        <f>IFERROR(__xludf.DUMMYFUNCTION("""COMPUTED_VALUE"""),44505.99861111111)</f>
        <v>44505.99861</v>
      </c>
      <c r="D2283" s="433">
        <f>IFERROR(__xludf.DUMMYFUNCTION("""COMPUTED_VALUE"""),4530.3266)</f>
        <v>4530.3266</v>
      </c>
    </row>
    <row r="2284">
      <c r="A2284" s="434">
        <f>IFERROR(__xludf.DUMMYFUNCTION("""COMPUTED_VALUE"""),44921.99861111111)</f>
        <v>44921.99861</v>
      </c>
      <c r="B2284" s="433">
        <f>IFERROR(__xludf.DUMMYFUNCTION("""COMPUTED_VALUE"""),16915.04)</f>
        <v>16915.04</v>
      </c>
      <c r="C2284" s="434">
        <f>IFERROR(__xludf.DUMMYFUNCTION("""COMPUTED_VALUE"""),44506.99861111111)</f>
        <v>44506.99861</v>
      </c>
      <c r="D2284" s="433">
        <f>IFERROR(__xludf.DUMMYFUNCTION("""COMPUTED_VALUE"""),4471.436)</f>
        <v>4471.436</v>
      </c>
    </row>
    <row r="2285">
      <c r="A2285" s="434">
        <f>IFERROR(__xludf.DUMMYFUNCTION("""COMPUTED_VALUE"""),44922.99861111111)</f>
        <v>44922.99861</v>
      </c>
      <c r="B2285" s="433">
        <f>IFERROR(__xludf.DUMMYFUNCTION("""COMPUTED_VALUE"""),16701.23)</f>
        <v>16701.23</v>
      </c>
      <c r="C2285" s="434">
        <f>IFERROR(__xludf.DUMMYFUNCTION("""COMPUTED_VALUE"""),44507.99861111111)</f>
        <v>44507.99861</v>
      </c>
      <c r="D2285" s="433">
        <f>IFERROR(__xludf.DUMMYFUNCTION("""COMPUTED_VALUE"""),4516.2351)</f>
        <v>4516.2351</v>
      </c>
    </row>
    <row r="2286">
      <c r="A2286" s="434">
        <f>IFERROR(__xludf.DUMMYFUNCTION("""COMPUTED_VALUE"""),44923.99861111111)</f>
        <v>44923.99861</v>
      </c>
      <c r="B2286" s="433">
        <f>IFERROR(__xludf.DUMMYFUNCTION("""COMPUTED_VALUE"""),16540.76)</f>
        <v>16540.76</v>
      </c>
      <c r="C2286" s="434">
        <f>IFERROR(__xludf.DUMMYFUNCTION("""COMPUTED_VALUE"""),44508.99861111111)</f>
        <v>44508.99861</v>
      </c>
      <c r="D2286" s="433">
        <f>IFERROR(__xludf.DUMMYFUNCTION("""COMPUTED_VALUE"""),4631.7285)</f>
        <v>4631.7285</v>
      </c>
    </row>
    <row r="2287">
      <c r="A2287" s="434">
        <f>IFERROR(__xludf.DUMMYFUNCTION("""COMPUTED_VALUE"""),44924.99861111111)</f>
        <v>44924.99861</v>
      </c>
      <c r="B2287" s="433">
        <f>IFERROR(__xludf.DUMMYFUNCTION("""COMPUTED_VALUE"""),16632.69)</f>
        <v>16632.69</v>
      </c>
      <c r="C2287" s="434">
        <f>IFERROR(__xludf.DUMMYFUNCTION("""COMPUTED_VALUE"""),44509.99861111111)</f>
        <v>44509.99861</v>
      </c>
      <c r="D2287" s="433">
        <f>IFERROR(__xludf.DUMMYFUNCTION("""COMPUTED_VALUE"""),4798.7948)</f>
        <v>4798.7948</v>
      </c>
    </row>
    <row r="2288">
      <c r="A2288" s="434">
        <f>IFERROR(__xludf.DUMMYFUNCTION("""COMPUTED_VALUE"""),44925.99861111111)</f>
        <v>44925.99861</v>
      </c>
      <c r="B2288" s="433">
        <f>IFERROR(__xludf.DUMMYFUNCTION("""COMPUTED_VALUE"""),16601.38)</f>
        <v>16601.38</v>
      </c>
      <c r="C2288" s="434">
        <f>IFERROR(__xludf.DUMMYFUNCTION("""COMPUTED_VALUE"""),44510.99861111111)</f>
        <v>44510.99861</v>
      </c>
      <c r="D2288" s="433">
        <f>IFERROR(__xludf.DUMMYFUNCTION("""COMPUTED_VALUE"""),4740.2885)</f>
        <v>4740.2885</v>
      </c>
    </row>
    <row r="2289">
      <c r="A2289" s="434">
        <f>IFERROR(__xludf.DUMMYFUNCTION("""COMPUTED_VALUE"""),44926.99861111111)</f>
        <v>44926.99861</v>
      </c>
      <c r="B2289" s="433">
        <f>IFERROR(__xludf.DUMMYFUNCTION("""COMPUTED_VALUE"""),16529.2)</f>
        <v>16529.2</v>
      </c>
      <c r="C2289" s="434">
        <f>IFERROR(__xludf.DUMMYFUNCTION("""COMPUTED_VALUE"""),44511.99861111111)</f>
        <v>44511.99861</v>
      </c>
      <c r="D2289" s="433">
        <f>IFERROR(__xludf.DUMMYFUNCTION("""COMPUTED_VALUE"""),4602.5919)</f>
        <v>4602.5919</v>
      </c>
    </row>
    <row r="2290">
      <c r="A2290" s="434">
        <f>IFERROR(__xludf.DUMMYFUNCTION("""COMPUTED_VALUE"""),44927.99861111111)</f>
        <v>44927.99861</v>
      </c>
      <c r="B2290" s="433">
        <f>IFERROR(__xludf.DUMMYFUNCTION("""COMPUTED_VALUE"""),16613.4)</f>
        <v>16613.4</v>
      </c>
      <c r="C2290" s="434">
        <f>IFERROR(__xludf.DUMMYFUNCTION("""COMPUTED_VALUE"""),44512.99861111111)</f>
        <v>44512.99861</v>
      </c>
      <c r="D2290" s="433">
        <f>IFERROR(__xludf.DUMMYFUNCTION("""COMPUTED_VALUE"""),4715.306)</f>
        <v>4715.306</v>
      </c>
    </row>
    <row r="2291">
      <c r="A2291" s="434">
        <f>IFERROR(__xludf.DUMMYFUNCTION("""COMPUTED_VALUE"""),44928.99861111111)</f>
        <v>44928.99861</v>
      </c>
      <c r="B2291" s="433">
        <f>IFERROR(__xludf.DUMMYFUNCTION("""COMPUTED_VALUE"""),16670.31)</f>
        <v>16670.31</v>
      </c>
      <c r="C2291" s="434">
        <f>IFERROR(__xludf.DUMMYFUNCTION("""COMPUTED_VALUE"""),44513.99861111111)</f>
        <v>44513.99861</v>
      </c>
      <c r="D2291" s="433">
        <f>IFERROR(__xludf.DUMMYFUNCTION("""COMPUTED_VALUE"""),4699.2825)</f>
        <v>4699.2825</v>
      </c>
    </row>
    <row r="2292">
      <c r="A2292" s="434">
        <f>IFERROR(__xludf.DUMMYFUNCTION("""COMPUTED_VALUE"""),44929.99861111111)</f>
        <v>44929.99861</v>
      </c>
      <c r="B2292" s="433">
        <f>IFERROR(__xludf.DUMMYFUNCTION("""COMPUTED_VALUE"""),16670.35)</f>
        <v>16670.35</v>
      </c>
      <c r="C2292" s="434">
        <f>IFERROR(__xludf.DUMMYFUNCTION("""COMPUTED_VALUE"""),44514.99861111111)</f>
        <v>44514.99861</v>
      </c>
      <c r="D2292" s="433">
        <f>IFERROR(__xludf.DUMMYFUNCTION("""COMPUTED_VALUE"""),4642.6668)</f>
        <v>4642.6668</v>
      </c>
    </row>
    <row r="2293">
      <c r="A2293" s="434">
        <f>IFERROR(__xludf.DUMMYFUNCTION("""COMPUTED_VALUE"""),44930.99861111111)</f>
        <v>44930.99861</v>
      </c>
      <c r="B2293" s="433">
        <f>IFERROR(__xludf.DUMMYFUNCTION("""COMPUTED_VALUE"""),16847.59)</f>
        <v>16847.59</v>
      </c>
      <c r="C2293" s="434">
        <f>IFERROR(__xludf.DUMMYFUNCTION("""COMPUTED_VALUE"""),44515.99861111111)</f>
        <v>44515.99861</v>
      </c>
      <c r="D2293" s="433">
        <f>IFERROR(__xludf.DUMMYFUNCTION("""COMPUTED_VALUE"""),4642.2389)</f>
        <v>4642.2389</v>
      </c>
    </row>
    <row r="2294">
      <c r="A2294" s="434">
        <f>IFERROR(__xludf.DUMMYFUNCTION("""COMPUTED_VALUE"""),44931.99861111111)</f>
        <v>44931.99861</v>
      </c>
      <c r="B2294" s="433">
        <f>IFERROR(__xludf.DUMMYFUNCTION("""COMPUTED_VALUE"""),16825.97)</f>
        <v>16825.97</v>
      </c>
      <c r="C2294" s="434">
        <f>IFERROR(__xludf.DUMMYFUNCTION("""COMPUTED_VALUE"""),44516.99861111111)</f>
        <v>44516.99861</v>
      </c>
      <c r="D2294" s="433">
        <f>IFERROR(__xludf.DUMMYFUNCTION("""COMPUTED_VALUE"""),4535.2086)</f>
        <v>4535.2086</v>
      </c>
    </row>
    <row r="2295">
      <c r="A2295" s="434">
        <f>IFERROR(__xludf.DUMMYFUNCTION("""COMPUTED_VALUE"""),44932.99861111111)</f>
        <v>44932.99861</v>
      </c>
      <c r="B2295" s="433">
        <f>IFERROR(__xludf.DUMMYFUNCTION("""COMPUTED_VALUE"""),16949.97)</f>
        <v>16949.97</v>
      </c>
      <c r="C2295" s="434">
        <f>IFERROR(__xludf.DUMMYFUNCTION("""COMPUTED_VALUE"""),44517.99861111111)</f>
        <v>44517.99861</v>
      </c>
      <c r="D2295" s="433">
        <f>IFERROR(__xludf.DUMMYFUNCTION("""COMPUTED_VALUE"""),4208.2449)</f>
        <v>4208.2449</v>
      </c>
    </row>
    <row r="2296">
      <c r="A2296" s="434">
        <f>IFERROR(__xludf.DUMMYFUNCTION("""COMPUTED_VALUE"""),44933.99861111111)</f>
        <v>44933.99861</v>
      </c>
      <c r="B2296" s="433">
        <f>IFERROR(__xludf.DUMMYFUNCTION("""COMPUTED_VALUE"""),16942.31)</f>
        <v>16942.31</v>
      </c>
      <c r="C2296" s="434">
        <f>IFERROR(__xludf.DUMMYFUNCTION("""COMPUTED_VALUE"""),44518.99861111111)</f>
        <v>44518.99861</v>
      </c>
      <c r="D2296" s="433">
        <f>IFERROR(__xludf.DUMMYFUNCTION("""COMPUTED_VALUE"""),4279.3065)</f>
        <v>4279.3065</v>
      </c>
    </row>
    <row r="2297">
      <c r="A2297" s="434">
        <f>IFERROR(__xludf.DUMMYFUNCTION("""COMPUTED_VALUE"""),44934.99861111111)</f>
        <v>44934.99861</v>
      </c>
      <c r="B2297" s="433">
        <f>IFERROR(__xludf.DUMMYFUNCTION("""COMPUTED_VALUE"""),17115.5)</f>
        <v>17115.5</v>
      </c>
      <c r="C2297" s="434">
        <f>IFERROR(__xludf.DUMMYFUNCTION("""COMPUTED_VALUE"""),44519.99861111111)</f>
        <v>44519.99861</v>
      </c>
      <c r="D2297" s="433">
        <f>IFERROR(__xludf.DUMMYFUNCTION("""COMPUTED_VALUE"""),3996.9825)</f>
        <v>3996.9825</v>
      </c>
    </row>
    <row r="2298">
      <c r="A2298" s="434">
        <f>IFERROR(__xludf.DUMMYFUNCTION("""COMPUTED_VALUE"""),44935.99861111111)</f>
        <v>44935.99861</v>
      </c>
      <c r="B2298" s="433">
        <f>IFERROR(__xludf.DUMMYFUNCTION("""COMPUTED_VALUE"""),17184.72)</f>
        <v>17184.72</v>
      </c>
      <c r="C2298" s="434">
        <f>IFERROR(__xludf.DUMMYFUNCTION("""COMPUTED_VALUE"""),44520.99861111111)</f>
        <v>44520.99861</v>
      </c>
      <c r="D2298" s="433">
        <f>IFERROR(__xludf.DUMMYFUNCTION("""COMPUTED_VALUE"""),4299.0616)</f>
        <v>4299.0616</v>
      </c>
    </row>
    <row r="2299">
      <c r="A2299" s="434">
        <f>IFERROR(__xludf.DUMMYFUNCTION("""COMPUTED_VALUE"""),44936.99861111111)</f>
        <v>44936.99861</v>
      </c>
      <c r="B2299" s="433">
        <f>IFERROR(__xludf.DUMMYFUNCTION("""COMPUTED_VALUE"""),17441.84)</f>
        <v>17441.84</v>
      </c>
      <c r="C2299" s="434">
        <f>IFERROR(__xludf.DUMMYFUNCTION("""COMPUTED_VALUE"""),44521.99861111111)</f>
        <v>44521.99861</v>
      </c>
      <c r="D2299" s="433">
        <f>IFERROR(__xludf.DUMMYFUNCTION("""COMPUTED_VALUE"""),4411.0714)</f>
        <v>4411.0714</v>
      </c>
    </row>
    <row r="2300">
      <c r="A2300" s="434">
        <f>IFERROR(__xludf.DUMMYFUNCTION("""COMPUTED_VALUE"""),44937.99861111111)</f>
        <v>44937.99861</v>
      </c>
      <c r="B2300" s="433">
        <f>IFERROR(__xludf.DUMMYFUNCTION("""COMPUTED_VALUE"""),17933.75)</f>
        <v>17933.75</v>
      </c>
      <c r="C2300" s="434">
        <f>IFERROR(__xludf.DUMMYFUNCTION("""COMPUTED_VALUE"""),44522.99861111111)</f>
        <v>44522.99861</v>
      </c>
      <c r="D2300" s="433">
        <f>IFERROR(__xludf.DUMMYFUNCTION("""COMPUTED_VALUE"""),4250.7596)</f>
        <v>4250.7596</v>
      </c>
    </row>
    <row r="2301">
      <c r="A2301" s="434">
        <f>IFERROR(__xludf.DUMMYFUNCTION("""COMPUTED_VALUE"""),44938.99861111111)</f>
        <v>44938.99861</v>
      </c>
      <c r="B2301" s="433">
        <f>IFERROR(__xludf.DUMMYFUNCTION("""COMPUTED_VALUE"""),18849.24)</f>
        <v>18849.24</v>
      </c>
      <c r="C2301" s="434">
        <f>IFERROR(__xludf.DUMMYFUNCTION("""COMPUTED_VALUE"""),44523.99861111111)</f>
        <v>44523.99861</v>
      </c>
      <c r="D2301" s="433">
        <f>IFERROR(__xludf.DUMMYFUNCTION("""COMPUTED_VALUE"""),4080.131)</f>
        <v>4080.131</v>
      </c>
    </row>
    <row r="2302">
      <c r="A2302" s="434">
        <f>IFERROR(__xludf.DUMMYFUNCTION("""COMPUTED_VALUE"""),44939.99861111111)</f>
        <v>44939.99861</v>
      </c>
      <c r="B2302" s="433">
        <f>IFERROR(__xludf.DUMMYFUNCTION("""COMPUTED_VALUE"""),19932.03)</f>
        <v>19932.03</v>
      </c>
      <c r="C2302" s="434">
        <f>IFERROR(__xludf.DUMMYFUNCTION("""COMPUTED_VALUE"""),44524.99861111111)</f>
        <v>44524.99861</v>
      </c>
      <c r="D2302" s="433">
        <f>IFERROR(__xludf.DUMMYFUNCTION("""COMPUTED_VALUE"""),4372.6364)</f>
        <v>4372.6364</v>
      </c>
    </row>
    <row r="2303">
      <c r="A2303" s="434">
        <f>IFERROR(__xludf.DUMMYFUNCTION("""COMPUTED_VALUE"""),44940.99861111111)</f>
        <v>44940.99861</v>
      </c>
      <c r="B2303" s="433">
        <f>IFERROR(__xludf.DUMMYFUNCTION("""COMPUTED_VALUE"""),20959.2)</f>
        <v>20959.2</v>
      </c>
      <c r="C2303" s="434">
        <f>IFERROR(__xludf.DUMMYFUNCTION("""COMPUTED_VALUE"""),44525.99861111111)</f>
        <v>44525.99861</v>
      </c>
      <c r="D2303" s="433">
        <f>IFERROR(__xludf.DUMMYFUNCTION("""COMPUTED_VALUE"""),4279.1244)</f>
        <v>4279.1244</v>
      </c>
    </row>
    <row r="2304">
      <c r="A2304" s="434">
        <f>IFERROR(__xludf.DUMMYFUNCTION("""COMPUTED_VALUE"""),44941.99861111111)</f>
        <v>44941.99861</v>
      </c>
      <c r="B2304" s="433">
        <f>IFERROR(__xludf.DUMMYFUNCTION("""COMPUTED_VALUE"""),20874.57)</f>
        <v>20874.57</v>
      </c>
      <c r="C2304" s="434">
        <f>IFERROR(__xludf.DUMMYFUNCTION("""COMPUTED_VALUE"""),44526.99861111111)</f>
        <v>44526.99861</v>
      </c>
      <c r="D2304" s="433">
        <f>IFERROR(__xludf.DUMMYFUNCTION("""COMPUTED_VALUE"""),4531.6522)</f>
        <v>4531.6522</v>
      </c>
    </row>
    <row r="2305">
      <c r="A2305" s="434">
        <f>IFERROR(__xludf.DUMMYFUNCTION("""COMPUTED_VALUE"""),44942.99861111111)</f>
        <v>44942.99861</v>
      </c>
      <c r="B2305" s="433">
        <f>IFERROR(__xludf.DUMMYFUNCTION("""COMPUTED_VALUE"""),21185.93)</f>
        <v>21185.93</v>
      </c>
      <c r="C2305" s="434">
        <f>IFERROR(__xludf.DUMMYFUNCTION("""COMPUTED_VALUE"""),44527.99861111111)</f>
        <v>44527.99861</v>
      </c>
      <c r="D2305" s="433">
        <f>IFERROR(__xludf.DUMMYFUNCTION("""COMPUTED_VALUE"""),4039.7854)</f>
        <v>4039.7854</v>
      </c>
    </row>
    <row r="2306">
      <c r="A2306" s="434">
        <f>IFERROR(__xludf.DUMMYFUNCTION("""COMPUTED_VALUE"""),44943.99861111111)</f>
        <v>44943.99861</v>
      </c>
      <c r="B2306" s="433">
        <f>IFERROR(__xludf.DUMMYFUNCTION("""COMPUTED_VALUE"""),21131.81)</f>
        <v>21131.81</v>
      </c>
      <c r="C2306" s="434">
        <f>IFERROR(__xludf.DUMMYFUNCTION("""COMPUTED_VALUE"""),44528.99861111111)</f>
        <v>44528.99861</v>
      </c>
      <c r="D2306" s="433">
        <f>IFERROR(__xludf.DUMMYFUNCTION("""COMPUTED_VALUE"""),4081.4532)</f>
        <v>4081.4532</v>
      </c>
    </row>
    <row r="2307">
      <c r="A2307" s="434">
        <f>IFERROR(__xludf.DUMMYFUNCTION("""COMPUTED_VALUE"""),44944.99861111111)</f>
        <v>44944.99861</v>
      </c>
      <c r="B2307" s="433">
        <f>IFERROR(__xludf.DUMMYFUNCTION("""COMPUTED_VALUE"""),20676.36)</f>
        <v>20676.36</v>
      </c>
      <c r="C2307" s="434">
        <f>IFERROR(__xludf.DUMMYFUNCTION("""COMPUTED_VALUE"""),44529.99861111111)</f>
        <v>44529.99861</v>
      </c>
      <c r="D2307" s="433">
        <f>IFERROR(__xludf.DUMMYFUNCTION("""COMPUTED_VALUE"""),4314.0538)</f>
        <v>4314.0538</v>
      </c>
    </row>
    <row r="2308">
      <c r="A2308" s="434">
        <f>IFERROR(__xludf.DUMMYFUNCTION("""COMPUTED_VALUE"""),44945.99861111111)</f>
        <v>44945.99861</v>
      </c>
      <c r="B2308" s="433">
        <f>IFERROR(__xludf.DUMMYFUNCTION("""COMPUTED_VALUE"""),21082.08)</f>
        <v>21082.08</v>
      </c>
      <c r="C2308" s="434">
        <f>IFERROR(__xludf.DUMMYFUNCTION("""COMPUTED_VALUE"""),44530.99861111111)</f>
        <v>44530.99861</v>
      </c>
      <c r="D2308" s="433">
        <f>IFERROR(__xludf.DUMMYFUNCTION("""COMPUTED_VALUE"""),4444.8236)</f>
        <v>4444.8236</v>
      </c>
    </row>
    <row r="2309">
      <c r="A2309" s="434">
        <f>IFERROR(__xludf.DUMMYFUNCTION("""COMPUTED_VALUE"""),44946.99861111111)</f>
        <v>44946.99861</v>
      </c>
      <c r="B2309" s="433">
        <f>IFERROR(__xludf.DUMMYFUNCTION("""COMPUTED_VALUE"""),22690.95)</f>
        <v>22690.95</v>
      </c>
      <c r="C2309" s="434">
        <f>IFERROR(__xludf.DUMMYFUNCTION("""COMPUTED_VALUE"""),44531.99861111111)</f>
        <v>44531.99861</v>
      </c>
      <c r="D2309" s="433">
        <f>IFERROR(__xludf.DUMMYFUNCTION("""COMPUTED_VALUE"""),4625.0349)</f>
        <v>4625.0349</v>
      </c>
    </row>
    <row r="2310">
      <c r="A2310" s="434">
        <f>IFERROR(__xludf.DUMMYFUNCTION("""COMPUTED_VALUE"""),44947.99861111111)</f>
        <v>44947.99861</v>
      </c>
      <c r="B2310" s="433">
        <f>IFERROR(__xludf.DUMMYFUNCTION("""COMPUTED_VALUE"""),22776.37)</f>
        <v>22776.37</v>
      </c>
      <c r="C2310" s="434">
        <f>IFERROR(__xludf.DUMMYFUNCTION("""COMPUTED_VALUE"""),44532.99861111111)</f>
        <v>44532.99861</v>
      </c>
      <c r="D2310" s="433">
        <f>IFERROR(__xludf.DUMMYFUNCTION("""COMPUTED_VALUE"""),4565.5814)</f>
        <v>4565.5814</v>
      </c>
    </row>
    <row r="2311">
      <c r="A2311" s="434">
        <f>IFERROR(__xludf.DUMMYFUNCTION("""COMPUTED_VALUE"""),44948.99861111111)</f>
        <v>44948.99861</v>
      </c>
      <c r="B2311" s="433">
        <f>IFERROR(__xludf.DUMMYFUNCTION("""COMPUTED_VALUE"""),22717.66)</f>
        <v>22717.66</v>
      </c>
      <c r="C2311" s="434">
        <f>IFERROR(__xludf.DUMMYFUNCTION("""COMPUTED_VALUE"""),44533.99861111111)</f>
        <v>44533.99861</v>
      </c>
      <c r="D2311" s="433">
        <f>IFERROR(__xludf.DUMMYFUNCTION("""COMPUTED_VALUE"""),4518.588)</f>
        <v>4518.588</v>
      </c>
    </row>
    <row r="2312">
      <c r="A2312" s="434">
        <f>IFERROR(__xludf.DUMMYFUNCTION("""COMPUTED_VALUE"""),44949.99861111111)</f>
        <v>44949.99861</v>
      </c>
      <c r="B2312" s="433">
        <f>IFERROR(__xludf.DUMMYFUNCTION("""COMPUTED_VALUE"""),22915.43)</f>
        <v>22915.43</v>
      </c>
      <c r="C2312" s="434">
        <f>IFERROR(__xludf.DUMMYFUNCTION("""COMPUTED_VALUE"""),44534.99861111111)</f>
        <v>44534.99861</v>
      </c>
      <c r="D2312" s="433">
        <f>IFERROR(__xludf.DUMMYFUNCTION("""COMPUTED_VALUE"""),4201.0176)</f>
        <v>4201.0176</v>
      </c>
    </row>
    <row r="2313">
      <c r="A2313" s="434">
        <f>IFERROR(__xludf.DUMMYFUNCTION("""COMPUTED_VALUE"""),44950.99861111111)</f>
        <v>44950.99861</v>
      </c>
      <c r="B2313" s="433">
        <f>IFERROR(__xludf.DUMMYFUNCTION("""COMPUTED_VALUE"""),22632.03)</f>
        <v>22632.03</v>
      </c>
      <c r="C2313" s="434">
        <f>IFERROR(__xludf.DUMMYFUNCTION("""COMPUTED_VALUE"""),44535.99861111111)</f>
        <v>44535.99861</v>
      </c>
      <c r="D2313" s="433">
        <f>IFERROR(__xludf.DUMMYFUNCTION("""COMPUTED_VALUE"""),4142.34)</f>
        <v>4142.34</v>
      </c>
    </row>
    <row r="2314">
      <c r="A2314" s="434">
        <f>IFERROR(__xludf.DUMMYFUNCTION("""COMPUTED_VALUE"""),44951.99861111111)</f>
        <v>44951.99861</v>
      </c>
      <c r="B2314" s="433">
        <f>IFERROR(__xludf.DUMMYFUNCTION("""COMPUTED_VALUE"""),23042.07)</f>
        <v>23042.07</v>
      </c>
      <c r="C2314" s="434">
        <f>IFERROR(__xludf.DUMMYFUNCTION("""COMPUTED_VALUE"""),44536.99861111111)</f>
        <v>44536.99861</v>
      </c>
      <c r="D2314" s="433">
        <f>IFERROR(__xludf.DUMMYFUNCTION("""COMPUTED_VALUE"""),4190.3164)</f>
        <v>4190.3164</v>
      </c>
    </row>
    <row r="2315">
      <c r="A2315" s="434">
        <f>IFERROR(__xludf.DUMMYFUNCTION("""COMPUTED_VALUE"""),44952.99861111111)</f>
        <v>44952.99861</v>
      </c>
      <c r="B2315" s="433">
        <f>IFERROR(__xludf.DUMMYFUNCTION("""COMPUTED_VALUE"""),23011.24)</f>
        <v>23011.24</v>
      </c>
      <c r="C2315" s="434">
        <f>IFERROR(__xludf.DUMMYFUNCTION("""COMPUTED_VALUE"""),44537.99861111111)</f>
        <v>44537.99861</v>
      </c>
      <c r="D2315" s="433">
        <f>IFERROR(__xludf.DUMMYFUNCTION("""COMPUTED_VALUE"""),4369.0823)</f>
        <v>4369.0823</v>
      </c>
    </row>
    <row r="2316">
      <c r="A2316" s="434">
        <f>IFERROR(__xludf.DUMMYFUNCTION("""COMPUTED_VALUE"""),44953.99861111111)</f>
        <v>44953.99861</v>
      </c>
      <c r="B2316" s="433">
        <f>IFERROR(__xludf.DUMMYFUNCTION("""COMPUTED_VALUE"""),23076.87)</f>
        <v>23076.87</v>
      </c>
      <c r="C2316" s="434">
        <f>IFERROR(__xludf.DUMMYFUNCTION("""COMPUTED_VALUE"""),44538.99861111111)</f>
        <v>44538.99861</v>
      </c>
      <c r="D2316" s="433">
        <f>IFERROR(__xludf.DUMMYFUNCTION("""COMPUTED_VALUE"""),4304.434)</f>
        <v>4304.434</v>
      </c>
    </row>
    <row r="2317">
      <c r="A2317" s="434">
        <f>IFERROR(__xludf.DUMMYFUNCTION("""COMPUTED_VALUE"""),44954.99861111111)</f>
        <v>44954.99861</v>
      </c>
      <c r="B2317" s="433">
        <f>IFERROR(__xludf.DUMMYFUNCTION("""COMPUTED_VALUE"""),23027.19)</f>
        <v>23027.19</v>
      </c>
      <c r="C2317" s="434">
        <f>IFERROR(__xludf.DUMMYFUNCTION("""COMPUTED_VALUE"""),44539.99861111111)</f>
        <v>44539.99861</v>
      </c>
      <c r="D2317" s="433">
        <f>IFERROR(__xludf.DUMMYFUNCTION("""COMPUTED_VALUE"""),4462.6359)</f>
        <v>4462.6359</v>
      </c>
    </row>
    <row r="2318">
      <c r="A2318" s="434">
        <f>IFERROR(__xludf.DUMMYFUNCTION("""COMPUTED_VALUE"""),44955.99861111111)</f>
        <v>44955.99861</v>
      </c>
      <c r="B2318" s="433">
        <f>IFERROR(__xludf.DUMMYFUNCTION("""COMPUTED_VALUE"""),23746.97)</f>
        <v>23746.97</v>
      </c>
      <c r="C2318" s="434">
        <f>IFERROR(__xludf.DUMMYFUNCTION("""COMPUTED_VALUE"""),44540.99861111111)</f>
        <v>44540.99861</v>
      </c>
      <c r="D2318" s="433">
        <f>IFERROR(__xludf.DUMMYFUNCTION("""COMPUTED_VALUE"""),4114.0656)</f>
        <v>4114.0656</v>
      </c>
    </row>
    <row r="2319">
      <c r="A2319" s="434">
        <f>IFERROR(__xludf.DUMMYFUNCTION("""COMPUTED_VALUE"""),44956.99861111111)</f>
        <v>44956.99861</v>
      </c>
      <c r="B2319" s="433">
        <f>IFERROR(__xludf.DUMMYFUNCTION("""COMPUTED_VALUE"""),22832.76)</f>
        <v>22832.76</v>
      </c>
      <c r="C2319" s="434">
        <f>IFERROR(__xludf.DUMMYFUNCTION("""COMPUTED_VALUE"""),44541.99861111111)</f>
        <v>44541.99861</v>
      </c>
      <c r="D2319" s="433">
        <f>IFERROR(__xludf.DUMMYFUNCTION("""COMPUTED_VALUE"""),3910.4329)</f>
        <v>3910.4329</v>
      </c>
    </row>
    <row r="2320">
      <c r="A2320" s="434">
        <f>IFERROR(__xludf.DUMMYFUNCTION("""COMPUTED_VALUE"""),44957.99861111111)</f>
        <v>44957.99861</v>
      </c>
      <c r="B2320" s="433">
        <f>IFERROR(__xludf.DUMMYFUNCTION("""COMPUTED_VALUE"""),23129.07)</f>
        <v>23129.07</v>
      </c>
      <c r="C2320" s="434">
        <f>IFERROR(__xludf.DUMMYFUNCTION("""COMPUTED_VALUE"""),44542.99861111111)</f>
        <v>44542.99861</v>
      </c>
      <c r="D2320" s="433">
        <f>IFERROR(__xludf.DUMMYFUNCTION("""COMPUTED_VALUE"""),4086.8801)</f>
        <v>4086.8801</v>
      </c>
    </row>
    <row r="2321">
      <c r="A2321" s="434">
        <f>IFERROR(__xludf.DUMMYFUNCTION("""COMPUTED_VALUE"""),44958.99861111111)</f>
        <v>44958.99861</v>
      </c>
      <c r="B2321" s="433">
        <f>IFERROR(__xludf.DUMMYFUNCTION("""COMPUTED_VALUE"""),23726.49)</f>
        <v>23726.49</v>
      </c>
      <c r="C2321" s="434">
        <f>IFERROR(__xludf.DUMMYFUNCTION("""COMPUTED_VALUE"""),44543.99861111111)</f>
        <v>44543.99861</v>
      </c>
      <c r="D2321" s="433">
        <f>IFERROR(__xludf.DUMMYFUNCTION("""COMPUTED_VALUE"""),4140.3942)</f>
        <v>4140.3942</v>
      </c>
    </row>
    <row r="2322">
      <c r="A2322" s="434">
        <f>IFERROR(__xludf.DUMMYFUNCTION("""COMPUTED_VALUE"""),44959.99861111111)</f>
        <v>44959.99861</v>
      </c>
      <c r="B2322" s="433">
        <f>IFERROR(__xludf.DUMMYFUNCTION("""COMPUTED_VALUE"""),23466.61)</f>
        <v>23466.61</v>
      </c>
      <c r="C2322" s="434">
        <f>IFERROR(__xludf.DUMMYFUNCTION("""COMPUTED_VALUE"""),44544.99861111111)</f>
        <v>44544.99861</v>
      </c>
      <c r="D2322" s="433">
        <f>IFERROR(__xludf.DUMMYFUNCTION("""COMPUTED_VALUE"""),3773.4953)</f>
        <v>3773.4953</v>
      </c>
    </row>
    <row r="2323">
      <c r="A2323" s="434">
        <f>IFERROR(__xludf.DUMMYFUNCTION("""COMPUTED_VALUE"""),44960.99861111111)</f>
        <v>44960.99861</v>
      </c>
      <c r="B2323" s="433">
        <f>IFERROR(__xludf.DUMMYFUNCTION("""COMPUTED_VALUE"""),23433.82)</f>
        <v>23433.82</v>
      </c>
      <c r="C2323" s="434">
        <f>IFERROR(__xludf.DUMMYFUNCTION("""COMPUTED_VALUE"""),44545.99861111111)</f>
        <v>44545.99861</v>
      </c>
      <c r="D2323" s="433">
        <f>IFERROR(__xludf.DUMMYFUNCTION("""COMPUTED_VALUE"""),3860.2436)</f>
        <v>3860.2436</v>
      </c>
    </row>
    <row r="2324">
      <c r="A2324" s="434">
        <f>IFERROR(__xludf.DUMMYFUNCTION("""COMPUTED_VALUE"""),44961.99861111111)</f>
        <v>44961.99861</v>
      </c>
      <c r="B2324" s="433">
        <f>IFERROR(__xludf.DUMMYFUNCTION("""COMPUTED_VALUE"""),23326.39)</f>
        <v>23326.39</v>
      </c>
      <c r="C2324" s="434">
        <f>IFERROR(__xludf.DUMMYFUNCTION("""COMPUTED_VALUE"""),44546.99861111111)</f>
        <v>44546.99861</v>
      </c>
      <c r="D2324" s="433">
        <f>IFERROR(__xludf.DUMMYFUNCTION("""COMPUTED_VALUE"""),4030.9692)</f>
        <v>4030.9692</v>
      </c>
    </row>
    <row r="2325">
      <c r="A2325" s="434">
        <f>IFERROR(__xludf.DUMMYFUNCTION("""COMPUTED_VALUE"""),44962.99861111111)</f>
        <v>44962.99861</v>
      </c>
      <c r="B2325" s="433">
        <f>IFERROR(__xludf.DUMMYFUNCTION("""COMPUTED_VALUE"""),22935.36)</f>
        <v>22935.36</v>
      </c>
      <c r="C2325" s="434">
        <f>IFERROR(__xludf.DUMMYFUNCTION("""COMPUTED_VALUE"""),44547.99861111111)</f>
        <v>44547.99861</v>
      </c>
      <c r="D2325" s="433">
        <f>IFERROR(__xludf.DUMMYFUNCTION("""COMPUTED_VALUE"""),3951.2515)</f>
        <v>3951.2515</v>
      </c>
    </row>
    <row r="2326">
      <c r="A2326" s="434">
        <f>IFERROR(__xludf.DUMMYFUNCTION("""COMPUTED_VALUE"""),44963.99861111111)</f>
        <v>44963.99861</v>
      </c>
      <c r="B2326" s="433">
        <f>IFERROR(__xludf.DUMMYFUNCTION("""COMPUTED_VALUE"""),22759.66)</f>
        <v>22759.66</v>
      </c>
      <c r="C2326" s="434">
        <f>IFERROR(__xludf.DUMMYFUNCTION("""COMPUTED_VALUE"""),44548.99861111111)</f>
        <v>44548.99861</v>
      </c>
      <c r="D2326" s="433">
        <f>IFERROR(__xludf.DUMMYFUNCTION("""COMPUTED_VALUE"""),3872.395)</f>
        <v>3872.395</v>
      </c>
    </row>
    <row r="2327">
      <c r="A2327" s="434">
        <f>IFERROR(__xludf.DUMMYFUNCTION("""COMPUTED_VALUE"""),44964.99861111111)</f>
        <v>44964.99861</v>
      </c>
      <c r="B2327" s="433">
        <f>IFERROR(__xludf.DUMMYFUNCTION("""COMPUTED_VALUE"""),23249.69)</f>
        <v>23249.69</v>
      </c>
      <c r="C2327" s="434">
        <f>IFERROR(__xludf.DUMMYFUNCTION("""COMPUTED_VALUE"""),44549.99861111111)</f>
        <v>44549.99861</v>
      </c>
      <c r="D2327" s="433">
        <f>IFERROR(__xludf.DUMMYFUNCTION("""COMPUTED_VALUE"""),3962.5647)</f>
        <v>3962.5647</v>
      </c>
    </row>
    <row r="2328">
      <c r="A2328" s="434">
        <f>IFERROR(__xludf.DUMMYFUNCTION("""COMPUTED_VALUE"""),44965.99861111111)</f>
        <v>44965.99861</v>
      </c>
      <c r="B2328" s="433">
        <f>IFERROR(__xludf.DUMMYFUNCTION("""COMPUTED_VALUE"""),22962.82)</f>
        <v>22962.82</v>
      </c>
      <c r="C2328" s="434">
        <f>IFERROR(__xludf.DUMMYFUNCTION("""COMPUTED_VALUE"""),44550.99861111111)</f>
        <v>44550.99861</v>
      </c>
      <c r="D2328" s="433">
        <f>IFERROR(__xludf.DUMMYFUNCTION("""COMPUTED_VALUE"""),3912.7817)</f>
        <v>3912.7817</v>
      </c>
    </row>
    <row r="2329">
      <c r="A2329" s="434">
        <f>IFERROR(__xludf.DUMMYFUNCTION("""COMPUTED_VALUE"""),44966.99861111111)</f>
        <v>44966.99861</v>
      </c>
      <c r="B2329" s="433">
        <f>IFERROR(__xludf.DUMMYFUNCTION("""COMPUTED_VALUE"""),21796.41)</f>
        <v>21796.41</v>
      </c>
      <c r="C2329" s="434">
        <f>IFERROR(__xludf.DUMMYFUNCTION("""COMPUTED_VALUE"""),44551.99861111111)</f>
        <v>44551.99861</v>
      </c>
      <c r="D2329" s="433">
        <f>IFERROR(__xludf.DUMMYFUNCTION("""COMPUTED_VALUE"""),3969.1696)</f>
        <v>3969.1696</v>
      </c>
    </row>
    <row r="2330">
      <c r="A2330" s="434">
        <f>IFERROR(__xludf.DUMMYFUNCTION("""COMPUTED_VALUE"""),44967.99861111111)</f>
        <v>44967.99861</v>
      </c>
      <c r="B2330" s="433">
        <f>IFERROR(__xludf.DUMMYFUNCTION("""COMPUTED_VALUE"""),21633.82)</f>
        <v>21633.82</v>
      </c>
      <c r="C2330" s="434">
        <f>IFERROR(__xludf.DUMMYFUNCTION("""COMPUTED_VALUE"""),44552.99861111111)</f>
        <v>44552.99861</v>
      </c>
      <c r="D2330" s="433">
        <f>IFERROR(__xludf.DUMMYFUNCTION("""COMPUTED_VALUE"""),4025.1144)</f>
        <v>4025.1144</v>
      </c>
    </row>
    <row r="2331">
      <c r="A2331" s="434">
        <f>IFERROR(__xludf.DUMMYFUNCTION("""COMPUTED_VALUE"""),44968.99861111111)</f>
        <v>44968.99861</v>
      </c>
      <c r="B2331" s="433">
        <f>IFERROR(__xludf.DUMMYFUNCTION("""COMPUTED_VALUE"""),21862.51)</f>
        <v>21862.51</v>
      </c>
      <c r="C2331" s="434">
        <f>IFERROR(__xludf.DUMMYFUNCTION("""COMPUTED_VALUE"""),44553.99861111111)</f>
        <v>44553.99861</v>
      </c>
      <c r="D2331" s="433">
        <f>IFERROR(__xludf.DUMMYFUNCTION("""COMPUTED_VALUE"""),3983.9636)</f>
        <v>3983.9636</v>
      </c>
    </row>
    <row r="2332">
      <c r="A2332" s="434">
        <f>IFERROR(__xludf.DUMMYFUNCTION("""COMPUTED_VALUE"""),44969.99861111111)</f>
        <v>44969.99861</v>
      </c>
      <c r="B2332" s="433">
        <f>IFERROR(__xludf.DUMMYFUNCTION("""COMPUTED_VALUE"""),21789.02)</f>
        <v>21789.02</v>
      </c>
      <c r="C2332" s="434">
        <f>IFERROR(__xludf.DUMMYFUNCTION("""COMPUTED_VALUE"""),44554.99861111111)</f>
        <v>44554.99861</v>
      </c>
      <c r="D2332" s="433">
        <f>IFERROR(__xludf.DUMMYFUNCTION("""COMPUTED_VALUE"""),4118.2013)</f>
        <v>4118.2013</v>
      </c>
    </row>
    <row r="2333">
      <c r="A2333" s="434">
        <f>IFERROR(__xludf.DUMMYFUNCTION("""COMPUTED_VALUE"""),44970.99861111111)</f>
        <v>44970.99861</v>
      </c>
      <c r="B2333" s="433">
        <f>IFERROR(__xludf.DUMMYFUNCTION("""COMPUTED_VALUE"""),21786.16)</f>
        <v>21786.16</v>
      </c>
      <c r="C2333" s="434">
        <f>IFERROR(__xludf.DUMMYFUNCTION("""COMPUTED_VALUE"""),44555.99861111111)</f>
        <v>44555.99861</v>
      </c>
      <c r="D2333" s="433">
        <f>IFERROR(__xludf.DUMMYFUNCTION("""COMPUTED_VALUE"""),4038.5041)</f>
        <v>4038.5041</v>
      </c>
    </row>
    <row r="2334">
      <c r="A2334" s="434">
        <f>IFERROR(__xludf.DUMMYFUNCTION("""COMPUTED_VALUE"""),44971.99861111111)</f>
        <v>44971.99861</v>
      </c>
      <c r="B2334" s="433">
        <f>IFERROR(__xludf.DUMMYFUNCTION("""COMPUTED_VALUE"""),22206.75)</f>
        <v>22206.75</v>
      </c>
      <c r="C2334" s="434">
        <f>IFERROR(__xludf.DUMMYFUNCTION("""COMPUTED_VALUE"""),44556.99861111111)</f>
        <v>44556.99861</v>
      </c>
      <c r="D2334" s="433">
        <f>IFERROR(__xludf.DUMMYFUNCTION("""COMPUTED_VALUE"""),4093.2806)</f>
        <v>4093.2806</v>
      </c>
    </row>
    <row r="2335">
      <c r="A2335" s="434">
        <f>IFERROR(__xludf.DUMMYFUNCTION("""COMPUTED_VALUE"""),44972.99861111111)</f>
        <v>44972.99861</v>
      </c>
      <c r="B2335" s="433">
        <f>IFERROR(__xludf.DUMMYFUNCTION("""COMPUTED_VALUE"""),24331.48)</f>
        <v>24331.48</v>
      </c>
      <c r="C2335" s="434">
        <f>IFERROR(__xludf.DUMMYFUNCTION("""COMPUTED_VALUE"""),44557.99861111111)</f>
        <v>44557.99861</v>
      </c>
      <c r="D2335" s="433">
        <f>IFERROR(__xludf.DUMMYFUNCTION("""COMPUTED_VALUE"""),4070.2864)</f>
        <v>4070.2864</v>
      </c>
    </row>
    <row r="2336">
      <c r="A2336" s="434">
        <f>IFERROR(__xludf.DUMMYFUNCTION("""COMPUTED_VALUE"""),44973.99861111111)</f>
        <v>44973.99861</v>
      </c>
      <c r="B2336" s="433">
        <f>IFERROR(__xludf.DUMMYFUNCTION("""COMPUTED_VALUE"""),23553.45)</f>
        <v>23553.45</v>
      </c>
      <c r="C2336" s="434">
        <f>IFERROR(__xludf.DUMMYFUNCTION("""COMPUTED_VALUE"""),44558.99861111111)</f>
        <v>44558.99861</v>
      </c>
      <c r="D2336" s="433">
        <f>IFERROR(__xludf.DUMMYFUNCTION("""COMPUTED_VALUE"""),4026.205)</f>
        <v>4026.205</v>
      </c>
    </row>
    <row r="2337">
      <c r="A2337" s="434">
        <f>IFERROR(__xludf.DUMMYFUNCTION("""COMPUTED_VALUE"""),44974.99861111111)</f>
        <v>44974.99861</v>
      </c>
      <c r="B2337" s="433">
        <f>IFERROR(__xludf.DUMMYFUNCTION("""COMPUTED_VALUE"""),24574.44)</f>
        <v>24574.44</v>
      </c>
      <c r="C2337" s="434">
        <f>IFERROR(__xludf.DUMMYFUNCTION("""COMPUTED_VALUE"""),44559.99861111111)</f>
        <v>44559.99861</v>
      </c>
      <c r="D2337" s="433">
        <f>IFERROR(__xludf.DUMMYFUNCTION("""COMPUTED_VALUE"""),3793.412)</f>
        <v>3793.412</v>
      </c>
    </row>
    <row r="2338">
      <c r="A2338" s="434">
        <f>IFERROR(__xludf.DUMMYFUNCTION("""COMPUTED_VALUE"""),44975.99861111111)</f>
        <v>44975.99861</v>
      </c>
      <c r="B2338" s="433">
        <f>IFERROR(__xludf.DUMMYFUNCTION("""COMPUTED_VALUE"""),24634.69)</f>
        <v>24634.69</v>
      </c>
      <c r="C2338" s="434">
        <f>IFERROR(__xludf.DUMMYFUNCTION("""COMPUTED_VALUE"""),44560.99861111111)</f>
        <v>44560.99861</v>
      </c>
      <c r="D2338" s="433">
        <f>IFERROR(__xludf.DUMMYFUNCTION("""COMPUTED_VALUE"""),3628.7241)</f>
        <v>3628.7241</v>
      </c>
    </row>
    <row r="2339">
      <c r="A2339" s="434">
        <f>IFERROR(__xludf.DUMMYFUNCTION("""COMPUTED_VALUE"""),44976.99861111111)</f>
        <v>44976.99861</v>
      </c>
      <c r="B2339" s="433">
        <f>IFERROR(__xludf.DUMMYFUNCTION("""COMPUTED_VALUE"""),24290.05)</f>
        <v>24290.05</v>
      </c>
      <c r="C2339" s="434">
        <f>IFERROR(__xludf.DUMMYFUNCTION("""COMPUTED_VALUE"""),44561.99861111111)</f>
        <v>44561.99861</v>
      </c>
      <c r="D2339" s="433">
        <f>IFERROR(__xludf.DUMMYFUNCTION("""COMPUTED_VALUE"""),3723.0581)</f>
        <v>3723.0581</v>
      </c>
    </row>
    <row r="2340">
      <c r="A2340" s="434">
        <f>IFERROR(__xludf.DUMMYFUNCTION("""COMPUTED_VALUE"""),44977.99861111111)</f>
        <v>44977.99861</v>
      </c>
      <c r="B2340" s="433">
        <f>IFERROR(__xludf.DUMMYFUNCTION("""COMPUTED_VALUE"""),24841.51)</f>
        <v>24841.51</v>
      </c>
      <c r="C2340" s="434">
        <f>IFERROR(__xludf.DUMMYFUNCTION("""COMPUTED_VALUE"""),44562.99861111111)</f>
        <v>44562.99861</v>
      </c>
      <c r="D2340" s="433">
        <f>IFERROR(__xludf.DUMMYFUNCTION("""COMPUTED_VALUE"""),3692.4083)</f>
        <v>3692.4083</v>
      </c>
    </row>
    <row r="2341">
      <c r="A2341" s="434">
        <f>IFERROR(__xludf.DUMMYFUNCTION("""COMPUTED_VALUE"""),44978.99861111111)</f>
        <v>44978.99861</v>
      </c>
      <c r="B2341" s="433">
        <f>IFERROR(__xludf.DUMMYFUNCTION("""COMPUTED_VALUE"""),24447.45)</f>
        <v>24447.45</v>
      </c>
      <c r="C2341" s="434">
        <f>IFERROR(__xludf.DUMMYFUNCTION("""COMPUTED_VALUE"""),44563.99861111111)</f>
        <v>44563.99861</v>
      </c>
      <c r="D2341" s="433">
        <f>IFERROR(__xludf.DUMMYFUNCTION("""COMPUTED_VALUE"""),3768.6406)</f>
        <v>3768.6406</v>
      </c>
    </row>
    <row r="2342">
      <c r="A2342" s="434">
        <f>IFERROR(__xludf.DUMMYFUNCTION("""COMPUTED_VALUE"""),44979.99861111111)</f>
        <v>44979.99861</v>
      </c>
      <c r="B2342" s="433">
        <f>IFERROR(__xludf.DUMMYFUNCTION("""COMPUTED_VALUE"""),24184.45)</f>
        <v>24184.45</v>
      </c>
      <c r="C2342" s="434">
        <f>IFERROR(__xludf.DUMMYFUNCTION("""COMPUTED_VALUE"""),44564.99861111111)</f>
        <v>44564.99861</v>
      </c>
      <c r="D2342" s="433">
        <f>IFERROR(__xludf.DUMMYFUNCTION("""COMPUTED_VALUE"""),3822.9164)</f>
        <v>3822.9164</v>
      </c>
    </row>
    <row r="2343">
      <c r="A2343" s="434">
        <f>IFERROR(__xludf.DUMMYFUNCTION("""COMPUTED_VALUE"""),44980.99861111111)</f>
        <v>44980.99861</v>
      </c>
      <c r="B2343" s="433">
        <f>IFERROR(__xludf.DUMMYFUNCTION("""COMPUTED_VALUE"""),23937.51)</f>
        <v>23937.51</v>
      </c>
      <c r="C2343" s="434">
        <f>IFERROR(__xludf.DUMMYFUNCTION("""COMPUTED_VALUE"""),44565.99861111111)</f>
        <v>44565.99861</v>
      </c>
      <c r="D2343" s="433">
        <f>IFERROR(__xludf.DUMMYFUNCTION("""COMPUTED_VALUE"""),3768.1743)</f>
        <v>3768.1743</v>
      </c>
    </row>
    <row r="2344">
      <c r="A2344" s="434">
        <f>IFERROR(__xludf.DUMMYFUNCTION("""COMPUTED_VALUE"""),44981.99861111111)</f>
        <v>44981.99861</v>
      </c>
      <c r="B2344" s="433">
        <f>IFERROR(__xludf.DUMMYFUNCTION("""COMPUTED_VALUE"""),23192.77)</f>
        <v>23192.77</v>
      </c>
      <c r="C2344" s="434">
        <f>IFERROR(__xludf.DUMMYFUNCTION("""COMPUTED_VALUE"""),44566.99861111111)</f>
        <v>44566.99861</v>
      </c>
      <c r="D2344" s="433">
        <f>IFERROR(__xludf.DUMMYFUNCTION("""COMPUTED_VALUE"""),3784.5242)</f>
        <v>3784.5242</v>
      </c>
    </row>
    <row r="2345">
      <c r="A2345" s="434">
        <f>IFERROR(__xludf.DUMMYFUNCTION("""COMPUTED_VALUE"""),44982.99861111111)</f>
        <v>44982.99861</v>
      </c>
      <c r="B2345" s="433">
        <f>IFERROR(__xludf.DUMMYFUNCTION("""COMPUTED_VALUE"""),23164.06)</f>
        <v>23164.06</v>
      </c>
      <c r="C2345" s="434">
        <f>IFERROR(__xludf.DUMMYFUNCTION("""COMPUTED_VALUE"""),44567.99861111111)</f>
        <v>44567.99861</v>
      </c>
      <c r="D2345" s="433">
        <f>IFERROR(__xludf.DUMMYFUNCTION("""COMPUTED_VALUE"""),3536.387)</f>
        <v>3536.387</v>
      </c>
    </row>
    <row r="2346">
      <c r="A2346" s="434">
        <f>IFERROR(__xludf.DUMMYFUNCTION("""COMPUTED_VALUE"""),44983.99861111111)</f>
        <v>44983.99861</v>
      </c>
      <c r="B2346" s="433">
        <f>IFERROR(__xludf.DUMMYFUNCTION("""COMPUTED_VALUE"""),23558.26)</f>
        <v>23558.26</v>
      </c>
      <c r="C2346" s="434">
        <f>IFERROR(__xludf.DUMMYFUNCTION("""COMPUTED_VALUE"""),44568.99861111111)</f>
        <v>44568.99861</v>
      </c>
      <c r="D2346" s="433">
        <f>IFERROR(__xludf.DUMMYFUNCTION("""COMPUTED_VALUE"""),3420.462)</f>
        <v>3420.462</v>
      </c>
    </row>
    <row r="2347">
      <c r="A2347" s="434">
        <f>IFERROR(__xludf.DUMMYFUNCTION("""COMPUTED_VALUE"""),44984.99861111111)</f>
        <v>44984.99861</v>
      </c>
      <c r="B2347" s="433">
        <f>IFERROR(__xludf.DUMMYFUNCTION("""COMPUTED_VALUE"""),23491.26)</f>
        <v>23491.26</v>
      </c>
      <c r="C2347" s="434">
        <f>IFERROR(__xludf.DUMMYFUNCTION("""COMPUTED_VALUE"""),44569.99861111111)</f>
        <v>44569.99861</v>
      </c>
      <c r="D2347" s="433">
        <f>IFERROR(__xludf.DUMMYFUNCTION("""COMPUTED_VALUE"""),3201.8543)</f>
        <v>3201.8543</v>
      </c>
    </row>
    <row r="2348">
      <c r="A2348" s="434">
        <f>IFERROR(__xludf.DUMMYFUNCTION("""COMPUTED_VALUE"""),44985.99861111111)</f>
        <v>44985.99861</v>
      </c>
      <c r="B2348" s="433">
        <f>IFERROR(__xludf.DUMMYFUNCTION("""COMPUTED_VALUE"""),23131.85)</f>
        <v>23131.85</v>
      </c>
      <c r="C2348" s="434">
        <f>IFERROR(__xludf.DUMMYFUNCTION("""COMPUTED_VALUE"""),44570.99861111111)</f>
        <v>44570.99861</v>
      </c>
      <c r="D2348" s="433">
        <f>IFERROR(__xludf.DUMMYFUNCTION("""COMPUTED_VALUE"""),3084.9583)</f>
        <v>3084.9583</v>
      </c>
    </row>
    <row r="2349">
      <c r="A2349" s="434">
        <f>IFERROR(__xludf.DUMMYFUNCTION("""COMPUTED_VALUE"""),44986.99861111111)</f>
        <v>44986.99861</v>
      </c>
      <c r="B2349" s="433">
        <f>IFERROR(__xludf.DUMMYFUNCTION("""COMPUTED_VALUE"""),23636.86)</f>
        <v>23636.86</v>
      </c>
      <c r="C2349" s="434">
        <f>IFERROR(__xludf.DUMMYFUNCTION("""COMPUTED_VALUE"""),44571.99861111111)</f>
        <v>44571.99861</v>
      </c>
      <c r="D2349" s="433">
        <f>IFERROR(__xludf.DUMMYFUNCTION("""COMPUTED_VALUE"""),3157.6676)</f>
        <v>3157.6676</v>
      </c>
    </row>
    <row r="2350">
      <c r="A2350" s="434">
        <f>IFERROR(__xludf.DUMMYFUNCTION("""COMPUTED_VALUE"""),44987.99861111111)</f>
        <v>44987.99861</v>
      </c>
      <c r="B2350" s="433">
        <f>IFERROR(__xludf.DUMMYFUNCTION("""COMPUTED_VALUE"""),23464.47)</f>
        <v>23464.47</v>
      </c>
      <c r="C2350" s="434">
        <f>IFERROR(__xludf.DUMMYFUNCTION("""COMPUTED_VALUE"""),44572.99861111111)</f>
        <v>44572.99861</v>
      </c>
      <c r="D2350" s="433">
        <f>IFERROR(__xludf.DUMMYFUNCTION("""COMPUTED_VALUE"""),3078.2028)</f>
        <v>3078.2028</v>
      </c>
    </row>
    <row r="2351">
      <c r="A2351" s="434">
        <f>IFERROR(__xludf.DUMMYFUNCTION("""COMPUTED_VALUE"""),44988.99861111111)</f>
        <v>44988.99861</v>
      </c>
      <c r="B2351" s="433">
        <f>IFERROR(__xludf.DUMMYFUNCTION("""COMPUTED_VALUE"""),22351.32)</f>
        <v>22351.32</v>
      </c>
      <c r="C2351" s="434">
        <f>IFERROR(__xludf.DUMMYFUNCTION("""COMPUTED_VALUE"""),44573.99861111111)</f>
        <v>44573.99861</v>
      </c>
      <c r="D2351" s="433">
        <f>IFERROR(__xludf.DUMMYFUNCTION("""COMPUTED_VALUE"""),3245.8016)</f>
        <v>3245.8016</v>
      </c>
    </row>
    <row r="2352">
      <c r="A2352" s="434">
        <f>IFERROR(__xludf.DUMMYFUNCTION("""COMPUTED_VALUE"""),44989.99861111111)</f>
        <v>44989.99861</v>
      </c>
      <c r="B2352" s="433">
        <f>IFERROR(__xludf.DUMMYFUNCTION("""COMPUTED_VALUE"""),22348.56)</f>
        <v>22348.56</v>
      </c>
      <c r="C2352" s="434">
        <f>IFERROR(__xludf.DUMMYFUNCTION("""COMPUTED_VALUE"""),44574.99861111111)</f>
        <v>44574.99861</v>
      </c>
      <c r="D2352" s="433">
        <f>IFERROR(__xludf.DUMMYFUNCTION("""COMPUTED_VALUE"""),3377.0173)</f>
        <v>3377.0173</v>
      </c>
    </row>
    <row r="2353">
      <c r="A2353" s="434">
        <f>IFERROR(__xludf.DUMMYFUNCTION("""COMPUTED_VALUE"""),44990.99861111111)</f>
        <v>44990.99861</v>
      </c>
      <c r="B2353" s="433">
        <f>IFERROR(__xludf.DUMMYFUNCTION("""COMPUTED_VALUE"""),22430.08)</f>
        <v>22430.08</v>
      </c>
      <c r="C2353" s="434">
        <f>IFERROR(__xludf.DUMMYFUNCTION("""COMPUTED_VALUE"""),44575.99861111111)</f>
        <v>44575.99861</v>
      </c>
      <c r="D2353" s="433">
        <f>IFERROR(__xludf.DUMMYFUNCTION("""COMPUTED_VALUE"""),3241.6337)</f>
        <v>3241.6337</v>
      </c>
    </row>
    <row r="2354">
      <c r="A2354" s="434">
        <f>IFERROR(__xludf.DUMMYFUNCTION("""COMPUTED_VALUE"""),44991.99861111111)</f>
        <v>44991.99861</v>
      </c>
      <c r="B2354" s="433">
        <f>IFERROR(__xludf.DUMMYFUNCTION("""COMPUTED_VALUE"""),22409.14)</f>
        <v>22409.14</v>
      </c>
      <c r="C2354" s="434">
        <f>IFERROR(__xludf.DUMMYFUNCTION("""COMPUTED_VALUE"""),44576.99861111111)</f>
        <v>44576.99861</v>
      </c>
      <c r="D2354" s="433">
        <f>IFERROR(__xludf.DUMMYFUNCTION("""COMPUTED_VALUE"""),3318.802)</f>
        <v>3318.802</v>
      </c>
    </row>
    <row r="2355">
      <c r="A2355" s="434">
        <f>IFERROR(__xludf.DUMMYFUNCTION("""COMPUTED_VALUE"""),44992.99861111111)</f>
        <v>44992.99861</v>
      </c>
      <c r="B2355" s="433">
        <f>IFERROR(__xludf.DUMMYFUNCTION("""COMPUTED_VALUE"""),22199.27)</f>
        <v>22199.27</v>
      </c>
      <c r="C2355" s="434">
        <f>IFERROR(__xludf.DUMMYFUNCTION("""COMPUTED_VALUE"""),44577.99861111111)</f>
        <v>44577.99861</v>
      </c>
      <c r="D2355" s="433">
        <f>IFERROR(__xludf.DUMMYFUNCTION("""COMPUTED_VALUE"""),3328.4367)</f>
        <v>3328.4367</v>
      </c>
    </row>
    <row r="2356">
      <c r="A2356" s="434">
        <f>IFERROR(__xludf.DUMMYFUNCTION("""COMPUTED_VALUE"""),44993.99861111111)</f>
        <v>44993.99861</v>
      </c>
      <c r="B2356" s="433">
        <f>IFERROR(__xludf.DUMMYFUNCTION("""COMPUTED_VALUE"""),21702.5)</f>
        <v>21702.5</v>
      </c>
      <c r="C2356" s="434">
        <f>IFERROR(__xludf.DUMMYFUNCTION("""COMPUTED_VALUE"""),44578.99861111111)</f>
        <v>44578.99861</v>
      </c>
      <c r="D2356" s="433">
        <f>IFERROR(__xludf.DUMMYFUNCTION("""COMPUTED_VALUE"""),3353.5288)</f>
        <v>3353.5288</v>
      </c>
    </row>
    <row r="2357">
      <c r="A2357" s="434">
        <f>IFERROR(__xludf.DUMMYFUNCTION("""COMPUTED_VALUE"""),44994.99861111111)</f>
        <v>44994.99861</v>
      </c>
      <c r="B2357" s="433">
        <f>IFERROR(__xludf.DUMMYFUNCTION("""COMPUTED_VALUE"""),20364.74)</f>
        <v>20364.74</v>
      </c>
      <c r="C2357" s="434">
        <f>IFERROR(__xludf.DUMMYFUNCTION("""COMPUTED_VALUE"""),44579.99861111111)</f>
        <v>44579.99861</v>
      </c>
      <c r="D2357" s="433">
        <f>IFERROR(__xludf.DUMMYFUNCTION("""COMPUTED_VALUE"""),3213.902)</f>
        <v>3213.902</v>
      </c>
    </row>
    <row r="2358">
      <c r="A2358" s="434">
        <f>IFERROR(__xludf.DUMMYFUNCTION("""COMPUTED_VALUE"""),44995.99861111111)</f>
        <v>44995.99861</v>
      </c>
      <c r="B2358" s="433">
        <f>IFERROR(__xludf.DUMMYFUNCTION("""COMPUTED_VALUE"""),20208.31)</f>
        <v>20208.31</v>
      </c>
      <c r="C2358" s="434">
        <f>IFERROR(__xludf.DUMMYFUNCTION("""COMPUTED_VALUE"""),44580.99861111111)</f>
        <v>44580.99861</v>
      </c>
      <c r="D2358" s="433">
        <f>IFERROR(__xludf.DUMMYFUNCTION("""COMPUTED_VALUE"""),3163.0549)</f>
        <v>3163.0549</v>
      </c>
    </row>
    <row r="2359">
      <c r="A2359" s="434">
        <f>IFERROR(__xludf.DUMMYFUNCTION("""COMPUTED_VALUE"""),44996.99861111111)</f>
        <v>44996.99861</v>
      </c>
      <c r="B2359" s="433">
        <f>IFERROR(__xludf.DUMMYFUNCTION("""COMPUTED_VALUE"""),20575.93)</f>
        <v>20575.93</v>
      </c>
      <c r="C2359" s="434">
        <f>IFERROR(__xludf.DUMMYFUNCTION("""COMPUTED_VALUE"""),44581.99861111111)</f>
        <v>44581.99861</v>
      </c>
      <c r="D2359" s="433">
        <f>IFERROR(__xludf.DUMMYFUNCTION("""COMPUTED_VALUE"""),3095.0627)</f>
        <v>3095.0627</v>
      </c>
    </row>
    <row r="2360">
      <c r="A2360" s="434">
        <f>IFERROR(__xludf.DUMMYFUNCTION("""COMPUTED_VALUE"""),44997.99861111111)</f>
        <v>44997.99861</v>
      </c>
      <c r="B2360" s="433">
        <f>IFERROR(__xludf.DUMMYFUNCTION("""COMPUTED_VALUE"""),22113.55)</f>
        <v>22113.55</v>
      </c>
      <c r="C2360" s="434">
        <f>IFERROR(__xludf.DUMMYFUNCTION("""COMPUTED_VALUE"""),44582.99861111111)</f>
        <v>44582.99861</v>
      </c>
      <c r="D2360" s="433">
        <f>IFERROR(__xludf.DUMMYFUNCTION("""COMPUTED_VALUE"""),2999.4484)</f>
        <v>2999.4484</v>
      </c>
    </row>
    <row r="2361">
      <c r="A2361" s="434">
        <f>IFERROR(__xludf.DUMMYFUNCTION("""COMPUTED_VALUE"""),44998.99861111111)</f>
        <v>44998.99861</v>
      </c>
      <c r="B2361" s="433">
        <f>IFERROR(__xludf.DUMMYFUNCTION("""COMPUTED_VALUE"""),24194.49)</f>
        <v>24194.49</v>
      </c>
      <c r="C2361" s="434">
        <f>IFERROR(__xludf.DUMMYFUNCTION("""COMPUTED_VALUE"""),44583.99861111111)</f>
        <v>44583.99861</v>
      </c>
      <c r="D2361" s="433">
        <f>IFERROR(__xludf.DUMMYFUNCTION("""COMPUTED_VALUE"""),2595.7885)</f>
        <v>2595.7885</v>
      </c>
    </row>
    <row r="2362">
      <c r="A2362" s="434">
        <f>IFERROR(__xludf.DUMMYFUNCTION("""COMPUTED_VALUE"""),44999.99861111111)</f>
        <v>44999.99861</v>
      </c>
      <c r="B2362" s="433">
        <f>IFERROR(__xludf.DUMMYFUNCTION("""COMPUTED_VALUE"""),24760.07)</f>
        <v>24760.07</v>
      </c>
      <c r="C2362" s="434">
        <f>IFERROR(__xludf.DUMMYFUNCTION("""COMPUTED_VALUE"""),44584.99861111111)</f>
        <v>44584.99861</v>
      </c>
      <c r="D2362" s="433">
        <f>IFERROR(__xludf.DUMMYFUNCTION("""COMPUTED_VALUE"""),2405.7498)</f>
        <v>2405.7498</v>
      </c>
    </row>
    <row r="2363">
      <c r="A2363" s="434">
        <f>IFERROR(__xludf.DUMMYFUNCTION("""COMPUTED_VALUE"""),45000.99861111111)</f>
        <v>45000.99861</v>
      </c>
      <c r="B2363" s="433">
        <f>IFERROR(__xludf.DUMMYFUNCTION("""COMPUTED_VALUE"""),24353.13)</f>
        <v>24353.13</v>
      </c>
      <c r="C2363" s="434">
        <f>IFERROR(__xludf.DUMMYFUNCTION("""COMPUTED_VALUE"""),44585.99861111111)</f>
        <v>44585.99861</v>
      </c>
      <c r="D2363" s="433">
        <f>IFERROR(__xludf.DUMMYFUNCTION("""COMPUTED_VALUE"""),2530.9395)</f>
        <v>2530.9395</v>
      </c>
    </row>
    <row r="2364">
      <c r="A2364" s="434">
        <f>IFERROR(__xludf.DUMMYFUNCTION("""COMPUTED_VALUE"""),45001.99861111111)</f>
        <v>45001.99861</v>
      </c>
      <c r="B2364" s="433">
        <f>IFERROR(__xludf.DUMMYFUNCTION("""COMPUTED_VALUE"""),25048.39)</f>
        <v>25048.39</v>
      </c>
      <c r="C2364" s="434">
        <f>IFERROR(__xludf.DUMMYFUNCTION("""COMPUTED_VALUE"""),44586.99861111111)</f>
        <v>44586.99861</v>
      </c>
      <c r="D2364" s="433">
        <f>IFERROR(__xludf.DUMMYFUNCTION("""COMPUTED_VALUE"""),2434.7856)</f>
        <v>2434.7856</v>
      </c>
    </row>
    <row r="2365">
      <c r="A2365" s="434">
        <f>IFERROR(__xludf.DUMMYFUNCTION("""COMPUTED_VALUE"""),45002.99861111111)</f>
        <v>45002.99861</v>
      </c>
      <c r="B2365" s="433">
        <f>IFERROR(__xludf.DUMMYFUNCTION("""COMPUTED_VALUE"""),27410.82)</f>
        <v>27410.82</v>
      </c>
      <c r="C2365" s="434">
        <f>IFERROR(__xludf.DUMMYFUNCTION("""COMPUTED_VALUE"""),44587.99861111111)</f>
        <v>44587.99861</v>
      </c>
      <c r="D2365" s="433">
        <f>IFERROR(__xludf.DUMMYFUNCTION("""COMPUTED_VALUE"""),2452.8828)</f>
        <v>2452.8828</v>
      </c>
    </row>
    <row r="2366">
      <c r="A2366" s="434">
        <f>IFERROR(__xludf.DUMMYFUNCTION("""COMPUTED_VALUE"""),45003.99861111111)</f>
        <v>45003.99861</v>
      </c>
      <c r="B2366" s="433">
        <f>IFERROR(__xludf.DUMMYFUNCTION("""COMPUTED_VALUE"""),26965.2)</f>
        <v>26965.2</v>
      </c>
      <c r="C2366" s="434">
        <f>IFERROR(__xludf.DUMMYFUNCTION("""COMPUTED_VALUE"""),44588.99861111111)</f>
        <v>44588.99861</v>
      </c>
      <c r="D2366" s="433">
        <f>IFERROR(__xludf.DUMMYFUNCTION("""COMPUTED_VALUE"""),2456.4848)</f>
        <v>2456.4848</v>
      </c>
    </row>
    <row r="2367">
      <c r="A2367" s="434">
        <f>IFERROR(__xludf.DUMMYFUNCTION("""COMPUTED_VALUE"""),45004.99861111111)</f>
        <v>45004.99861</v>
      </c>
      <c r="B2367" s="433">
        <f>IFERROR(__xludf.DUMMYFUNCTION("""COMPUTED_VALUE"""),28028.15)</f>
        <v>28028.15</v>
      </c>
      <c r="C2367" s="434">
        <f>IFERROR(__xludf.DUMMYFUNCTION("""COMPUTED_VALUE"""),44589.99861111111)</f>
        <v>44589.99861</v>
      </c>
      <c r="D2367" s="433">
        <f>IFERROR(__xludf.DUMMYFUNCTION("""COMPUTED_VALUE"""),2423.0214)</f>
        <v>2423.0214</v>
      </c>
    </row>
    <row r="2368">
      <c r="A2368" s="434">
        <f>IFERROR(__xludf.DUMMYFUNCTION("""COMPUTED_VALUE"""),45005.99861111111)</f>
        <v>45005.99861</v>
      </c>
      <c r="B2368" s="433">
        <f>IFERROR(__xludf.DUMMYFUNCTION("""COMPUTED_VALUE"""),27787.94)</f>
        <v>27787.94</v>
      </c>
      <c r="C2368" s="434">
        <f>IFERROR(__xludf.DUMMYFUNCTION("""COMPUTED_VALUE"""),44590.99861111111)</f>
        <v>44590.99861</v>
      </c>
      <c r="D2368" s="433">
        <f>IFERROR(__xludf.DUMMYFUNCTION("""COMPUTED_VALUE"""),2544.4981)</f>
        <v>2544.4981</v>
      </c>
    </row>
    <row r="2369">
      <c r="A2369" s="434">
        <f>IFERROR(__xludf.DUMMYFUNCTION("""COMPUTED_VALUE"""),45006.99861111111)</f>
        <v>45006.99861</v>
      </c>
      <c r="B2369" s="433">
        <f>IFERROR(__xludf.DUMMYFUNCTION("""COMPUTED_VALUE"""),28181.73)</f>
        <v>28181.73</v>
      </c>
      <c r="C2369" s="434">
        <f>IFERROR(__xludf.DUMMYFUNCTION("""COMPUTED_VALUE"""),44591.99861111111)</f>
        <v>44591.99861</v>
      </c>
      <c r="D2369" s="433">
        <f>IFERROR(__xludf.DUMMYFUNCTION("""COMPUTED_VALUE"""),2596.8168)</f>
        <v>2596.8168</v>
      </c>
    </row>
    <row r="2370">
      <c r="A2370" s="434">
        <f>IFERROR(__xludf.DUMMYFUNCTION("""COMPUTED_VALUE"""),45007.99861111111)</f>
        <v>45007.99861</v>
      </c>
      <c r="B2370" s="433">
        <f>IFERROR(__xludf.DUMMYFUNCTION("""COMPUTED_VALUE"""),27311.64)</f>
        <v>27311.64</v>
      </c>
      <c r="C2370" s="434">
        <f>IFERROR(__xludf.DUMMYFUNCTION("""COMPUTED_VALUE"""),44592.99861111111)</f>
        <v>44592.99861</v>
      </c>
      <c r="D2370" s="433">
        <f>IFERROR(__xludf.DUMMYFUNCTION("""COMPUTED_VALUE"""),2604.0173)</f>
        <v>2604.0173</v>
      </c>
    </row>
    <row r="2371">
      <c r="A2371" s="434">
        <f>IFERROR(__xludf.DUMMYFUNCTION("""COMPUTED_VALUE"""),45008.99861111111)</f>
        <v>45008.99861</v>
      </c>
      <c r="B2371" s="433">
        <f>IFERROR(__xludf.DUMMYFUNCTION("""COMPUTED_VALUE"""),28333.66)</f>
        <v>28333.66</v>
      </c>
      <c r="C2371" s="434">
        <f>IFERROR(__xludf.DUMMYFUNCTION("""COMPUTED_VALUE"""),44593.99861111111)</f>
        <v>44593.99861</v>
      </c>
      <c r="D2371" s="433">
        <f>IFERROR(__xludf.DUMMYFUNCTION("""COMPUTED_VALUE"""),2682.6219)</f>
        <v>2682.6219</v>
      </c>
    </row>
    <row r="2372">
      <c r="A2372" s="434">
        <f>IFERROR(__xludf.DUMMYFUNCTION("""COMPUTED_VALUE"""),45009.99861111111)</f>
        <v>45009.99861</v>
      </c>
      <c r="B2372" s="433">
        <f>IFERROR(__xludf.DUMMYFUNCTION("""COMPUTED_VALUE"""),27477.05)</f>
        <v>27477.05</v>
      </c>
      <c r="C2372" s="434">
        <f>IFERROR(__xludf.DUMMYFUNCTION("""COMPUTED_VALUE"""),44594.99861111111)</f>
        <v>44594.99861</v>
      </c>
      <c r="D2372" s="433">
        <f>IFERROR(__xludf.DUMMYFUNCTION("""COMPUTED_VALUE"""),2792.6851)</f>
        <v>2792.6851</v>
      </c>
    </row>
    <row r="2373">
      <c r="A2373" s="434">
        <f>IFERROR(__xludf.DUMMYFUNCTION("""COMPUTED_VALUE"""),45010.99861111111)</f>
        <v>45010.99861</v>
      </c>
      <c r="B2373" s="433">
        <f>IFERROR(__xludf.DUMMYFUNCTION("""COMPUTED_VALUE"""),27487.04)</f>
        <v>27487.04</v>
      </c>
      <c r="C2373" s="434">
        <f>IFERROR(__xludf.DUMMYFUNCTION("""COMPUTED_VALUE"""),44595.99861111111)</f>
        <v>44595.99861</v>
      </c>
      <c r="D2373" s="433">
        <f>IFERROR(__xludf.DUMMYFUNCTION("""COMPUTED_VALUE"""),2686.4415)</f>
        <v>2686.4415</v>
      </c>
    </row>
    <row r="2374">
      <c r="A2374" s="434">
        <f>IFERROR(__xludf.DUMMYFUNCTION("""COMPUTED_VALUE"""),45011.99861111111)</f>
        <v>45011.99861</v>
      </c>
      <c r="B2374" s="433">
        <f>IFERROR(__xludf.DUMMYFUNCTION("""COMPUTED_VALUE"""),27993.43)</f>
        <v>27993.43</v>
      </c>
      <c r="C2374" s="434">
        <f>IFERROR(__xludf.DUMMYFUNCTION("""COMPUTED_VALUE"""),44596.99861111111)</f>
        <v>44596.99861</v>
      </c>
      <c r="D2374" s="433">
        <f>IFERROR(__xludf.DUMMYFUNCTION("""COMPUTED_VALUE"""),2687.9977)</f>
        <v>2687.9977</v>
      </c>
    </row>
    <row r="2375">
      <c r="A2375" s="434">
        <f>IFERROR(__xludf.DUMMYFUNCTION("""COMPUTED_VALUE"""),45012.99861111111)</f>
        <v>45012.99861</v>
      </c>
      <c r="B2375" s="433">
        <f>IFERROR(__xludf.DUMMYFUNCTION("""COMPUTED_VALUE"""),27135.23)</f>
        <v>27135.23</v>
      </c>
      <c r="C2375" s="434">
        <f>IFERROR(__xludf.DUMMYFUNCTION("""COMPUTED_VALUE"""),44597.99861111111)</f>
        <v>44597.99861</v>
      </c>
      <c r="D2375" s="433">
        <f>IFERROR(__xludf.DUMMYFUNCTION("""COMPUTED_VALUE"""),2982.2071)</f>
        <v>2982.2071</v>
      </c>
    </row>
    <row r="2376">
      <c r="A2376" s="434">
        <f>IFERROR(__xludf.DUMMYFUNCTION("""COMPUTED_VALUE"""),45013.99861111111)</f>
        <v>45013.99861</v>
      </c>
      <c r="B2376" s="433">
        <f>IFERROR(__xludf.DUMMYFUNCTION("""COMPUTED_VALUE"""),27270.56)</f>
        <v>27270.56</v>
      </c>
      <c r="C2376" s="434">
        <f>IFERROR(__xludf.DUMMYFUNCTION("""COMPUTED_VALUE"""),44598.99861111111)</f>
        <v>44598.99861</v>
      </c>
      <c r="D2376" s="433">
        <f>IFERROR(__xludf.DUMMYFUNCTION("""COMPUTED_VALUE"""),3017.6404)</f>
        <v>3017.6404</v>
      </c>
    </row>
    <row r="2377">
      <c r="A2377" s="434">
        <f>IFERROR(__xludf.DUMMYFUNCTION("""COMPUTED_VALUE"""),45014.99861111111)</f>
        <v>45014.99861</v>
      </c>
      <c r="B2377" s="433">
        <f>IFERROR(__xludf.DUMMYFUNCTION("""COMPUTED_VALUE"""),28352.95)</f>
        <v>28352.95</v>
      </c>
      <c r="C2377" s="434">
        <f>IFERROR(__xludf.DUMMYFUNCTION("""COMPUTED_VALUE"""),44599.99861111111)</f>
        <v>44599.99861</v>
      </c>
      <c r="D2377" s="433">
        <f>IFERROR(__xludf.DUMMYFUNCTION("""COMPUTED_VALUE"""),3052.5366)</f>
        <v>3052.5366</v>
      </c>
    </row>
    <row r="2378">
      <c r="A2378" s="434">
        <f>IFERROR(__xludf.DUMMYFUNCTION("""COMPUTED_VALUE"""),45015.99861111111)</f>
        <v>45015.99861</v>
      </c>
      <c r="B2378" s="433">
        <f>IFERROR(__xludf.DUMMYFUNCTION("""COMPUTED_VALUE"""),28036.68)</f>
        <v>28036.68</v>
      </c>
      <c r="C2378" s="434">
        <f>IFERROR(__xludf.DUMMYFUNCTION("""COMPUTED_VALUE"""),44600.99861111111)</f>
        <v>44600.99861</v>
      </c>
      <c r="D2378" s="433">
        <f>IFERROR(__xludf.DUMMYFUNCTION("""COMPUTED_VALUE"""),3149.7288)</f>
        <v>3149.7288</v>
      </c>
    </row>
    <row r="2379">
      <c r="A2379" s="434">
        <f>IFERROR(__xludf.DUMMYFUNCTION("""COMPUTED_VALUE"""),45016.99861111111)</f>
        <v>45016.99861</v>
      </c>
      <c r="B2379" s="433">
        <f>IFERROR(__xludf.DUMMYFUNCTION("""COMPUTED_VALUE"""),28474.26)</f>
        <v>28474.26</v>
      </c>
      <c r="C2379" s="434">
        <f>IFERROR(__xludf.DUMMYFUNCTION("""COMPUTED_VALUE"""),44601.99861111111)</f>
        <v>44601.99861</v>
      </c>
      <c r="D2379" s="433">
        <f>IFERROR(__xludf.DUMMYFUNCTION("""COMPUTED_VALUE"""),3117.2694)</f>
        <v>3117.2694</v>
      </c>
    </row>
    <row r="2380">
      <c r="A2380" s="434">
        <f>IFERROR(__xludf.DUMMYFUNCTION("""COMPUTED_VALUE"""),45017.99861111111)</f>
        <v>45017.99861</v>
      </c>
      <c r="B2380" s="433">
        <f>IFERROR(__xludf.DUMMYFUNCTION("""COMPUTED_VALUE"""),28463.44)</f>
        <v>28463.44</v>
      </c>
      <c r="C2380" s="434">
        <f>IFERROR(__xludf.DUMMYFUNCTION("""COMPUTED_VALUE"""),44602.99861111111)</f>
        <v>44602.99861</v>
      </c>
      <c r="D2380" s="433">
        <f>IFERROR(__xludf.DUMMYFUNCTION("""COMPUTED_VALUE"""),3240.7826)</f>
        <v>3240.7826</v>
      </c>
    </row>
    <row r="2381">
      <c r="A2381" s="434">
        <f>IFERROR(__xludf.DUMMYFUNCTION("""COMPUTED_VALUE"""),45018.99861111111)</f>
        <v>45018.99861</v>
      </c>
      <c r="B2381" s="433">
        <f>IFERROR(__xludf.DUMMYFUNCTION("""COMPUTED_VALUE"""),28188.3)</f>
        <v>28188.3</v>
      </c>
      <c r="C2381" s="434">
        <f>IFERROR(__xludf.DUMMYFUNCTION("""COMPUTED_VALUE"""),44603.99861111111)</f>
        <v>44603.99861</v>
      </c>
      <c r="D2381" s="433">
        <f>IFERROR(__xludf.DUMMYFUNCTION("""COMPUTED_VALUE"""),3068.5023)</f>
        <v>3068.5023</v>
      </c>
    </row>
    <row r="2382">
      <c r="A2382" s="434">
        <f>IFERROR(__xludf.DUMMYFUNCTION("""COMPUTED_VALUE"""),45019.99861111111)</f>
        <v>45019.99861</v>
      </c>
      <c r="B2382" s="433">
        <f>IFERROR(__xludf.DUMMYFUNCTION("""COMPUTED_VALUE"""),27805.71)</f>
        <v>27805.71</v>
      </c>
      <c r="C2382" s="434">
        <f>IFERROR(__xludf.DUMMYFUNCTION("""COMPUTED_VALUE"""),44604.99861111111)</f>
        <v>44604.99861</v>
      </c>
      <c r="D2382" s="433">
        <f>IFERROR(__xludf.DUMMYFUNCTION("""COMPUTED_VALUE"""),2921.6407)</f>
        <v>2921.6407</v>
      </c>
    </row>
    <row r="2383">
      <c r="A2383" s="434">
        <f>IFERROR(__xludf.DUMMYFUNCTION("""COMPUTED_VALUE"""),45020.99861111111)</f>
        <v>45020.99861</v>
      </c>
      <c r="B2383" s="433">
        <f>IFERROR(__xludf.DUMMYFUNCTION("""COMPUTED_VALUE"""),28169.03)</f>
        <v>28169.03</v>
      </c>
      <c r="C2383" s="434">
        <f>IFERROR(__xludf.DUMMYFUNCTION("""COMPUTED_VALUE"""),44605.99861111111)</f>
        <v>44605.99861</v>
      </c>
      <c r="D2383" s="433">
        <f>IFERROR(__xludf.DUMMYFUNCTION("""COMPUTED_VALUE"""),2912.1272)</f>
        <v>2912.1272</v>
      </c>
    </row>
    <row r="2384">
      <c r="A2384" s="434">
        <f>IFERROR(__xludf.DUMMYFUNCTION("""COMPUTED_VALUE"""),45021.99861111111)</f>
        <v>45021.99861</v>
      </c>
      <c r="B2384" s="433">
        <f>IFERROR(__xludf.DUMMYFUNCTION("""COMPUTED_VALUE"""),28176.88)</f>
        <v>28176.88</v>
      </c>
      <c r="C2384" s="434">
        <f>IFERROR(__xludf.DUMMYFUNCTION("""COMPUTED_VALUE"""),44606.99861111111)</f>
        <v>44606.99861</v>
      </c>
      <c r="D2384" s="433">
        <f>IFERROR(__xludf.DUMMYFUNCTION("""COMPUTED_VALUE"""),2876.782)</f>
        <v>2876.782</v>
      </c>
    </row>
    <row r="2385">
      <c r="A2385" s="434">
        <f>IFERROR(__xludf.DUMMYFUNCTION("""COMPUTED_VALUE"""),45022.99861111111)</f>
        <v>45022.99861</v>
      </c>
      <c r="B2385" s="433">
        <f>IFERROR(__xludf.DUMMYFUNCTION("""COMPUTED_VALUE"""),28044.15)</f>
        <v>28044.15</v>
      </c>
      <c r="C2385" s="434">
        <f>IFERROR(__xludf.DUMMYFUNCTION("""COMPUTED_VALUE"""),44607.99861111111)</f>
        <v>44607.99861</v>
      </c>
      <c r="D2385" s="433">
        <f>IFERROR(__xludf.DUMMYFUNCTION("""COMPUTED_VALUE"""),2933.7094)</f>
        <v>2933.7094</v>
      </c>
    </row>
    <row r="2386">
      <c r="A2386" s="434">
        <f>IFERROR(__xludf.DUMMYFUNCTION("""COMPUTED_VALUE"""),45023.99861111111)</f>
        <v>45023.99861</v>
      </c>
      <c r="B2386" s="433">
        <f>IFERROR(__xludf.DUMMYFUNCTION("""COMPUTED_VALUE"""),27920.95)</f>
        <v>27920.95</v>
      </c>
      <c r="C2386" s="434">
        <f>IFERROR(__xludf.DUMMYFUNCTION("""COMPUTED_VALUE"""),44608.99861111111)</f>
        <v>44608.99861</v>
      </c>
      <c r="D2386" s="433">
        <f>IFERROR(__xludf.DUMMYFUNCTION("""COMPUTED_VALUE"""),3178.9886)</f>
        <v>3178.9886</v>
      </c>
    </row>
    <row r="2387">
      <c r="A2387" s="434">
        <f>IFERROR(__xludf.DUMMYFUNCTION("""COMPUTED_VALUE"""),45024.99861111111)</f>
        <v>45024.99861</v>
      </c>
      <c r="B2387" s="433">
        <f>IFERROR(__xludf.DUMMYFUNCTION("""COMPUTED_VALUE"""),27952.19)</f>
        <v>27952.19</v>
      </c>
      <c r="C2387" s="434">
        <f>IFERROR(__xludf.DUMMYFUNCTION("""COMPUTED_VALUE"""),44609.99861111111)</f>
        <v>44609.99861</v>
      </c>
      <c r="D2387" s="433">
        <f>IFERROR(__xludf.DUMMYFUNCTION("""COMPUTED_VALUE"""),3129.3536)</f>
        <v>3129.3536</v>
      </c>
    </row>
    <row r="2388">
      <c r="A2388" s="434">
        <f>IFERROR(__xludf.DUMMYFUNCTION("""COMPUTED_VALUE"""),45025.99861111111)</f>
        <v>45025.99861</v>
      </c>
      <c r="B2388" s="433">
        <f>IFERROR(__xludf.DUMMYFUNCTION("""COMPUTED_VALUE"""),28335.4)</f>
        <v>28335.4</v>
      </c>
      <c r="C2388" s="434">
        <f>IFERROR(__xludf.DUMMYFUNCTION("""COMPUTED_VALUE"""),44610.99861111111)</f>
        <v>44610.99861</v>
      </c>
      <c r="D2388" s="433">
        <f>IFERROR(__xludf.DUMMYFUNCTION("""COMPUTED_VALUE"""),2883.413)</f>
        <v>2883.413</v>
      </c>
    </row>
    <row r="2389">
      <c r="A2389" s="434">
        <f>IFERROR(__xludf.DUMMYFUNCTION("""COMPUTED_VALUE"""),45026.99861111111)</f>
        <v>45026.99861</v>
      </c>
      <c r="B2389" s="433">
        <f>IFERROR(__xludf.DUMMYFUNCTION("""COMPUTED_VALUE"""),29651.67)</f>
        <v>29651.67</v>
      </c>
      <c r="C2389" s="434">
        <f>IFERROR(__xludf.DUMMYFUNCTION("""COMPUTED_VALUE"""),44611.99861111111)</f>
        <v>44611.99861</v>
      </c>
      <c r="D2389" s="433">
        <f>IFERROR(__xludf.DUMMYFUNCTION("""COMPUTED_VALUE"""),2783.1043)</f>
        <v>2783.1043</v>
      </c>
    </row>
    <row r="2390">
      <c r="A2390" s="434">
        <f>IFERROR(__xludf.DUMMYFUNCTION("""COMPUTED_VALUE"""),45027.99861111111)</f>
        <v>45027.99861</v>
      </c>
      <c r="B2390" s="433">
        <f>IFERROR(__xludf.DUMMYFUNCTION("""COMPUTED_VALUE"""),30222.64)</f>
        <v>30222.64</v>
      </c>
      <c r="C2390" s="434">
        <f>IFERROR(__xludf.DUMMYFUNCTION("""COMPUTED_VALUE"""),44612.99861111111)</f>
        <v>44612.99861</v>
      </c>
      <c r="D2390" s="433">
        <f>IFERROR(__xludf.DUMMYFUNCTION("""COMPUTED_VALUE"""),2763.1568)</f>
        <v>2763.1568</v>
      </c>
    </row>
    <row r="2391">
      <c r="A2391" s="434">
        <f>IFERROR(__xludf.DUMMYFUNCTION("""COMPUTED_VALUE"""),45028.99861111111)</f>
        <v>45028.99861</v>
      </c>
      <c r="B2391" s="433">
        <f>IFERROR(__xludf.DUMMYFUNCTION("""COMPUTED_VALUE"""),29896.73)</f>
        <v>29896.73</v>
      </c>
      <c r="C2391" s="434">
        <f>IFERROR(__xludf.DUMMYFUNCTION("""COMPUTED_VALUE"""),44613.99861111111)</f>
        <v>44613.99861</v>
      </c>
      <c r="D2391" s="433">
        <f>IFERROR(__xludf.DUMMYFUNCTION("""COMPUTED_VALUE"""),2620.0296)</f>
        <v>2620.0296</v>
      </c>
    </row>
    <row r="2392">
      <c r="A2392" s="434">
        <f>IFERROR(__xludf.DUMMYFUNCTION("""COMPUTED_VALUE"""),45029.99861111111)</f>
        <v>45029.99861</v>
      </c>
      <c r="B2392" s="433">
        <f>IFERROR(__xludf.DUMMYFUNCTION("""COMPUTED_VALUE"""),30394.77)</f>
        <v>30394.77</v>
      </c>
      <c r="C2392" s="434">
        <f>IFERROR(__xludf.DUMMYFUNCTION("""COMPUTED_VALUE"""),44614.99861111111)</f>
        <v>44614.99861</v>
      </c>
      <c r="D2392" s="433">
        <f>IFERROR(__xludf.DUMMYFUNCTION("""COMPUTED_VALUE"""),2577.5348)</f>
        <v>2577.5348</v>
      </c>
    </row>
    <row r="2393">
      <c r="A2393" s="434">
        <f>IFERROR(__xludf.DUMMYFUNCTION("""COMPUTED_VALUE"""),45030.99861111111)</f>
        <v>45030.99861</v>
      </c>
      <c r="B2393" s="433">
        <f>IFERROR(__xludf.DUMMYFUNCTION("""COMPUTED_VALUE"""),30479.65)</f>
        <v>30479.65</v>
      </c>
      <c r="C2393" s="434">
        <f>IFERROR(__xludf.DUMMYFUNCTION("""COMPUTED_VALUE"""),44615.99861111111)</f>
        <v>44615.99861</v>
      </c>
      <c r="D2393" s="433">
        <f>IFERROR(__xludf.DUMMYFUNCTION("""COMPUTED_VALUE"""),2637.8727)</f>
        <v>2637.8727</v>
      </c>
    </row>
    <row r="2394">
      <c r="A2394" s="434">
        <f>IFERROR(__xludf.DUMMYFUNCTION("""COMPUTED_VALUE"""),45031.99861111111)</f>
        <v>45031.99861</v>
      </c>
      <c r="B2394" s="433">
        <f>IFERROR(__xludf.DUMMYFUNCTION("""COMPUTED_VALUE"""),30312.92)</f>
        <v>30312.92</v>
      </c>
      <c r="C2394" s="434">
        <f>IFERROR(__xludf.DUMMYFUNCTION("""COMPUTED_VALUE"""),44616.99861111111)</f>
        <v>44616.99861</v>
      </c>
      <c r="D2394" s="433">
        <f>IFERROR(__xludf.DUMMYFUNCTION("""COMPUTED_VALUE"""),2575.3916)</f>
        <v>2575.3916</v>
      </c>
    </row>
    <row r="2395">
      <c r="A2395" s="434">
        <f>IFERROR(__xludf.DUMMYFUNCTION("""COMPUTED_VALUE"""),45032.99861111111)</f>
        <v>45032.99861</v>
      </c>
      <c r="B2395" s="433">
        <f>IFERROR(__xludf.DUMMYFUNCTION("""COMPUTED_VALUE"""),30313.36)</f>
        <v>30313.36</v>
      </c>
      <c r="C2395" s="434">
        <f>IFERROR(__xludf.DUMMYFUNCTION("""COMPUTED_VALUE"""),44617.99861111111)</f>
        <v>44617.99861</v>
      </c>
      <c r="D2395" s="433">
        <f>IFERROR(__xludf.DUMMYFUNCTION("""COMPUTED_VALUE"""),2595.7236)</f>
        <v>2595.7236</v>
      </c>
    </row>
    <row r="2396">
      <c r="A2396" s="434">
        <f>IFERROR(__xludf.DUMMYFUNCTION("""COMPUTED_VALUE"""),45033.99861111111)</f>
        <v>45033.99861</v>
      </c>
      <c r="B2396" s="433">
        <f>IFERROR(__xludf.DUMMYFUNCTION("""COMPUTED_VALUE"""),29443.38)</f>
        <v>29443.38</v>
      </c>
      <c r="C2396" s="434">
        <f>IFERROR(__xludf.DUMMYFUNCTION("""COMPUTED_VALUE"""),44618.99861111111)</f>
        <v>44618.99861</v>
      </c>
      <c r="D2396" s="433">
        <f>IFERROR(__xludf.DUMMYFUNCTION("""COMPUTED_VALUE"""),2767.4425)</f>
        <v>2767.4425</v>
      </c>
    </row>
    <row r="2397">
      <c r="A2397" s="434">
        <f>IFERROR(__xludf.DUMMYFUNCTION("""COMPUTED_VALUE"""),45034.99861111111)</f>
        <v>45034.99861</v>
      </c>
      <c r="B2397" s="433">
        <f>IFERROR(__xludf.DUMMYFUNCTION("""COMPUTED_VALUE"""),30389.2)</f>
        <v>30389.2</v>
      </c>
      <c r="C2397" s="434">
        <f>IFERROR(__xludf.DUMMYFUNCTION("""COMPUTED_VALUE"""),44619.99861111111)</f>
        <v>44619.99861</v>
      </c>
      <c r="D2397" s="433">
        <f>IFERROR(__xludf.DUMMYFUNCTION("""COMPUTED_VALUE"""),2779.3127)</f>
        <v>2779.3127</v>
      </c>
    </row>
    <row r="2398">
      <c r="A2398" s="434">
        <f>IFERROR(__xludf.DUMMYFUNCTION("""COMPUTED_VALUE"""),45035.99861111111)</f>
        <v>45035.99861</v>
      </c>
      <c r="B2398" s="433">
        <f>IFERROR(__xludf.DUMMYFUNCTION("""COMPUTED_VALUE"""),28816.74)</f>
        <v>28816.74</v>
      </c>
      <c r="C2398" s="434">
        <f>IFERROR(__xludf.DUMMYFUNCTION("""COMPUTED_VALUE"""),44620.99861111111)</f>
        <v>44620.99861</v>
      </c>
      <c r="D2398" s="433">
        <f>IFERROR(__xludf.DUMMYFUNCTION("""COMPUTED_VALUE"""),2613.2981)</f>
        <v>2613.2981</v>
      </c>
    </row>
    <row r="2399">
      <c r="A2399" s="434">
        <f>IFERROR(__xludf.DUMMYFUNCTION("""COMPUTED_VALUE"""),45036.99861111111)</f>
        <v>45036.99861</v>
      </c>
      <c r="B2399" s="433">
        <f>IFERROR(__xludf.DUMMYFUNCTION("""COMPUTED_VALUE"""),28238.7)</f>
        <v>28238.7</v>
      </c>
      <c r="C2399" s="434">
        <f>IFERROR(__xludf.DUMMYFUNCTION("""COMPUTED_VALUE"""),44621.99861111111)</f>
        <v>44621.99861</v>
      </c>
      <c r="D2399" s="433">
        <f>IFERROR(__xludf.DUMMYFUNCTION("""COMPUTED_VALUE"""),2937.021)</f>
        <v>2937.021</v>
      </c>
    </row>
    <row r="2400">
      <c r="A2400" s="434">
        <f>IFERROR(__xludf.DUMMYFUNCTION("""COMPUTED_VALUE"""),45037.99861111111)</f>
        <v>45037.99861</v>
      </c>
      <c r="B2400" s="433">
        <f>IFERROR(__xludf.DUMMYFUNCTION("""COMPUTED_VALUE"""),27260.15)</f>
        <v>27260.15</v>
      </c>
      <c r="C2400" s="434">
        <f>IFERROR(__xludf.DUMMYFUNCTION("""COMPUTED_VALUE"""),44622.99861111111)</f>
        <v>44622.99861</v>
      </c>
      <c r="D2400" s="433">
        <f>IFERROR(__xludf.DUMMYFUNCTION("""COMPUTED_VALUE"""),2969.0018)</f>
        <v>2969.0018</v>
      </c>
    </row>
    <row r="2401">
      <c r="A2401" s="434">
        <f>IFERROR(__xludf.DUMMYFUNCTION("""COMPUTED_VALUE"""),45038.99861111111)</f>
        <v>45038.99861</v>
      </c>
      <c r="B2401" s="433">
        <f>IFERROR(__xludf.DUMMYFUNCTION("""COMPUTED_VALUE"""),27816.5)</f>
        <v>27816.5</v>
      </c>
      <c r="C2401" s="434">
        <f>IFERROR(__xludf.DUMMYFUNCTION("""COMPUTED_VALUE"""),44623.99861111111)</f>
        <v>44623.99861</v>
      </c>
      <c r="D2401" s="433">
        <f>IFERROR(__xludf.DUMMYFUNCTION("""COMPUTED_VALUE"""),2950.8763)</f>
        <v>2950.8763</v>
      </c>
    </row>
    <row r="2402">
      <c r="A2402" s="434">
        <f>IFERROR(__xludf.DUMMYFUNCTION("""COMPUTED_VALUE"""),45039.99861111111)</f>
        <v>45039.99861</v>
      </c>
      <c r="B2402" s="433">
        <f>IFERROR(__xludf.DUMMYFUNCTION("""COMPUTED_VALUE"""),27591.99)</f>
        <v>27591.99</v>
      </c>
      <c r="C2402" s="434">
        <f>IFERROR(__xludf.DUMMYFUNCTION("""COMPUTED_VALUE"""),44624.99861111111)</f>
        <v>44624.99861</v>
      </c>
      <c r="D2402" s="433">
        <f>IFERROR(__xludf.DUMMYFUNCTION("""COMPUTED_VALUE"""),2834.1843)</f>
        <v>2834.1843</v>
      </c>
    </row>
    <row r="2403">
      <c r="A2403" s="434">
        <f>IFERROR(__xludf.DUMMYFUNCTION("""COMPUTED_VALUE"""),45040.99861111111)</f>
        <v>45040.99861</v>
      </c>
      <c r="B2403" s="433">
        <f>IFERROR(__xludf.DUMMYFUNCTION("""COMPUTED_VALUE"""),27514.24)</f>
        <v>27514.24</v>
      </c>
      <c r="C2403" s="434">
        <f>IFERROR(__xludf.DUMMYFUNCTION("""COMPUTED_VALUE"""),44625.99861111111)</f>
        <v>44625.99861</v>
      </c>
      <c r="D2403" s="433">
        <f>IFERROR(__xludf.DUMMYFUNCTION("""COMPUTED_VALUE"""),2615.652)</f>
        <v>2615.652</v>
      </c>
    </row>
    <row r="2404">
      <c r="A2404" s="434">
        <f>IFERROR(__xludf.DUMMYFUNCTION("""COMPUTED_VALUE"""),45041.99861111111)</f>
        <v>45041.99861</v>
      </c>
      <c r="B2404" s="433">
        <f>IFERROR(__xludf.DUMMYFUNCTION("""COMPUTED_VALUE"""),28300.83)</f>
        <v>28300.83</v>
      </c>
      <c r="C2404" s="434">
        <f>IFERROR(__xludf.DUMMYFUNCTION("""COMPUTED_VALUE"""),44626.99861111111)</f>
        <v>44626.99861</v>
      </c>
      <c r="D2404" s="433">
        <f>IFERROR(__xludf.DUMMYFUNCTION("""COMPUTED_VALUE"""),2664.6899)</f>
        <v>2664.6899</v>
      </c>
    </row>
    <row r="2405">
      <c r="A2405" s="434">
        <f>IFERROR(__xludf.DUMMYFUNCTION("""COMPUTED_VALUE"""),45042.99861111111)</f>
        <v>45042.99861</v>
      </c>
      <c r="B2405" s="433">
        <f>IFERROR(__xludf.DUMMYFUNCTION("""COMPUTED_VALUE"""),28423.93)</f>
        <v>28423.93</v>
      </c>
      <c r="C2405" s="434">
        <f>IFERROR(__xludf.DUMMYFUNCTION("""COMPUTED_VALUE"""),44627.99861111111)</f>
        <v>44627.99861</v>
      </c>
      <c r="D2405" s="433">
        <f>IFERROR(__xludf.DUMMYFUNCTION("""COMPUTED_VALUE"""),2554.8834)</f>
        <v>2554.8834</v>
      </c>
    </row>
    <row r="2406">
      <c r="A2406" s="434">
        <f>IFERROR(__xludf.DUMMYFUNCTION("""COMPUTED_VALUE"""),45043.99861111111)</f>
        <v>45043.99861</v>
      </c>
      <c r="B2406" s="433">
        <f>IFERROR(__xludf.DUMMYFUNCTION("""COMPUTED_VALUE"""),29476.64)</f>
        <v>29476.64</v>
      </c>
      <c r="C2406" s="434">
        <f>IFERROR(__xludf.DUMMYFUNCTION("""COMPUTED_VALUE"""),44628.99861111111)</f>
        <v>44628.99861</v>
      </c>
      <c r="D2406" s="433">
        <f>IFERROR(__xludf.DUMMYFUNCTION("""COMPUTED_VALUE"""),2490.4875)</f>
        <v>2490.4875</v>
      </c>
    </row>
    <row r="2407">
      <c r="A2407" s="434">
        <f>IFERROR(__xludf.DUMMYFUNCTION("""COMPUTED_VALUE"""),45044.99861111111)</f>
        <v>45044.99861</v>
      </c>
      <c r="B2407" s="433">
        <f>IFERROR(__xludf.DUMMYFUNCTION("""COMPUTED_VALUE"""),29328.54)</f>
        <v>29328.54</v>
      </c>
      <c r="C2407" s="434">
        <f>IFERROR(__xludf.DUMMYFUNCTION("""COMPUTED_VALUE"""),44629.99861111111)</f>
        <v>44629.99861</v>
      </c>
      <c r="D2407" s="433">
        <f>IFERROR(__xludf.DUMMYFUNCTION("""COMPUTED_VALUE"""),2580.3139)</f>
        <v>2580.3139</v>
      </c>
    </row>
    <row r="2408">
      <c r="A2408" s="434">
        <f>IFERROR(__xludf.DUMMYFUNCTION("""COMPUTED_VALUE"""),45045.99861111111)</f>
        <v>45045.99861</v>
      </c>
      <c r="B2408" s="433">
        <f>IFERROR(__xludf.DUMMYFUNCTION("""COMPUTED_VALUE"""),29239.68)</f>
        <v>29239.68</v>
      </c>
      <c r="C2408" s="434">
        <f>IFERROR(__xludf.DUMMYFUNCTION("""COMPUTED_VALUE"""),44630.99861111111)</f>
        <v>44630.99861</v>
      </c>
      <c r="D2408" s="433">
        <f>IFERROR(__xludf.DUMMYFUNCTION("""COMPUTED_VALUE"""),2723.9155)</f>
        <v>2723.9155</v>
      </c>
    </row>
    <row r="2409">
      <c r="A2409" s="434">
        <f>IFERROR(__xludf.DUMMYFUNCTION("""COMPUTED_VALUE"""),45046.99861111111)</f>
        <v>45046.99861</v>
      </c>
      <c r="B2409" s="433">
        <f>IFERROR(__xludf.DUMMYFUNCTION("""COMPUTED_VALUE"""),29253.14)</f>
        <v>29253.14</v>
      </c>
      <c r="C2409" s="434">
        <f>IFERROR(__xludf.DUMMYFUNCTION("""COMPUTED_VALUE"""),44631.99861111111)</f>
        <v>44631.99861</v>
      </c>
      <c r="D2409" s="433">
        <f>IFERROR(__xludf.DUMMYFUNCTION("""COMPUTED_VALUE"""),2604.4201)</f>
        <v>2604.4201</v>
      </c>
    </row>
    <row r="2410">
      <c r="A2410" s="434">
        <f>IFERROR(__xludf.DUMMYFUNCTION("""COMPUTED_VALUE"""),45047.99861111111)</f>
        <v>45047.99861</v>
      </c>
      <c r="B2410" s="433">
        <f>IFERROR(__xludf.DUMMYFUNCTION("""COMPUTED_VALUE"""),28082.84)</f>
        <v>28082.84</v>
      </c>
      <c r="C2410" s="434">
        <f>IFERROR(__xludf.DUMMYFUNCTION("""COMPUTED_VALUE"""),44632.99861111111)</f>
        <v>44632.99861</v>
      </c>
      <c r="D2410" s="433">
        <f>IFERROR(__xludf.DUMMYFUNCTION("""COMPUTED_VALUE"""),2560.9835)</f>
        <v>2560.9835</v>
      </c>
    </row>
    <row r="2411">
      <c r="A2411" s="434">
        <f>IFERROR(__xludf.DUMMYFUNCTION("""COMPUTED_VALUE"""),45048.99861111111)</f>
        <v>45048.99861</v>
      </c>
      <c r="B2411" s="433">
        <f>IFERROR(__xludf.DUMMYFUNCTION("""COMPUTED_VALUE"""),28675.0)</f>
        <v>28675</v>
      </c>
      <c r="C2411" s="434">
        <f>IFERROR(__xludf.DUMMYFUNCTION("""COMPUTED_VALUE"""),44633.99861111111)</f>
        <v>44633.99861</v>
      </c>
      <c r="D2411" s="433">
        <f>IFERROR(__xludf.DUMMYFUNCTION("""COMPUTED_VALUE"""),2568.4798)</f>
        <v>2568.4798</v>
      </c>
    </row>
    <row r="2412">
      <c r="A2412" s="434">
        <f>IFERROR(__xludf.DUMMYFUNCTION("""COMPUTED_VALUE"""),45049.99861111111)</f>
        <v>45049.99861</v>
      </c>
      <c r="B2412" s="433">
        <f>IFERROR(__xludf.DUMMYFUNCTION("""COMPUTED_VALUE"""),29031.25)</f>
        <v>29031.25</v>
      </c>
      <c r="C2412" s="434">
        <f>IFERROR(__xludf.DUMMYFUNCTION("""COMPUTED_VALUE"""),44634.99861111111)</f>
        <v>44634.99861</v>
      </c>
      <c r="D2412" s="433">
        <f>IFERROR(__xludf.DUMMYFUNCTION("""COMPUTED_VALUE"""),2515.5249)</f>
        <v>2515.5249</v>
      </c>
    </row>
    <row r="2413">
      <c r="A2413" s="434">
        <f>IFERROR(__xludf.DUMMYFUNCTION("""COMPUTED_VALUE"""),45050.99861111111)</f>
        <v>45050.99861</v>
      </c>
      <c r="B2413" s="433">
        <f>IFERROR(__xludf.DUMMYFUNCTION("""COMPUTED_VALUE"""),28848.39)</f>
        <v>28848.39</v>
      </c>
      <c r="C2413" s="434">
        <f>IFERROR(__xludf.DUMMYFUNCTION("""COMPUTED_VALUE"""),44635.99861111111)</f>
        <v>44635.99861</v>
      </c>
      <c r="D2413" s="433">
        <f>IFERROR(__xludf.DUMMYFUNCTION("""COMPUTED_VALUE"""),2592.4346)</f>
        <v>2592.4346</v>
      </c>
    </row>
    <row r="2414">
      <c r="A2414" s="434">
        <f>IFERROR(__xludf.DUMMYFUNCTION("""COMPUTED_VALUE"""),45051.99861111111)</f>
        <v>45051.99861</v>
      </c>
      <c r="B2414" s="433">
        <f>IFERROR(__xludf.DUMMYFUNCTION("""COMPUTED_VALUE"""),29530.53)</f>
        <v>29530.53</v>
      </c>
      <c r="C2414" s="434">
        <f>IFERROR(__xludf.DUMMYFUNCTION("""COMPUTED_VALUE"""),44636.99861111111)</f>
        <v>44636.99861</v>
      </c>
      <c r="D2414" s="433">
        <f>IFERROR(__xludf.DUMMYFUNCTION("""COMPUTED_VALUE"""),2620.0194)</f>
        <v>2620.0194</v>
      </c>
    </row>
    <row r="2415">
      <c r="A2415" s="434">
        <f>IFERROR(__xludf.DUMMYFUNCTION("""COMPUTED_VALUE"""),45052.99861111111)</f>
        <v>45052.99861</v>
      </c>
      <c r="B2415" s="433">
        <f>IFERROR(__xludf.DUMMYFUNCTION("""COMPUTED_VALUE"""),28902.17)</f>
        <v>28902.17</v>
      </c>
      <c r="C2415" s="434">
        <f>IFERROR(__xludf.DUMMYFUNCTION("""COMPUTED_VALUE"""),44637.99861111111)</f>
        <v>44637.99861</v>
      </c>
      <c r="D2415" s="433">
        <f>IFERROR(__xludf.DUMMYFUNCTION("""COMPUTED_VALUE"""),2776.0452)</f>
        <v>2776.0452</v>
      </c>
    </row>
    <row r="2416">
      <c r="A2416" s="434">
        <f>IFERROR(__xludf.DUMMYFUNCTION("""COMPUTED_VALUE"""),45053.99861111111)</f>
        <v>45053.99861</v>
      </c>
      <c r="B2416" s="433">
        <f>IFERROR(__xludf.DUMMYFUNCTION("""COMPUTED_VALUE"""),28450.92)</f>
        <v>28450.92</v>
      </c>
      <c r="C2416" s="434">
        <f>IFERROR(__xludf.DUMMYFUNCTION("""COMPUTED_VALUE"""),44638.99861111111)</f>
        <v>44638.99861</v>
      </c>
      <c r="D2416" s="433">
        <f>IFERROR(__xludf.DUMMYFUNCTION("""COMPUTED_VALUE"""),2812.5465)</f>
        <v>2812.5465</v>
      </c>
    </row>
    <row r="2417">
      <c r="A2417" s="434">
        <f>IFERROR(__xludf.DUMMYFUNCTION("""COMPUTED_VALUE"""),45054.99861111111)</f>
        <v>45054.99861</v>
      </c>
      <c r="B2417" s="433">
        <f>IFERROR(__xludf.DUMMYFUNCTION("""COMPUTED_VALUE"""),27685.34)</f>
        <v>27685.34</v>
      </c>
      <c r="C2417" s="434">
        <f>IFERROR(__xludf.DUMMYFUNCTION("""COMPUTED_VALUE"""),44639.99861111111)</f>
        <v>44639.99861</v>
      </c>
      <c r="D2417" s="433">
        <f>IFERROR(__xludf.DUMMYFUNCTION("""COMPUTED_VALUE"""),2942.5455)</f>
        <v>2942.5455</v>
      </c>
    </row>
    <row r="2418">
      <c r="A2418" s="434">
        <f>IFERROR(__xludf.DUMMYFUNCTION("""COMPUTED_VALUE"""),45055.99861111111)</f>
        <v>45055.99861</v>
      </c>
      <c r="B2418" s="433">
        <f>IFERROR(__xludf.DUMMYFUNCTION("""COMPUTED_VALUE"""),27640.28)</f>
        <v>27640.28</v>
      </c>
      <c r="C2418" s="434">
        <f>IFERROR(__xludf.DUMMYFUNCTION("""COMPUTED_VALUE"""),44640.99861111111)</f>
        <v>44640.99861</v>
      </c>
      <c r="D2418" s="433">
        <f>IFERROR(__xludf.DUMMYFUNCTION("""COMPUTED_VALUE"""),2951.7371)</f>
        <v>2951.7371</v>
      </c>
    </row>
    <row r="2419">
      <c r="A2419" s="434">
        <f>IFERROR(__xludf.DUMMYFUNCTION("""COMPUTED_VALUE"""),45056.99861111111)</f>
        <v>45056.99861</v>
      </c>
      <c r="B2419" s="433">
        <f>IFERROR(__xludf.DUMMYFUNCTION("""COMPUTED_VALUE"""),27618.24)</f>
        <v>27618.24</v>
      </c>
      <c r="C2419" s="434">
        <f>IFERROR(__xludf.DUMMYFUNCTION("""COMPUTED_VALUE"""),44641.99861111111)</f>
        <v>44641.99861</v>
      </c>
      <c r="D2419" s="433">
        <f>IFERROR(__xludf.DUMMYFUNCTION("""COMPUTED_VALUE"""),2860.7671)</f>
        <v>2860.7671</v>
      </c>
    </row>
    <row r="2420">
      <c r="A2420" s="434">
        <f>IFERROR(__xludf.DUMMYFUNCTION("""COMPUTED_VALUE"""),45057.99861111111)</f>
        <v>45057.99861</v>
      </c>
      <c r="B2420" s="433">
        <f>IFERROR(__xludf.DUMMYFUNCTION("""COMPUTED_VALUE"""),26986.38)</f>
        <v>26986.38</v>
      </c>
      <c r="C2420" s="434">
        <f>IFERROR(__xludf.DUMMYFUNCTION("""COMPUTED_VALUE"""),44642.99861111111)</f>
        <v>44642.99861</v>
      </c>
      <c r="D2420" s="433">
        <f>IFERROR(__xludf.DUMMYFUNCTION("""COMPUTED_VALUE"""),2895.1868)</f>
        <v>2895.1868</v>
      </c>
    </row>
    <row r="2421">
      <c r="A2421" s="434">
        <f>IFERROR(__xludf.DUMMYFUNCTION("""COMPUTED_VALUE"""),45058.99861111111)</f>
        <v>45058.99861</v>
      </c>
      <c r="B2421" s="433">
        <f>IFERROR(__xludf.DUMMYFUNCTION("""COMPUTED_VALUE"""),26800.62)</f>
        <v>26800.62</v>
      </c>
      <c r="C2421" s="434">
        <f>IFERROR(__xludf.DUMMYFUNCTION("""COMPUTED_VALUE"""),44643.99861111111)</f>
        <v>44643.99861</v>
      </c>
      <c r="D2421" s="433">
        <f>IFERROR(__xludf.DUMMYFUNCTION("""COMPUTED_VALUE"""),2970.1455)</f>
        <v>2970.1455</v>
      </c>
    </row>
    <row r="2422">
      <c r="A2422" s="434">
        <f>IFERROR(__xludf.DUMMYFUNCTION("""COMPUTED_VALUE"""),45059.99861111111)</f>
        <v>45059.99861</v>
      </c>
      <c r="B2422" s="433">
        <f>IFERROR(__xludf.DUMMYFUNCTION("""COMPUTED_VALUE"""),26780.87)</f>
        <v>26780.87</v>
      </c>
      <c r="C2422" s="434">
        <f>IFERROR(__xludf.DUMMYFUNCTION("""COMPUTED_VALUE"""),44644.99861111111)</f>
        <v>44644.99861</v>
      </c>
      <c r="D2422" s="433">
        <f>IFERROR(__xludf.DUMMYFUNCTION("""COMPUTED_VALUE"""),3035.8666)</f>
        <v>3035.8666</v>
      </c>
    </row>
    <row r="2423">
      <c r="A2423" s="434">
        <f>IFERROR(__xludf.DUMMYFUNCTION("""COMPUTED_VALUE"""),45060.99861111111)</f>
        <v>45060.99861</v>
      </c>
      <c r="B2423" s="433">
        <f>IFERROR(__xludf.DUMMYFUNCTION("""COMPUTED_VALUE"""),26922.28)</f>
        <v>26922.28</v>
      </c>
      <c r="C2423" s="434">
        <f>IFERROR(__xludf.DUMMYFUNCTION("""COMPUTED_VALUE"""),44645.99861111111)</f>
        <v>44645.99861</v>
      </c>
      <c r="D2423" s="433">
        <f>IFERROR(__xludf.DUMMYFUNCTION("""COMPUTED_VALUE"""),3109.5235)</f>
        <v>3109.5235</v>
      </c>
    </row>
    <row r="2424">
      <c r="A2424" s="434">
        <f>IFERROR(__xludf.DUMMYFUNCTION("""COMPUTED_VALUE"""),45061.99861111111)</f>
        <v>45061.99861</v>
      </c>
      <c r="B2424" s="433">
        <f>IFERROR(__xludf.DUMMYFUNCTION("""COMPUTED_VALUE"""),27176.95)</f>
        <v>27176.95</v>
      </c>
      <c r="C2424" s="434">
        <f>IFERROR(__xludf.DUMMYFUNCTION("""COMPUTED_VALUE"""),44646.99861111111)</f>
        <v>44646.99861</v>
      </c>
      <c r="D2424" s="433">
        <f>IFERROR(__xludf.DUMMYFUNCTION("""COMPUTED_VALUE"""),3104.436)</f>
        <v>3104.436</v>
      </c>
    </row>
    <row r="2425">
      <c r="A2425" s="434">
        <f>IFERROR(__xludf.DUMMYFUNCTION("""COMPUTED_VALUE"""),45062.99861111111)</f>
        <v>45062.99861</v>
      </c>
      <c r="B2425" s="433">
        <f>IFERROR(__xludf.DUMMYFUNCTION("""COMPUTED_VALUE"""),27035.87)</f>
        <v>27035.87</v>
      </c>
      <c r="C2425" s="434">
        <f>IFERROR(__xludf.DUMMYFUNCTION("""COMPUTED_VALUE"""),44647.99861111111)</f>
        <v>44647.99861</v>
      </c>
      <c r="D2425" s="433">
        <f>IFERROR(__xludf.DUMMYFUNCTION("""COMPUTED_VALUE"""),3144.8975)</f>
        <v>3144.8975</v>
      </c>
    </row>
    <row r="2426">
      <c r="A2426" s="434">
        <f>IFERROR(__xludf.DUMMYFUNCTION("""COMPUTED_VALUE"""),45063.99861111111)</f>
        <v>45063.99861</v>
      </c>
      <c r="B2426" s="433">
        <f>IFERROR(__xludf.DUMMYFUNCTION("""COMPUTED_VALUE"""),27401.65)</f>
        <v>27401.65</v>
      </c>
      <c r="C2426" s="434">
        <f>IFERROR(__xludf.DUMMYFUNCTION("""COMPUTED_VALUE"""),44648.99861111111)</f>
        <v>44648.99861</v>
      </c>
      <c r="D2426" s="433">
        <f>IFERROR(__xludf.DUMMYFUNCTION("""COMPUTED_VALUE"""),3293.325)</f>
        <v>3293.325</v>
      </c>
    </row>
    <row r="2427">
      <c r="A2427" s="434">
        <f>IFERROR(__xludf.DUMMYFUNCTION("""COMPUTED_VALUE"""),45064.99861111111)</f>
        <v>45064.99861</v>
      </c>
      <c r="B2427" s="433">
        <f>IFERROR(__xludf.DUMMYFUNCTION("""COMPUTED_VALUE"""),26828.17)</f>
        <v>26828.17</v>
      </c>
      <c r="C2427" s="434">
        <f>IFERROR(__xludf.DUMMYFUNCTION("""COMPUTED_VALUE"""),44649.99861111111)</f>
        <v>44649.99861</v>
      </c>
      <c r="D2427" s="433">
        <f>IFERROR(__xludf.DUMMYFUNCTION("""COMPUTED_VALUE"""),3340.8226)</f>
        <v>3340.8226</v>
      </c>
    </row>
    <row r="2428">
      <c r="A2428" s="434">
        <f>IFERROR(__xludf.DUMMYFUNCTION("""COMPUTED_VALUE"""),45065.99861111111)</f>
        <v>45065.99861</v>
      </c>
      <c r="B2428" s="433">
        <f>IFERROR(__xludf.DUMMYFUNCTION("""COMPUTED_VALUE"""),26887.22)</f>
        <v>26887.22</v>
      </c>
      <c r="C2428" s="434">
        <f>IFERROR(__xludf.DUMMYFUNCTION("""COMPUTED_VALUE"""),44650.99861111111)</f>
        <v>44650.99861</v>
      </c>
      <c r="D2428" s="433">
        <f>IFERROR(__xludf.DUMMYFUNCTION("""COMPUTED_VALUE"""),3393.4774)</f>
        <v>3393.4774</v>
      </c>
    </row>
    <row r="2429">
      <c r="A2429" s="434">
        <f>IFERROR(__xludf.DUMMYFUNCTION("""COMPUTED_VALUE"""),45066.99861111111)</f>
        <v>45066.99861</v>
      </c>
      <c r="B2429" s="433">
        <f>IFERROR(__xludf.DUMMYFUNCTION("""COMPUTED_VALUE"""),27118.38)</f>
        <v>27118.38</v>
      </c>
      <c r="C2429" s="434">
        <f>IFERROR(__xludf.DUMMYFUNCTION("""COMPUTED_VALUE"""),44651.99861111111)</f>
        <v>44651.99861</v>
      </c>
      <c r="D2429" s="433">
        <f>IFERROR(__xludf.DUMMYFUNCTION("""COMPUTED_VALUE"""),3383.5574)</f>
        <v>3383.5574</v>
      </c>
    </row>
    <row r="2430">
      <c r="A2430" s="434">
        <f>IFERROR(__xludf.DUMMYFUNCTION("""COMPUTED_VALUE"""),45067.99861111111)</f>
        <v>45067.99861</v>
      </c>
      <c r="B2430" s="433">
        <f>IFERROR(__xludf.DUMMYFUNCTION("""COMPUTED_VALUE"""),26750.97)</f>
        <v>26750.97</v>
      </c>
      <c r="C2430" s="434">
        <f>IFERROR(__xludf.DUMMYFUNCTION("""COMPUTED_VALUE"""),44652.99861111111)</f>
        <v>44652.99861</v>
      </c>
      <c r="D2430" s="433">
        <f>IFERROR(__xludf.DUMMYFUNCTION("""COMPUTED_VALUE"""),3284.7089)</f>
        <v>3284.7089</v>
      </c>
    </row>
    <row r="2431">
      <c r="A2431" s="434">
        <f>IFERROR(__xludf.DUMMYFUNCTION("""COMPUTED_VALUE"""),45068.99861111111)</f>
        <v>45068.99861</v>
      </c>
      <c r="B2431" s="433">
        <f>IFERROR(__xludf.DUMMYFUNCTION("""COMPUTED_VALUE"""),26852.15)</f>
        <v>26852.15</v>
      </c>
      <c r="C2431" s="434">
        <f>IFERROR(__xludf.DUMMYFUNCTION("""COMPUTED_VALUE"""),44653.99861111111)</f>
        <v>44653.99861</v>
      </c>
      <c r="D2431" s="433">
        <f>IFERROR(__xludf.DUMMYFUNCTION("""COMPUTED_VALUE"""),3442.9433)</f>
        <v>3442.9433</v>
      </c>
    </row>
    <row r="2432">
      <c r="A2432" s="434">
        <f>IFERROR(__xludf.DUMMYFUNCTION("""COMPUTED_VALUE"""),45069.99861111111)</f>
        <v>45069.99861</v>
      </c>
      <c r="B2432" s="433">
        <f>IFERROR(__xludf.DUMMYFUNCTION("""COMPUTED_VALUE"""),27220.68)</f>
        <v>27220.68</v>
      </c>
      <c r="C2432" s="434">
        <f>IFERROR(__xludf.DUMMYFUNCTION("""COMPUTED_VALUE"""),44654.99861111111)</f>
        <v>44654.99861</v>
      </c>
      <c r="D2432" s="433">
        <f>IFERROR(__xludf.DUMMYFUNCTION("""COMPUTED_VALUE"""),3446.873)</f>
        <v>3446.873</v>
      </c>
    </row>
    <row r="2433">
      <c r="A2433" s="434">
        <f>IFERROR(__xludf.DUMMYFUNCTION("""COMPUTED_VALUE"""),45070.99861111111)</f>
        <v>45070.99861</v>
      </c>
      <c r="B2433" s="433">
        <f>IFERROR(__xludf.DUMMYFUNCTION("""COMPUTED_VALUE"""),26325.69)</f>
        <v>26325.69</v>
      </c>
      <c r="C2433" s="434">
        <f>IFERROR(__xludf.DUMMYFUNCTION("""COMPUTED_VALUE"""),44655.99861111111)</f>
        <v>44655.99861</v>
      </c>
      <c r="D2433" s="433">
        <f>IFERROR(__xludf.DUMMYFUNCTION("""COMPUTED_VALUE"""),3513.1198)</f>
        <v>3513.1198</v>
      </c>
    </row>
    <row r="2434">
      <c r="A2434" s="434">
        <f>IFERROR(__xludf.DUMMYFUNCTION("""COMPUTED_VALUE"""),45071.99861111111)</f>
        <v>45071.99861</v>
      </c>
      <c r="B2434" s="433">
        <f>IFERROR(__xludf.DUMMYFUNCTION("""COMPUTED_VALUE"""),26477.4)</f>
        <v>26477.4</v>
      </c>
      <c r="C2434" s="434">
        <f>IFERROR(__xludf.DUMMYFUNCTION("""COMPUTED_VALUE"""),44656.99861111111)</f>
        <v>44656.99861</v>
      </c>
      <c r="D2434" s="433">
        <f>IFERROR(__xludf.DUMMYFUNCTION("""COMPUTED_VALUE"""),3519.0525)</f>
        <v>3519.0525</v>
      </c>
    </row>
    <row r="2435">
      <c r="A2435" s="434">
        <f>IFERROR(__xludf.DUMMYFUNCTION("""COMPUTED_VALUE"""),45072.99861111111)</f>
        <v>45072.99861</v>
      </c>
      <c r="B2435" s="433">
        <f>IFERROR(__xludf.DUMMYFUNCTION("""COMPUTED_VALUE"""),26713.51)</f>
        <v>26713.51</v>
      </c>
      <c r="C2435" s="434">
        <f>IFERROR(__xludf.DUMMYFUNCTION("""COMPUTED_VALUE"""),44657.99861111111)</f>
        <v>44657.99861</v>
      </c>
      <c r="D2435" s="433">
        <f>IFERROR(__xludf.DUMMYFUNCTION("""COMPUTED_VALUE"""),3398.5705)</f>
        <v>3398.5705</v>
      </c>
    </row>
    <row r="2436">
      <c r="A2436" s="434">
        <f>IFERROR(__xludf.DUMMYFUNCTION("""COMPUTED_VALUE"""),45073.99861111111)</f>
        <v>45073.99861</v>
      </c>
      <c r="B2436" s="433">
        <f>IFERROR(__xludf.DUMMYFUNCTION("""COMPUTED_VALUE"""),26865.48)</f>
        <v>26865.48</v>
      </c>
      <c r="C2436" s="434">
        <f>IFERROR(__xludf.DUMMYFUNCTION("""COMPUTED_VALUE"""),44658.99861111111)</f>
        <v>44658.99861</v>
      </c>
      <c r="D2436" s="433">
        <f>IFERROR(__xludf.DUMMYFUNCTION("""COMPUTED_VALUE"""),3178.2092)</f>
        <v>3178.2092</v>
      </c>
    </row>
    <row r="2437">
      <c r="A2437" s="434">
        <f>IFERROR(__xludf.DUMMYFUNCTION("""COMPUTED_VALUE"""),45074.99861111111)</f>
        <v>45074.99861</v>
      </c>
      <c r="B2437" s="433">
        <f>IFERROR(__xludf.DUMMYFUNCTION("""COMPUTED_VALUE"""),28079.08)</f>
        <v>28079.08</v>
      </c>
      <c r="C2437" s="434">
        <f>IFERROR(__xludf.DUMMYFUNCTION("""COMPUTED_VALUE"""),44659.99861111111)</f>
        <v>44659.99861</v>
      </c>
      <c r="D2437" s="433">
        <f>IFERROR(__xludf.DUMMYFUNCTION("""COMPUTED_VALUE"""),3228.6169)</f>
        <v>3228.6169</v>
      </c>
    </row>
    <row r="2438">
      <c r="A2438" s="434">
        <f>IFERROR(__xludf.DUMMYFUNCTION("""COMPUTED_VALUE"""),45075.99861111111)</f>
        <v>45075.99861</v>
      </c>
      <c r="B2438" s="433">
        <f>IFERROR(__xludf.DUMMYFUNCTION("""COMPUTED_VALUE"""),27743.0)</f>
        <v>27743</v>
      </c>
      <c r="C2438" s="434">
        <f>IFERROR(__xludf.DUMMYFUNCTION("""COMPUTED_VALUE"""),44660.99861111111)</f>
        <v>44660.99861</v>
      </c>
      <c r="D2438" s="433">
        <f>IFERROR(__xludf.DUMMYFUNCTION("""COMPUTED_VALUE"""),3199.9822)</f>
        <v>3199.9822</v>
      </c>
    </row>
    <row r="2439">
      <c r="A2439" s="434">
        <f>IFERROR(__xludf.DUMMYFUNCTION("""COMPUTED_VALUE"""),45076.99861111111)</f>
        <v>45076.99861</v>
      </c>
      <c r="B2439" s="433">
        <f>IFERROR(__xludf.DUMMYFUNCTION("""COMPUTED_VALUE"""),27698.92)</f>
        <v>27698.92</v>
      </c>
      <c r="C2439" s="434">
        <f>IFERROR(__xludf.DUMMYFUNCTION("""COMPUTED_VALUE"""),44661.99861111111)</f>
        <v>44661.99861</v>
      </c>
      <c r="D2439" s="433">
        <f>IFERROR(__xludf.DUMMYFUNCTION("""COMPUTED_VALUE"""),3256.6206)</f>
        <v>3256.6206</v>
      </c>
    </row>
    <row r="2440">
      <c r="A2440" s="434">
        <f>IFERROR(__xludf.DUMMYFUNCTION("""COMPUTED_VALUE"""),45077.99861111111)</f>
        <v>45077.99861</v>
      </c>
      <c r="B2440" s="433">
        <f>IFERROR(__xludf.DUMMYFUNCTION("""COMPUTED_VALUE"""),27218.21)</f>
        <v>27218.21</v>
      </c>
      <c r="C2440" s="434">
        <f>IFERROR(__xludf.DUMMYFUNCTION("""COMPUTED_VALUE"""),44662.99861111111)</f>
        <v>44662.99861</v>
      </c>
      <c r="D2440" s="433">
        <f>IFERROR(__xludf.DUMMYFUNCTION("""COMPUTED_VALUE"""),3206.1288)</f>
        <v>3206.1288</v>
      </c>
    </row>
    <row r="2441">
      <c r="A2441" s="434">
        <f>IFERROR(__xludf.DUMMYFUNCTION("""COMPUTED_VALUE"""),45078.99861111111)</f>
        <v>45078.99861</v>
      </c>
      <c r="B2441" s="433">
        <f>IFERROR(__xludf.DUMMYFUNCTION("""COMPUTED_VALUE"""),26819.79)</f>
        <v>26819.79</v>
      </c>
      <c r="C2441" s="434">
        <f>IFERROR(__xludf.DUMMYFUNCTION("""COMPUTED_VALUE"""),44663.99861111111)</f>
        <v>44663.99861</v>
      </c>
      <c r="D2441" s="433">
        <f>IFERROR(__xludf.DUMMYFUNCTION("""COMPUTED_VALUE"""),2987.1613)</f>
        <v>2987.1613</v>
      </c>
    </row>
    <row r="2442">
      <c r="A2442" s="434">
        <f>IFERROR(__xludf.DUMMYFUNCTION("""COMPUTED_VALUE"""),45079.99861111111)</f>
        <v>45079.99861</v>
      </c>
      <c r="B2442" s="433">
        <f>IFERROR(__xludf.DUMMYFUNCTION("""COMPUTED_VALUE"""),27249.86)</f>
        <v>27249.86</v>
      </c>
      <c r="C2442" s="434">
        <f>IFERROR(__xludf.DUMMYFUNCTION("""COMPUTED_VALUE"""),44664.99861111111)</f>
        <v>44664.99861</v>
      </c>
      <c r="D2442" s="433">
        <f>IFERROR(__xludf.DUMMYFUNCTION("""COMPUTED_VALUE"""),3028.8748)</f>
        <v>3028.8748</v>
      </c>
    </row>
    <row r="2443">
      <c r="A2443" s="434">
        <f>IFERROR(__xludf.DUMMYFUNCTION("""COMPUTED_VALUE"""),45080.99861111111)</f>
        <v>45080.99861</v>
      </c>
      <c r="B2443" s="433">
        <f>IFERROR(__xludf.DUMMYFUNCTION("""COMPUTED_VALUE"""),27072.09)</f>
        <v>27072.09</v>
      </c>
      <c r="C2443" s="434">
        <f>IFERROR(__xludf.DUMMYFUNCTION("""COMPUTED_VALUE"""),44665.99861111111)</f>
        <v>44665.99861</v>
      </c>
      <c r="D2443" s="433">
        <f>IFERROR(__xludf.DUMMYFUNCTION("""COMPUTED_VALUE"""),3113.4137)</f>
        <v>3113.4137</v>
      </c>
    </row>
    <row r="2444">
      <c r="A2444" s="434">
        <f>IFERROR(__xludf.DUMMYFUNCTION("""COMPUTED_VALUE"""),45081.99861111111)</f>
        <v>45081.99861</v>
      </c>
      <c r="B2444" s="433">
        <f>IFERROR(__xludf.DUMMYFUNCTION("""COMPUTED_VALUE"""),27126.87)</f>
        <v>27126.87</v>
      </c>
      <c r="C2444" s="434">
        <f>IFERROR(__xludf.DUMMYFUNCTION("""COMPUTED_VALUE"""),44666.99861111111)</f>
        <v>44666.99861</v>
      </c>
      <c r="D2444" s="433">
        <f>IFERROR(__xludf.DUMMYFUNCTION("""COMPUTED_VALUE"""),3023.7709)</f>
        <v>3023.7709</v>
      </c>
    </row>
    <row r="2445">
      <c r="A2445" s="434">
        <f>IFERROR(__xludf.DUMMYFUNCTION("""COMPUTED_VALUE"""),45082.99861111111)</f>
        <v>45082.99861</v>
      </c>
      <c r="B2445" s="433">
        <f>IFERROR(__xludf.DUMMYFUNCTION("""COMPUTED_VALUE"""),25736.08)</f>
        <v>25736.08</v>
      </c>
      <c r="C2445" s="434">
        <f>IFERROR(__xludf.DUMMYFUNCTION("""COMPUTED_VALUE"""),44667.99861111111)</f>
        <v>44667.99861</v>
      </c>
      <c r="D2445" s="433">
        <f>IFERROR(__xludf.DUMMYFUNCTION("""COMPUTED_VALUE"""),3040.3011)</f>
        <v>3040.3011</v>
      </c>
    </row>
    <row r="2446">
      <c r="A2446" s="434">
        <f>IFERROR(__xludf.DUMMYFUNCTION("""COMPUTED_VALUE"""),45083.99861111111)</f>
        <v>45083.99861</v>
      </c>
      <c r="B2446" s="433">
        <f>IFERROR(__xludf.DUMMYFUNCTION("""COMPUTED_VALUE"""),27232.56)</f>
        <v>27232.56</v>
      </c>
      <c r="C2446" s="434">
        <f>IFERROR(__xludf.DUMMYFUNCTION("""COMPUTED_VALUE"""),44668.99861111111)</f>
        <v>44668.99861</v>
      </c>
      <c r="D2446" s="433">
        <f>IFERROR(__xludf.DUMMYFUNCTION("""COMPUTED_VALUE"""),3062.0727)</f>
        <v>3062.0727</v>
      </c>
    </row>
    <row r="2447">
      <c r="A2447" s="434">
        <f>IFERROR(__xludf.DUMMYFUNCTION("""COMPUTED_VALUE"""),45084.99861111111)</f>
        <v>45084.99861</v>
      </c>
      <c r="B2447" s="433">
        <f>IFERROR(__xludf.DUMMYFUNCTION("""COMPUTED_VALUE"""),26349.59)</f>
        <v>26349.59</v>
      </c>
      <c r="C2447" s="434">
        <f>IFERROR(__xludf.DUMMYFUNCTION("""COMPUTED_VALUE"""),44669.99861111111)</f>
        <v>44669.99861</v>
      </c>
      <c r="D2447" s="433">
        <f>IFERROR(__xludf.DUMMYFUNCTION("""COMPUTED_VALUE"""),2986.71)</f>
        <v>2986.71</v>
      </c>
    </row>
    <row r="2448">
      <c r="A2448" s="434">
        <f>IFERROR(__xludf.DUMMYFUNCTION("""COMPUTED_VALUE"""),45085.99861111111)</f>
        <v>45085.99861</v>
      </c>
      <c r="B2448" s="433">
        <f>IFERROR(__xludf.DUMMYFUNCTION("""COMPUTED_VALUE"""),26506.83)</f>
        <v>26506.83</v>
      </c>
      <c r="C2448" s="434">
        <f>IFERROR(__xludf.DUMMYFUNCTION("""COMPUTED_VALUE"""),44670.99861111111)</f>
        <v>44670.99861</v>
      </c>
      <c r="D2448" s="433">
        <f>IFERROR(__xludf.DUMMYFUNCTION("""COMPUTED_VALUE"""),3058.0516)</f>
        <v>3058.0516</v>
      </c>
    </row>
    <row r="2449">
      <c r="A2449" s="434">
        <f>IFERROR(__xludf.DUMMYFUNCTION("""COMPUTED_VALUE"""),45086.99861111111)</f>
        <v>45086.99861</v>
      </c>
      <c r="B2449" s="433">
        <f>IFERROR(__xludf.DUMMYFUNCTION("""COMPUTED_VALUE"""),26483.8)</f>
        <v>26483.8</v>
      </c>
      <c r="C2449" s="434">
        <f>IFERROR(__xludf.DUMMYFUNCTION("""COMPUTED_VALUE"""),44671.99861111111)</f>
        <v>44671.99861</v>
      </c>
      <c r="D2449" s="433">
        <f>IFERROR(__xludf.DUMMYFUNCTION("""COMPUTED_VALUE"""),3098.7259)</f>
        <v>3098.7259</v>
      </c>
    </row>
    <row r="2450">
      <c r="A2450" s="434">
        <f>IFERROR(__xludf.DUMMYFUNCTION("""COMPUTED_VALUE"""),45087.99861111111)</f>
        <v>45087.99861</v>
      </c>
      <c r="B2450" s="433">
        <f>IFERROR(__xludf.DUMMYFUNCTION("""COMPUTED_VALUE"""),25853.87)</f>
        <v>25853.87</v>
      </c>
      <c r="C2450" s="434">
        <f>IFERROR(__xludf.DUMMYFUNCTION("""COMPUTED_VALUE"""),44672.99861111111)</f>
        <v>44672.99861</v>
      </c>
      <c r="D2450" s="433">
        <f>IFERROR(__xludf.DUMMYFUNCTION("""COMPUTED_VALUE"""),3079.9773)</f>
        <v>3079.9773</v>
      </c>
    </row>
    <row r="2451">
      <c r="A2451" s="434">
        <f>IFERROR(__xludf.DUMMYFUNCTION("""COMPUTED_VALUE"""),45088.99861111111)</f>
        <v>45088.99861</v>
      </c>
      <c r="B2451" s="433">
        <f>IFERROR(__xludf.DUMMYFUNCTION("""COMPUTED_VALUE"""),25933.86)</f>
        <v>25933.86</v>
      </c>
      <c r="C2451" s="434">
        <f>IFERROR(__xludf.DUMMYFUNCTION("""COMPUTED_VALUE"""),44673.99861111111)</f>
        <v>44673.99861</v>
      </c>
      <c r="D2451" s="433">
        <f>IFERROR(__xludf.DUMMYFUNCTION("""COMPUTED_VALUE"""),2980.169)</f>
        <v>2980.169</v>
      </c>
    </row>
    <row r="2452">
      <c r="A2452" s="434">
        <f>IFERROR(__xludf.DUMMYFUNCTION("""COMPUTED_VALUE"""),45089.99861111111)</f>
        <v>45089.99861</v>
      </c>
      <c r="B2452" s="433">
        <f>IFERROR(__xludf.DUMMYFUNCTION("""COMPUTED_VALUE"""),25905.95)</f>
        <v>25905.95</v>
      </c>
      <c r="C2452" s="434">
        <f>IFERROR(__xludf.DUMMYFUNCTION("""COMPUTED_VALUE"""),44674.99861111111)</f>
        <v>44674.99861</v>
      </c>
      <c r="D2452" s="433">
        <f>IFERROR(__xludf.DUMMYFUNCTION("""COMPUTED_VALUE"""),2965.2565)</f>
        <v>2965.2565</v>
      </c>
    </row>
    <row r="2453">
      <c r="A2453" s="434">
        <f>IFERROR(__xludf.DUMMYFUNCTION("""COMPUTED_VALUE"""),45090.99861111111)</f>
        <v>45090.99861</v>
      </c>
      <c r="B2453" s="433">
        <f>IFERROR(__xludf.DUMMYFUNCTION("""COMPUTED_VALUE"""),25925.74)</f>
        <v>25925.74</v>
      </c>
      <c r="C2453" s="434">
        <f>IFERROR(__xludf.DUMMYFUNCTION("""COMPUTED_VALUE"""),44675.99861111111)</f>
        <v>44675.99861</v>
      </c>
      <c r="D2453" s="433">
        <f>IFERROR(__xludf.DUMMYFUNCTION("""COMPUTED_VALUE"""),2938.3275)</f>
        <v>2938.3275</v>
      </c>
    </row>
    <row r="2454">
      <c r="A2454" s="434">
        <f>IFERROR(__xludf.DUMMYFUNCTION("""COMPUTED_VALUE"""),45091.99861111111)</f>
        <v>45091.99861</v>
      </c>
      <c r="B2454" s="433">
        <f>IFERROR(__xludf.DUMMYFUNCTION("""COMPUTED_VALUE"""),25126.3)</f>
        <v>25126.3</v>
      </c>
      <c r="C2454" s="434">
        <f>IFERROR(__xludf.DUMMYFUNCTION("""COMPUTED_VALUE"""),44676.99861111111)</f>
        <v>44676.99861</v>
      </c>
      <c r="D2454" s="433">
        <f>IFERROR(__xludf.DUMMYFUNCTION("""COMPUTED_VALUE"""),2924.8942)</f>
        <v>2924.8942</v>
      </c>
    </row>
    <row r="2455">
      <c r="A2455" s="434">
        <f>IFERROR(__xludf.DUMMYFUNCTION("""COMPUTED_VALUE"""),45092.99861111111)</f>
        <v>45092.99861</v>
      </c>
      <c r="B2455" s="433">
        <f>IFERROR(__xludf.DUMMYFUNCTION("""COMPUTED_VALUE"""),25579.45)</f>
        <v>25579.45</v>
      </c>
      <c r="C2455" s="434">
        <f>IFERROR(__xludf.DUMMYFUNCTION("""COMPUTED_VALUE"""),44677.99861111111)</f>
        <v>44677.99861</v>
      </c>
      <c r="D2455" s="433">
        <f>IFERROR(__xludf.DUMMYFUNCTION("""COMPUTED_VALUE"""),3010.7855)</f>
        <v>3010.7855</v>
      </c>
    </row>
    <row r="2456">
      <c r="A2456" s="434">
        <f>IFERROR(__xludf.DUMMYFUNCTION("""COMPUTED_VALUE"""),45093.99861111111)</f>
        <v>45093.99861</v>
      </c>
      <c r="B2456" s="433">
        <f>IFERROR(__xludf.DUMMYFUNCTION("""COMPUTED_VALUE"""),26338.52)</f>
        <v>26338.52</v>
      </c>
      <c r="C2456" s="434">
        <f>IFERROR(__xludf.DUMMYFUNCTION("""COMPUTED_VALUE"""),44678.99861111111)</f>
        <v>44678.99861</v>
      </c>
      <c r="D2456" s="433">
        <f>IFERROR(__xludf.DUMMYFUNCTION("""COMPUTED_VALUE"""),2808.1769)</f>
        <v>2808.1769</v>
      </c>
    </row>
    <row r="2457">
      <c r="A2457" s="434">
        <f>IFERROR(__xludf.DUMMYFUNCTION("""COMPUTED_VALUE"""),45094.99861111111)</f>
        <v>45094.99861</v>
      </c>
      <c r="B2457" s="433">
        <f>IFERROR(__xludf.DUMMYFUNCTION("""COMPUTED_VALUE"""),26520.6)</f>
        <v>26520.6</v>
      </c>
      <c r="C2457" s="434">
        <f>IFERROR(__xludf.DUMMYFUNCTION("""COMPUTED_VALUE"""),44679.99861111111)</f>
        <v>44679.99861</v>
      </c>
      <c r="D2457" s="433">
        <f>IFERROR(__xludf.DUMMYFUNCTION("""COMPUTED_VALUE"""),2886.8617)</f>
        <v>2886.8617</v>
      </c>
    </row>
    <row r="2458">
      <c r="A2458" s="434">
        <f>IFERROR(__xludf.DUMMYFUNCTION("""COMPUTED_VALUE"""),45095.99861111111)</f>
        <v>45095.99861</v>
      </c>
      <c r="B2458" s="433">
        <f>IFERROR(__xludf.DUMMYFUNCTION("""COMPUTED_VALUE"""),26344.33)</f>
        <v>26344.33</v>
      </c>
      <c r="C2458" s="434">
        <f>IFERROR(__xludf.DUMMYFUNCTION("""COMPUTED_VALUE"""),44680.99861111111)</f>
        <v>44680.99861</v>
      </c>
      <c r="D2458" s="433">
        <f>IFERROR(__xludf.DUMMYFUNCTION("""COMPUTED_VALUE"""),2939.0662)</f>
        <v>2939.0662</v>
      </c>
    </row>
    <row r="2459">
      <c r="A2459" s="434">
        <f>IFERROR(__xludf.DUMMYFUNCTION("""COMPUTED_VALUE"""),45096.99861111111)</f>
        <v>45096.99861</v>
      </c>
      <c r="B2459" s="433">
        <f>IFERROR(__xludf.DUMMYFUNCTION("""COMPUTED_VALUE"""),26838.21)</f>
        <v>26838.21</v>
      </c>
      <c r="C2459" s="434">
        <f>IFERROR(__xludf.DUMMYFUNCTION("""COMPUTED_VALUE"""),44681.99861111111)</f>
        <v>44681.99861</v>
      </c>
      <c r="D2459" s="433">
        <f>IFERROR(__xludf.DUMMYFUNCTION("""COMPUTED_VALUE"""),2816.5709)</f>
        <v>2816.5709</v>
      </c>
    </row>
    <row r="2460">
      <c r="A2460" s="434">
        <f>IFERROR(__xludf.DUMMYFUNCTION("""COMPUTED_VALUE"""),45097.99861111111)</f>
        <v>45097.99861</v>
      </c>
      <c r="B2460" s="433">
        <f>IFERROR(__xludf.DUMMYFUNCTION("""COMPUTED_VALUE"""),28311.79)</f>
        <v>28311.79</v>
      </c>
      <c r="C2460" s="434">
        <f>IFERROR(__xludf.DUMMYFUNCTION("""COMPUTED_VALUE"""),44682.99861111111)</f>
        <v>44682.99861</v>
      </c>
      <c r="D2460" s="433">
        <f>IFERROR(__xludf.DUMMYFUNCTION("""COMPUTED_VALUE"""),2731.828)</f>
        <v>2731.828</v>
      </c>
    </row>
    <row r="2461">
      <c r="A2461" s="434">
        <f>IFERROR(__xludf.DUMMYFUNCTION("""COMPUTED_VALUE"""),45098.99861111111)</f>
        <v>45098.99861</v>
      </c>
      <c r="B2461" s="433">
        <f>IFERROR(__xludf.DUMMYFUNCTION("""COMPUTED_VALUE"""),30001.54)</f>
        <v>30001.54</v>
      </c>
      <c r="C2461" s="434">
        <f>IFERROR(__xludf.DUMMYFUNCTION("""COMPUTED_VALUE"""),44683.99861111111)</f>
        <v>44683.99861</v>
      </c>
      <c r="D2461" s="433">
        <f>IFERROR(__xludf.DUMMYFUNCTION("""COMPUTED_VALUE"""),2826.9568)</f>
        <v>2826.9568</v>
      </c>
    </row>
    <row r="2462">
      <c r="A2462" s="434">
        <f>IFERROR(__xludf.DUMMYFUNCTION("""COMPUTED_VALUE"""),45099.99861111111)</f>
        <v>45099.99861</v>
      </c>
      <c r="B2462" s="433">
        <f>IFERROR(__xludf.DUMMYFUNCTION("""COMPUTED_VALUE"""),29900.9)</f>
        <v>29900.9</v>
      </c>
      <c r="C2462" s="434">
        <f>IFERROR(__xludf.DUMMYFUNCTION("""COMPUTED_VALUE"""),44684.99861111111)</f>
        <v>44684.99861</v>
      </c>
      <c r="D2462" s="433">
        <f>IFERROR(__xludf.DUMMYFUNCTION("""COMPUTED_VALUE"""),2855.4412)</f>
        <v>2855.4412</v>
      </c>
    </row>
    <row r="2463">
      <c r="A2463" s="434">
        <f>IFERROR(__xludf.DUMMYFUNCTION("""COMPUTED_VALUE"""),45100.99861111111)</f>
        <v>45100.99861</v>
      </c>
      <c r="B2463" s="433">
        <f>IFERROR(__xludf.DUMMYFUNCTION("""COMPUTED_VALUE"""),30702.18)</f>
        <v>30702.18</v>
      </c>
      <c r="C2463" s="434">
        <f>IFERROR(__xludf.DUMMYFUNCTION("""COMPUTED_VALUE"""),44685.99861111111)</f>
        <v>44685.99861</v>
      </c>
      <c r="D2463" s="433">
        <f>IFERROR(__xludf.DUMMYFUNCTION("""COMPUTED_VALUE"""),2783.5653)</f>
        <v>2783.5653</v>
      </c>
    </row>
    <row r="2464">
      <c r="A2464" s="434">
        <f>IFERROR(__xludf.DUMMYFUNCTION("""COMPUTED_VALUE"""),45101.99861111111)</f>
        <v>45101.99861</v>
      </c>
      <c r="B2464" s="433">
        <f>IFERROR(__xludf.DUMMYFUNCTION("""COMPUTED_VALUE"""),30550.17)</f>
        <v>30550.17</v>
      </c>
      <c r="C2464" s="434">
        <f>IFERROR(__xludf.DUMMYFUNCTION("""COMPUTED_VALUE"""),44686.99861111111)</f>
        <v>44686.99861</v>
      </c>
      <c r="D2464" s="433">
        <f>IFERROR(__xludf.DUMMYFUNCTION("""COMPUTED_VALUE"""),2942.6)</f>
        <v>2942.6</v>
      </c>
    </row>
    <row r="2465">
      <c r="A2465" s="434">
        <f>IFERROR(__xludf.DUMMYFUNCTION("""COMPUTED_VALUE"""),45102.99861111111)</f>
        <v>45102.99861</v>
      </c>
      <c r="B2465" s="433">
        <f>IFERROR(__xludf.DUMMYFUNCTION("""COMPUTED_VALUE"""),30478.53)</f>
        <v>30478.53</v>
      </c>
      <c r="C2465" s="434">
        <f>IFERROR(__xludf.DUMMYFUNCTION("""COMPUTED_VALUE"""),44687.99861111111)</f>
        <v>44687.99861</v>
      </c>
      <c r="D2465" s="433">
        <f>IFERROR(__xludf.DUMMYFUNCTION("""COMPUTED_VALUE"""),2746.3505)</f>
        <v>2746.3505</v>
      </c>
    </row>
    <row r="2466">
      <c r="A2466" s="434">
        <f>IFERROR(__xludf.DUMMYFUNCTION("""COMPUTED_VALUE"""),45103.99861111111)</f>
        <v>45103.99861</v>
      </c>
      <c r="B2466" s="433">
        <f>IFERROR(__xludf.DUMMYFUNCTION("""COMPUTED_VALUE"""),30274.02)</f>
        <v>30274.02</v>
      </c>
      <c r="C2466" s="434">
        <f>IFERROR(__xludf.DUMMYFUNCTION("""COMPUTED_VALUE"""),44688.99861111111)</f>
        <v>44688.99861</v>
      </c>
      <c r="D2466" s="433">
        <f>IFERROR(__xludf.DUMMYFUNCTION("""COMPUTED_VALUE"""),2694.5017)</f>
        <v>2694.5017</v>
      </c>
    </row>
    <row r="2467">
      <c r="A2467" s="434">
        <f>IFERROR(__xludf.DUMMYFUNCTION("""COMPUTED_VALUE"""),45104.99861111111)</f>
        <v>45104.99861</v>
      </c>
      <c r="B2467" s="433">
        <f>IFERROR(__xludf.DUMMYFUNCTION("""COMPUTED_VALUE"""),30701.64)</f>
        <v>30701.64</v>
      </c>
      <c r="C2467" s="434">
        <f>IFERROR(__xludf.DUMMYFUNCTION("""COMPUTED_VALUE"""),44689.99861111111)</f>
        <v>44689.99861</v>
      </c>
      <c r="D2467" s="433">
        <f>IFERROR(__xludf.DUMMYFUNCTION("""COMPUTED_VALUE"""),2637.4073)</f>
        <v>2637.4073</v>
      </c>
    </row>
    <row r="2468">
      <c r="A2468" s="434">
        <f>IFERROR(__xludf.DUMMYFUNCTION("""COMPUTED_VALUE"""),45105.99861111111)</f>
        <v>45105.99861</v>
      </c>
      <c r="B2468" s="433">
        <f>IFERROR(__xludf.DUMMYFUNCTION("""COMPUTED_VALUE"""),30080.25)</f>
        <v>30080.25</v>
      </c>
      <c r="C2468" s="434">
        <f>IFERROR(__xludf.DUMMYFUNCTION("""COMPUTED_VALUE"""),44690.99861111111)</f>
        <v>44690.99861</v>
      </c>
      <c r="D2468" s="433">
        <f>IFERROR(__xludf.DUMMYFUNCTION("""COMPUTED_VALUE"""),2520.2211)</f>
        <v>2520.2211</v>
      </c>
    </row>
    <row r="2469">
      <c r="A2469" s="434">
        <f>IFERROR(__xludf.DUMMYFUNCTION("""COMPUTED_VALUE"""),45106.99861111111)</f>
        <v>45106.99861</v>
      </c>
      <c r="B2469" s="433">
        <f>IFERROR(__xludf.DUMMYFUNCTION("""COMPUTED_VALUE"""),30450.42)</f>
        <v>30450.42</v>
      </c>
      <c r="C2469" s="434">
        <f>IFERROR(__xludf.DUMMYFUNCTION("""COMPUTED_VALUE"""),44691.99861111111)</f>
        <v>44691.99861</v>
      </c>
      <c r="D2469" s="433">
        <f>IFERROR(__xludf.DUMMYFUNCTION("""COMPUTED_VALUE"""),2247.786)</f>
        <v>2247.786</v>
      </c>
    </row>
    <row r="2470">
      <c r="A2470" s="434">
        <f>IFERROR(__xludf.DUMMYFUNCTION("""COMPUTED_VALUE"""),45107.99861111111)</f>
        <v>45107.99861</v>
      </c>
      <c r="B2470" s="433">
        <f>IFERROR(__xludf.DUMMYFUNCTION("""COMPUTED_VALUE"""),30472.82)</f>
        <v>30472.82</v>
      </c>
      <c r="C2470" s="434">
        <f>IFERROR(__xludf.DUMMYFUNCTION("""COMPUTED_VALUE"""),44692.99861111111)</f>
        <v>44692.99861</v>
      </c>
      <c r="D2470" s="433">
        <f>IFERROR(__xludf.DUMMYFUNCTION("""COMPUTED_VALUE"""),2342.1122)</f>
        <v>2342.1122</v>
      </c>
    </row>
    <row r="2471">
      <c r="A2471" s="434">
        <f>IFERROR(__xludf.DUMMYFUNCTION("""COMPUTED_VALUE"""),45108.99861111111)</f>
        <v>45108.99861</v>
      </c>
      <c r="B2471" s="433">
        <f>IFERROR(__xludf.DUMMYFUNCTION("""COMPUTED_VALUE"""),30600.18)</f>
        <v>30600.18</v>
      </c>
      <c r="C2471" s="434">
        <f>IFERROR(__xludf.DUMMYFUNCTION("""COMPUTED_VALUE"""),44693.99861111111)</f>
        <v>44693.99861</v>
      </c>
      <c r="D2471" s="433">
        <f>IFERROR(__xludf.DUMMYFUNCTION("""COMPUTED_VALUE"""),2084.7112)</f>
        <v>2084.7112</v>
      </c>
    </row>
    <row r="2472">
      <c r="A2472" s="434">
        <f>IFERROR(__xludf.DUMMYFUNCTION("""COMPUTED_VALUE"""),45109.99861111111)</f>
        <v>45109.99861</v>
      </c>
      <c r="B2472" s="433">
        <f>IFERROR(__xludf.DUMMYFUNCTION("""COMPUTED_VALUE"""),30619.66)</f>
        <v>30619.66</v>
      </c>
      <c r="C2472" s="434">
        <f>IFERROR(__xludf.DUMMYFUNCTION("""COMPUTED_VALUE"""),44694.99861111111)</f>
        <v>44694.99861</v>
      </c>
      <c r="D2472" s="433">
        <f>IFERROR(__xludf.DUMMYFUNCTION("""COMPUTED_VALUE"""),1960.2432)</f>
        <v>1960.2432</v>
      </c>
    </row>
    <row r="2473">
      <c r="A2473" s="434">
        <f>IFERROR(__xludf.DUMMYFUNCTION("""COMPUTED_VALUE"""),45110.99861111111)</f>
        <v>45110.99861</v>
      </c>
      <c r="B2473" s="433">
        <f>IFERROR(__xludf.DUMMYFUNCTION("""COMPUTED_VALUE"""),31155.26)</f>
        <v>31155.26</v>
      </c>
      <c r="C2473" s="434">
        <f>IFERROR(__xludf.DUMMYFUNCTION("""COMPUTED_VALUE"""),44695.99861111111)</f>
        <v>44695.99861</v>
      </c>
      <c r="D2473" s="433">
        <f>IFERROR(__xludf.DUMMYFUNCTION("""COMPUTED_VALUE"""),2008.8927)</f>
        <v>2008.8927</v>
      </c>
    </row>
    <row r="2474">
      <c r="A2474" s="434">
        <f>IFERROR(__xludf.DUMMYFUNCTION("""COMPUTED_VALUE"""),45111.99861111111)</f>
        <v>45111.99861</v>
      </c>
      <c r="B2474" s="433">
        <f>IFERROR(__xludf.DUMMYFUNCTION("""COMPUTED_VALUE"""),30783.76)</f>
        <v>30783.76</v>
      </c>
      <c r="C2474" s="434">
        <f>IFERROR(__xludf.DUMMYFUNCTION("""COMPUTED_VALUE"""),44696.99861111111)</f>
        <v>44696.99861</v>
      </c>
      <c r="D2474" s="433">
        <f>IFERROR(__xludf.DUMMYFUNCTION("""COMPUTED_VALUE"""),2054.8432)</f>
        <v>2054.8432</v>
      </c>
    </row>
    <row r="2475">
      <c r="A2475" s="434">
        <f>IFERROR(__xludf.DUMMYFUNCTION("""COMPUTED_VALUE"""),45112.99861111111)</f>
        <v>45112.99861</v>
      </c>
      <c r="B2475" s="433">
        <f>IFERROR(__xludf.DUMMYFUNCTION("""COMPUTED_VALUE"""),30512.26)</f>
        <v>30512.26</v>
      </c>
      <c r="C2475" s="434">
        <f>IFERROR(__xludf.DUMMYFUNCTION("""COMPUTED_VALUE"""),44697.99861111111)</f>
        <v>44697.99861</v>
      </c>
      <c r="D2475" s="433">
        <f>IFERROR(__xludf.DUMMYFUNCTION("""COMPUTED_VALUE"""),2138.7228)</f>
        <v>2138.7228</v>
      </c>
    </row>
    <row r="2476">
      <c r="A2476" s="434">
        <f>IFERROR(__xludf.DUMMYFUNCTION("""COMPUTED_VALUE"""),45113.99861111111)</f>
        <v>45113.99861</v>
      </c>
      <c r="B2476" s="433">
        <f>IFERROR(__xludf.DUMMYFUNCTION("""COMPUTED_VALUE"""),29917.44)</f>
        <v>29917.44</v>
      </c>
      <c r="C2476" s="434">
        <f>IFERROR(__xludf.DUMMYFUNCTION("""COMPUTED_VALUE"""),44698.99861111111)</f>
        <v>44698.99861</v>
      </c>
      <c r="D2476" s="433">
        <f>IFERROR(__xludf.DUMMYFUNCTION("""COMPUTED_VALUE"""),2022.5414)</f>
        <v>2022.5414</v>
      </c>
    </row>
    <row r="2477">
      <c r="A2477" s="434">
        <f>IFERROR(__xludf.DUMMYFUNCTION("""COMPUTED_VALUE"""),45114.99861111111)</f>
        <v>45114.99861</v>
      </c>
      <c r="B2477" s="433">
        <f>IFERROR(__xludf.DUMMYFUNCTION("""COMPUTED_VALUE"""),30360.05)</f>
        <v>30360.05</v>
      </c>
      <c r="C2477" s="434">
        <f>IFERROR(__xludf.DUMMYFUNCTION("""COMPUTED_VALUE"""),44699.99861111111)</f>
        <v>44699.99861</v>
      </c>
      <c r="D2477" s="433">
        <f>IFERROR(__xludf.DUMMYFUNCTION("""COMPUTED_VALUE"""),2093.5618)</f>
        <v>2093.5618</v>
      </c>
    </row>
    <row r="2478">
      <c r="A2478" s="434">
        <f>IFERROR(__xludf.DUMMYFUNCTION("""COMPUTED_VALUE"""),45115.99861111111)</f>
        <v>45115.99861</v>
      </c>
      <c r="B2478" s="433">
        <f>IFERROR(__xludf.DUMMYFUNCTION("""COMPUTED_VALUE"""),30307.61)</f>
        <v>30307.61</v>
      </c>
      <c r="C2478" s="434">
        <f>IFERROR(__xludf.DUMMYFUNCTION("""COMPUTED_VALUE"""),44700.99861111111)</f>
        <v>44700.99861</v>
      </c>
      <c r="D2478" s="433">
        <f>IFERROR(__xludf.DUMMYFUNCTION("""COMPUTED_VALUE"""),1921.1876)</f>
        <v>1921.1876</v>
      </c>
    </row>
    <row r="2479">
      <c r="A2479" s="434">
        <f>IFERROR(__xludf.DUMMYFUNCTION("""COMPUTED_VALUE"""),45116.99861111111)</f>
        <v>45116.99861</v>
      </c>
      <c r="B2479" s="433">
        <f>IFERROR(__xludf.DUMMYFUNCTION("""COMPUTED_VALUE"""),30182.26)</f>
        <v>30182.26</v>
      </c>
      <c r="C2479" s="434">
        <f>IFERROR(__xludf.DUMMYFUNCTION("""COMPUTED_VALUE"""),44701.99861111111)</f>
        <v>44701.99861</v>
      </c>
      <c r="D2479" s="433">
        <f>IFERROR(__xludf.DUMMYFUNCTION("""COMPUTED_VALUE"""),2016.4412)</f>
        <v>2016.4412</v>
      </c>
    </row>
    <row r="2480">
      <c r="A2480" s="434">
        <f>IFERROR(__xludf.DUMMYFUNCTION("""COMPUTED_VALUE"""),45117.99861111111)</f>
        <v>45117.99861</v>
      </c>
      <c r="B2480" s="433">
        <f>IFERROR(__xludf.DUMMYFUNCTION("""COMPUTED_VALUE"""),30422.21)</f>
        <v>30422.21</v>
      </c>
      <c r="C2480" s="434">
        <f>IFERROR(__xludf.DUMMYFUNCTION("""COMPUTED_VALUE"""),44702.99861111111)</f>
        <v>44702.99861</v>
      </c>
      <c r="D2480" s="433">
        <f>IFERROR(__xludf.DUMMYFUNCTION("""COMPUTED_VALUE"""),1957.8031)</f>
        <v>1957.8031</v>
      </c>
    </row>
    <row r="2481">
      <c r="A2481" s="434">
        <f>IFERROR(__xludf.DUMMYFUNCTION("""COMPUTED_VALUE"""),45118.99861111111)</f>
        <v>45118.99861</v>
      </c>
      <c r="B2481" s="433">
        <f>IFERROR(__xludf.DUMMYFUNCTION("""COMPUTED_VALUE"""),30636.85)</f>
        <v>30636.85</v>
      </c>
      <c r="C2481" s="434">
        <f>IFERROR(__xludf.DUMMYFUNCTION("""COMPUTED_VALUE"""),44703.99861111111)</f>
        <v>44703.99861</v>
      </c>
      <c r="D2481" s="433">
        <f>IFERROR(__xludf.DUMMYFUNCTION("""COMPUTED_VALUE"""),1974.0609)</f>
        <v>1974.0609</v>
      </c>
    </row>
    <row r="2482">
      <c r="A2482" s="434">
        <f>IFERROR(__xludf.DUMMYFUNCTION("""COMPUTED_VALUE"""),45119.99861111111)</f>
        <v>45119.99861</v>
      </c>
      <c r="B2482" s="433">
        <f>IFERROR(__xludf.DUMMYFUNCTION("""COMPUTED_VALUE"""),30397.57)</f>
        <v>30397.57</v>
      </c>
      <c r="C2482" s="434">
        <f>IFERROR(__xludf.DUMMYFUNCTION("""COMPUTED_VALUE"""),44704.99861111111)</f>
        <v>44704.99861</v>
      </c>
      <c r="D2482" s="433">
        <f>IFERROR(__xludf.DUMMYFUNCTION("""COMPUTED_VALUE"""),2039.3809)</f>
        <v>2039.3809</v>
      </c>
    </row>
    <row r="2483">
      <c r="A2483" s="434">
        <f>IFERROR(__xludf.DUMMYFUNCTION("""COMPUTED_VALUE"""),45120.99861111111)</f>
        <v>45120.99861</v>
      </c>
      <c r="B2483" s="433">
        <f>IFERROR(__xludf.DUMMYFUNCTION("""COMPUTED_VALUE"""),31470.53)</f>
        <v>31470.53</v>
      </c>
      <c r="C2483" s="434">
        <f>IFERROR(__xludf.DUMMYFUNCTION("""COMPUTED_VALUE"""),44705.99861111111)</f>
        <v>44705.99861</v>
      </c>
      <c r="D2483" s="433">
        <f>IFERROR(__xludf.DUMMYFUNCTION("""COMPUTED_VALUE"""),1971.669)</f>
        <v>1971.669</v>
      </c>
    </row>
    <row r="2484">
      <c r="A2484" s="434">
        <f>IFERROR(__xludf.DUMMYFUNCTION("""COMPUTED_VALUE"""),45121.99861111111)</f>
        <v>45121.99861</v>
      </c>
      <c r="B2484" s="433">
        <f>IFERROR(__xludf.DUMMYFUNCTION("""COMPUTED_VALUE"""),30345.3)</f>
        <v>30345.3</v>
      </c>
      <c r="C2484" s="434">
        <f>IFERROR(__xludf.DUMMYFUNCTION("""COMPUTED_VALUE"""),44706.99861111111)</f>
        <v>44706.99861</v>
      </c>
      <c r="D2484" s="433">
        <f>IFERROR(__xludf.DUMMYFUNCTION("""COMPUTED_VALUE"""),1979.748)</f>
        <v>1979.748</v>
      </c>
    </row>
    <row r="2485">
      <c r="A2485" s="434">
        <f>IFERROR(__xludf.DUMMYFUNCTION("""COMPUTED_VALUE"""),45122.99861111111)</f>
        <v>45122.99861</v>
      </c>
      <c r="B2485" s="433">
        <f>IFERROR(__xludf.DUMMYFUNCTION("""COMPUTED_VALUE"""),30330.87)</f>
        <v>30330.87</v>
      </c>
      <c r="C2485" s="434">
        <f>IFERROR(__xludf.DUMMYFUNCTION("""COMPUTED_VALUE"""),44707.99861111111)</f>
        <v>44707.99861</v>
      </c>
      <c r="D2485" s="433">
        <f>IFERROR(__xludf.DUMMYFUNCTION("""COMPUTED_VALUE"""),1947.3014)</f>
        <v>1947.3014</v>
      </c>
    </row>
    <row r="2486">
      <c r="A2486" s="434">
        <f>IFERROR(__xludf.DUMMYFUNCTION("""COMPUTED_VALUE"""),45123.99861111111)</f>
        <v>45123.99861</v>
      </c>
      <c r="B2486" s="433">
        <f>IFERROR(__xludf.DUMMYFUNCTION("""COMPUTED_VALUE"""),30262.35)</f>
        <v>30262.35</v>
      </c>
      <c r="C2486" s="434">
        <f>IFERROR(__xludf.DUMMYFUNCTION("""COMPUTED_VALUE"""),44708.99861111111)</f>
        <v>44708.99861</v>
      </c>
      <c r="D2486" s="433">
        <f>IFERROR(__xludf.DUMMYFUNCTION("""COMPUTED_VALUE"""),1803.8499)</f>
        <v>1803.8499</v>
      </c>
    </row>
    <row r="2487">
      <c r="A2487" s="434">
        <f>IFERROR(__xludf.DUMMYFUNCTION("""COMPUTED_VALUE"""),45124.99861111111)</f>
        <v>45124.99861</v>
      </c>
      <c r="B2487" s="433">
        <f>IFERROR(__xludf.DUMMYFUNCTION("""COMPUTED_VALUE"""),30157.59)</f>
        <v>30157.59</v>
      </c>
      <c r="C2487" s="434">
        <f>IFERROR(__xludf.DUMMYFUNCTION("""COMPUTED_VALUE"""),44709.99861111111)</f>
        <v>44709.99861</v>
      </c>
      <c r="D2487" s="433">
        <f>IFERROR(__xludf.DUMMYFUNCTION("""COMPUTED_VALUE"""),1726.7234)</f>
        <v>1726.7234</v>
      </c>
    </row>
    <row r="2488">
      <c r="A2488" s="434">
        <f>IFERROR(__xludf.DUMMYFUNCTION("""COMPUTED_VALUE"""),45125.99861111111)</f>
        <v>45125.99861</v>
      </c>
      <c r="B2488" s="433">
        <f>IFERROR(__xludf.DUMMYFUNCTION("""COMPUTED_VALUE"""),29878.96)</f>
        <v>29878.96</v>
      </c>
      <c r="C2488" s="434">
        <f>IFERROR(__xludf.DUMMYFUNCTION("""COMPUTED_VALUE"""),44710.99861111111)</f>
        <v>44710.99861</v>
      </c>
      <c r="D2488" s="433">
        <f>IFERROR(__xludf.DUMMYFUNCTION("""COMPUTED_VALUE"""),1791.4357)</f>
        <v>1791.4357</v>
      </c>
    </row>
    <row r="2489">
      <c r="A2489" s="434">
        <f>IFERROR(__xludf.DUMMYFUNCTION("""COMPUTED_VALUE"""),45126.99861111111)</f>
        <v>45126.99861</v>
      </c>
      <c r="B2489" s="433">
        <f>IFERROR(__xludf.DUMMYFUNCTION("""COMPUTED_VALUE"""),29926.23)</f>
        <v>29926.23</v>
      </c>
      <c r="C2489" s="434">
        <f>IFERROR(__xludf.DUMMYFUNCTION("""COMPUTED_VALUE"""),44711.99861111111)</f>
        <v>44711.99861</v>
      </c>
      <c r="D2489" s="433">
        <f>IFERROR(__xludf.DUMMYFUNCTION("""COMPUTED_VALUE"""),1811.2348)</f>
        <v>1811.2348</v>
      </c>
    </row>
    <row r="2490">
      <c r="A2490" s="434">
        <f>IFERROR(__xludf.DUMMYFUNCTION("""COMPUTED_VALUE"""),45127.99861111111)</f>
        <v>45127.99861</v>
      </c>
      <c r="B2490" s="433">
        <f>IFERROR(__xludf.DUMMYFUNCTION("""COMPUTED_VALUE"""),29812.25)</f>
        <v>29812.25</v>
      </c>
      <c r="C2490" s="434">
        <f>IFERROR(__xludf.DUMMYFUNCTION("""COMPUTED_VALUE"""),44712.99861111111)</f>
        <v>44712.99861</v>
      </c>
      <c r="D2490" s="433">
        <f>IFERROR(__xludf.DUMMYFUNCTION("""COMPUTED_VALUE"""),1996.786)</f>
        <v>1996.786</v>
      </c>
    </row>
    <row r="2491">
      <c r="A2491" s="434">
        <f>IFERROR(__xludf.DUMMYFUNCTION("""COMPUTED_VALUE"""),45128.99861111111)</f>
        <v>45128.99861</v>
      </c>
      <c r="B2491" s="433">
        <f>IFERROR(__xludf.DUMMYFUNCTION("""COMPUTED_VALUE"""),29927.21)</f>
        <v>29927.21</v>
      </c>
      <c r="C2491" s="434">
        <f>IFERROR(__xludf.DUMMYFUNCTION("""COMPUTED_VALUE"""),44713.99861111111)</f>
        <v>44713.99861</v>
      </c>
      <c r="D2491" s="433">
        <f>IFERROR(__xludf.DUMMYFUNCTION("""COMPUTED_VALUE"""),1945.1058)</f>
        <v>1945.1058</v>
      </c>
    </row>
    <row r="2492">
      <c r="A2492" s="434">
        <f>IFERROR(__xludf.DUMMYFUNCTION("""COMPUTED_VALUE"""),45129.99861111111)</f>
        <v>45129.99861</v>
      </c>
      <c r="B2492" s="433">
        <f>IFERROR(__xludf.DUMMYFUNCTION("""COMPUTED_VALUE"""),29805.75)</f>
        <v>29805.75</v>
      </c>
      <c r="C2492" s="434">
        <f>IFERROR(__xludf.DUMMYFUNCTION("""COMPUTED_VALUE"""),44714.99861111111)</f>
        <v>44714.99861</v>
      </c>
      <c r="D2492" s="433">
        <f>IFERROR(__xludf.DUMMYFUNCTION("""COMPUTED_VALUE"""),1815.7686)</f>
        <v>1815.7686</v>
      </c>
    </row>
    <row r="2493">
      <c r="A2493" s="434">
        <f>IFERROR(__xludf.DUMMYFUNCTION("""COMPUTED_VALUE"""),45130.99861111111)</f>
        <v>45130.99861</v>
      </c>
      <c r="B2493" s="433">
        <f>IFERROR(__xludf.DUMMYFUNCTION("""COMPUTED_VALUE"""),30100.01)</f>
        <v>30100.01</v>
      </c>
      <c r="C2493" s="434">
        <f>IFERROR(__xludf.DUMMYFUNCTION("""COMPUTED_VALUE"""),44715.99861111111)</f>
        <v>44715.99861</v>
      </c>
      <c r="D2493" s="433">
        <f>IFERROR(__xludf.DUMMYFUNCTION("""COMPUTED_VALUE"""),1831.8982)</f>
        <v>1831.8982</v>
      </c>
    </row>
    <row r="2494">
      <c r="A2494" s="434">
        <f>IFERROR(__xludf.DUMMYFUNCTION("""COMPUTED_VALUE"""),45131.99861111111)</f>
        <v>45131.99861</v>
      </c>
      <c r="B2494" s="433">
        <f>IFERROR(__xludf.DUMMYFUNCTION("""COMPUTED_VALUE"""),29189.36)</f>
        <v>29189.36</v>
      </c>
      <c r="C2494" s="434">
        <f>IFERROR(__xludf.DUMMYFUNCTION("""COMPUTED_VALUE"""),44716.99861111111)</f>
        <v>44716.99861</v>
      </c>
      <c r="D2494" s="433">
        <f>IFERROR(__xludf.DUMMYFUNCTION("""COMPUTED_VALUE"""),1775.3181)</f>
        <v>1775.3181</v>
      </c>
    </row>
    <row r="2495">
      <c r="A2495" s="434">
        <f>IFERROR(__xludf.DUMMYFUNCTION("""COMPUTED_VALUE"""),45132.99861111111)</f>
        <v>45132.99861</v>
      </c>
      <c r="B2495" s="433">
        <f>IFERROR(__xludf.DUMMYFUNCTION("""COMPUTED_VALUE"""),29239.03)</f>
        <v>29239.03</v>
      </c>
      <c r="C2495" s="434">
        <f>IFERROR(__xludf.DUMMYFUNCTION("""COMPUTED_VALUE"""),44717.99861111111)</f>
        <v>44717.99861</v>
      </c>
      <c r="D2495" s="433">
        <f>IFERROR(__xludf.DUMMYFUNCTION("""COMPUTED_VALUE"""),1802.9234)</f>
        <v>1802.9234</v>
      </c>
    </row>
    <row r="2496">
      <c r="A2496" s="434">
        <f>IFERROR(__xludf.DUMMYFUNCTION("""COMPUTED_VALUE"""),45133.99861111111)</f>
        <v>45133.99861</v>
      </c>
      <c r="B2496" s="433">
        <f>IFERROR(__xludf.DUMMYFUNCTION("""COMPUTED_VALUE"""),29366.65)</f>
        <v>29366.65</v>
      </c>
      <c r="C2496" s="434">
        <f>IFERROR(__xludf.DUMMYFUNCTION("""COMPUTED_VALUE"""),44718.99861111111)</f>
        <v>44718.99861</v>
      </c>
      <c r="D2496" s="433">
        <f>IFERROR(__xludf.DUMMYFUNCTION("""COMPUTED_VALUE"""),1804.9903)</f>
        <v>1804.9903</v>
      </c>
    </row>
    <row r="2497">
      <c r="A2497" s="434">
        <f>IFERROR(__xludf.DUMMYFUNCTION("""COMPUTED_VALUE"""),45134.99861111111)</f>
        <v>45134.99861</v>
      </c>
      <c r="B2497" s="433">
        <f>IFERROR(__xludf.DUMMYFUNCTION("""COMPUTED_VALUE"""),29226.86)</f>
        <v>29226.86</v>
      </c>
      <c r="C2497" s="434">
        <f>IFERROR(__xludf.DUMMYFUNCTION("""COMPUTED_VALUE"""),44719.99861111111)</f>
        <v>44719.99861</v>
      </c>
      <c r="D2497" s="433">
        <f>IFERROR(__xludf.DUMMYFUNCTION("""COMPUTED_VALUE"""),1856.2674)</f>
        <v>1856.2674</v>
      </c>
    </row>
    <row r="2498">
      <c r="A2498" s="434">
        <f>IFERROR(__xludf.DUMMYFUNCTION("""COMPUTED_VALUE"""),45135.99861111111)</f>
        <v>45135.99861</v>
      </c>
      <c r="B2498" s="433">
        <f>IFERROR(__xludf.DUMMYFUNCTION("""COMPUTED_VALUE"""),29324.19)</f>
        <v>29324.19</v>
      </c>
      <c r="C2498" s="434">
        <f>IFERROR(__xludf.DUMMYFUNCTION("""COMPUTED_VALUE"""),44720.99861111111)</f>
        <v>44720.99861</v>
      </c>
      <c r="D2498" s="433">
        <f>IFERROR(__xludf.DUMMYFUNCTION("""COMPUTED_VALUE"""),1815.4609)</f>
        <v>1815.4609</v>
      </c>
    </row>
    <row r="2499">
      <c r="A2499" s="434">
        <f>IFERROR(__xludf.DUMMYFUNCTION("""COMPUTED_VALUE"""),45136.99861111111)</f>
        <v>45136.99861</v>
      </c>
      <c r="B2499" s="433">
        <f>IFERROR(__xludf.DUMMYFUNCTION("""COMPUTED_VALUE"""),29391.08)</f>
        <v>29391.08</v>
      </c>
      <c r="C2499" s="434">
        <f>IFERROR(__xludf.DUMMYFUNCTION("""COMPUTED_VALUE"""),44721.99861111111)</f>
        <v>44721.99861</v>
      </c>
      <c r="D2499" s="433">
        <f>IFERROR(__xludf.DUMMYFUNCTION("""COMPUTED_VALUE"""),1790.9634)</f>
        <v>1790.9634</v>
      </c>
    </row>
    <row r="2500">
      <c r="A2500" s="434">
        <f>IFERROR(__xludf.DUMMYFUNCTION("""COMPUTED_VALUE"""),45137.99861111111)</f>
        <v>45137.99861</v>
      </c>
      <c r="B2500" s="433">
        <f>IFERROR(__xludf.DUMMYFUNCTION("""COMPUTED_VALUE"""),29295.0)</f>
        <v>29295</v>
      </c>
      <c r="C2500" s="434">
        <f>IFERROR(__xludf.DUMMYFUNCTION("""COMPUTED_VALUE"""),44722.99861111111)</f>
        <v>44722.99861</v>
      </c>
      <c r="D2500" s="433">
        <f>IFERROR(__xludf.DUMMYFUNCTION("""COMPUTED_VALUE"""),1788.0336)</f>
        <v>1788.0336</v>
      </c>
    </row>
    <row r="2501">
      <c r="A2501" s="434">
        <f>IFERROR(__xludf.DUMMYFUNCTION("""COMPUTED_VALUE"""),45138.99861111111)</f>
        <v>45138.99861</v>
      </c>
      <c r="B2501" s="433">
        <f>IFERROR(__xludf.DUMMYFUNCTION("""COMPUTED_VALUE"""),29244.09)</f>
        <v>29244.09</v>
      </c>
      <c r="C2501" s="434">
        <f>IFERROR(__xludf.DUMMYFUNCTION("""COMPUTED_VALUE"""),44723.99861111111)</f>
        <v>44723.99861</v>
      </c>
      <c r="D2501" s="433">
        <f>IFERROR(__xludf.DUMMYFUNCTION("""COMPUTED_VALUE"""),1664.7642)</f>
        <v>1664.7642</v>
      </c>
    </row>
    <row r="2502">
      <c r="A2502" s="434">
        <f>IFERROR(__xludf.DUMMYFUNCTION("""COMPUTED_VALUE"""),45139.99861111111)</f>
        <v>45139.99861</v>
      </c>
      <c r="B2502" s="433">
        <f>IFERROR(__xludf.DUMMYFUNCTION("""COMPUTED_VALUE"""),29704.41)</f>
        <v>29704.41</v>
      </c>
      <c r="C2502" s="434">
        <f>IFERROR(__xludf.DUMMYFUNCTION("""COMPUTED_VALUE"""),44724.99861111111)</f>
        <v>44724.99861</v>
      </c>
      <c r="D2502" s="433">
        <f>IFERROR(__xludf.DUMMYFUNCTION("""COMPUTED_VALUE"""),1529.6929)</f>
        <v>1529.6929</v>
      </c>
    </row>
    <row r="2503">
      <c r="A2503" s="434">
        <f>IFERROR(__xludf.DUMMYFUNCTION("""COMPUTED_VALUE"""),45140.99861111111)</f>
        <v>45140.99861</v>
      </c>
      <c r="B2503" s="433">
        <f>IFERROR(__xludf.DUMMYFUNCTION("""COMPUTED_VALUE"""),29168.12)</f>
        <v>29168.12</v>
      </c>
      <c r="C2503" s="434">
        <f>IFERROR(__xludf.DUMMYFUNCTION("""COMPUTED_VALUE"""),44725.99861111111)</f>
        <v>44725.99861</v>
      </c>
      <c r="D2503" s="433">
        <f>IFERROR(__xludf.DUMMYFUNCTION("""COMPUTED_VALUE"""),1440.4659)</f>
        <v>1440.4659</v>
      </c>
    </row>
    <row r="2504">
      <c r="A2504" s="434">
        <f>IFERROR(__xludf.DUMMYFUNCTION("""COMPUTED_VALUE"""),45141.99861111111)</f>
        <v>45141.99861</v>
      </c>
      <c r="B2504" s="433">
        <f>IFERROR(__xludf.DUMMYFUNCTION("""COMPUTED_VALUE"""),29187.88)</f>
        <v>29187.88</v>
      </c>
      <c r="C2504" s="434">
        <f>IFERROR(__xludf.DUMMYFUNCTION("""COMPUTED_VALUE"""),44726.99861111111)</f>
        <v>44726.99861</v>
      </c>
      <c r="D2504" s="433">
        <f>IFERROR(__xludf.DUMMYFUNCTION("""COMPUTED_VALUE"""),1204.7417)</f>
        <v>1204.7417</v>
      </c>
    </row>
    <row r="2505">
      <c r="A2505" s="434">
        <f>IFERROR(__xludf.DUMMYFUNCTION("""COMPUTED_VALUE"""),45142.99861111111)</f>
        <v>45142.99861</v>
      </c>
      <c r="B2505" s="433">
        <f>IFERROR(__xludf.DUMMYFUNCTION("""COMPUTED_VALUE"""),29107.64)</f>
        <v>29107.64</v>
      </c>
      <c r="C2505" s="434">
        <f>IFERROR(__xludf.DUMMYFUNCTION("""COMPUTED_VALUE"""),44727.99861111111)</f>
        <v>44727.99861</v>
      </c>
      <c r="D2505" s="433">
        <f>IFERROR(__xludf.DUMMYFUNCTION("""COMPUTED_VALUE"""),1204.7095)</f>
        <v>1204.7095</v>
      </c>
    </row>
    <row r="2506">
      <c r="A2506" s="434">
        <f>IFERROR(__xludf.DUMMYFUNCTION("""COMPUTED_VALUE"""),45143.99861111111)</f>
        <v>45143.99861</v>
      </c>
      <c r="B2506" s="433">
        <f>IFERROR(__xludf.DUMMYFUNCTION("""COMPUTED_VALUE"""),29077.05)</f>
        <v>29077.05</v>
      </c>
      <c r="C2506" s="434">
        <f>IFERROR(__xludf.DUMMYFUNCTION("""COMPUTED_VALUE"""),44728.99861111111)</f>
        <v>44728.99861</v>
      </c>
      <c r="D2506" s="433">
        <f>IFERROR(__xludf.DUMMYFUNCTION("""COMPUTED_VALUE"""),1239.0993)</f>
        <v>1239.0993</v>
      </c>
    </row>
    <row r="2507">
      <c r="A2507" s="434">
        <f>IFERROR(__xludf.DUMMYFUNCTION("""COMPUTED_VALUE"""),45144.99861111111)</f>
        <v>45144.99861</v>
      </c>
      <c r="B2507" s="433">
        <f>IFERROR(__xludf.DUMMYFUNCTION("""COMPUTED_VALUE"""),29071.92)</f>
        <v>29071.92</v>
      </c>
      <c r="C2507" s="434">
        <f>IFERROR(__xludf.DUMMYFUNCTION("""COMPUTED_VALUE"""),44729.99861111111)</f>
        <v>44729.99861</v>
      </c>
      <c r="D2507" s="433">
        <f>IFERROR(__xludf.DUMMYFUNCTION("""COMPUTED_VALUE"""),1064.5134)</f>
        <v>1064.5134</v>
      </c>
    </row>
    <row r="2508">
      <c r="A2508" s="434">
        <f>IFERROR(__xludf.DUMMYFUNCTION("""COMPUTED_VALUE"""),45145.99861111111)</f>
        <v>45145.99861</v>
      </c>
      <c r="B2508" s="433">
        <f>IFERROR(__xludf.DUMMYFUNCTION("""COMPUTED_VALUE"""),29189.82)</f>
        <v>29189.82</v>
      </c>
      <c r="C2508" s="434">
        <f>IFERROR(__xludf.DUMMYFUNCTION("""COMPUTED_VALUE"""),44730.99861111111)</f>
        <v>44730.99861</v>
      </c>
      <c r="D2508" s="433">
        <f>IFERROR(__xludf.DUMMYFUNCTION("""COMPUTED_VALUE"""),1086.5228)</f>
        <v>1086.5228</v>
      </c>
    </row>
    <row r="2509">
      <c r="A2509" s="434">
        <f>IFERROR(__xludf.DUMMYFUNCTION("""COMPUTED_VALUE"""),45146.99861111111)</f>
        <v>45146.99861</v>
      </c>
      <c r="B2509" s="433">
        <f>IFERROR(__xludf.DUMMYFUNCTION("""COMPUTED_VALUE"""),29771.04)</f>
        <v>29771.04</v>
      </c>
      <c r="C2509" s="434">
        <f>IFERROR(__xludf.DUMMYFUNCTION("""COMPUTED_VALUE"""),44731.99861111111)</f>
        <v>44731.99861</v>
      </c>
      <c r="D2509" s="433">
        <f>IFERROR(__xludf.DUMMYFUNCTION("""COMPUTED_VALUE"""),990.7705)</f>
        <v>990.7705</v>
      </c>
    </row>
    <row r="2510">
      <c r="A2510" s="434">
        <f>IFERROR(__xludf.DUMMYFUNCTION("""COMPUTED_VALUE"""),45147.99861111111)</f>
        <v>45147.99861</v>
      </c>
      <c r="B2510" s="433">
        <f>IFERROR(__xludf.DUMMYFUNCTION("""COMPUTED_VALUE"""),29569.32)</f>
        <v>29569.32</v>
      </c>
      <c r="C2510" s="434">
        <f>IFERROR(__xludf.DUMMYFUNCTION("""COMPUTED_VALUE"""),44732.99861111111)</f>
        <v>44732.99861</v>
      </c>
      <c r="D2510" s="433">
        <f>IFERROR(__xludf.DUMMYFUNCTION("""COMPUTED_VALUE"""),1130.0663)</f>
        <v>1130.0663</v>
      </c>
    </row>
    <row r="2511">
      <c r="A2511" s="434">
        <f>IFERROR(__xludf.DUMMYFUNCTION("""COMPUTED_VALUE"""),45148.99861111111)</f>
        <v>45148.99861</v>
      </c>
      <c r="B2511" s="433">
        <f>IFERROR(__xludf.DUMMYFUNCTION("""COMPUTED_VALUE"""),29439.7)</f>
        <v>29439.7</v>
      </c>
      <c r="C2511" s="434">
        <f>IFERROR(__xludf.DUMMYFUNCTION("""COMPUTED_VALUE"""),44733.99861111111)</f>
        <v>44733.99861</v>
      </c>
      <c r="D2511" s="433">
        <f>IFERROR(__xludf.DUMMYFUNCTION("""COMPUTED_VALUE"""),1126.1041)</f>
        <v>1126.1041</v>
      </c>
    </row>
    <row r="2512">
      <c r="A2512" s="434">
        <f>IFERROR(__xludf.DUMMYFUNCTION("""COMPUTED_VALUE"""),45149.99861111111)</f>
        <v>45149.99861</v>
      </c>
      <c r="B2512" s="433">
        <f>IFERROR(__xludf.DUMMYFUNCTION("""COMPUTED_VALUE"""),29416.77)</f>
        <v>29416.77</v>
      </c>
      <c r="C2512" s="434">
        <f>IFERROR(__xludf.DUMMYFUNCTION("""COMPUTED_VALUE"""),44734.99861111111)</f>
        <v>44734.99861</v>
      </c>
      <c r="D2512" s="433">
        <f>IFERROR(__xludf.DUMMYFUNCTION("""COMPUTED_VALUE"""),1123.4598)</f>
        <v>1123.4598</v>
      </c>
    </row>
    <row r="2513">
      <c r="A2513" s="434">
        <f>IFERROR(__xludf.DUMMYFUNCTION("""COMPUTED_VALUE"""),45150.99861111111)</f>
        <v>45150.99861</v>
      </c>
      <c r="B2513" s="433">
        <f>IFERROR(__xludf.DUMMYFUNCTION("""COMPUTED_VALUE"""),29445.23)</f>
        <v>29445.23</v>
      </c>
      <c r="C2513" s="434">
        <f>IFERROR(__xludf.DUMMYFUNCTION("""COMPUTED_VALUE"""),44735.99861111111)</f>
        <v>44735.99861</v>
      </c>
      <c r="D2513" s="433">
        <f>IFERROR(__xludf.DUMMYFUNCTION("""COMPUTED_VALUE"""),1050.2196)</f>
        <v>1050.2196</v>
      </c>
    </row>
    <row r="2514">
      <c r="A2514" s="434">
        <f>IFERROR(__xludf.DUMMYFUNCTION("""COMPUTED_VALUE"""),45151.99861111111)</f>
        <v>45151.99861</v>
      </c>
      <c r="B2514" s="433">
        <f>IFERROR(__xludf.DUMMYFUNCTION("""COMPUTED_VALUE"""),29301.46)</f>
        <v>29301.46</v>
      </c>
      <c r="C2514" s="434">
        <f>IFERROR(__xludf.DUMMYFUNCTION("""COMPUTED_VALUE"""),44736.99861111111)</f>
        <v>44736.99861</v>
      </c>
      <c r="D2514" s="433">
        <f>IFERROR(__xludf.DUMMYFUNCTION("""COMPUTED_VALUE"""),1145.048)</f>
        <v>1145.048</v>
      </c>
    </row>
    <row r="2515">
      <c r="A2515" s="434">
        <f>IFERROR(__xludf.DUMMYFUNCTION("""COMPUTED_VALUE"""),45152.99861111111)</f>
        <v>45152.99861</v>
      </c>
      <c r="B2515" s="433">
        <f>IFERROR(__xludf.DUMMYFUNCTION("""COMPUTED_VALUE"""),29414.31)</f>
        <v>29414.31</v>
      </c>
      <c r="C2515" s="434">
        <f>IFERROR(__xludf.DUMMYFUNCTION("""COMPUTED_VALUE"""),44737.99861111111)</f>
        <v>44737.99861</v>
      </c>
      <c r="D2515" s="433">
        <f>IFERROR(__xludf.DUMMYFUNCTION("""COMPUTED_VALUE"""),1225.0303)</f>
        <v>1225.0303</v>
      </c>
    </row>
    <row r="2516">
      <c r="A2516" s="434">
        <f>IFERROR(__xludf.DUMMYFUNCTION("""COMPUTED_VALUE"""),45153.99861111111)</f>
        <v>45153.99861</v>
      </c>
      <c r="B2516" s="433">
        <f>IFERROR(__xludf.DUMMYFUNCTION("""COMPUTED_VALUE"""),29177.08)</f>
        <v>29177.08</v>
      </c>
      <c r="C2516" s="434">
        <f>IFERROR(__xludf.DUMMYFUNCTION("""COMPUTED_VALUE"""),44738.99861111111)</f>
        <v>44738.99861</v>
      </c>
      <c r="D2516" s="433">
        <f>IFERROR(__xludf.DUMMYFUNCTION("""COMPUTED_VALUE"""),1241.3956)</f>
        <v>1241.3956</v>
      </c>
    </row>
    <row r="2517">
      <c r="A2517" s="434">
        <f>IFERROR(__xludf.DUMMYFUNCTION("""COMPUTED_VALUE"""),45154.99861111111)</f>
        <v>45154.99861</v>
      </c>
      <c r="B2517" s="433">
        <f>IFERROR(__xludf.DUMMYFUNCTION("""COMPUTED_VALUE"""),28719.62)</f>
        <v>28719.62</v>
      </c>
      <c r="C2517" s="434">
        <f>IFERROR(__xludf.DUMMYFUNCTION("""COMPUTED_VALUE"""),44739.99861111111)</f>
        <v>44739.99861</v>
      </c>
      <c r="D2517" s="433">
        <f>IFERROR(__xludf.DUMMYFUNCTION("""COMPUTED_VALUE"""),1199.7676)</f>
        <v>1199.7676</v>
      </c>
    </row>
    <row r="2518">
      <c r="A2518" s="434">
        <f>IFERROR(__xludf.DUMMYFUNCTION("""COMPUTED_VALUE"""),45155.99861111111)</f>
        <v>45155.99861</v>
      </c>
      <c r="B2518" s="433">
        <f>IFERROR(__xludf.DUMMYFUNCTION("""COMPUTED_VALUE"""),26643.99)</f>
        <v>26643.99</v>
      </c>
      <c r="C2518" s="434">
        <f>IFERROR(__xludf.DUMMYFUNCTION("""COMPUTED_VALUE"""),44740.99861111111)</f>
        <v>44740.99861</v>
      </c>
      <c r="D2518" s="433">
        <f>IFERROR(__xludf.DUMMYFUNCTION("""COMPUTED_VALUE"""),1193.4385)</f>
        <v>1193.4385</v>
      </c>
    </row>
    <row r="2519">
      <c r="A2519" s="434">
        <f>IFERROR(__xludf.DUMMYFUNCTION("""COMPUTED_VALUE"""),45156.99861111111)</f>
        <v>45156.99861</v>
      </c>
      <c r="B2519" s="433">
        <f>IFERROR(__xludf.DUMMYFUNCTION("""COMPUTED_VALUE"""),26063.93)</f>
        <v>26063.93</v>
      </c>
      <c r="C2519" s="434">
        <f>IFERROR(__xludf.DUMMYFUNCTION("""COMPUTED_VALUE"""),44741.99861111111)</f>
        <v>44741.99861</v>
      </c>
      <c r="D2519" s="433">
        <f>IFERROR(__xludf.DUMMYFUNCTION("""COMPUTED_VALUE"""),1145.0939)</f>
        <v>1145.0939</v>
      </c>
    </row>
    <row r="2520">
      <c r="A2520" s="434">
        <f>IFERROR(__xludf.DUMMYFUNCTION("""COMPUTED_VALUE"""),45157.99861111111)</f>
        <v>45157.99861</v>
      </c>
      <c r="B2520" s="433">
        <f>IFERROR(__xludf.DUMMYFUNCTION("""COMPUTED_VALUE"""),26117.54)</f>
        <v>26117.54</v>
      </c>
      <c r="C2520" s="434">
        <f>IFERROR(__xludf.DUMMYFUNCTION("""COMPUTED_VALUE"""),44742.99861111111)</f>
        <v>44742.99861</v>
      </c>
      <c r="D2520" s="433">
        <f>IFERROR(__xludf.DUMMYFUNCTION("""COMPUTED_VALUE"""),1099.3531)</f>
        <v>1099.3531</v>
      </c>
    </row>
    <row r="2521">
      <c r="A2521" s="434">
        <f>IFERROR(__xludf.DUMMYFUNCTION("""COMPUTED_VALUE"""),45158.99861111111)</f>
        <v>45158.99861</v>
      </c>
      <c r="B2521" s="433">
        <f>IFERROR(__xludf.DUMMYFUNCTION("""COMPUTED_VALUE"""),26203.13)</f>
        <v>26203.13</v>
      </c>
      <c r="C2521" s="434">
        <f>IFERROR(__xludf.DUMMYFUNCTION("""COMPUTED_VALUE"""),44743.99861111111)</f>
        <v>44743.99861</v>
      </c>
      <c r="D2521" s="433">
        <f>IFERROR(__xludf.DUMMYFUNCTION("""COMPUTED_VALUE"""),1068.3168)</f>
        <v>1068.3168</v>
      </c>
    </row>
    <row r="2522">
      <c r="A2522" s="434">
        <f>IFERROR(__xludf.DUMMYFUNCTION("""COMPUTED_VALUE"""),45159.99861111111)</f>
        <v>45159.99861</v>
      </c>
      <c r="B2522" s="433">
        <f>IFERROR(__xludf.DUMMYFUNCTION("""COMPUTED_VALUE"""),26130.78)</f>
        <v>26130.78</v>
      </c>
      <c r="C2522" s="434">
        <f>IFERROR(__xludf.DUMMYFUNCTION("""COMPUTED_VALUE"""),44744.99861111111)</f>
        <v>44744.99861</v>
      </c>
      <c r="D2522" s="433">
        <f>IFERROR(__xludf.DUMMYFUNCTION("""COMPUTED_VALUE"""),1060.1212)</f>
        <v>1060.1212</v>
      </c>
    </row>
    <row r="2523">
      <c r="A2523" s="434">
        <f>IFERROR(__xludf.DUMMYFUNCTION("""COMPUTED_VALUE"""),45160.99861111111)</f>
        <v>45160.99861</v>
      </c>
      <c r="B2523" s="433">
        <f>IFERROR(__xludf.DUMMYFUNCTION("""COMPUTED_VALUE"""),26043.79)</f>
        <v>26043.79</v>
      </c>
      <c r="C2523" s="434">
        <f>IFERROR(__xludf.DUMMYFUNCTION("""COMPUTED_VALUE"""),44745.99861111111)</f>
        <v>44745.99861</v>
      </c>
      <c r="D2523" s="433">
        <f>IFERROR(__xludf.DUMMYFUNCTION("""COMPUTED_VALUE"""),1066.4674)</f>
        <v>1066.4674</v>
      </c>
    </row>
    <row r="2524">
      <c r="A2524" s="434">
        <f>IFERROR(__xludf.DUMMYFUNCTION("""COMPUTED_VALUE"""),45161.99861111111)</f>
        <v>45161.99861</v>
      </c>
      <c r="B2524" s="433">
        <f>IFERROR(__xludf.DUMMYFUNCTION("""COMPUTED_VALUE"""),26435.17)</f>
        <v>26435.17</v>
      </c>
      <c r="C2524" s="434">
        <f>IFERROR(__xludf.DUMMYFUNCTION("""COMPUTED_VALUE"""),44746.99861111111)</f>
        <v>44746.99861</v>
      </c>
      <c r="D2524" s="433">
        <f>IFERROR(__xludf.DUMMYFUNCTION("""COMPUTED_VALUE"""),1073.7943)</f>
        <v>1073.7943</v>
      </c>
    </row>
    <row r="2525">
      <c r="A2525" s="434">
        <f>IFERROR(__xludf.DUMMYFUNCTION("""COMPUTED_VALUE"""),45162.99861111111)</f>
        <v>45162.99861</v>
      </c>
      <c r="B2525" s="433">
        <f>IFERROR(__xludf.DUMMYFUNCTION("""COMPUTED_VALUE"""),26173.38)</f>
        <v>26173.38</v>
      </c>
      <c r="C2525" s="434">
        <f>IFERROR(__xludf.DUMMYFUNCTION("""COMPUTED_VALUE"""),44747.99861111111)</f>
        <v>44747.99861</v>
      </c>
      <c r="D2525" s="433">
        <f>IFERROR(__xludf.DUMMYFUNCTION("""COMPUTED_VALUE"""),1150.5098)</f>
        <v>1150.5098</v>
      </c>
    </row>
    <row r="2526">
      <c r="A2526" s="434">
        <f>IFERROR(__xludf.DUMMYFUNCTION("""COMPUTED_VALUE"""),45163.99861111111)</f>
        <v>45163.99861</v>
      </c>
      <c r="B2526" s="433">
        <f>IFERROR(__xludf.DUMMYFUNCTION("""COMPUTED_VALUE"""),26054.19)</f>
        <v>26054.19</v>
      </c>
      <c r="C2526" s="434">
        <f>IFERROR(__xludf.DUMMYFUNCTION("""COMPUTED_VALUE"""),44748.99861111111)</f>
        <v>44748.99861</v>
      </c>
      <c r="D2526" s="433">
        <f>IFERROR(__xludf.DUMMYFUNCTION("""COMPUTED_VALUE"""),1134.8223)</f>
        <v>1134.8223</v>
      </c>
    </row>
    <row r="2527">
      <c r="A2527" s="434">
        <f>IFERROR(__xludf.DUMMYFUNCTION("""COMPUTED_VALUE"""),45164.99861111111)</f>
        <v>45164.99861</v>
      </c>
      <c r="B2527" s="433">
        <f>IFERROR(__xludf.DUMMYFUNCTION("""COMPUTED_VALUE"""),26020.23)</f>
        <v>26020.23</v>
      </c>
      <c r="C2527" s="434">
        <f>IFERROR(__xludf.DUMMYFUNCTION("""COMPUTED_VALUE"""),44749.99861111111)</f>
        <v>44749.99861</v>
      </c>
      <c r="D2527" s="433">
        <f>IFERROR(__xludf.DUMMYFUNCTION("""COMPUTED_VALUE"""),1186.9609)</f>
        <v>1186.9609</v>
      </c>
    </row>
    <row r="2528">
      <c r="A2528" s="434">
        <f>IFERROR(__xludf.DUMMYFUNCTION("""COMPUTED_VALUE"""),45165.99861111111)</f>
        <v>45165.99861</v>
      </c>
      <c r="B2528" s="433">
        <f>IFERROR(__xludf.DUMMYFUNCTION("""COMPUTED_VALUE"""),26099.84)</f>
        <v>26099.84</v>
      </c>
      <c r="C2528" s="434">
        <f>IFERROR(__xludf.DUMMYFUNCTION("""COMPUTED_VALUE"""),44750.99861111111)</f>
        <v>44750.99861</v>
      </c>
      <c r="D2528" s="433">
        <f>IFERROR(__xludf.DUMMYFUNCTION("""COMPUTED_VALUE"""),1237.5804)</f>
        <v>1237.5804</v>
      </c>
    </row>
    <row r="2529">
      <c r="A2529" s="434">
        <f>IFERROR(__xludf.DUMMYFUNCTION("""COMPUTED_VALUE"""),45166.99861111111)</f>
        <v>45166.99861</v>
      </c>
      <c r="B2529" s="433">
        <f>IFERROR(__xludf.DUMMYFUNCTION("""COMPUTED_VALUE"""),26108.12)</f>
        <v>26108.12</v>
      </c>
      <c r="C2529" s="434">
        <f>IFERROR(__xludf.DUMMYFUNCTION("""COMPUTED_VALUE"""),44751.99861111111)</f>
        <v>44751.99861</v>
      </c>
      <c r="D2529" s="433">
        <f>IFERROR(__xludf.DUMMYFUNCTION("""COMPUTED_VALUE"""),1222.3068)</f>
        <v>1222.3068</v>
      </c>
    </row>
    <row r="2530">
      <c r="A2530" s="434">
        <f>IFERROR(__xludf.DUMMYFUNCTION("""COMPUTED_VALUE"""),45167.99861111111)</f>
        <v>45167.99861</v>
      </c>
      <c r="B2530" s="433">
        <f>IFERROR(__xludf.DUMMYFUNCTION("""COMPUTED_VALUE"""),27728.26)</f>
        <v>27728.26</v>
      </c>
      <c r="C2530" s="434">
        <f>IFERROR(__xludf.DUMMYFUNCTION("""COMPUTED_VALUE"""),44752.99861111111)</f>
        <v>44752.99861</v>
      </c>
      <c r="D2530" s="433">
        <f>IFERROR(__xludf.DUMMYFUNCTION("""COMPUTED_VALUE"""),1216.9044)</f>
        <v>1216.9044</v>
      </c>
    </row>
    <row r="2531">
      <c r="A2531" s="434">
        <f>IFERROR(__xludf.DUMMYFUNCTION("""COMPUTED_VALUE"""),45168.99861111111)</f>
        <v>45168.99861</v>
      </c>
      <c r="B2531" s="433">
        <f>IFERROR(__xludf.DUMMYFUNCTION("""COMPUTED_VALUE"""),27304.24)</f>
        <v>27304.24</v>
      </c>
      <c r="C2531" s="434">
        <f>IFERROR(__xludf.DUMMYFUNCTION("""COMPUTED_VALUE"""),44753.99861111111)</f>
        <v>44753.99861</v>
      </c>
      <c r="D2531" s="433">
        <f>IFERROR(__xludf.DUMMYFUNCTION("""COMPUTED_VALUE"""),1168.139)</f>
        <v>1168.139</v>
      </c>
    </row>
    <row r="2532">
      <c r="A2532" s="434">
        <f>IFERROR(__xludf.DUMMYFUNCTION("""COMPUTED_VALUE"""),45169.99861111111)</f>
        <v>45169.99861</v>
      </c>
      <c r="B2532" s="433">
        <f>IFERROR(__xludf.DUMMYFUNCTION("""COMPUTED_VALUE"""),25936.08)</f>
        <v>25936.08</v>
      </c>
      <c r="C2532" s="434">
        <f>IFERROR(__xludf.DUMMYFUNCTION("""COMPUTED_VALUE"""),44754.99861111111)</f>
        <v>44754.99861</v>
      </c>
      <c r="D2532" s="433">
        <f>IFERROR(__xludf.DUMMYFUNCTION("""COMPUTED_VALUE"""),1097.2592)</f>
        <v>1097.2592</v>
      </c>
    </row>
    <row r="2533">
      <c r="A2533" s="434">
        <f>IFERROR(__xludf.DUMMYFUNCTION("""COMPUTED_VALUE"""),45170.99861111111)</f>
        <v>45170.99861</v>
      </c>
      <c r="B2533" s="433">
        <f>IFERROR(__xludf.DUMMYFUNCTION("""COMPUTED_VALUE"""),25798.36)</f>
        <v>25798.36</v>
      </c>
      <c r="C2533" s="434">
        <f>IFERROR(__xludf.DUMMYFUNCTION("""COMPUTED_VALUE"""),44755.99861111111)</f>
        <v>44755.99861</v>
      </c>
      <c r="D2533" s="433">
        <f>IFERROR(__xludf.DUMMYFUNCTION("""COMPUTED_VALUE"""),1038.1866)</f>
        <v>1038.1866</v>
      </c>
    </row>
    <row r="2534">
      <c r="A2534" s="434">
        <f>IFERROR(__xludf.DUMMYFUNCTION("""COMPUTED_VALUE"""),45171.99861111111)</f>
        <v>45171.99861</v>
      </c>
      <c r="B2534" s="433">
        <f>IFERROR(__xludf.DUMMYFUNCTION("""COMPUTED_VALUE"""),25877.09)</f>
        <v>25877.09</v>
      </c>
      <c r="C2534" s="434">
        <f>IFERROR(__xludf.DUMMYFUNCTION("""COMPUTED_VALUE"""),44756.99861111111)</f>
        <v>44756.99861</v>
      </c>
      <c r="D2534" s="433">
        <f>IFERROR(__xludf.DUMMYFUNCTION("""COMPUTED_VALUE"""),1113.5158)</f>
        <v>1113.5158</v>
      </c>
    </row>
    <row r="2535">
      <c r="A2535" s="434">
        <f>IFERROR(__xludf.DUMMYFUNCTION("""COMPUTED_VALUE"""),45172.99861111111)</f>
        <v>45172.99861</v>
      </c>
      <c r="B2535" s="433">
        <f>IFERROR(__xludf.DUMMYFUNCTION("""COMPUTED_VALUE"""),25974.93)</f>
        <v>25974.93</v>
      </c>
      <c r="C2535" s="434">
        <f>IFERROR(__xludf.DUMMYFUNCTION("""COMPUTED_VALUE"""),44757.99861111111)</f>
        <v>44757.99861</v>
      </c>
      <c r="D2535" s="433">
        <f>IFERROR(__xludf.DUMMYFUNCTION("""COMPUTED_VALUE"""),1191.6748)</f>
        <v>1191.6748</v>
      </c>
    </row>
    <row r="2536">
      <c r="A2536" s="434">
        <f>IFERROR(__xludf.DUMMYFUNCTION("""COMPUTED_VALUE"""),45173.99861111111)</f>
        <v>45173.99861</v>
      </c>
      <c r="B2536" s="433">
        <f>IFERROR(__xludf.DUMMYFUNCTION("""COMPUTED_VALUE"""),25822.07)</f>
        <v>25822.07</v>
      </c>
      <c r="C2536" s="434">
        <f>IFERROR(__xludf.DUMMYFUNCTION("""COMPUTED_VALUE"""),44758.99861111111)</f>
        <v>44758.99861</v>
      </c>
      <c r="D2536" s="433">
        <f>IFERROR(__xludf.DUMMYFUNCTION("""COMPUTED_VALUE"""),1232.7917)</f>
        <v>1232.7917</v>
      </c>
    </row>
    <row r="2537">
      <c r="A2537" s="434">
        <f>IFERROR(__xludf.DUMMYFUNCTION("""COMPUTED_VALUE"""),45174.99861111111)</f>
        <v>45174.99861</v>
      </c>
      <c r="B2537" s="433">
        <f>IFERROR(__xludf.DUMMYFUNCTION("""COMPUTED_VALUE"""),25785.84)</f>
        <v>25785.84</v>
      </c>
      <c r="C2537" s="434">
        <f>IFERROR(__xludf.DUMMYFUNCTION("""COMPUTED_VALUE"""),44759.99861111111)</f>
        <v>44759.99861</v>
      </c>
      <c r="D2537" s="433">
        <f>IFERROR(__xludf.DUMMYFUNCTION("""COMPUTED_VALUE"""),1353.2051)</f>
        <v>1353.2051</v>
      </c>
    </row>
    <row r="2538">
      <c r="A2538" s="434">
        <f>IFERROR(__xludf.DUMMYFUNCTION("""COMPUTED_VALUE"""),45175.99861111111)</f>
        <v>45175.99861</v>
      </c>
      <c r="B2538" s="433">
        <f>IFERROR(__xludf.DUMMYFUNCTION("""COMPUTED_VALUE"""),25755.55)</f>
        <v>25755.55</v>
      </c>
      <c r="C2538" s="434">
        <f>IFERROR(__xludf.DUMMYFUNCTION("""COMPUTED_VALUE"""),44760.99861111111)</f>
        <v>44760.99861</v>
      </c>
      <c r="D2538" s="433">
        <f>IFERROR(__xludf.DUMMYFUNCTION("""COMPUTED_VALUE"""),1338.806)</f>
        <v>1338.806</v>
      </c>
    </row>
    <row r="2539">
      <c r="A2539" s="434">
        <f>IFERROR(__xludf.DUMMYFUNCTION("""COMPUTED_VALUE"""),45176.99861111111)</f>
        <v>45176.99861</v>
      </c>
      <c r="B2539" s="433">
        <f>IFERROR(__xludf.DUMMYFUNCTION("""COMPUTED_VALUE"""),26259.23)</f>
        <v>26259.23</v>
      </c>
      <c r="C2539" s="434">
        <f>IFERROR(__xludf.DUMMYFUNCTION("""COMPUTED_VALUE"""),44761.99861111111)</f>
        <v>44761.99861</v>
      </c>
      <c r="D2539" s="433">
        <f>IFERROR(__xludf.DUMMYFUNCTION("""COMPUTED_VALUE"""),1578.3839)</f>
        <v>1578.3839</v>
      </c>
    </row>
    <row r="2540">
      <c r="A2540" s="434">
        <f>IFERROR(__xludf.DUMMYFUNCTION("""COMPUTED_VALUE"""),45177.99861111111)</f>
        <v>45177.99861</v>
      </c>
      <c r="B2540" s="433">
        <f>IFERROR(__xludf.DUMMYFUNCTION("""COMPUTED_VALUE"""),25909.41)</f>
        <v>25909.41</v>
      </c>
      <c r="C2540" s="434">
        <f>IFERROR(__xludf.DUMMYFUNCTION("""COMPUTED_VALUE"""),44762.99861111111)</f>
        <v>44762.99861</v>
      </c>
      <c r="D2540" s="433">
        <f>IFERROR(__xludf.DUMMYFUNCTION("""COMPUTED_VALUE"""),1542.9543)</f>
        <v>1542.9543</v>
      </c>
    </row>
    <row r="2541">
      <c r="A2541" s="434">
        <f>IFERROR(__xludf.DUMMYFUNCTION("""COMPUTED_VALUE"""),45178.99861111111)</f>
        <v>45178.99861</v>
      </c>
      <c r="B2541" s="433">
        <f>IFERROR(__xludf.DUMMYFUNCTION("""COMPUTED_VALUE"""),25905.51)</f>
        <v>25905.51</v>
      </c>
      <c r="C2541" s="434">
        <f>IFERROR(__xludf.DUMMYFUNCTION("""COMPUTED_VALUE"""),44763.99861111111)</f>
        <v>44763.99861</v>
      </c>
      <c r="D2541" s="433">
        <f>IFERROR(__xludf.DUMMYFUNCTION("""COMPUTED_VALUE"""),1520.3745)</f>
        <v>1520.3745</v>
      </c>
    </row>
    <row r="2542">
      <c r="A2542" s="434">
        <f>IFERROR(__xludf.DUMMYFUNCTION("""COMPUTED_VALUE"""),45179.99861111111)</f>
        <v>45179.99861</v>
      </c>
      <c r="B2542" s="433">
        <f>IFERROR(__xludf.DUMMYFUNCTION("""COMPUTED_VALUE"""),25838.32)</f>
        <v>25838.32</v>
      </c>
      <c r="C2542" s="434">
        <f>IFERROR(__xludf.DUMMYFUNCTION("""COMPUTED_VALUE"""),44764.99861111111)</f>
        <v>44764.99861</v>
      </c>
      <c r="D2542" s="433">
        <f>IFERROR(__xludf.DUMMYFUNCTION("""COMPUTED_VALUE"""),1576.7454)</f>
        <v>1576.7454</v>
      </c>
    </row>
    <row r="2543">
      <c r="A2543" s="434">
        <f>IFERROR(__xludf.DUMMYFUNCTION("""COMPUTED_VALUE"""),45180.99861111111)</f>
        <v>45180.99861</v>
      </c>
      <c r="B2543" s="433">
        <f>IFERROR(__xludf.DUMMYFUNCTION("""COMPUTED_VALUE"""),25163.71)</f>
        <v>25163.71</v>
      </c>
      <c r="C2543" s="434">
        <f>IFERROR(__xludf.DUMMYFUNCTION("""COMPUTED_VALUE"""),44765.99861111111)</f>
        <v>44765.99861</v>
      </c>
      <c r="D2543" s="433">
        <f>IFERROR(__xludf.DUMMYFUNCTION("""COMPUTED_VALUE"""),1536.4574)</f>
        <v>1536.4574</v>
      </c>
    </row>
    <row r="2544">
      <c r="A2544" s="434">
        <f>IFERROR(__xludf.DUMMYFUNCTION("""COMPUTED_VALUE"""),45181.99861111111)</f>
        <v>45181.99861</v>
      </c>
      <c r="B2544" s="433">
        <f>IFERROR(__xludf.DUMMYFUNCTION("""COMPUTED_VALUE"""),25843.55)</f>
        <v>25843.55</v>
      </c>
      <c r="C2544" s="434">
        <f>IFERROR(__xludf.DUMMYFUNCTION("""COMPUTED_VALUE"""),44766.99861111111)</f>
        <v>44766.99861</v>
      </c>
      <c r="D2544" s="433">
        <f>IFERROR(__xludf.DUMMYFUNCTION("""COMPUTED_VALUE"""),1549.2226)</f>
        <v>1549.2226</v>
      </c>
    </row>
    <row r="2545">
      <c r="A2545" s="434">
        <f>IFERROR(__xludf.DUMMYFUNCTION("""COMPUTED_VALUE"""),45182.99861111111)</f>
        <v>45182.99861</v>
      </c>
      <c r="B2545" s="433">
        <f>IFERROR(__xludf.DUMMYFUNCTION("""COMPUTED_VALUE"""),26227.52)</f>
        <v>26227.52</v>
      </c>
      <c r="C2545" s="434">
        <f>IFERROR(__xludf.DUMMYFUNCTION("""COMPUTED_VALUE"""),44767.99861111111)</f>
        <v>44767.99861</v>
      </c>
      <c r="D2545" s="433">
        <f>IFERROR(__xludf.DUMMYFUNCTION("""COMPUTED_VALUE"""),1599.1573)</f>
        <v>1599.1573</v>
      </c>
    </row>
    <row r="2546">
      <c r="A2546" s="434">
        <f>IFERROR(__xludf.DUMMYFUNCTION("""COMPUTED_VALUE"""),45183.99861111111)</f>
        <v>45183.99861</v>
      </c>
      <c r="B2546" s="433">
        <f>IFERROR(__xludf.DUMMYFUNCTION("""COMPUTED_VALUE"""),26534.06)</f>
        <v>26534.06</v>
      </c>
      <c r="C2546" s="434">
        <f>IFERROR(__xludf.DUMMYFUNCTION("""COMPUTED_VALUE"""),44768.99861111111)</f>
        <v>44768.99861</v>
      </c>
      <c r="D2546" s="433">
        <f>IFERROR(__xludf.DUMMYFUNCTION("""COMPUTED_VALUE"""),1445.1511)</f>
        <v>1445.1511</v>
      </c>
    </row>
    <row r="2547">
      <c r="A2547" s="434">
        <f>IFERROR(__xludf.DUMMYFUNCTION("""COMPUTED_VALUE"""),45184.99861111111)</f>
        <v>45184.99861</v>
      </c>
      <c r="B2547" s="433">
        <f>IFERROR(__xludf.DUMMYFUNCTION("""COMPUTED_VALUE"""),26607.32)</f>
        <v>26607.32</v>
      </c>
      <c r="C2547" s="434">
        <f>IFERROR(__xludf.DUMMYFUNCTION("""COMPUTED_VALUE"""),44769.99861111111)</f>
        <v>44769.99861</v>
      </c>
      <c r="D2547" s="433">
        <f>IFERROR(__xludf.DUMMYFUNCTION("""COMPUTED_VALUE"""),1443.7268)</f>
        <v>1443.7268</v>
      </c>
    </row>
    <row r="2548">
      <c r="A2548" s="434">
        <f>IFERROR(__xludf.DUMMYFUNCTION("""COMPUTED_VALUE"""),45185.99861111111)</f>
        <v>45185.99861</v>
      </c>
      <c r="B2548" s="433">
        <f>IFERROR(__xludf.DUMMYFUNCTION("""COMPUTED_VALUE"""),26569.63)</f>
        <v>26569.63</v>
      </c>
      <c r="C2548" s="434">
        <f>IFERROR(__xludf.DUMMYFUNCTION("""COMPUTED_VALUE"""),44770.99861111111)</f>
        <v>44770.99861</v>
      </c>
      <c r="D2548" s="433">
        <f>IFERROR(__xludf.DUMMYFUNCTION("""COMPUTED_VALUE"""),1636.232)</f>
        <v>1636.232</v>
      </c>
    </row>
    <row r="2549">
      <c r="A2549" s="434">
        <f>IFERROR(__xludf.DUMMYFUNCTION("""COMPUTED_VALUE"""),45186.99861111111)</f>
        <v>45186.99861</v>
      </c>
      <c r="B2549" s="433">
        <f>IFERROR(__xludf.DUMMYFUNCTION("""COMPUTED_VALUE"""),26530.24)</f>
        <v>26530.24</v>
      </c>
      <c r="C2549" s="434">
        <f>IFERROR(__xludf.DUMMYFUNCTION("""COMPUTED_VALUE"""),44771.99861111111)</f>
        <v>44771.99861</v>
      </c>
      <c r="D2549" s="433">
        <f>IFERROR(__xludf.DUMMYFUNCTION("""COMPUTED_VALUE"""),1725.6239)</f>
        <v>1725.6239</v>
      </c>
    </row>
    <row r="2550">
      <c r="A2550" s="434">
        <f>IFERROR(__xludf.DUMMYFUNCTION("""COMPUTED_VALUE"""),45187.99861111111)</f>
        <v>45187.99861</v>
      </c>
      <c r="B2550" s="433">
        <f>IFERROR(__xludf.DUMMYFUNCTION("""COMPUTED_VALUE"""),26764.2)</f>
        <v>26764.2</v>
      </c>
      <c r="C2550" s="434">
        <f>IFERROR(__xludf.DUMMYFUNCTION("""COMPUTED_VALUE"""),44772.99861111111)</f>
        <v>44772.99861</v>
      </c>
      <c r="D2550" s="433">
        <f>IFERROR(__xludf.DUMMYFUNCTION("""COMPUTED_VALUE"""),1727.0619)</f>
        <v>1727.0619</v>
      </c>
    </row>
    <row r="2551">
      <c r="A2551" s="434">
        <f>IFERROR(__xludf.DUMMYFUNCTION("""COMPUTED_VALUE"""),45188.99861111111)</f>
        <v>45188.99861</v>
      </c>
      <c r="B2551" s="433">
        <f>IFERROR(__xludf.DUMMYFUNCTION("""COMPUTED_VALUE"""),27217.88)</f>
        <v>27217.88</v>
      </c>
      <c r="C2551" s="434">
        <f>IFERROR(__xludf.DUMMYFUNCTION("""COMPUTED_VALUE"""),44773.99861111111)</f>
        <v>44773.99861</v>
      </c>
      <c r="D2551" s="433">
        <f>IFERROR(__xludf.DUMMYFUNCTION("""COMPUTED_VALUE"""),1695.8848)</f>
        <v>1695.8848</v>
      </c>
    </row>
    <row r="2552">
      <c r="A2552" s="434">
        <f>IFERROR(__xludf.DUMMYFUNCTION("""COMPUTED_VALUE"""),45189.99861111111)</f>
        <v>45189.99861</v>
      </c>
      <c r="B2552" s="433">
        <f>IFERROR(__xludf.DUMMYFUNCTION("""COMPUTED_VALUE"""),27127.37)</f>
        <v>27127.37</v>
      </c>
      <c r="C2552" s="434">
        <f>IFERROR(__xludf.DUMMYFUNCTION("""COMPUTED_VALUE"""),44774.99861111111)</f>
        <v>44774.99861</v>
      </c>
      <c r="D2552" s="433">
        <f>IFERROR(__xludf.DUMMYFUNCTION("""COMPUTED_VALUE"""),1681.4456)</f>
        <v>1681.4456</v>
      </c>
    </row>
    <row r="2553">
      <c r="A2553" s="434">
        <f>IFERROR(__xludf.DUMMYFUNCTION("""COMPUTED_VALUE"""),45190.99861111111)</f>
        <v>45190.99861</v>
      </c>
      <c r="B2553" s="433">
        <f>IFERROR(__xludf.DUMMYFUNCTION("""COMPUTED_VALUE"""),26567.97)</f>
        <v>26567.97</v>
      </c>
      <c r="C2553" s="434">
        <f>IFERROR(__xludf.DUMMYFUNCTION("""COMPUTED_VALUE"""),44775.99861111111)</f>
        <v>44775.99861</v>
      </c>
      <c r="D2553" s="433">
        <f>IFERROR(__xludf.DUMMYFUNCTION("""COMPUTED_VALUE"""),1634.6458)</f>
        <v>1634.6458</v>
      </c>
    </row>
    <row r="2554">
      <c r="A2554" s="434">
        <f>IFERROR(__xludf.DUMMYFUNCTION("""COMPUTED_VALUE"""),45191.99861111111)</f>
        <v>45191.99861</v>
      </c>
      <c r="B2554" s="433">
        <f>IFERROR(__xludf.DUMMYFUNCTION("""COMPUTED_VALUE"""),26588.76)</f>
        <v>26588.76</v>
      </c>
      <c r="C2554" s="434">
        <f>IFERROR(__xludf.DUMMYFUNCTION("""COMPUTED_VALUE"""),44776.99861111111)</f>
        <v>44776.99861</v>
      </c>
      <c r="D2554" s="433">
        <f>IFERROR(__xludf.DUMMYFUNCTION("""COMPUTED_VALUE"""),1633.0513)</f>
        <v>1633.0513</v>
      </c>
    </row>
    <row r="2555">
      <c r="A2555" s="434">
        <f>IFERROR(__xludf.DUMMYFUNCTION("""COMPUTED_VALUE"""),45192.99861111111)</f>
        <v>45192.99861</v>
      </c>
      <c r="B2555" s="433">
        <f>IFERROR(__xludf.DUMMYFUNCTION("""COMPUTED_VALUE"""),26591.66)</f>
        <v>26591.66</v>
      </c>
      <c r="C2555" s="434">
        <f>IFERROR(__xludf.DUMMYFUNCTION("""COMPUTED_VALUE"""),44777.99861111111)</f>
        <v>44777.99861</v>
      </c>
      <c r="D2555" s="433">
        <f>IFERROR(__xludf.DUMMYFUNCTION("""COMPUTED_VALUE"""),1618.8867)</f>
        <v>1618.8867</v>
      </c>
    </row>
    <row r="2556">
      <c r="A2556" s="434">
        <f>IFERROR(__xludf.DUMMYFUNCTION("""COMPUTED_VALUE"""),45193.99861111111)</f>
        <v>45193.99861</v>
      </c>
      <c r="B2556" s="433">
        <f>IFERROR(__xludf.DUMMYFUNCTION("""COMPUTED_VALUE"""),26263.58)</f>
        <v>26263.58</v>
      </c>
      <c r="C2556" s="434">
        <f>IFERROR(__xludf.DUMMYFUNCTION("""COMPUTED_VALUE"""),44778.99861111111)</f>
        <v>44778.99861</v>
      </c>
      <c r="D2556" s="433">
        <f>IFERROR(__xludf.DUMMYFUNCTION("""COMPUTED_VALUE"""),1607.5239)</f>
        <v>1607.5239</v>
      </c>
    </row>
    <row r="2557">
      <c r="A2557" s="434">
        <f>IFERROR(__xludf.DUMMYFUNCTION("""COMPUTED_VALUE"""),45194.99861111111)</f>
        <v>45194.99861</v>
      </c>
      <c r="B2557" s="433">
        <f>IFERROR(__xludf.DUMMYFUNCTION("""COMPUTED_VALUE"""),26296.83)</f>
        <v>26296.83</v>
      </c>
      <c r="C2557" s="434">
        <f>IFERROR(__xludf.DUMMYFUNCTION("""COMPUTED_VALUE"""),44779.99861111111)</f>
        <v>44779.99861</v>
      </c>
      <c r="D2557" s="433">
        <f>IFERROR(__xludf.DUMMYFUNCTION("""COMPUTED_VALUE"""),1732.6611)</f>
        <v>1732.6611</v>
      </c>
    </row>
    <row r="2558">
      <c r="A2558" s="434">
        <f>IFERROR(__xludf.DUMMYFUNCTION("""COMPUTED_VALUE"""),45195.99861111111)</f>
        <v>45195.99861</v>
      </c>
      <c r="B2558" s="433">
        <f>IFERROR(__xludf.DUMMYFUNCTION("""COMPUTED_VALUE"""),26211.61)</f>
        <v>26211.61</v>
      </c>
      <c r="C2558" s="434">
        <f>IFERROR(__xludf.DUMMYFUNCTION("""COMPUTED_VALUE"""),44780.99861111111)</f>
        <v>44780.99861</v>
      </c>
      <c r="D2558" s="433">
        <f>IFERROR(__xludf.DUMMYFUNCTION("""COMPUTED_VALUE"""),1691.778)</f>
        <v>1691.778</v>
      </c>
    </row>
    <row r="2559">
      <c r="A2559" s="434">
        <f>IFERROR(__xludf.DUMMYFUNCTION("""COMPUTED_VALUE"""),45196.99861111111)</f>
        <v>45196.99861</v>
      </c>
      <c r="B2559" s="433">
        <f>IFERROR(__xludf.DUMMYFUNCTION("""COMPUTED_VALUE"""),26359.27)</f>
        <v>26359.27</v>
      </c>
      <c r="C2559" s="434">
        <f>IFERROR(__xludf.DUMMYFUNCTION("""COMPUTED_VALUE"""),44781.99861111111)</f>
        <v>44781.99861</v>
      </c>
      <c r="D2559" s="433">
        <f>IFERROR(__xludf.DUMMYFUNCTION("""COMPUTED_VALUE"""),1699.6934)</f>
        <v>1699.6934</v>
      </c>
    </row>
    <row r="2560">
      <c r="A2560" s="434">
        <f>IFERROR(__xludf.DUMMYFUNCTION("""COMPUTED_VALUE"""),45197.99861111111)</f>
        <v>45197.99861</v>
      </c>
      <c r="B2560" s="433">
        <f>IFERROR(__xludf.DUMMYFUNCTION("""COMPUTED_VALUE"""),27026.88)</f>
        <v>27026.88</v>
      </c>
      <c r="C2560" s="434">
        <f>IFERROR(__xludf.DUMMYFUNCTION("""COMPUTED_VALUE"""),44782.99861111111)</f>
        <v>44782.99861</v>
      </c>
      <c r="D2560" s="433">
        <f>IFERROR(__xludf.DUMMYFUNCTION("""COMPUTED_VALUE"""),1776.0713)</f>
        <v>1776.0713</v>
      </c>
    </row>
    <row r="2561">
      <c r="A2561" s="434">
        <f>IFERROR(__xludf.DUMMYFUNCTION("""COMPUTED_VALUE"""),45198.99861111111)</f>
        <v>45198.99861</v>
      </c>
      <c r="B2561" s="433">
        <f>IFERROR(__xludf.DUMMYFUNCTION("""COMPUTED_VALUE"""),26912.09)</f>
        <v>26912.09</v>
      </c>
      <c r="C2561" s="434">
        <f>IFERROR(__xludf.DUMMYFUNCTION("""COMPUTED_VALUE"""),44783.99861111111)</f>
        <v>44783.99861</v>
      </c>
      <c r="D2561" s="433">
        <f>IFERROR(__xludf.DUMMYFUNCTION("""COMPUTED_VALUE"""),1702.9064)</f>
        <v>1702.9064</v>
      </c>
    </row>
    <row r="2562">
      <c r="A2562" s="434">
        <f>IFERROR(__xludf.DUMMYFUNCTION("""COMPUTED_VALUE"""),45199.99861111111)</f>
        <v>45199.99861</v>
      </c>
      <c r="B2562" s="433">
        <f>IFERROR(__xludf.DUMMYFUNCTION("""COMPUTED_VALUE"""),26968.96)</f>
        <v>26968.96</v>
      </c>
      <c r="C2562" s="434">
        <f>IFERROR(__xludf.DUMMYFUNCTION("""COMPUTED_VALUE"""),44784.99861111111)</f>
        <v>44784.99861</v>
      </c>
      <c r="D2562" s="433">
        <f>IFERROR(__xludf.DUMMYFUNCTION("""COMPUTED_VALUE"""),1851.8284)</f>
        <v>1851.8284</v>
      </c>
    </row>
    <row r="2563">
      <c r="A2563" s="434">
        <f>IFERROR(__xludf.DUMMYFUNCTION("""COMPUTED_VALUE"""),45200.99861111111)</f>
        <v>45200.99861</v>
      </c>
      <c r="B2563" s="433">
        <f>IFERROR(__xludf.DUMMYFUNCTION("""COMPUTED_VALUE"""),27974.3)</f>
        <v>27974.3</v>
      </c>
      <c r="C2563" s="434">
        <f>IFERROR(__xludf.DUMMYFUNCTION("""COMPUTED_VALUE"""),44785.99861111111)</f>
        <v>44785.99861</v>
      </c>
      <c r="D2563" s="433">
        <f>IFERROR(__xludf.DUMMYFUNCTION("""COMPUTED_VALUE"""),1880.8992)</f>
        <v>1880.8992</v>
      </c>
    </row>
    <row r="2564">
      <c r="A2564" s="434">
        <f>IFERROR(__xludf.DUMMYFUNCTION("""COMPUTED_VALUE"""),45201.99861111111)</f>
        <v>45201.99861</v>
      </c>
      <c r="B2564" s="433">
        <f>IFERROR(__xludf.DUMMYFUNCTION("""COMPUTED_VALUE"""),27505.1)</f>
        <v>27505.1</v>
      </c>
      <c r="C2564" s="434">
        <f>IFERROR(__xludf.DUMMYFUNCTION("""COMPUTED_VALUE"""),44786.99861111111)</f>
        <v>44786.99861</v>
      </c>
      <c r="D2564" s="433">
        <f>IFERROR(__xludf.DUMMYFUNCTION("""COMPUTED_VALUE"""),1957.334)</f>
        <v>1957.334</v>
      </c>
    </row>
    <row r="2565">
      <c r="A2565" s="434">
        <f>IFERROR(__xludf.DUMMYFUNCTION("""COMPUTED_VALUE"""),45202.99861111111)</f>
        <v>45202.99861</v>
      </c>
      <c r="B2565" s="433">
        <f>IFERROR(__xludf.DUMMYFUNCTION("""COMPUTED_VALUE"""),27426.54)</f>
        <v>27426.54</v>
      </c>
      <c r="C2565" s="434">
        <f>IFERROR(__xludf.DUMMYFUNCTION("""COMPUTED_VALUE"""),44787.99861111111)</f>
        <v>44787.99861</v>
      </c>
      <c r="D2565" s="433">
        <f>IFERROR(__xludf.DUMMYFUNCTION("""COMPUTED_VALUE"""),1981.7824)</f>
        <v>1981.7824</v>
      </c>
    </row>
    <row r="2566">
      <c r="A2566" s="434">
        <f>IFERROR(__xludf.DUMMYFUNCTION("""COMPUTED_VALUE"""),45203.99861111111)</f>
        <v>45203.99861</v>
      </c>
      <c r="B2566" s="433">
        <f>IFERROR(__xludf.DUMMYFUNCTION("""COMPUTED_VALUE"""),27794.62)</f>
        <v>27794.62</v>
      </c>
      <c r="C2566" s="434">
        <f>IFERROR(__xludf.DUMMYFUNCTION("""COMPUTED_VALUE"""),44788.99861111111)</f>
        <v>44788.99861</v>
      </c>
      <c r="D2566" s="433">
        <f>IFERROR(__xludf.DUMMYFUNCTION("""COMPUTED_VALUE"""),1936.7605)</f>
        <v>1936.7605</v>
      </c>
    </row>
    <row r="2567">
      <c r="A2567" s="434">
        <f>IFERROR(__xludf.DUMMYFUNCTION("""COMPUTED_VALUE"""),45204.99861111111)</f>
        <v>45204.99861</v>
      </c>
      <c r="B2567" s="433">
        <f>IFERROR(__xludf.DUMMYFUNCTION("""COMPUTED_VALUE"""),27413.3)</f>
        <v>27413.3</v>
      </c>
      <c r="C2567" s="434">
        <f>IFERROR(__xludf.DUMMYFUNCTION("""COMPUTED_VALUE"""),44789.99861111111)</f>
        <v>44789.99861</v>
      </c>
      <c r="D2567" s="433">
        <f>IFERROR(__xludf.DUMMYFUNCTION("""COMPUTED_VALUE"""),1902.8331)</f>
        <v>1902.8331</v>
      </c>
    </row>
    <row r="2568">
      <c r="A2568" s="434">
        <f>IFERROR(__xludf.DUMMYFUNCTION("""COMPUTED_VALUE"""),45205.99861111111)</f>
        <v>45205.99861</v>
      </c>
      <c r="B2568" s="433">
        <f>IFERROR(__xludf.DUMMYFUNCTION("""COMPUTED_VALUE"""),27946.92)</f>
        <v>27946.92</v>
      </c>
      <c r="C2568" s="434">
        <f>IFERROR(__xludf.DUMMYFUNCTION("""COMPUTED_VALUE"""),44790.99861111111)</f>
        <v>44790.99861</v>
      </c>
      <c r="D2568" s="433">
        <f>IFERROR(__xludf.DUMMYFUNCTION("""COMPUTED_VALUE"""),1877.9343)</f>
        <v>1877.9343</v>
      </c>
    </row>
    <row r="2569">
      <c r="A2569" s="434">
        <f>IFERROR(__xludf.DUMMYFUNCTION("""COMPUTED_VALUE"""),45206.99861111111)</f>
        <v>45206.99861</v>
      </c>
      <c r="B2569" s="433">
        <f>IFERROR(__xludf.DUMMYFUNCTION("""COMPUTED_VALUE"""),27973.48)</f>
        <v>27973.48</v>
      </c>
      <c r="C2569" s="434">
        <f>IFERROR(__xludf.DUMMYFUNCTION("""COMPUTED_VALUE"""),44791.99861111111)</f>
        <v>44791.99861</v>
      </c>
      <c r="D2569" s="433">
        <f>IFERROR(__xludf.DUMMYFUNCTION("""COMPUTED_VALUE"""),1833.7155)</f>
        <v>1833.7155</v>
      </c>
    </row>
    <row r="2570">
      <c r="A2570" s="434">
        <f>IFERROR(__xludf.DUMMYFUNCTION("""COMPUTED_VALUE"""),45207.99861111111)</f>
        <v>45207.99861</v>
      </c>
      <c r="B2570" s="433">
        <f>IFERROR(__xludf.DUMMYFUNCTION("""COMPUTED_VALUE"""),27932.73)</f>
        <v>27932.73</v>
      </c>
      <c r="C2570" s="434">
        <f>IFERROR(__xludf.DUMMYFUNCTION("""COMPUTED_VALUE"""),44792.99861111111)</f>
        <v>44792.99861</v>
      </c>
      <c r="D2570" s="433">
        <f>IFERROR(__xludf.DUMMYFUNCTION("""COMPUTED_VALUE"""),1847.0953)</f>
        <v>1847.0953</v>
      </c>
    </row>
    <row r="2571">
      <c r="A2571" s="434">
        <f>IFERROR(__xludf.DUMMYFUNCTION("""COMPUTED_VALUE"""),45208.99861111111)</f>
        <v>45208.99861</v>
      </c>
      <c r="B2571" s="433">
        <f>IFERROR(__xludf.DUMMYFUNCTION("""COMPUTED_VALUE"""),27590.5)</f>
        <v>27590.5</v>
      </c>
      <c r="C2571" s="434">
        <f>IFERROR(__xludf.DUMMYFUNCTION("""COMPUTED_VALUE"""),44793.99861111111)</f>
        <v>44793.99861</v>
      </c>
      <c r="D2571" s="433">
        <f>IFERROR(__xludf.DUMMYFUNCTION("""COMPUTED_VALUE"""),1612.6506)</f>
        <v>1612.6506</v>
      </c>
    </row>
    <row r="2572">
      <c r="A2572" s="434">
        <f>IFERROR(__xludf.DUMMYFUNCTION("""COMPUTED_VALUE"""),45209.99861111111)</f>
        <v>45209.99861</v>
      </c>
      <c r="B2572" s="433">
        <f>IFERROR(__xludf.DUMMYFUNCTION("""COMPUTED_VALUE"""),27395.59)</f>
        <v>27395.59</v>
      </c>
      <c r="C2572" s="434">
        <f>IFERROR(__xludf.DUMMYFUNCTION("""COMPUTED_VALUE"""),44794.99861111111)</f>
        <v>44794.99861</v>
      </c>
      <c r="D2572" s="433">
        <f>IFERROR(__xludf.DUMMYFUNCTION("""COMPUTED_VALUE"""),1576.5436)</f>
        <v>1576.5436</v>
      </c>
    </row>
    <row r="2573">
      <c r="A2573" s="434">
        <f>IFERROR(__xludf.DUMMYFUNCTION("""COMPUTED_VALUE"""),45210.99861111111)</f>
        <v>45210.99861</v>
      </c>
      <c r="B2573" s="433">
        <f>IFERROR(__xludf.DUMMYFUNCTION("""COMPUTED_VALUE"""),26871.54)</f>
        <v>26871.54</v>
      </c>
      <c r="C2573" s="434">
        <f>IFERROR(__xludf.DUMMYFUNCTION("""COMPUTED_VALUE"""),44795.99861111111)</f>
        <v>44795.99861</v>
      </c>
      <c r="D2573" s="433">
        <f>IFERROR(__xludf.DUMMYFUNCTION("""COMPUTED_VALUE"""),1619.1668)</f>
        <v>1619.1668</v>
      </c>
    </row>
    <row r="2574">
      <c r="A2574" s="434">
        <f>IFERROR(__xludf.DUMMYFUNCTION("""COMPUTED_VALUE"""),45211.99861111111)</f>
        <v>45211.99861</v>
      </c>
      <c r="B2574" s="433">
        <f>IFERROR(__xludf.DUMMYFUNCTION("""COMPUTED_VALUE"""),26755.97)</f>
        <v>26755.97</v>
      </c>
      <c r="C2574" s="434">
        <f>IFERROR(__xludf.DUMMYFUNCTION("""COMPUTED_VALUE"""),44796.99861111111)</f>
        <v>44796.99861</v>
      </c>
      <c r="D2574" s="433">
        <f>IFERROR(__xludf.DUMMYFUNCTION("""COMPUTED_VALUE"""),1622.9393)</f>
        <v>1622.9393</v>
      </c>
    </row>
    <row r="2575">
      <c r="A2575" s="434">
        <f>IFERROR(__xludf.DUMMYFUNCTION("""COMPUTED_VALUE"""),45212.99861111111)</f>
        <v>45212.99861</v>
      </c>
      <c r="B2575" s="433">
        <f>IFERROR(__xludf.DUMMYFUNCTION("""COMPUTED_VALUE"""),26865.08)</f>
        <v>26865.08</v>
      </c>
      <c r="C2575" s="434">
        <f>IFERROR(__xludf.DUMMYFUNCTION("""COMPUTED_VALUE"""),44797.99861111111)</f>
        <v>44797.99861</v>
      </c>
      <c r="D2575" s="433">
        <f>IFERROR(__xludf.DUMMYFUNCTION("""COMPUTED_VALUE"""),1662.6954)</f>
        <v>1662.6954</v>
      </c>
    </row>
    <row r="2576">
      <c r="A2576" s="434">
        <f>IFERROR(__xludf.DUMMYFUNCTION("""COMPUTED_VALUE"""),45213.99861111111)</f>
        <v>45213.99861</v>
      </c>
      <c r="B2576" s="433">
        <f>IFERROR(__xludf.DUMMYFUNCTION("""COMPUTED_VALUE"""),26855.49)</f>
        <v>26855.49</v>
      </c>
      <c r="C2576" s="434">
        <f>IFERROR(__xludf.DUMMYFUNCTION("""COMPUTED_VALUE"""),44798.99861111111)</f>
        <v>44798.99861</v>
      </c>
      <c r="D2576" s="433">
        <f>IFERROR(__xludf.DUMMYFUNCTION("""COMPUTED_VALUE"""),1657.3365)</f>
        <v>1657.3365</v>
      </c>
    </row>
    <row r="2577">
      <c r="A2577" s="434">
        <f>IFERROR(__xludf.DUMMYFUNCTION("""COMPUTED_VALUE"""),45214.99861111111)</f>
        <v>45214.99861</v>
      </c>
      <c r="B2577" s="433">
        <f>IFERROR(__xludf.DUMMYFUNCTION("""COMPUTED_VALUE"""),27174.18)</f>
        <v>27174.18</v>
      </c>
      <c r="C2577" s="434">
        <f>IFERROR(__xludf.DUMMYFUNCTION("""COMPUTED_VALUE"""),44799.99861111111)</f>
        <v>44799.99861</v>
      </c>
      <c r="D2577" s="433">
        <f>IFERROR(__xludf.DUMMYFUNCTION("""COMPUTED_VALUE"""),1696.3246)</f>
        <v>1696.3246</v>
      </c>
    </row>
    <row r="2578">
      <c r="A2578" s="434">
        <f>IFERROR(__xludf.DUMMYFUNCTION("""COMPUTED_VALUE"""),45215.99861111111)</f>
        <v>45215.99861</v>
      </c>
      <c r="B2578" s="433">
        <f>IFERROR(__xludf.DUMMYFUNCTION("""COMPUTED_VALUE"""),28515.97)</f>
        <v>28515.97</v>
      </c>
      <c r="C2578" s="434">
        <f>IFERROR(__xludf.DUMMYFUNCTION("""COMPUTED_VALUE"""),44800.99861111111)</f>
        <v>44800.99861</v>
      </c>
      <c r="D2578" s="433">
        <f>IFERROR(__xludf.DUMMYFUNCTION("""COMPUTED_VALUE"""),1508.157)</f>
        <v>1508.157</v>
      </c>
    </row>
    <row r="2579">
      <c r="A2579" s="434">
        <f>IFERROR(__xludf.DUMMYFUNCTION("""COMPUTED_VALUE"""),45216.99861111111)</f>
        <v>45216.99861</v>
      </c>
      <c r="B2579" s="433">
        <f>IFERROR(__xludf.DUMMYFUNCTION("""COMPUTED_VALUE"""),28407.2)</f>
        <v>28407.2</v>
      </c>
      <c r="C2579" s="434">
        <f>IFERROR(__xludf.DUMMYFUNCTION("""COMPUTED_VALUE"""),44801.99861111111)</f>
        <v>44801.99861</v>
      </c>
      <c r="D2579" s="433">
        <f>IFERROR(__xludf.DUMMYFUNCTION("""COMPUTED_VALUE"""),1491.2068)</f>
        <v>1491.2068</v>
      </c>
    </row>
    <row r="2580">
      <c r="A2580" s="434">
        <f>IFERROR(__xludf.DUMMYFUNCTION("""COMPUTED_VALUE"""),45217.99861111111)</f>
        <v>45217.99861</v>
      </c>
      <c r="B2580" s="433">
        <f>IFERROR(__xludf.DUMMYFUNCTION("""COMPUTED_VALUE"""),28326.92)</f>
        <v>28326.92</v>
      </c>
      <c r="C2580" s="434">
        <f>IFERROR(__xludf.DUMMYFUNCTION("""COMPUTED_VALUE"""),44802.99861111111)</f>
        <v>44802.99861</v>
      </c>
      <c r="D2580" s="433">
        <f>IFERROR(__xludf.DUMMYFUNCTION("""COMPUTED_VALUE"""),1430.4395)</f>
        <v>1430.4395</v>
      </c>
    </row>
    <row r="2581">
      <c r="A2581" s="434">
        <f>IFERROR(__xludf.DUMMYFUNCTION("""COMPUTED_VALUE"""),45218.99861111111)</f>
        <v>45218.99861</v>
      </c>
      <c r="B2581" s="433">
        <f>IFERROR(__xludf.DUMMYFUNCTION("""COMPUTED_VALUE"""),28729.38)</f>
        <v>28729.38</v>
      </c>
      <c r="C2581" s="434">
        <f>IFERROR(__xludf.DUMMYFUNCTION("""COMPUTED_VALUE"""),44803.99861111111)</f>
        <v>44803.99861</v>
      </c>
      <c r="D2581" s="433">
        <f>IFERROR(__xludf.DUMMYFUNCTION("""COMPUTED_VALUE"""),1553.1889)</f>
        <v>1553.1889</v>
      </c>
    </row>
    <row r="2582">
      <c r="A2582" s="434">
        <f>IFERROR(__xludf.DUMMYFUNCTION("""COMPUTED_VALUE"""),45219.99861111111)</f>
        <v>45219.99861</v>
      </c>
      <c r="B2582" s="433">
        <f>IFERROR(__xludf.DUMMYFUNCTION("""COMPUTED_VALUE"""),29681.35)</f>
        <v>29681.35</v>
      </c>
      <c r="C2582" s="434">
        <f>IFERROR(__xludf.DUMMYFUNCTION("""COMPUTED_VALUE"""),44804.99861111111)</f>
        <v>44804.99861</v>
      </c>
      <c r="D2582" s="433">
        <f>IFERROR(__xludf.DUMMYFUNCTION("""COMPUTED_VALUE"""),1524.2865)</f>
        <v>1524.2865</v>
      </c>
    </row>
    <row r="2583">
      <c r="A2583" s="434">
        <f>IFERROR(__xludf.DUMMYFUNCTION("""COMPUTED_VALUE"""),45220.99861111111)</f>
        <v>45220.99861</v>
      </c>
      <c r="B2583" s="433">
        <f>IFERROR(__xludf.DUMMYFUNCTION("""COMPUTED_VALUE"""),29922.28)</f>
        <v>29922.28</v>
      </c>
      <c r="C2583" s="434">
        <f>IFERROR(__xludf.DUMMYFUNCTION("""COMPUTED_VALUE"""),44805.99861111111)</f>
        <v>44805.99861</v>
      </c>
      <c r="D2583" s="433">
        <f>IFERROR(__xludf.DUMMYFUNCTION("""COMPUTED_VALUE"""),1553.7564)</f>
        <v>1553.7564</v>
      </c>
    </row>
    <row r="2584">
      <c r="A2584" s="434">
        <f>IFERROR(__xludf.DUMMYFUNCTION("""COMPUTED_VALUE"""),45221.99861111111)</f>
        <v>45221.99861</v>
      </c>
      <c r="B2584" s="433">
        <f>IFERROR(__xludf.DUMMYFUNCTION("""COMPUTED_VALUE"""),29997.57)</f>
        <v>29997.57</v>
      </c>
      <c r="C2584" s="434">
        <f>IFERROR(__xludf.DUMMYFUNCTION("""COMPUTED_VALUE"""),44806.99861111111)</f>
        <v>44806.99861</v>
      </c>
      <c r="D2584" s="433">
        <f>IFERROR(__xludf.DUMMYFUNCTION("""COMPUTED_VALUE"""),1586.0179)</f>
        <v>1586.0179</v>
      </c>
    </row>
    <row r="2585">
      <c r="A2585" s="434">
        <f>IFERROR(__xludf.DUMMYFUNCTION("""COMPUTED_VALUE"""),45222.99861111111)</f>
        <v>45222.99861</v>
      </c>
      <c r="B2585" s="433">
        <f>IFERROR(__xludf.DUMMYFUNCTION("""COMPUTED_VALUE"""),33069.62)</f>
        <v>33069.62</v>
      </c>
      <c r="C2585" s="434">
        <f>IFERROR(__xludf.DUMMYFUNCTION("""COMPUTED_VALUE"""),44807.99861111111)</f>
        <v>44807.99861</v>
      </c>
      <c r="D2585" s="433">
        <f>IFERROR(__xludf.DUMMYFUNCTION("""COMPUTED_VALUE"""),1577.2137)</f>
        <v>1577.2137</v>
      </c>
    </row>
    <row r="2586">
      <c r="A2586" s="434">
        <f>IFERROR(__xludf.DUMMYFUNCTION("""COMPUTED_VALUE"""),45223.99861111111)</f>
        <v>45223.99861</v>
      </c>
      <c r="B2586" s="433">
        <f>IFERROR(__xludf.DUMMYFUNCTION("""COMPUTED_VALUE"""),33919.16)</f>
        <v>33919.16</v>
      </c>
      <c r="C2586" s="434">
        <f>IFERROR(__xludf.DUMMYFUNCTION("""COMPUTED_VALUE"""),44808.99861111111)</f>
        <v>44808.99861</v>
      </c>
      <c r="D2586" s="433">
        <f>IFERROR(__xludf.DUMMYFUNCTION("""COMPUTED_VALUE"""),1556.8959)</f>
        <v>1556.8959</v>
      </c>
    </row>
    <row r="2587">
      <c r="A2587" s="434">
        <f>IFERROR(__xludf.DUMMYFUNCTION("""COMPUTED_VALUE"""),45224.99861111111)</f>
        <v>45224.99861</v>
      </c>
      <c r="B2587" s="433">
        <f>IFERROR(__xludf.DUMMYFUNCTION("""COMPUTED_VALUE"""),34500.52)</f>
        <v>34500.52</v>
      </c>
      <c r="C2587" s="434">
        <f>IFERROR(__xludf.DUMMYFUNCTION("""COMPUTED_VALUE"""),44809.99861111111)</f>
        <v>44809.99861</v>
      </c>
      <c r="D2587" s="433">
        <f>IFERROR(__xludf.DUMMYFUNCTION("""COMPUTED_VALUE"""),1577.884)</f>
        <v>1577.884</v>
      </c>
    </row>
    <row r="2588">
      <c r="A2588" s="434">
        <f>IFERROR(__xludf.DUMMYFUNCTION("""COMPUTED_VALUE"""),45225.99861111111)</f>
        <v>45225.99861</v>
      </c>
      <c r="B2588" s="433">
        <f>IFERROR(__xludf.DUMMYFUNCTION("""COMPUTED_VALUE"""),34155.89)</f>
        <v>34155.89</v>
      </c>
      <c r="C2588" s="434">
        <f>IFERROR(__xludf.DUMMYFUNCTION("""COMPUTED_VALUE"""),44810.99861111111)</f>
        <v>44810.99861</v>
      </c>
      <c r="D2588" s="433">
        <f>IFERROR(__xludf.DUMMYFUNCTION("""COMPUTED_VALUE"""),1617.2402)</f>
        <v>1617.2402</v>
      </c>
    </row>
    <row r="2589">
      <c r="A2589" s="434">
        <f>IFERROR(__xludf.DUMMYFUNCTION("""COMPUTED_VALUE"""),45226.99861111111)</f>
        <v>45226.99861</v>
      </c>
      <c r="B2589" s="433">
        <f>IFERROR(__xludf.DUMMYFUNCTION("""COMPUTED_VALUE"""),33906.76)</f>
        <v>33906.76</v>
      </c>
      <c r="C2589" s="434">
        <f>IFERROR(__xludf.DUMMYFUNCTION("""COMPUTED_VALUE"""),44811.99861111111)</f>
        <v>44811.99861</v>
      </c>
      <c r="D2589" s="433">
        <f>IFERROR(__xludf.DUMMYFUNCTION("""COMPUTED_VALUE"""),1560.9068)</f>
        <v>1560.9068</v>
      </c>
    </row>
    <row r="2590">
      <c r="A2590" s="434">
        <f>IFERROR(__xludf.DUMMYFUNCTION("""COMPUTED_VALUE"""),45227.99861111111)</f>
        <v>45227.99861</v>
      </c>
      <c r="B2590" s="433">
        <f>IFERROR(__xludf.DUMMYFUNCTION("""COMPUTED_VALUE"""),34095.03)</f>
        <v>34095.03</v>
      </c>
      <c r="C2590" s="434">
        <f>IFERROR(__xludf.DUMMYFUNCTION("""COMPUTED_VALUE"""),44812.99861111111)</f>
        <v>44812.99861</v>
      </c>
      <c r="D2590" s="433">
        <f>IFERROR(__xludf.DUMMYFUNCTION("""COMPUTED_VALUE"""),1629.8051)</f>
        <v>1629.8051</v>
      </c>
    </row>
    <row r="2591">
      <c r="A2591" s="434">
        <f>IFERROR(__xludf.DUMMYFUNCTION("""COMPUTED_VALUE"""),45228.99861111111)</f>
        <v>45228.99861</v>
      </c>
      <c r="B2591" s="433">
        <f>IFERROR(__xludf.DUMMYFUNCTION("""COMPUTED_VALUE"""),34537.25)</f>
        <v>34537.25</v>
      </c>
      <c r="C2591" s="434">
        <f>IFERROR(__xludf.DUMMYFUNCTION("""COMPUTED_VALUE"""),44813.99861111111)</f>
        <v>44813.99861</v>
      </c>
      <c r="D2591" s="433">
        <f>IFERROR(__xludf.DUMMYFUNCTION("""COMPUTED_VALUE"""),1635.1878)</f>
        <v>1635.1878</v>
      </c>
    </row>
    <row r="2592">
      <c r="A2592" s="434">
        <f>IFERROR(__xludf.DUMMYFUNCTION("""COMPUTED_VALUE"""),45229.99861111111)</f>
        <v>45229.99861</v>
      </c>
      <c r="B2592" s="433">
        <f>IFERROR(__xludf.DUMMYFUNCTION("""COMPUTED_VALUE"""),34494.36)</f>
        <v>34494.36</v>
      </c>
      <c r="C2592" s="434">
        <f>IFERROR(__xludf.DUMMYFUNCTION("""COMPUTED_VALUE"""),44814.99861111111)</f>
        <v>44814.99861</v>
      </c>
      <c r="D2592" s="433">
        <f>IFERROR(__xludf.DUMMYFUNCTION("""COMPUTED_VALUE"""),1718.9613)</f>
        <v>1718.9613</v>
      </c>
    </row>
    <row r="2593">
      <c r="A2593" s="434">
        <f>IFERROR(__xludf.DUMMYFUNCTION("""COMPUTED_VALUE"""),45230.99861111111)</f>
        <v>45230.99861</v>
      </c>
      <c r="B2593" s="433">
        <f>IFERROR(__xludf.DUMMYFUNCTION("""COMPUTED_VALUE"""),34661.5)</f>
        <v>34661.5</v>
      </c>
      <c r="C2593" s="434">
        <f>IFERROR(__xludf.DUMMYFUNCTION("""COMPUTED_VALUE"""),44815.99861111111)</f>
        <v>44815.99861</v>
      </c>
      <c r="D2593" s="433">
        <f>IFERROR(__xludf.DUMMYFUNCTION("""COMPUTED_VALUE"""),1775.976)</f>
        <v>1775.976</v>
      </c>
    </row>
    <row r="2594">
      <c r="A2594" s="434">
        <f>IFERROR(__xludf.DUMMYFUNCTION("""COMPUTED_VALUE"""),45231.99861111111)</f>
        <v>45231.99861</v>
      </c>
      <c r="B2594" s="433">
        <f>IFERROR(__xludf.DUMMYFUNCTION("""COMPUTED_VALUE"""),35436.0)</f>
        <v>35436</v>
      </c>
      <c r="C2594" s="434">
        <f>IFERROR(__xludf.DUMMYFUNCTION("""COMPUTED_VALUE"""),44816.99861111111)</f>
        <v>44816.99861</v>
      </c>
      <c r="D2594" s="433">
        <f>IFERROR(__xludf.DUMMYFUNCTION("""COMPUTED_VALUE"""),1762.0849)</f>
        <v>1762.0849</v>
      </c>
    </row>
    <row r="2595">
      <c r="A2595" s="434">
        <f>IFERROR(__xludf.DUMMYFUNCTION("""COMPUTED_VALUE"""),45232.99861111111)</f>
        <v>45232.99861</v>
      </c>
      <c r="B2595" s="433">
        <f>IFERROR(__xludf.DUMMYFUNCTION("""COMPUTED_VALUE"""),34945.19)</f>
        <v>34945.19</v>
      </c>
      <c r="C2595" s="434">
        <f>IFERROR(__xludf.DUMMYFUNCTION("""COMPUTED_VALUE"""),44817.99861111111)</f>
        <v>44817.99861</v>
      </c>
      <c r="D2595" s="433">
        <f>IFERROR(__xludf.DUMMYFUNCTION("""COMPUTED_VALUE"""),1713.9626)</f>
        <v>1713.9626</v>
      </c>
    </row>
    <row r="2596">
      <c r="A2596" s="434">
        <f>IFERROR(__xludf.DUMMYFUNCTION("""COMPUTED_VALUE"""),45233.99861111111)</f>
        <v>45233.99861</v>
      </c>
      <c r="B2596" s="433">
        <f>IFERROR(__xludf.DUMMYFUNCTION("""COMPUTED_VALUE"""),34741.35)</f>
        <v>34741.35</v>
      </c>
      <c r="C2596" s="434">
        <f>IFERROR(__xludf.DUMMYFUNCTION("""COMPUTED_VALUE"""),44818.99861111111)</f>
        <v>44818.99861</v>
      </c>
      <c r="D2596" s="433">
        <f>IFERROR(__xludf.DUMMYFUNCTION("""COMPUTED_VALUE"""),1574.8581)</f>
        <v>1574.8581</v>
      </c>
    </row>
    <row r="2597">
      <c r="A2597" s="434">
        <f>IFERROR(__xludf.DUMMYFUNCTION("""COMPUTED_VALUE"""),45234.99861111111)</f>
        <v>45234.99861</v>
      </c>
      <c r="B2597" s="433">
        <f>IFERROR(__xludf.DUMMYFUNCTION("""COMPUTED_VALUE"""),35103.04)</f>
        <v>35103.04</v>
      </c>
      <c r="C2597" s="434">
        <f>IFERROR(__xludf.DUMMYFUNCTION("""COMPUTED_VALUE"""),44819.99861111111)</f>
        <v>44819.99861</v>
      </c>
      <c r="D2597" s="433">
        <f>IFERROR(__xludf.DUMMYFUNCTION("""COMPUTED_VALUE"""),1635.083)</f>
        <v>1635.083</v>
      </c>
    </row>
    <row r="2598">
      <c r="A2598" s="434">
        <f>IFERROR(__xludf.DUMMYFUNCTION("""COMPUTED_VALUE"""),45235.99861111111)</f>
        <v>45235.99861</v>
      </c>
      <c r="B2598" s="433">
        <f>IFERROR(__xludf.DUMMYFUNCTION("""COMPUTED_VALUE"""),35052.37)</f>
        <v>35052.37</v>
      </c>
      <c r="C2598" s="434">
        <f>IFERROR(__xludf.DUMMYFUNCTION("""COMPUTED_VALUE"""),44820.99861111111)</f>
        <v>44820.99861</v>
      </c>
      <c r="D2598" s="433">
        <f>IFERROR(__xludf.DUMMYFUNCTION("""COMPUTED_VALUE"""),1471.9284)</f>
        <v>1471.9284</v>
      </c>
    </row>
    <row r="2599">
      <c r="A2599" s="434">
        <f>IFERROR(__xludf.DUMMYFUNCTION("""COMPUTED_VALUE"""),45236.99861111111)</f>
        <v>45236.99861</v>
      </c>
      <c r="B2599" s="433">
        <f>IFERROR(__xludf.DUMMYFUNCTION("""COMPUTED_VALUE"""),35055.07)</f>
        <v>35055.07</v>
      </c>
      <c r="C2599" s="434">
        <f>IFERROR(__xludf.DUMMYFUNCTION("""COMPUTED_VALUE"""),44821.99861111111)</f>
        <v>44821.99861</v>
      </c>
      <c r="D2599" s="433">
        <f>IFERROR(__xludf.DUMMYFUNCTION("""COMPUTED_VALUE"""),1432.8765)</f>
        <v>1432.8765</v>
      </c>
    </row>
    <row r="2600">
      <c r="A2600" s="434">
        <f>IFERROR(__xludf.DUMMYFUNCTION("""COMPUTED_VALUE"""),45237.99861111111)</f>
        <v>45237.99861</v>
      </c>
      <c r="B2600" s="433">
        <f>IFERROR(__xludf.DUMMYFUNCTION("""COMPUTED_VALUE"""),35430.56)</f>
        <v>35430.56</v>
      </c>
      <c r="C2600" s="434">
        <f>IFERROR(__xludf.DUMMYFUNCTION("""COMPUTED_VALUE"""),44822.99861111111)</f>
        <v>44822.99861</v>
      </c>
      <c r="D2600" s="433">
        <f>IFERROR(__xludf.DUMMYFUNCTION("""COMPUTED_VALUE"""),1469.7055)</f>
        <v>1469.7055</v>
      </c>
    </row>
    <row r="2601">
      <c r="A2601" s="434">
        <f>IFERROR(__xludf.DUMMYFUNCTION("""COMPUTED_VALUE"""),45238.99861111111)</f>
        <v>45238.99861</v>
      </c>
      <c r="B2601" s="433">
        <f>IFERROR(__xludf.DUMMYFUNCTION("""COMPUTED_VALUE"""),35639.24)</f>
        <v>35639.24</v>
      </c>
      <c r="C2601" s="434">
        <f>IFERROR(__xludf.DUMMYFUNCTION("""COMPUTED_VALUE"""),44823.99861111111)</f>
        <v>44823.99861</v>
      </c>
      <c r="D2601" s="433">
        <f>IFERROR(__xludf.DUMMYFUNCTION("""COMPUTED_VALUE"""),1335.2707)</f>
        <v>1335.2707</v>
      </c>
    </row>
    <row r="2602">
      <c r="A2602" s="434">
        <f>IFERROR(__xludf.DUMMYFUNCTION("""COMPUTED_VALUE"""),45239.99861111111)</f>
        <v>45239.99861</v>
      </c>
      <c r="B2602" s="433">
        <f>IFERROR(__xludf.DUMMYFUNCTION("""COMPUTED_VALUE"""),36701.68)</f>
        <v>36701.68</v>
      </c>
      <c r="C2602" s="434">
        <f>IFERROR(__xludf.DUMMYFUNCTION("""COMPUTED_VALUE"""),44824.99861111111)</f>
        <v>44824.99861</v>
      </c>
      <c r="D2602" s="433">
        <f>IFERROR(__xludf.DUMMYFUNCTION("""COMPUTED_VALUE"""),1377.619)</f>
        <v>1377.619</v>
      </c>
    </row>
    <row r="2603">
      <c r="A2603" s="434">
        <f>IFERROR(__xludf.DUMMYFUNCTION("""COMPUTED_VALUE"""),45240.99861111111)</f>
        <v>45240.99861</v>
      </c>
      <c r="B2603" s="433">
        <f>IFERROR(__xludf.DUMMYFUNCTION("""COMPUTED_VALUE"""),37328.04)</f>
        <v>37328.04</v>
      </c>
      <c r="C2603" s="434">
        <f>IFERROR(__xludf.DUMMYFUNCTION("""COMPUTED_VALUE"""),44825.99861111111)</f>
        <v>44825.99861</v>
      </c>
      <c r="D2603" s="433">
        <f>IFERROR(__xludf.DUMMYFUNCTION("""COMPUTED_VALUE"""),1324.2156)</f>
        <v>1324.2156</v>
      </c>
    </row>
    <row r="2604">
      <c r="A2604" s="434">
        <f>IFERROR(__xludf.DUMMYFUNCTION("""COMPUTED_VALUE"""),45241.99861111111)</f>
        <v>45241.99861</v>
      </c>
      <c r="B2604" s="433">
        <f>IFERROR(__xludf.DUMMYFUNCTION("""COMPUTED_VALUE"""),37149.43)</f>
        <v>37149.43</v>
      </c>
      <c r="C2604" s="434">
        <f>IFERROR(__xludf.DUMMYFUNCTION("""COMPUTED_VALUE"""),44826.99861111111)</f>
        <v>44826.99861</v>
      </c>
      <c r="D2604" s="433">
        <f>IFERROR(__xludf.DUMMYFUNCTION("""COMPUTED_VALUE"""),1251.5674)</f>
        <v>1251.5674</v>
      </c>
    </row>
    <row r="2605">
      <c r="A2605" s="434">
        <f>IFERROR(__xludf.DUMMYFUNCTION("""COMPUTED_VALUE"""),45242.99861111111)</f>
        <v>45242.99861</v>
      </c>
      <c r="B2605" s="433">
        <f>IFERROR(__xludf.DUMMYFUNCTION("""COMPUTED_VALUE"""),37084.73)</f>
        <v>37084.73</v>
      </c>
      <c r="C2605" s="434">
        <f>IFERROR(__xludf.DUMMYFUNCTION("""COMPUTED_VALUE"""),44827.99861111111)</f>
        <v>44827.99861</v>
      </c>
      <c r="D2605" s="433">
        <f>IFERROR(__xludf.DUMMYFUNCTION("""COMPUTED_VALUE"""),1327.4812)</f>
        <v>1327.4812</v>
      </c>
    </row>
    <row r="2606">
      <c r="A2606" s="434">
        <f>IFERROR(__xludf.DUMMYFUNCTION("""COMPUTED_VALUE"""),45243.99861111111)</f>
        <v>45243.99861</v>
      </c>
      <c r="B2606" s="433">
        <f>IFERROR(__xludf.DUMMYFUNCTION("""COMPUTED_VALUE"""),36484.45)</f>
        <v>36484.45</v>
      </c>
      <c r="C2606" s="434">
        <f>IFERROR(__xludf.DUMMYFUNCTION("""COMPUTED_VALUE"""),44828.99861111111)</f>
        <v>44828.99861</v>
      </c>
      <c r="D2606" s="433">
        <f>IFERROR(__xludf.DUMMYFUNCTION("""COMPUTED_VALUE"""),1328.2447)</f>
        <v>1328.2447</v>
      </c>
    </row>
    <row r="2607">
      <c r="A2607" s="434">
        <f>IFERROR(__xludf.DUMMYFUNCTION("""COMPUTED_VALUE"""),45244.99861111111)</f>
        <v>45244.99861</v>
      </c>
      <c r="B2607" s="433">
        <f>IFERROR(__xludf.DUMMYFUNCTION("""COMPUTED_VALUE"""),35556.38)</f>
        <v>35556.38</v>
      </c>
      <c r="C2607" s="434">
        <f>IFERROR(__xludf.DUMMYFUNCTION("""COMPUTED_VALUE"""),44829.99861111111)</f>
        <v>44829.99861</v>
      </c>
      <c r="D2607" s="433">
        <f>IFERROR(__xludf.DUMMYFUNCTION("""COMPUTED_VALUE"""),1317.9385)</f>
        <v>1317.9385</v>
      </c>
    </row>
    <row r="2608">
      <c r="A2608" s="434">
        <f>IFERROR(__xludf.DUMMYFUNCTION("""COMPUTED_VALUE"""),45245.99861111111)</f>
        <v>45245.99861</v>
      </c>
      <c r="B2608" s="433">
        <f>IFERROR(__xludf.DUMMYFUNCTION("""COMPUTED_VALUE"""),37884.48)</f>
        <v>37884.48</v>
      </c>
      <c r="C2608" s="434">
        <f>IFERROR(__xludf.DUMMYFUNCTION("""COMPUTED_VALUE"""),44830.99861111111)</f>
        <v>44830.99861</v>
      </c>
      <c r="D2608" s="433">
        <f>IFERROR(__xludf.DUMMYFUNCTION("""COMPUTED_VALUE"""),1294.3862)</f>
        <v>1294.3862</v>
      </c>
    </row>
    <row r="2609">
      <c r="A2609" s="434">
        <f>IFERROR(__xludf.DUMMYFUNCTION("""COMPUTED_VALUE"""),45246.99861111111)</f>
        <v>45246.99861</v>
      </c>
      <c r="B2609" s="433">
        <f>IFERROR(__xludf.DUMMYFUNCTION("""COMPUTED_VALUE"""),36171.1)</f>
        <v>36171.1</v>
      </c>
      <c r="C2609" s="434">
        <f>IFERROR(__xludf.DUMMYFUNCTION("""COMPUTED_VALUE"""),44831.99861111111)</f>
        <v>44831.99861</v>
      </c>
      <c r="D2609" s="433">
        <f>IFERROR(__xludf.DUMMYFUNCTION("""COMPUTED_VALUE"""),1335.337)</f>
        <v>1335.337</v>
      </c>
    </row>
    <row r="2610">
      <c r="A2610" s="434">
        <f>IFERROR(__xludf.DUMMYFUNCTION("""COMPUTED_VALUE"""),45247.99861111111)</f>
        <v>45247.99861</v>
      </c>
      <c r="B2610" s="433">
        <f>IFERROR(__xludf.DUMMYFUNCTION("""COMPUTED_VALUE"""),36626.71)</f>
        <v>36626.71</v>
      </c>
      <c r="C2610" s="434">
        <f>IFERROR(__xludf.DUMMYFUNCTION("""COMPUTED_VALUE"""),44832.99861111111)</f>
        <v>44832.99861</v>
      </c>
      <c r="D2610" s="433">
        <f>IFERROR(__xludf.DUMMYFUNCTION("""COMPUTED_VALUE"""),1329.5413)</f>
        <v>1329.5413</v>
      </c>
    </row>
    <row r="2611">
      <c r="A2611" s="434">
        <f>IFERROR(__xludf.DUMMYFUNCTION("""COMPUTED_VALUE"""),45248.99861111111)</f>
        <v>45248.99861</v>
      </c>
      <c r="B2611" s="433">
        <f>IFERROR(__xludf.DUMMYFUNCTION("""COMPUTED_VALUE"""),36587.7)</f>
        <v>36587.7</v>
      </c>
      <c r="C2611" s="434">
        <f>IFERROR(__xludf.DUMMYFUNCTION("""COMPUTED_VALUE"""),44833.99861111111)</f>
        <v>44833.99861</v>
      </c>
      <c r="D2611" s="433">
        <f>IFERROR(__xludf.DUMMYFUNCTION("""COMPUTED_VALUE"""),1337.5545)</f>
        <v>1337.5545</v>
      </c>
    </row>
    <row r="2612">
      <c r="A2612" s="434">
        <f>IFERROR(__xludf.DUMMYFUNCTION("""COMPUTED_VALUE"""),45249.99861111111)</f>
        <v>45249.99861</v>
      </c>
      <c r="B2612" s="433">
        <f>IFERROR(__xludf.DUMMYFUNCTION("""COMPUTED_VALUE"""),37399.95)</f>
        <v>37399.95</v>
      </c>
      <c r="C2612" s="434">
        <f>IFERROR(__xludf.DUMMYFUNCTION("""COMPUTED_VALUE"""),44834.99861111111)</f>
        <v>44834.99861</v>
      </c>
      <c r="D2612" s="433">
        <f>IFERROR(__xludf.DUMMYFUNCTION("""COMPUTED_VALUE"""),1335.6465)</f>
        <v>1335.6465</v>
      </c>
    </row>
    <row r="2613">
      <c r="A2613" s="434">
        <f>IFERROR(__xludf.DUMMYFUNCTION("""COMPUTED_VALUE"""),45250.99861111111)</f>
        <v>45250.99861</v>
      </c>
      <c r="B2613" s="433">
        <f>IFERROR(__xludf.DUMMYFUNCTION("""COMPUTED_VALUE"""),37475.5)</f>
        <v>37475.5</v>
      </c>
      <c r="C2613" s="434">
        <f>IFERROR(__xludf.DUMMYFUNCTION("""COMPUTED_VALUE"""),44835.99861111111)</f>
        <v>44835.99861</v>
      </c>
      <c r="D2613" s="433">
        <f>IFERROR(__xludf.DUMMYFUNCTION("""COMPUTED_VALUE"""),1328.1937)</f>
        <v>1328.1937</v>
      </c>
    </row>
    <row r="2614">
      <c r="A2614" s="434">
        <f>IFERROR(__xludf.DUMMYFUNCTION("""COMPUTED_VALUE"""),45251.99861111111)</f>
        <v>45251.99861</v>
      </c>
      <c r="B2614" s="433">
        <f>IFERROR(__xludf.DUMMYFUNCTION("""COMPUTED_VALUE"""),35790.33)</f>
        <v>35790.33</v>
      </c>
      <c r="C2614" s="434">
        <f>IFERROR(__xludf.DUMMYFUNCTION("""COMPUTED_VALUE"""),44836.99861111111)</f>
        <v>44836.99861</v>
      </c>
      <c r="D2614" s="433">
        <f>IFERROR(__xludf.DUMMYFUNCTION("""COMPUTED_VALUE"""),1311.7534)</f>
        <v>1311.7534</v>
      </c>
    </row>
    <row r="2615">
      <c r="A2615" s="434">
        <f>IFERROR(__xludf.DUMMYFUNCTION("""COMPUTED_VALUE"""),45252.99861111111)</f>
        <v>45252.99861</v>
      </c>
      <c r="B2615" s="433">
        <f>IFERROR(__xludf.DUMMYFUNCTION("""COMPUTED_VALUE"""),37422.05)</f>
        <v>37422.05</v>
      </c>
      <c r="C2615" s="434">
        <f>IFERROR(__xludf.DUMMYFUNCTION("""COMPUTED_VALUE"""),44837.99861111111)</f>
        <v>44837.99861</v>
      </c>
      <c r="D2615" s="433">
        <f>IFERROR(__xludf.DUMMYFUNCTION("""COMPUTED_VALUE"""),1276.1634)</f>
        <v>1276.1634</v>
      </c>
    </row>
    <row r="2616">
      <c r="A2616" s="434">
        <f>IFERROR(__xludf.DUMMYFUNCTION("""COMPUTED_VALUE"""),45253.99861111111)</f>
        <v>45253.99861</v>
      </c>
      <c r="B2616" s="433">
        <f>IFERROR(__xludf.DUMMYFUNCTION("""COMPUTED_VALUE"""),37304.17)</f>
        <v>37304.17</v>
      </c>
      <c r="C2616" s="434">
        <f>IFERROR(__xludf.DUMMYFUNCTION("""COMPUTED_VALUE"""),44838.99861111111)</f>
        <v>44838.99861</v>
      </c>
      <c r="D2616" s="433">
        <f>IFERROR(__xludf.DUMMYFUNCTION("""COMPUTED_VALUE"""),1323.2783)</f>
        <v>1323.2783</v>
      </c>
    </row>
    <row r="2617">
      <c r="A2617" s="434">
        <f>IFERROR(__xludf.DUMMYFUNCTION("""COMPUTED_VALUE"""),45254.99861111111)</f>
        <v>45254.99861</v>
      </c>
      <c r="B2617" s="433">
        <f>IFERROR(__xludf.DUMMYFUNCTION("""COMPUTED_VALUE"""),37736.24)</f>
        <v>37736.24</v>
      </c>
      <c r="C2617" s="434">
        <f>IFERROR(__xludf.DUMMYFUNCTION("""COMPUTED_VALUE"""),44839.99861111111)</f>
        <v>44839.99861</v>
      </c>
      <c r="D2617" s="433">
        <f>IFERROR(__xludf.DUMMYFUNCTION("""COMPUTED_VALUE"""),1361.9729)</f>
        <v>1361.9729</v>
      </c>
    </row>
    <row r="2618">
      <c r="A2618" s="434">
        <f>IFERROR(__xludf.DUMMYFUNCTION("""COMPUTED_VALUE"""),45255.99861111111)</f>
        <v>45255.99861</v>
      </c>
      <c r="B2618" s="433">
        <f>IFERROR(__xludf.DUMMYFUNCTION("""COMPUTED_VALUE"""),37807.9)</f>
        <v>37807.9</v>
      </c>
      <c r="C2618" s="434">
        <f>IFERROR(__xludf.DUMMYFUNCTION("""COMPUTED_VALUE"""),44840.99861111111)</f>
        <v>44840.99861</v>
      </c>
      <c r="D2618" s="433">
        <f>IFERROR(__xludf.DUMMYFUNCTION("""COMPUTED_VALUE"""),1352.8066)</f>
        <v>1352.8066</v>
      </c>
    </row>
    <row r="2619">
      <c r="A2619" s="434">
        <f>IFERROR(__xludf.DUMMYFUNCTION("""COMPUTED_VALUE"""),45256.99861111111)</f>
        <v>45256.99861</v>
      </c>
      <c r="B2619" s="433">
        <f>IFERROR(__xludf.DUMMYFUNCTION("""COMPUTED_VALUE"""),37462.87)</f>
        <v>37462.87</v>
      </c>
      <c r="C2619" s="434">
        <f>IFERROR(__xludf.DUMMYFUNCTION("""COMPUTED_VALUE"""),44841.99861111111)</f>
        <v>44841.99861</v>
      </c>
      <c r="D2619" s="433">
        <f>IFERROR(__xludf.DUMMYFUNCTION("""COMPUTED_VALUE"""),1351.8364)</f>
        <v>1351.8364</v>
      </c>
    </row>
    <row r="2620">
      <c r="A2620" s="434">
        <f>IFERROR(__xludf.DUMMYFUNCTION("""COMPUTED_VALUE"""),45257.99861111111)</f>
        <v>45257.99861</v>
      </c>
      <c r="B2620" s="433">
        <f>IFERROR(__xludf.DUMMYFUNCTION("""COMPUTED_VALUE"""),37247.49)</f>
        <v>37247.49</v>
      </c>
      <c r="C2620" s="434">
        <f>IFERROR(__xludf.DUMMYFUNCTION("""COMPUTED_VALUE"""),44842.99861111111)</f>
        <v>44842.99861</v>
      </c>
      <c r="D2620" s="433">
        <f>IFERROR(__xludf.DUMMYFUNCTION("""COMPUTED_VALUE"""),1332.3713)</f>
        <v>1332.3713</v>
      </c>
    </row>
    <row r="2621">
      <c r="A2621" s="434">
        <f>IFERROR(__xludf.DUMMYFUNCTION("""COMPUTED_VALUE"""),45258.99861111111)</f>
        <v>45258.99861</v>
      </c>
      <c r="B2621" s="433">
        <f>IFERROR(__xludf.DUMMYFUNCTION("""COMPUTED_VALUE"""),37832.33)</f>
        <v>37832.33</v>
      </c>
      <c r="C2621" s="434">
        <f>IFERROR(__xludf.DUMMYFUNCTION("""COMPUTED_VALUE"""),44843.99861111111)</f>
        <v>44843.99861</v>
      </c>
      <c r="D2621" s="433">
        <f>IFERROR(__xludf.DUMMYFUNCTION("""COMPUTED_VALUE"""),1315.4602)</f>
        <v>1315.4602</v>
      </c>
    </row>
    <row r="2622">
      <c r="A2622" s="434">
        <f>IFERROR(__xludf.DUMMYFUNCTION("""COMPUTED_VALUE"""),45259.99861111111)</f>
        <v>45259.99861</v>
      </c>
      <c r="B2622" s="433">
        <f>IFERROR(__xludf.DUMMYFUNCTION("""COMPUTED_VALUE"""),37861.98)</f>
        <v>37861.98</v>
      </c>
      <c r="C2622" s="434">
        <f>IFERROR(__xludf.DUMMYFUNCTION("""COMPUTED_VALUE"""),44844.99861111111)</f>
        <v>44844.99861</v>
      </c>
      <c r="D2622" s="433">
        <f>IFERROR(__xludf.DUMMYFUNCTION("""COMPUTED_VALUE"""),1322.6187)</f>
        <v>1322.6187</v>
      </c>
    </row>
    <row r="2623">
      <c r="A2623" s="434">
        <f>IFERROR(__xludf.DUMMYFUNCTION("""COMPUTED_VALUE"""),45260.99861111111)</f>
        <v>45260.99861</v>
      </c>
      <c r="B2623" s="433">
        <f>IFERROR(__xludf.DUMMYFUNCTION("""COMPUTED_VALUE"""),37723.79)</f>
        <v>37723.79</v>
      </c>
      <c r="C2623" s="434">
        <f>IFERROR(__xludf.DUMMYFUNCTION("""COMPUTED_VALUE"""),44845.99861111111)</f>
        <v>44845.99861</v>
      </c>
      <c r="D2623" s="433">
        <f>IFERROR(__xludf.DUMMYFUNCTION("""COMPUTED_VALUE"""),1291.1097)</f>
        <v>1291.1097</v>
      </c>
    </row>
    <row r="2624">
      <c r="A2624" s="434">
        <f>IFERROR(__xludf.DUMMYFUNCTION("""COMPUTED_VALUE"""),45261.99861111111)</f>
        <v>45261.99861</v>
      </c>
      <c r="B2624" s="433">
        <f>IFERROR(__xludf.DUMMYFUNCTION("""COMPUTED_VALUE"""),38704.05)</f>
        <v>38704.05</v>
      </c>
      <c r="C2624" s="434">
        <f>IFERROR(__xludf.DUMMYFUNCTION("""COMPUTED_VALUE"""),44846.99861111111)</f>
        <v>44846.99861</v>
      </c>
      <c r="D2624" s="433">
        <f>IFERROR(__xludf.DUMMYFUNCTION("""COMPUTED_VALUE"""),1279.7323)</f>
        <v>1279.7323</v>
      </c>
    </row>
    <row r="2625">
      <c r="A2625" s="434">
        <f>IFERROR(__xludf.DUMMYFUNCTION("""COMPUTED_VALUE"""),45262.99861111111)</f>
        <v>45262.99861</v>
      </c>
      <c r="B2625" s="433">
        <f>IFERROR(__xludf.DUMMYFUNCTION("""COMPUTED_VALUE"""),39463.38)</f>
        <v>39463.38</v>
      </c>
      <c r="C2625" s="434">
        <f>IFERROR(__xludf.DUMMYFUNCTION("""COMPUTED_VALUE"""),44847.99861111111)</f>
        <v>44847.99861</v>
      </c>
      <c r="D2625" s="433">
        <f>IFERROR(__xludf.DUMMYFUNCTION("""COMPUTED_VALUE"""),1294.9174)</f>
        <v>1294.9174</v>
      </c>
    </row>
    <row r="2626">
      <c r="A2626" s="434">
        <f>IFERROR(__xludf.DUMMYFUNCTION("""COMPUTED_VALUE"""),45263.99861111111)</f>
        <v>45263.99861</v>
      </c>
      <c r="B2626" s="433">
        <f>IFERROR(__xludf.DUMMYFUNCTION("""COMPUTED_VALUE"""),39976.71)</f>
        <v>39976.71</v>
      </c>
      <c r="C2626" s="434">
        <f>IFERROR(__xludf.DUMMYFUNCTION("""COMPUTED_VALUE"""),44848.99861111111)</f>
        <v>44848.99861</v>
      </c>
      <c r="D2626" s="433">
        <f>IFERROR(__xludf.DUMMYFUNCTION("""COMPUTED_VALUE"""),1288.0487)</f>
        <v>1288.0487</v>
      </c>
    </row>
    <row r="2627">
      <c r="A2627" s="434">
        <f>IFERROR(__xludf.DUMMYFUNCTION("""COMPUTED_VALUE"""),45264.99861111111)</f>
        <v>45264.99861</v>
      </c>
      <c r="B2627" s="433">
        <f>IFERROR(__xludf.DUMMYFUNCTION("""COMPUTED_VALUE"""),41982.22)</f>
        <v>41982.22</v>
      </c>
      <c r="C2627" s="434">
        <f>IFERROR(__xludf.DUMMYFUNCTION("""COMPUTED_VALUE"""),44849.99861111111)</f>
        <v>44849.99861</v>
      </c>
      <c r="D2627" s="433">
        <f>IFERROR(__xludf.DUMMYFUNCTION("""COMPUTED_VALUE"""),1297.3059)</f>
        <v>1297.3059</v>
      </c>
    </row>
    <row r="2628">
      <c r="A2628" s="434">
        <f>IFERROR(__xludf.DUMMYFUNCTION("""COMPUTED_VALUE"""),45265.99861111111)</f>
        <v>45265.99861</v>
      </c>
      <c r="B2628" s="433">
        <f>IFERROR(__xludf.DUMMYFUNCTION("""COMPUTED_VALUE"""),44082.62)</f>
        <v>44082.62</v>
      </c>
      <c r="C2628" s="434">
        <f>IFERROR(__xludf.DUMMYFUNCTION("""COMPUTED_VALUE"""),44850.99861111111)</f>
        <v>44850.99861</v>
      </c>
      <c r="D2628" s="433">
        <f>IFERROR(__xludf.DUMMYFUNCTION("""COMPUTED_VALUE"""),1275.0055)</f>
        <v>1275.0055</v>
      </c>
    </row>
    <row r="2629">
      <c r="A2629" s="434">
        <f>IFERROR(__xludf.DUMMYFUNCTION("""COMPUTED_VALUE"""),45266.99861111111)</f>
        <v>45266.99861</v>
      </c>
      <c r="B2629" s="433">
        <f>IFERROR(__xludf.DUMMYFUNCTION("""COMPUTED_VALUE"""),43774.54)</f>
        <v>43774.54</v>
      </c>
      <c r="C2629" s="434">
        <f>IFERROR(__xludf.DUMMYFUNCTION("""COMPUTED_VALUE"""),44851.99861111111)</f>
        <v>44851.99861</v>
      </c>
      <c r="D2629" s="433">
        <f>IFERROR(__xludf.DUMMYFUNCTION("""COMPUTED_VALUE"""),1306.3096)</f>
        <v>1306.3096</v>
      </c>
    </row>
    <row r="2630">
      <c r="A2630" s="434">
        <f>IFERROR(__xludf.DUMMYFUNCTION("""COMPUTED_VALUE"""),45267.99861111111)</f>
        <v>45267.99861</v>
      </c>
      <c r="B2630" s="433">
        <f>IFERROR(__xludf.DUMMYFUNCTION("""COMPUTED_VALUE"""),43296.1)</f>
        <v>43296.1</v>
      </c>
      <c r="C2630" s="434">
        <f>IFERROR(__xludf.DUMMYFUNCTION("""COMPUTED_VALUE"""),44852.99861111111)</f>
        <v>44852.99861</v>
      </c>
      <c r="D2630" s="433">
        <f>IFERROR(__xludf.DUMMYFUNCTION("""COMPUTED_VALUE"""),1331.6699)</f>
        <v>1331.6699</v>
      </c>
    </row>
    <row r="2631">
      <c r="A2631" s="434">
        <f>IFERROR(__xludf.DUMMYFUNCTION("""COMPUTED_VALUE"""),45268.99861111111)</f>
        <v>45268.99861</v>
      </c>
      <c r="B2631" s="433">
        <f>IFERROR(__xludf.DUMMYFUNCTION("""COMPUTED_VALUE"""),44193.9)</f>
        <v>44193.9</v>
      </c>
      <c r="C2631" s="434">
        <f>IFERROR(__xludf.DUMMYFUNCTION("""COMPUTED_VALUE"""),44853.99861111111)</f>
        <v>44853.99861</v>
      </c>
      <c r="D2631" s="433">
        <f>IFERROR(__xludf.DUMMYFUNCTION("""COMPUTED_VALUE"""),1310.5631)</f>
        <v>1310.5631</v>
      </c>
    </row>
    <row r="2632">
      <c r="A2632" s="434">
        <f>IFERROR(__xludf.DUMMYFUNCTION("""COMPUTED_VALUE"""),45269.99861111111)</f>
        <v>45269.99861</v>
      </c>
      <c r="B2632" s="433">
        <f>IFERROR(__xludf.DUMMYFUNCTION("""COMPUTED_VALUE"""),43736.8)</f>
        <v>43736.8</v>
      </c>
      <c r="C2632" s="434">
        <f>IFERROR(__xludf.DUMMYFUNCTION("""COMPUTED_VALUE"""),44854.99861111111)</f>
        <v>44854.99861</v>
      </c>
      <c r="D2632" s="433">
        <f>IFERROR(__xludf.DUMMYFUNCTION("""COMPUTED_VALUE"""),1285.6603)</f>
        <v>1285.6603</v>
      </c>
    </row>
    <row r="2633">
      <c r="A2633" s="434">
        <f>IFERROR(__xludf.DUMMYFUNCTION("""COMPUTED_VALUE"""),45270.99861111111)</f>
        <v>45270.99861</v>
      </c>
      <c r="B2633" s="433">
        <f>IFERROR(__xludf.DUMMYFUNCTION("""COMPUTED_VALUE"""),43790.26)</f>
        <v>43790.26</v>
      </c>
      <c r="C2633" s="434">
        <f>IFERROR(__xludf.DUMMYFUNCTION("""COMPUTED_VALUE"""),44855.99861111111)</f>
        <v>44855.99861</v>
      </c>
      <c r="D2633" s="433">
        <f>IFERROR(__xludf.DUMMYFUNCTION("""COMPUTED_VALUE"""),1283.1881)</f>
        <v>1283.1881</v>
      </c>
    </row>
    <row r="2634">
      <c r="A2634" s="434">
        <f>IFERROR(__xludf.DUMMYFUNCTION("""COMPUTED_VALUE"""),45271.99861111111)</f>
        <v>45271.99861</v>
      </c>
      <c r="B2634" s="433">
        <f>IFERROR(__xludf.DUMMYFUNCTION("""COMPUTED_VALUE"""),41237.43)</f>
        <v>41237.43</v>
      </c>
      <c r="C2634" s="434">
        <f>IFERROR(__xludf.DUMMYFUNCTION("""COMPUTED_VALUE"""),44856.99861111111)</f>
        <v>44856.99861</v>
      </c>
      <c r="D2634" s="433">
        <f>IFERROR(__xludf.DUMMYFUNCTION("""COMPUTED_VALUE"""),1299.9023)</f>
        <v>1299.9023</v>
      </c>
    </row>
    <row r="2635">
      <c r="A2635" s="434">
        <f>IFERROR(__xludf.DUMMYFUNCTION("""COMPUTED_VALUE"""),45272.99861111111)</f>
        <v>45272.99861</v>
      </c>
      <c r="B2635" s="433">
        <f>IFERROR(__xludf.DUMMYFUNCTION("""COMPUTED_VALUE"""),41473.28)</f>
        <v>41473.28</v>
      </c>
      <c r="C2635" s="434">
        <f>IFERROR(__xludf.DUMMYFUNCTION("""COMPUTED_VALUE"""),44857.99861111111)</f>
        <v>44857.99861</v>
      </c>
      <c r="D2635" s="433">
        <f>IFERROR(__xludf.DUMMYFUNCTION("""COMPUTED_VALUE"""),1314.2495)</f>
        <v>1314.2495</v>
      </c>
    </row>
    <row r="2636">
      <c r="A2636" s="434">
        <f>IFERROR(__xludf.DUMMYFUNCTION("""COMPUTED_VALUE"""),45273.99861111111)</f>
        <v>45273.99861</v>
      </c>
      <c r="B2636" s="433">
        <f>IFERROR(__xludf.DUMMYFUNCTION("""COMPUTED_VALUE"""),42890.93)</f>
        <v>42890.93</v>
      </c>
      <c r="C2636" s="434">
        <f>IFERROR(__xludf.DUMMYFUNCTION("""COMPUTED_VALUE"""),44858.99861111111)</f>
        <v>44858.99861</v>
      </c>
      <c r="D2636" s="433">
        <f>IFERROR(__xludf.DUMMYFUNCTION("""COMPUTED_VALUE"""),1363.4918)</f>
        <v>1363.4918</v>
      </c>
    </row>
    <row r="2637">
      <c r="A2637" s="434">
        <f>IFERROR(__xludf.DUMMYFUNCTION("""COMPUTED_VALUE"""),45274.99861111111)</f>
        <v>45274.99861</v>
      </c>
      <c r="B2637" s="433">
        <f>IFERROR(__xludf.DUMMYFUNCTION("""COMPUTED_VALUE"""),43029.62)</f>
        <v>43029.62</v>
      </c>
      <c r="C2637" s="434">
        <f>IFERROR(__xludf.DUMMYFUNCTION("""COMPUTED_VALUE"""),44859.99861111111)</f>
        <v>44859.99861</v>
      </c>
      <c r="D2637" s="433">
        <f>IFERROR(__xludf.DUMMYFUNCTION("""COMPUTED_VALUE"""),1344.7113)</f>
        <v>1344.7113</v>
      </c>
    </row>
    <row r="2638">
      <c r="A2638" s="434">
        <f>IFERROR(__xludf.DUMMYFUNCTION("""COMPUTED_VALUE"""),45275.99861111111)</f>
        <v>45275.99861</v>
      </c>
      <c r="B2638" s="433">
        <f>IFERROR(__xludf.DUMMYFUNCTION("""COMPUTED_VALUE"""),41945.55)</f>
        <v>41945.55</v>
      </c>
      <c r="C2638" s="434">
        <f>IFERROR(__xludf.DUMMYFUNCTION("""COMPUTED_VALUE"""),44860.99861111111)</f>
        <v>44860.99861</v>
      </c>
      <c r="D2638" s="433">
        <f>IFERROR(__xludf.DUMMYFUNCTION("""COMPUTED_VALUE"""),1461.1332)</f>
        <v>1461.1332</v>
      </c>
    </row>
    <row r="2639">
      <c r="A2639" s="434">
        <f>IFERROR(__xludf.DUMMYFUNCTION("""COMPUTED_VALUE"""),45276.99861111111)</f>
        <v>45276.99861</v>
      </c>
      <c r="B2639" s="433">
        <f>IFERROR(__xludf.DUMMYFUNCTION("""COMPUTED_VALUE"""),42262.62)</f>
        <v>42262.62</v>
      </c>
      <c r="C2639" s="434">
        <f>IFERROR(__xludf.DUMMYFUNCTION("""COMPUTED_VALUE"""),44861.99861111111)</f>
        <v>44861.99861</v>
      </c>
      <c r="D2639" s="433">
        <f>IFERROR(__xludf.DUMMYFUNCTION("""COMPUTED_VALUE"""),1566.8414)</f>
        <v>1566.8414</v>
      </c>
    </row>
    <row r="2640">
      <c r="A2640" s="434">
        <f>IFERROR(__xludf.DUMMYFUNCTION("""COMPUTED_VALUE"""),45277.99861111111)</f>
        <v>45277.99861</v>
      </c>
      <c r="B2640" s="433">
        <f>IFERROR(__xludf.DUMMYFUNCTION("""COMPUTED_VALUE"""),41360.83)</f>
        <v>41360.83</v>
      </c>
      <c r="C2640" s="434">
        <f>IFERROR(__xludf.DUMMYFUNCTION("""COMPUTED_VALUE"""),44862.99861111111)</f>
        <v>44862.99861</v>
      </c>
      <c r="D2640" s="433">
        <f>IFERROR(__xludf.DUMMYFUNCTION("""COMPUTED_VALUE"""),1514.3232)</f>
        <v>1514.3232</v>
      </c>
    </row>
    <row r="2641">
      <c r="A2641" s="434">
        <f>IFERROR(__xludf.DUMMYFUNCTION("""COMPUTED_VALUE"""),45278.99861111111)</f>
        <v>45278.99861</v>
      </c>
      <c r="B2641" s="433">
        <f>IFERROR(__xludf.DUMMYFUNCTION("""COMPUTED_VALUE"""),42651.91)</f>
        <v>42651.91</v>
      </c>
      <c r="C2641" s="434">
        <f>IFERROR(__xludf.DUMMYFUNCTION("""COMPUTED_VALUE"""),44863.99861111111)</f>
        <v>44863.99861</v>
      </c>
      <c r="D2641" s="433">
        <f>IFERROR(__xludf.DUMMYFUNCTION("""COMPUTED_VALUE"""),1555.2747)</f>
        <v>1555.2747</v>
      </c>
    </row>
    <row r="2642">
      <c r="A2642" s="434">
        <f>IFERROR(__xludf.DUMMYFUNCTION("""COMPUTED_VALUE"""),45279.99861111111)</f>
        <v>45279.99861</v>
      </c>
      <c r="B2642" s="433">
        <f>IFERROR(__xludf.DUMMYFUNCTION("""COMPUTED_VALUE"""),42271.05)</f>
        <v>42271.05</v>
      </c>
      <c r="C2642" s="434">
        <f>IFERROR(__xludf.DUMMYFUNCTION("""COMPUTED_VALUE"""),44864.99861111111)</f>
        <v>44864.99861</v>
      </c>
      <c r="D2642" s="433">
        <f>IFERROR(__xludf.DUMMYFUNCTION("""COMPUTED_VALUE"""),1619.6979)</f>
        <v>1619.6979</v>
      </c>
    </row>
    <row r="2643">
      <c r="A2643" s="434">
        <f>IFERROR(__xludf.DUMMYFUNCTION("""COMPUTED_VALUE"""),45280.99861111111)</f>
        <v>45280.99861</v>
      </c>
      <c r="B2643" s="433">
        <f>IFERROR(__xludf.DUMMYFUNCTION("""COMPUTED_VALUE"""),43661.13)</f>
        <v>43661.13</v>
      </c>
      <c r="C2643" s="434">
        <f>IFERROR(__xludf.DUMMYFUNCTION("""COMPUTED_VALUE"""),44865.99861111111)</f>
        <v>44865.99861</v>
      </c>
      <c r="D2643" s="433">
        <f>IFERROR(__xludf.DUMMYFUNCTION("""COMPUTED_VALUE"""),1590.4813)</f>
        <v>1590.4813</v>
      </c>
    </row>
    <row r="2644">
      <c r="A2644" s="434">
        <f>IFERROR(__xludf.DUMMYFUNCTION("""COMPUTED_VALUE"""),45281.99861111111)</f>
        <v>45281.99861</v>
      </c>
      <c r="B2644" s="433">
        <f>IFERROR(__xludf.DUMMYFUNCTION("""COMPUTED_VALUE"""),43879.57)</f>
        <v>43879.57</v>
      </c>
      <c r="C2644" s="434">
        <f>IFERROR(__xludf.DUMMYFUNCTION("""COMPUTED_VALUE"""),44866.99861111111)</f>
        <v>44866.99861</v>
      </c>
      <c r="D2644" s="433">
        <f>IFERROR(__xludf.DUMMYFUNCTION("""COMPUTED_VALUE"""),1572.6454)</f>
        <v>1572.6454</v>
      </c>
    </row>
    <row r="2645">
      <c r="A2645" s="434">
        <f>IFERROR(__xludf.DUMMYFUNCTION("""COMPUTED_VALUE"""),45282.99861111111)</f>
        <v>45282.99861</v>
      </c>
      <c r="B2645" s="433">
        <f>IFERROR(__xludf.DUMMYFUNCTION("""COMPUTED_VALUE"""),44016.18)</f>
        <v>44016.18</v>
      </c>
      <c r="C2645" s="434">
        <f>IFERROR(__xludf.DUMMYFUNCTION("""COMPUTED_VALUE"""),44867.99861111111)</f>
        <v>44867.99861</v>
      </c>
      <c r="D2645" s="433">
        <f>IFERROR(__xludf.DUMMYFUNCTION("""COMPUTED_VALUE"""),1579.4979)</f>
        <v>1579.4979</v>
      </c>
    </row>
    <row r="2646">
      <c r="A2646" s="434">
        <f>IFERROR(__xludf.DUMMYFUNCTION("""COMPUTED_VALUE"""),45283.99861111111)</f>
        <v>45283.99861</v>
      </c>
      <c r="B2646" s="433">
        <f>IFERROR(__xludf.DUMMYFUNCTION("""COMPUTED_VALUE"""),43768.45)</f>
        <v>43768.45</v>
      </c>
      <c r="C2646" s="434">
        <f>IFERROR(__xludf.DUMMYFUNCTION("""COMPUTED_VALUE"""),44868.99861111111)</f>
        <v>44868.99861</v>
      </c>
      <c r="D2646" s="433">
        <f>IFERROR(__xludf.DUMMYFUNCTION("""COMPUTED_VALUE"""),1519.7248)</f>
        <v>1519.7248</v>
      </c>
    </row>
    <row r="2647">
      <c r="A2647" s="434">
        <f>IFERROR(__xludf.DUMMYFUNCTION("""COMPUTED_VALUE"""),45284.99861111111)</f>
        <v>45284.99861</v>
      </c>
      <c r="B2647" s="433">
        <f>IFERROR(__xludf.DUMMYFUNCTION("""COMPUTED_VALUE"""),43042.68)</f>
        <v>43042.68</v>
      </c>
      <c r="C2647" s="434">
        <f>IFERROR(__xludf.DUMMYFUNCTION("""COMPUTED_VALUE"""),44869.99861111111)</f>
        <v>44869.99861</v>
      </c>
      <c r="D2647" s="433">
        <f>IFERROR(__xludf.DUMMYFUNCTION("""COMPUTED_VALUE"""),1531.3975)</f>
        <v>1531.3975</v>
      </c>
    </row>
    <row r="2648">
      <c r="A2648" s="434">
        <f>IFERROR(__xludf.DUMMYFUNCTION("""COMPUTED_VALUE"""),45285.99861111111)</f>
        <v>45285.99861</v>
      </c>
      <c r="B2648" s="433">
        <f>IFERROR(__xludf.DUMMYFUNCTION("""COMPUTED_VALUE"""),43608.0)</f>
        <v>43608</v>
      </c>
      <c r="C2648" s="434">
        <f>IFERROR(__xludf.DUMMYFUNCTION("""COMPUTED_VALUE"""),44870.99861111111)</f>
        <v>44870.99861</v>
      </c>
      <c r="D2648" s="433">
        <f>IFERROR(__xludf.DUMMYFUNCTION("""COMPUTED_VALUE"""),1645.1566)</f>
        <v>1645.1566</v>
      </c>
    </row>
    <row r="2649">
      <c r="A2649" s="434">
        <f>IFERROR(__xludf.DUMMYFUNCTION("""COMPUTED_VALUE"""),45286.99861111111)</f>
        <v>45286.99861</v>
      </c>
      <c r="B2649" s="433">
        <f>IFERROR(__xludf.DUMMYFUNCTION("""COMPUTED_VALUE"""),42524.73)</f>
        <v>42524.73</v>
      </c>
      <c r="C2649" s="434">
        <f>IFERROR(__xludf.DUMMYFUNCTION("""COMPUTED_VALUE"""),44871.99861111111)</f>
        <v>44871.99861</v>
      </c>
      <c r="D2649" s="433">
        <f>IFERROR(__xludf.DUMMYFUNCTION("""COMPUTED_VALUE"""),1627.9011)</f>
        <v>1627.9011</v>
      </c>
    </row>
    <row r="2650">
      <c r="A2650" s="434">
        <f>IFERROR(__xludf.DUMMYFUNCTION("""COMPUTED_VALUE"""),45287.99861111111)</f>
        <v>45287.99861</v>
      </c>
      <c r="B2650" s="433">
        <f>IFERROR(__xludf.DUMMYFUNCTION("""COMPUTED_VALUE"""),43469.43)</f>
        <v>43469.43</v>
      </c>
      <c r="C2650" s="434">
        <f>IFERROR(__xludf.DUMMYFUNCTION("""COMPUTED_VALUE"""),44872.99861111111)</f>
        <v>44872.99861</v>
      </c>
      <c r="D2650" s="433">
        <f>IFERROR(__xludf.DUMMYFUNCTION("""COMPUTED_VALUE"""),1572.017)</f>
        <v>1572.017</v>
      </c>
    </row>
    <row r="2651">
      <c r="A2651" s="434">
        <f>IFERROR(__xludf.DUMMYFUNCTION("""COMPUTED_VALUE"""),45288.99861111111)</f>
        <v>45288.99861</v>
      </c>
      <c r="B2651" s="433">
        <f>IFERROR(__xludf.DUMMYFUNCTION("""COMPUTED_VALUE"""),42596.08)</f>
        <v>42596.08</v>
      </c>
      <c r="C2651" s="434">
        <f>IFERROR(__xludf.DUMMYFUNCTION("""COMPUTED_VALUE"""),44873.99861111111)</f>
        <v>44873.99861</v>
      </c>
      <c r="D2651" s="433">
        <f>IFERROR(__xludf.DUMMYFUNCTION("""COMPUTED_VALUE"""),1568.3296)</f>
        <v>1568.3296</v>
      </c>
    </row>
    <row r="2652">
      <c r="A2652" s="434">
        <f>IFERROR(__xludf.DUMMYFUNCTION("""COMPUTED_VALUE"""),45289.99861111111)</f>
        <v>45289.99861</v>
      </c>
      <c r="B2652" s="433">
        <f>IFERROR(__xludf.DUMMYFUNCTION("""COMPUTED_VALUE"""),42088.24)</f>
        <v>42088.24</v>
      </c>
      <c r="C2652" s="434">
        <f>IFERROR(__xludf.DUMMYFUNCTION("""COMPUTED_VALUE"""),44874.99861111111)</f>
        <v>44874.99861</v>
      </c>
      <c r="D2652" s="433">
        <f>IFERROR(__xludf.DUMMYFUNCTION("""COMPUTED_VALUE"""),1333.1225)</f>
        <v>1333.1225</v>
      </c>
    </row>
    <row r="2653">
      <c r="A2653" s="434">
        <f>IFERROR(__xludf.DUMMYFUNCTION("""COMPUTED_VALUE"""),45290.99861111111)</f>
        <v>45290.99861</v>
      </c>
      <c r="B2653" s="433">
        <f>IFERROR(__xludf.DUMMYFUNCTION("""COMPUTED_VALUE"""),42141.19)</f>
        <v>42141.19</v>
      </c>
      <c r="C2653" s="434">
        <f>IFERROR(__xludf.DUMMYFUNCTION("""COMPUTED_VALUE"""),44875.99861111111)</f>
        <v>44875.99861</v>
      </c>
      <c r="D2653" s="433">
        <f>IFERROR(__xludf.DUMMYFUNCTION("""COMPUTED_VALUE"""),1100.1072)</f>
        <v>1100.1072</v>
      </c>
    </row>
    <row r="2654">
      <c r="A2654" s="434">
        <f>IFERROR(__xludf.DUMMYFUNCTION("""COMPUTED_VALUE"""),45291.99861111111)</f>
        <v>45291.99861</v>
      </c>
      <c r="B2654" s="433">
        <f>IFERROR(__xludf.DUMMYFUNCTION("""COMPUTED_VALUE"""),42291.37)</f>
        <v>42291.37</v>
      </c>
      <c r="C2654" s="434">
        <f>IFERROR(__xludf.DUMMYFUNCTION("""COMPUTED_VALUE"""),44876.99861111111)</f>
        <v>44876.99861</v>
      </c>
      <c r="D2654" s="433">
        <f>IFERROR(__xludf.DUMMYFUNCTION("""COMPUTED_VALUE"""),1298.8824)</f>
        <v>1298.8824</v>
      </c>
    </row>
    <row r="2655">
      <c r="A2655" s="434">
        <f>IFERROR(__xludf.DUMMYFUNCTION("""COMPUTED_VALUE"""),45292.99861111111)</f>
        <v>45292.99861</v>
      </c>
      <c r="B2655" s="433">
        <f>IFERROR(__xludf.DUMMYFUNCTION("""COMPUTED_VALUE"""),44204.37)</f>
        <v>44204.37</v>
      </c>
      <c r="C2655" s="434">
        <f>IFERROR(__xludf.DUMMYFUNCTION("""COMPUTED_VALUE"""),44877.99861111111)</f>
        <v>44877.99861</v>
      </c>
      <c r="D2655" s="433">
        <f>IFERROR(__xludf.DUMMYFUNCTION("""COMPUTED_VALUE"""),1287.4384)</f>
        <v>1287.4384</v>
      </c>
    </row>
    <row r="2656">
      <c r="A2656" s="434">
        <f>IFERROR(__xludf.DUMMYFUNCTION("""COMPUTED_VALUE"""),45293.99861111111)</f>
        <v>45293.99861</v>
      </c>
      <c r="B2656" s="433">
        <f>IFERROR(__xludf.DUMMYFUNCTION("""COMPUTED_VALUE"""),44971.76)</f>
        <v>44971.76</v>
      </c>
      <c r="C2656" s="434">
        <f>IFERROR(__xludf.DUMMYFUNCTION("""COMPUTED_VALUE"""),44878.99861111111)</f>
        <v>44878.99861</v>
      </c>
      <c r="D2656" s="433">
        <f>IFERROR(__xludf.DUMMYFUNCTION("""COMPUTED_VALUE"""),1255.4412)</f>
        <v>1255.4412</v>
      </c>
    </row>
    <row r="2657">
      <c r="A2657" s="434">
        <f>IFERROR(__xludf.DUMMYFUNCTION("""COMPUTED_VALUE"""),45294.99861111111)</f>
        <v>45294.99861</v>
      </c>
      <c r="B2657" s="433">
        <f>IFERROR(__xludf.DUMMYFUNCTION("""COMPUTED_VALUE"""),42864.52)</f>
        <v>42864.52</v>
      </c>
      <c r="C2657" s="434">
        <f>IFERROR(__xludf.DUMMYFUNCTION("""COMPUTED_VALUE"""),44879.99861111111)</f>
        <v>44879.99861</v>
      </c>
      <c r="D2657" s="433">
        <f>IFERROR(__xludf.DUMMYFUNCTION("""COMPUTED_VALUE"""),1221.8955)</f>
        <v>1221.8955</v>
      </c>
    </row>
    <row r="2658">
      <c r="A2658" s="434">
        <f>IFERROR(__xludf.DUMMYFUNCTION("""COMPUTED_VALUE"""),45295.99861111111)</f>
        <v>45295.99861</v>
      </c>
      <c r="B2658" s="433">
        <f>IFERROR(__xludf.DUMMYFUNCTION("""COMPUTED_VALUE"""),44202.17)</f>
        <v>44202.17</v>
      </c>
      <c r="C2658" s="434">
        <f>IFERROR(__xludf.DUMMYFUNCTION("""COMPUTED_VALUE"""),44880.99861111111)</f>
        <v>44880.99861</v>
      </c>
      <c r="D2658" s="433">
        <f>IFERROR(__xludf.DUMMYFUNCTION("""COMPUTED_VALUE"""),1241.6777)</f>
        <v>1241.6777</v>
      </c>
    </row>
    <row r="2659">
      <c r="A2659" s="434">
        <f>IFERROR(__xludf.DUMMYFUNCTION("""COMPUTED_VALUE"""),45296.99861111111)</f>
        <v>45296.99861</v>
      </c>
      <c r="B2659" s="433">
        <f>IFERROR(__xludf.DUMMYFUNCTION("""COMPUTED_VALUE"""),44185.63)</f>
        <v>44185.63</v>
      </c>
      <c r="C2659" s="434">
        <f>IFERROR(__xludf.DUMMYFUNCTION("""COMPUTED_VALUE"""),44881.99861111111)</f>
        <v>44881.99861</v>
      </c>
      <c r="D2659" s="433">
        <f>IFERROR(__xludf.DUMMYFUNCTION("""COMPUTED_VALUE"""),1251.8088)</f>
        <v>1251.8088</v>
      </c>
    </row>
    <row r="2660">
      <c r="A2660" s="434">
        <f>IFERROR(__xludf.DUMMYFUNCTION("""COMPUTED_VALUE"""),45297.99861111111)</f>
        <v>45297.99861</v>
      </c>
      <c r="B2660" s="433">
        <f>IFERROR(__xludf.DUMMYFUNCTION("""COMPUTED_VALUE"""),44003.69)</f>
        <v>44003.69</v>
      </c>
      <c r="C2660" s="434">
        <f>IFERROR(__xludf.DUMMYFUNCTION("""COMPUTED_VALUE"""),44882.99861111111)</f>
        <v>44882.99861</v>
      </c>
      <c r="D2660" s="433">
        <f>IFERROR(__xludf.DUMMYFUNCTION("""COMPUTED_VALUE"""),1215.8487)</f>
        <v>1215.8487</v>
      </c>
    </row>
    <row r="2661">
      <c r="A2661" s="434">
        <f>IFERROR(__xludf.DUMMYFUNCTION("""COMPUTED_VALUE"""),45298.99861111111)</f>
        <v>45298.99861</v>
      </c>
      <c r="B2661" s="433">
        <f>IFERROR(__xludf.DUMMYFUNCTION("""COMPUTED_VALUE"""),43940.36)</f>
        <v>43940.36</v>
      </c>
      <c r="C2661" s="434">
        <f>IFERROR(__xludf.DUMMYFUNCTION("""COMPUTED_VALUE"""),44883.99861111111)</f>
        <v>44883.99861</v>
      </c>
      <c r="D2661" s="433">
        <f>IFERROR(__xludf.DUMMYFUNCTION("""COMPUTED_VALUE"""),1200.8022)</f>
        <v>1200.8022</v>
      </c>
    </row>
    <row r="2662">
      <c r="A2662" s="434">
        <f>IFERROR(__xludf.DUMMYFUNCTION("""COMPUTED_VALUE"""),45299.99861111111)</f>
        <v>45299.99861</v>
      </c>
      <c r="B2662" s="433">
        <f>IFERROR(__xludf.DUMMYFUNCTION("""COMPUTED_VALUE"""),46986.92)</f>
        <v>46986.92</v>
      </c>
      <c r="C2662" s="434">
        <f>IFERROR(__xludf.DUMMYFUNCTION("""COMPUTED_VALUE"""),44884.99861111111)</f>
        <v>44884.99861</v>
      </c>
      <c r="D2662" s="433">
        <f>IFERROR(__xludf.DUMMYFUNCTION("""COMPUTED_VALUE"""),1212.2155)</f>
        <v>1212.2155</v>
      </c>
    </row>
    <row r="2663">
      <c r="A2663" s="434">
        <f>IFERROR(__xludf.DUMMYFUNCTION("""COMPUTED_VALUE"""),45300.99861111111)</f>
        <v>45300.99861</v>
      </c>
      <c r="B2663" s="433">
        <f>IFERROR(__xludf.DUMMYFUNCTION("""COMPUTED_VALUE"""),46129.09)</f>
        <v>46129.09</v>
      </c>
      <c r="C2663" s="434">
        <f>IFERROR(__xludf.DUMMYFUNCTION("""COMPUTED_VALUE"""),44885.99861111111)</f>
        <v>44885.99861</v>
      </c>
      <c r="D2663" s="433">
        <f>IFERROR(__xludf.DUMMYFUNCTION("""COMPUTED_VALUE"""),1218.4362)</f>
        <v>1218.4362</v>
      </c>
    </row>
    <row r="2664">
      <c r="A2664" s="434">
        <f>IFERROR(__xludf.DUMMYFUNCTION("""COMPUTED_VALUE"""),45301.99861111111)</f>
        <v>45301.99861</v>
      </c>
      <c r="B2664" s="433">
        <f>IFERROR(__xludf.DUMMYFUNCTION("""COMPUTED_VALUE"""),46662.4)</f>
        <v>46662.4</v>
      </c>
      <c r="C2664" s="434">
        <f>IFERROR(__xludf.DUMMYFUNCTION("""COMPUTED_VALUE"""),44886.99861111111)</f>
        <v>44886.99861</v>
      </c>
      <c r="D2664" s="433">
        <f>IFERROR(__xludf.DUMMYFUNCTION("""COMPUTED_VALUE"""),1142.3958)</f>
        <v>1142.3958</v>
      </c>
    </row>
    <row r="2665">
      <c r="A2665" s="434">
        <f>IFERROR(__xludf.DUMMYFUNCTION("""COMPUTED_VALUE"""),45302.99861111111)</f>
        <v>45302.99861</v>
      </c>
      <c r="B2665" s="433">
        <f>IFERROR(__xludf.DUMMYFUNCTION("""COMPUTED_VALUE"""),46348.52)</f>
        <v>46348.52</v>
      </c>
      <c r="C2665" s="434">
        <f>IFERROR(__xludf.DUMMYFUNCTION("""COMPUTED_VALUE"""),44887.99861111111)</f>
        <v>44887.99861</v>
      </c>
      <c r="D2665" s="433">
        <f>IFERROR(__xludf.DUMMYFUNCTION("""COMPUTED_VALUE"""),1142.3958)</f>
        <v>1142.3958</v>
      </c>
    </row>
    <row r="2666">
      <c r="A2666" s="434">
        <f>IFERROR(__xludf.DUMMYFUNCTION("""COMPUTED_VALUE"""),45303.99861111111)</f>
        <v>45303.99861</v>
      </c>
      <c r="B2666" s="433">
        <f>IFERROR(__xludf.DUMMYFUNCTION("""COMPUTED_VALUE"""),42802.15)</f>
        <v>42802.15</v>
      </c>
      <c r="C2666" s="434">
        <f>IFERROR(__xludf.DUMMYFUNCTION("""COMPUTED_VALUE"""),44888.99861111111)</f>
        <v>44888.99861</v>
      </c>
      <c r="D2666" s="433">
        <f>IFERROR(__xludf.DUMMYFUNCTION("""COMPUTED_VALUE"""),1135.4215)</f>
        <v>1135.4215</v>
      </c>
    </row>
    <row r="2667">
      <c r="A2667" s="434">
        <f>IFERROR(__xludf.DUMMYFUNCTION("""COMPUTED_VALUE"""),45304.99861111111)</f>
        <v>45304.99861</v>
      </c>
      <c r="B2667" s="433">
        <f>IFERROR(__xludf.DUMMYFUNCTION("""COMPUTED_VALUE"""),42848.36)</f>
        <v>42848.36</v>
      </c>
      <c r="C2667" s="434">
        <f>IFERROR(__xludf.DUMMYFUNCTION("""COMPUTED_VALUE"""),44889.99861111111)</f>
        <v>44889.99861</v>
      </c>
      <c r="D2667" s="433">
        <f>IFERROR(__xludf.DUMMYFUNCTION("""COMPUTED_VALUE"""),1183.3451)</f>
        <v>1183.3451</v>
      </c>
    </row>
    <row r="2668">
      <c r="A2668" s="434">
        <f>IFERROR(__xludf.DUMMYFUNCTION("""COMPUTED_VALUE"""),45305.99861111111)</f>
        <v>45305.99861</v>
      </c>
      <c r="B2668" s="433">
        <f>IFERROR(__xludf.DUMMYFUNCTION("""COMPUTED_VALUE"""),41920.39)</f>
        <v>41920.39</v>
      </c>
      <c r="C2668" s="434">
        <f>IFERROR(__xludf.DUMMYFUNCTION("""COMPUTED_VALUE"""),44890.99861111111)</f>
        <v>44890.99861</v>
      </c>
      <c r="D2668" s="433">
        <f>IFERROR(__xludf.DUMMYFUNCTION("""COMPUTED_VALUE"""),1203.7994)</f>
        <v>1203.7994</v>
      </c>
    </row>
    <row r="2669">
      <c r="A2669" s="434">
        <f>IFERROR(__xludf.DUMMYFUNCTION("""COMPUTED_VALUE"""),45306.99861111111)</f>
        <v>45306.99861</v>
      </c>
      <c r="B2669" s="433">
        <f>IFERROR(__xludf.DUMMYFUNCTION("""COMPUTED_VALUE"""),42507.4)</f>
        <v>42507.4</v>
      </c>
      <c r="C2669" s="434">
        <f>IFERROR(__xludf.DUMMYFUNCTION("""COMPUTED_VALUE"""),44891.99861111111)</f>
        <v>44891.99861</v>
      </c>
      <c r="D2669" s="433">
        <f>IFERROR(__xludf.DUMMYFUNCTION("""COMPUTED_VALUE"""),1198.7905)</f>
        <v>1198.7905</v>
      </c>
    </row>
    <row r="2670">
      <c r="A2670" s="434">
        <f>IFERROR(__xludf.DUMMYFUNCTION("""COMPUTED_VALUE"""),45307.99861111111)</f>
        <v>45307.99861</v>
      </c>
      <c r="B2670" s="433">
        <f>IFERROR(__xludf.DUMMYFUNCTION("""COMPUTED_VALUE"""),43151.11)</f>
        <v>43151.11</v>
      </c>
      <c r="C2670" s="434">
        <f>IFERROR(__xludf.DUMMYFUNCTION("""COMPUTED_VALUE"""),44892.99861111111)</f>
        <v>44892.99861</v>
      </c>
      <c r="D2670" s="433">
        <f>IFERROR(__xludf.DUMMYFUNCTION("""COMPUTED_VALUE"""),1205.9053)</f>
        <v>1205.9053</v>
      </c>
    </row>
    <row r="2671">
      <c r="A2671" s="434">
        <f>IFERROR(__xludf.DUMMYFUNCTION("""COMPUTED_VALUE"""),45308.99861111111)</f>
        <v>45308.99861</v>
      </c>
      <c r="B2671" s="433">
        <f>IFERROR(__xludf.DUMMYFUNCTION("""COMPUTED_VALUE"""),42698.78)</f>
        <v>42698.78</v>
      </c>
      <c r="C2671" s="434">
        <f>IFERROR(__xludf.DUMMYFUNCTION("""COMPUTED_VALUE"""),44893.99861111111)</f>
        <v>44893.99861</v>
      </c>
      <c r="D2671" s="433">
        <f>IFERROR(__xludf.DUMMYFUNCTION("""COMPUTED_VALUE"""),1194.9604)</f>
        <v>1194.9604</v>
      </c>
    </row>
    <row r="2672">
      <c r="A2672" s="434">
        <f>IFERROR(__xludf.DUMMYFUNCTION("""COMPUTED_VALUE"""),45309.99861111111)</f>
        <v>45309.99861</v>
      </c>
      <c r="B2672" s="433">
        <f>IFERROR(__xludf.DUMMYFUNCTION("""COMPUTED_VALUE"""),41211.56)</f>
        <v>41211.56</v>
      </c>
      <c r="C2672" s="434">
        <f>IFERROR(__xludf.DUMMYFUNCTION("""COMPUTED_VALUE"""),44894.99861111111)</f>
        <v>44894.99861</v>
      </c>
      <c r="D2672" s="433">
        <f>IFERROR(__xludf.DUMMYFUNCTION("""COMPUTED_VALUE"""),1169.8744)</f>
        <v>1169.8744</v>
      </c>
    </row>
    <row r="2673">
      <c r="A2673" s="434">
        <f>IFERROR(__xludf.DUMMYFUNCTION("""COMPUTED_VALUE"""),45310.99861111111)</f>
        <v>45310.99861</v>
      </c>
      <c r="B2673" s="433">
        <f>IFERROR(__xludf.DUMMYFUNCTION("""COMPUTED_VALUE"""),41615.26)</f>
        <v>41615.26</v>
      </c>
      <c r="C2673" s="434">
        <f>IFERROR(__xludf.DUMMYFUNCTION("""COMPUTED_VALUE"""),44895.99861111111)</f>
        <v>44895.99861</v>
      </c>
      <c r="D2673" s="433">
        <f>IFERROR(__xludf.DUMMYFUNCTION("""COMPUTED_VALUE"""),1216.9287)</f>
        <v>1216.9287</v>
      </c>
    </row>
    <row r="2674">
      <c r="A2674" s="434">
        <f>IFERROR(__xludf.DUMMYFUNCTION("""COMPUTED_VALUE"""),45311.99861111111)</f>
        <v>45311.99861</v>
      </c>
      <c r="B2674" s="433">
        <f>IFERROR(__xludf.DUMMYFUNCTION("""COMPUTED_VALUE"""),41705.26)</f>
        <v>41705.26</v>
      </c>
      <c r="C2674" s="434">
        <f>IFERROR(__xludf.DUMMYFUNCTION("""COMPUTED_VALUE"""),44896.99861111111)</f>
        <v>44896.99861</v>
      </c>
      <c r="D2674" s="433">
        <f>IFERROR(__xludf.DUMMYFUNCTION("""COMPUTED_VALUE"""),1295.7695)</f>
        <v>1295.7695</v>
      </c>
    </row>
    <row r="2675">
      <c r="A2675" s="434">
        <f>IFERROR(__xludf.DUMMYFUNCTION("""COMPUTED_VALUE"""),45312.99861111111)</f>
        <v>45312.99861</v>
      </c>
      <c r="B2675" s="433">
        <f>IFERROR(__xludf.DUMMYFUNCTION("""COMPUTED_VALUE"""),41572.17)</f>
        <v>41572.17</v>
      </c>
      <c r="C2675" s="434">
        <f>IFERROR(__xludf.DUMMYFUNCTION("""COMPUTED_VALUE"""),44897.99861111111)</f>
        <v>44897.99861</v>
      </c>
      <c r="D2675" s="433">
        <f>IFERROR(__xludf.DUMMYFUNCTION("""COMPUTED_VALUE"""),1276.3287)</f>
        <v>1276.3287</v>
      </c>
    </row>
    <row r="2676">
      <c r="A2676" s="434">
        <f>IFERROR(__xludf.DUMMYFUNCTION("""COMPUTED_VALUE"""),45313.99861111111)</f>
        <v>45313.99861</v>
      </c>
      <c r="B2676" s="433">
        <f>IFERROR(__xludf.DUMMYFUNCTION("""COMPUTED_VALUE"""),39606.84)</f>
        <v>39606.84</v>
      </c>
      <c r="C2676" s="434">
        <f>IFERROR(__xludf.DUMMYFUNCTION("""COMPUTED_VALUE"""),44898.99861111111)</f>
        <v>44898.99861</v>
      </c>
      <c r="D2676" s="433">
        <f>IFERROR(__xludf.DUMMYFUNCTION("""COMPUTED_VALUE"""),1294.4565)</f>
        <v>1294.4565</v>
      </c>
    </row>
    <row r="2677">
      <c r="A2677" s="434">
        <f>IFERROR(__xludf.DUMMYFUNCTION("""COMPUTED_VALUE"""),45314.99861111111)</f>
        <v>45314.99861</v>
      </c>
      <c r="B2677" s="433">
        <f>IFERROR(__xludf.DUMMYFUNCTION("""COMPUTED_VALUE"""),39702.88)</f>
        <v>39702.88</v>
      </c>
      <c r="C2677" s="434">
        <f>IFERROR(__xludf.DUMMYFUNCTION("""COMPUTED_VALUE"""),44899.99861111111)</f>
        <v>44899.99861</v>
      </c>
      <c r="D2677" s="433">
        <f>IFERROR(__xludf.DUMMYFUNCTION("""COMPUTED_VALUE"""),1243.2192)</f>
        <v>1243.2192</v>
      </c>
    </row>
    <row r="2678">
      <c r="A2678" s="434">
        <f>IFERROR(__xludf.DUMMYFUNCTION("""COMPUTED_VALUE"""),45315.99861111111)</f>
        <v>45315.99861</v>
      </c>
      <c r="B2678" s="433">
        <f>IFERROR(__xludf.DUMMYFUNCTION("""COMPUTED_VALUE"""),40011.7)</f>
        <v>40011.7</v>
      </c>
      <c r="C2678" s="434">
        <f>IFERROR(__xludf.DUMMYFUNCTION("""COMPUTED_VALUE"""),44900.99861111111)</f>
        <v>44900.99861</v>
      </c>
      <c r="D2678" s="433">
        <f>IFERROR(__xludf.DUMMYFUNCTION("""COMPUTED_VALUE"""),1279.9988)</f>
        <v>1279.9988</v>
      </c>
    </row>
    <row r="2679">
      <c r="A2679" s="434">
        <f>IFERROR(__xludf.DUMMYFUNCTION("""COMPUTED_VALUE"""),45316.99861111111)</f>
        <v>45316.99861</v>
      </c>
      <c r="B2679" s="433">
        <f>IFERROR(__xludf.DUMMYFUNCTION("""COMPUTED_VALUE"""),39900.16)</f>
        <v>39900.16</v>
      </c>
      <c r="C2679" s="434">
        <f>IFERROR(__xludf.DUMMYFUNCTION("""COMPUTED_VALUE"""),44901.99861111111)</f>
        <v>44901.99861</v>
      </c>
      <c r="D2679" s="433">
        <f>IFERROR(__xludf.DUMMYFUNCTION("""COMPUTED_VALUE"""),1259.8542)</f>
        <v>1259.8542</v>
      </c>
    </row>
    <row r="2680">
      <c r="A2680" s="434">
        <f>IFERROR(__xludf.DUMMYFUNCTION("""COMPUTED_VALUE"""),45317.99861111111)</f>
        <v>45317.99861</v>
      </c>
      <c r="B2680" s="433">
        <f>IFERROR(__xludf.DUMMYFUNCTION("""COMPUTED_VALUE"""),41880.45)</f>
        <v>41880.45</v>
      </c>
      <c r="C2680" s="434">
        <f>IFERROR(__xludf.DUMMYFUNCTION("""COMPUTED_VALUE"""),44902.99861111111)</f>
        <v>44902.99861</v>
      </c>
      <c r="D2680" s="433">
        <f>IFERROR(__xludf.DUMMYFUNCTION("""COMPUTED_VALUE"""),1271.5531)</f>
        <v>1271.5531</v>
      </c>
    </row>
    <row r="2681">
      <c r="A2681" s="434">
        <f>IFERROR(__xludf.DUMMYFUNCTION("""COMPUTED_VALUE"""),45318.99861111111)</f>
        <v>45318.99861</v>
      </c>
      <c r="B2681" s="433">
        <f>IFERROR(__xludf.DUMMYFUNCTION("""COMPUTED_VALUE"""),42124.03)</f>
        <v>42124.03</v>
      </c>
      <c r="C2681" s="434">
        <f>IFERROR(__xludf.DUMMYFUNCTION("""COMPUTED_VALUE"""),44903.99861111111)</f>
        <v>44903.99861</v>
      </c>
      <c r="D2681" s="433">
        <f>IFERROR(__xludf.DUMMYFUNCTION("""COMPUTED_VALUE"""),1232.4518)</f>
        <v>1232.4518</v>
      </c>
    </row>
    <row r="2682">
      <c r="A2682" s="434">
        <f>IFERROR(__xludf.DUMMYFUNCTION("""COMPUTED_VALUE"""),45319.99861111111)</f>
        <v>45319.99861</v>
      </c>
      <c r="B2682" s="433">
        <f>IFERROR(__xludf.DUMMYFUNCTION("""COMPUTED_VALUE"""),42032.22)</f>
        <v>42032.22</v>
      </c>
      <c r="C2682" s="434">
        <f>IFERROR(__xludf.DUMMYFUNCTION("""COMPUTED_VALUE"""),44904.99861111111)</f>
        <v>44904.99861</v>
      </c>
      <c r="D2682" s="433">
        <f>IFERROR(__xludf.DUMMYFUNCTION("""COMPUTED_VALUE"""),1281.0773)</f>
        <v>1281.0773</v>
      </c>
    </row>
    <row r="2683">
      <c r="A2683" s="434">
        <f>IFERROR(__xludf.DUMMYFUNCTION("""COMPUTED_VALUE"""),45320.99861111111)</f>
        <v>45320.99861</v>
      </c>
      <c r="B2683" s="433">
        <f>IFERROR(__xludf.DUMMYFUNCTION("""COMPUTED_VALUE"""),43276.2)</f>
        <v>43276.2</v>
      </c>
      <c r="C2683" s="434">
        <f>IFERROR(__xludf.DUMMYFUNCTION("""COMPUTED_VALUE"""),44905.99861111111)</f>
        <v>44905.99861</v>
      </c>
      <c r="D2683" s="433">
        <f>IFERROR(__xludf.DUMMYFUNCTION("""COMPUTED_VALUE"""),1264.3754)</f>
        <v>1264.3754</v>
      </c>
    </row>
    <row r="2684">
      <c r="A2684" s="434">
        <f>IFERROR(__xludf.DUMMYFUNCTION("""COMPUTED_VALUE"""),45321.99861111111)</f>
        <v>45321.99861</v>
      </c>
      <c r="B2684" s="433">
        <f>IFERROR(__xludf.DUMMYFUNCTION("""COMPUTED_VALUE"""),43074.88)</f>
        <v>43074.88</v>
      </c>
      <c r="C2684" s="434">
        <f>IFERROR(__xludf.DUMMYFUNCTION("""COMPUTED_VALUE"""),44906.99861111111)</f>
        <v>44906.99861</v>
      </c>
      <c r="D2684" s="433">
        <f>IFERROR(__xludf.DUMMYFUNCTION("""COMPUTED_VALUE"""),1266.4179)</f>
        <v>1266.4179</v>
      </c>
    </row>
    <row r="2685">
      <c r="A2685" s="434">
        <f>IFERROR(__xludf.DUMMYFUNCTION("""COMPUTED_VALUE"""),45322.99861111111)</f>
        <v>45322.99861</v>
      </c>
      <c r="B2685" s="433">
        <f>IFERROR(__xludf.DUMMYFUNCTION("""COMPUTED_VALUE"""),42582.21)</f>
        <v>42582.21</v>
      </c>
      <c r="C2685" s="434">
        <f>IFERROR(__xludf.DUMMYFUNCTION("""COMPUTED_VALUE"""),44907.99861111111)</f>
        <v>44907.99861</v>
      </c>
      <c r="D2685" s="433">
        <f>IFERROR(__xludf.DUMMYFUNCTION("""COMPUTED_VALUE"""),1263.5734)</f>
        <v>1263.5734</v>
      </c>
    </row>
    <row r="2686">
      <c r="A2686" s="434">
        <f>IFERROR(__xludf.DUMMYFUNCTION("""COMPUTED_VALUE"""),45323.99861111111)</f>
        <v>45323.99861</v>
      </c>
      <c r="B2686" s="433">
        <f>IFERROR(__xludf.DUMMYFUNCTION("""COMPUTED_VALUE"""),43052.94)</f>
        <v>43052.94</v>
      </c>
      <c r="C2686" s="434">
        <f>IFERROR(__xludf.DUMMYFUNCTION("""COMPUTED_VALUE"""),44908.99861111111)</f>
        <v>44908.99861</v>
      </c>
      <c r="D2686" s="433">
        <f>IFERROR(__xludf.DUMMYFUNCTION("""COMPUTED_VALUE"""),1274.6625)</f>
        <v>1274.6625</v>
      </c>
    </row>
    <row r="2687">
      <c r="A2687" s="434">
        <f>IFERROR(__xludf.DUMMYFUNCTION("""COMPUTED_VALUE"""),45324.99861111111)</f>
        <v>45324.99861</v>
      </c>
      <c r="B2687" s="433">
        <f>IFERROR(__xludf.DUMMYFUNCTION("""COMPUTED_VALUE"""),43181.34)</f>
        <v>43181.34</v>
      </c>
      <c r="C2687" s="434">
        <f>IFERROR(__xludf.DUMMYFUNCTION("""COMPUTED_VALUE"""),44909.99861111111)</f>
        <v>44909.99861</v>
      </c>
      <c r="D2687" s="433">
        <f>IFERROR(__xludf.DUMMYFUNCTION("""COMPUTED_VALUE"""),1320.6886)</f>
        <v>1320.6886</v>
      </c>
    </row>
    <row r="2688">
      <c r="A2688" s="434">
        <f>IFERROR(__xludf.DUMMYFUNCTION("""COMPUTED_VALUE"""),45325.99861111111)</f>
        <v>45325.99861</v>
      </c>
      <c r="B2688" s="433">
        <f>IFERROR(__xludf.DUMMYFUNCTION("""COMPUTED_VALUE"""),43004.49)</f>
        <v>43004.49</v>
      </c>
      <c r="C2688" s="434">
        <f>IFERROR(__xludf.DUMMYFUNCTION("""COMPUTED_VALUE"""),44910.99861111111)</f>
        <v>44910.99861</v>
      </c>
      <c r="D2688" s="433">
        <f>IFERROR(__xludf.DUMMYFUNCTION("""COMPUTED_VALUE"""),1309.1909)</f>
        <v>1309.1909</v>
      </c>
    </row>
    <row r="2689">
      <c r="A2689" s="434">
        <f>IFERROR(__xludf.DUMMYFUNCTION("""COMPUTED_VALUE"""),45326.99861111111)</f>
        <v>45326.99861</v>
      </c>
      <c r="B2689" s="433">
        <f>IFERROR(__xludf.DUMMYFUNCTION("""COMPUTED_VALUE"""),42565.23)</f>
        <v>42565.23</v>
      </c>
      <c r="C2689" s="434">
        <f>IFERROR(__xludf.DUMMYFUNCTION("""COMPUTED_VALUE"""),44911.99861111111)</f>
        <v>44911.99861</v>
      </c>
      <c r="D2689" s="433">
        <f>IFERROR(__xludf.DUMMYFUNCTION("""COMPUTED_VALUE"""),1266.4606)</f>
        <v>1266.4606</v>
      </c>
    </row>
    <row r="2690">
      <c r="A2690" s="434">
        <f>IFERROR(__xludf.DUMMYFUNCTION("""COMPUTED_VALUE"""),45327.99861111111)</f>
        <v>45327.99861</v>
      </c>
      <c r="B2690" s="433">
        <f>IFERROR(__xludf.DUMMYFUNCTION("""COMPUTED_VALUE"""),42665.05)</f>
        <v>42665.05</v>
      </c>
      <c r="C2690" s="434">
        <f>IFERROR(__xludf.DUMMYFUNCTION("""COMPUTED_VALUE"""),44912.99861111111)</f>
        <v>44912.99861</v>
      </c>
      <c r="D2690" s="433">
        <f>IFERROR(__xludf.DUMMYFUNCTION("""COMPUTED_VALUE"""),1168.0668)</f>
        <v>1168.0668</v>
      </c>
    </row>
    <row r="2691">
      <c r="A2691" s="434">
        <f>IFERROR(__xludf.DUMMYFUNCTION("""COMPUTED_VALUE"""),45328.99861111111)</f>
        <v>45328.99861</v>
      </c>
      <c r="B2691" s="433">
        <f>IFERROR(__xludf.DUMMYFUNCTION("""COMPUTED_VALUE"""),43084.9)</f>
        <v>43084.9</v>
      </c>
      <c r="C2691" s="434">
        <f>IFERROR(__xludf.DUMMYFUNCTION("""COMPUTED_VALUE"""),44913.99861111111)</f>
        <v>44913.99861</v>
      </c>
      <c r="D2691" s="433">
        <f>IFERROR(__xludf.DUMMYFUNCTION("""COMPUTED_VALUE"""),1188.1285)</f>
        <v>1188.1285</v>
      </c>
    </row>
    <row r="2692">
      <c r="A2692" s="434">
        <f>IFERROR(__xludf.DUMMYFUNCTION("""COMPUTED_VALUE"""),45329.99861111111)</f>
        <v>45329.99861</v>
      </c>
      <c r="B2692" s="433">
        <f>IFERROR(__xludf.DUMMYFUNCTION("""COMPUTED_VALUE"""),44285.67)</f>
        <v>44285.67</v>
      </c>
      <c r="C2692" s="434">
        <f>IFERROR(__xludf.DUMMYFUNCTION("""COMPUTED_VALUE"""),44914.99861111111)</f>
        <v>44914.99861</v>
      </c>
      <c r="D2692" s="433">
        <f>IFERROR(__xludf.DUMMYFUNCTION("""COMPUTED_VALUE"""),1184.7583)</f>
        <v>1184.7583</v>
      </c>
    </row>
    <row r="2693">
      <c r="A2693" s="434">
        <f>IFERROR(__xludf.DUMMYFUNCTION("""COMPUTED_VALUE"""),45330.99861111111)</f>
        <v>45330.99861</v>
      </c>
      <c r="B2693" s="433">
        <f>IFERROR(__xludf.DUMMYFUNCTION("""COMPUTED_VALUE"""),45323.12)</f>
        <v>45323.12</v>
      </c>
      <c r="C2693" s="434">
        <f>IFERROR(__xludf.DUMMYFUNCTION("""COMPUTED_VALUE"""),44915.99861111111)</f>
        <v>44915.99861</v>
      </c>
      <c r="D2693" s="433">
        <f>IFERROR(__xludf.DUMMYFUNCTION("""COMPUTED_VALUE"""),1167.8827)</f>
        <v>1167.8827</v>
      </c>
    </row>
    <row r="2694">
      <c r="A2694" s="434">
        <f>IFERROR(__xludf.DUMMYFUNCTION("""COMPUTED_VALUE"""),45331.99861111111)</f>
        <v>45331.99861</v>
      </c>
      <c r="B2694" s="433">
        <f>IFERROR(__xludf.DUMMYFUNCTION("""COMPUTED_VALUE"""),47282.84)</f>
        <v>47282.84</v>
      </c>
      <c r="C2694" s="434">
        <f>IFERROR(__xludf.DUMMYFUNCTION("""COMPUTED_VALUE"""),44916.99861111111)</f>
        <v>44916.99861</v>
      </c>
      <c r="D2694" s="433">
        <f>IFERROR(__xludf.DUMMYFUNCTION("""COMPUTED_VALUE"""),1217.5864)</f>
        <v>1217.5864</v>
      </c>
    </row>
    <row r="2695">
      <c r="A2695" s="434">
        <f>IFERROR(__xludf.DUMMYFUNCTION("""COMPUTED_VALUE"""),45332.99861111111)</f>
        <v>45332.99861</v>
      </c>
      <c r="B2695" s="433">
        <f>IFERROR(__xludf.DUMMYFUNCTION("""COMPUTED_VALUE"""),47746.95)</f>
        <v>47746.95</v>
      </c>
      <c r="C2695" s="434">
        <f>IFERROR(__xludf.DUMMYFUNCTION("""COMPUTED_VALUE"""),44917.99861111111)</f>
        <v>44917.99861</v>
      </c>
      <c r="D2695" s="433">
        <f>IFERROR(__xludf.DUMMYFUNCTION("""COMPUTED_VALUE"""),1213.6727)</f>
        <v>1213.6727</v>
      </c>
    </row>
    <row r="2696">
      <c r="A2696" s="434">
        <f>IFERROR(__xludf.DUMMYFUNCTION("""COMPUTED_VALUE"""),45333.99861111111)</f>
        <v>45333.99861</v>
      </c>
      <c r="B2696" s="433">
        <f>IFERROR(__xludf.DUMMYFUNCTION("""COMPUTED_VALUE"""),48281.19)</f>
        <v>48281.19</v>
      </c>
      <c r="C2696" s="434">
        <f>IFERROR(__xludf.DUMMYFUNCTION("""COMPUTED_VALUE"""),44918.99861111111)</f>
        <v>44918.99861</v>
      </c>
      <c r="D2696" s="433">
        <f>IFERROR(__xludf.DUMMYFUNCTION("""COMPUTED_VALUE"""),1218.0793)</f>
        <v>1218.0793</v>
      </c>
    </row>
    <row r="2697">
      <c r="A2697" s="434">
        <f>IFERROR(__xludf.DUMMYFUNCTION("""COMPUTED_VALUE"""),45334.99861111111)</f>
        <v>45334.99861</v>
      </c>
      <c r="B2697" s="433">
        <f>IFERROR(__xludf.DUMMYFUNCTION("""COMPUTED_VALUE"""),49999.68)</f>
        <v>49999.68</v>
      </c>
      <c r="C2697" s="434">
        <f>IFERROR(__xludf.DUMMYFUNCTION("""COMPUTED_VALUE"""),44919.99861111111)</f>
        <v>44919.99861</v>
      </c>
      <c r="D2697" s="433">
        <f>IFERROR(__xludf.DUMMYFUNCTION("""COMPUTED_VALUE"""),1220.1179)</f>
        <v>1220.1179</v>
      </c>
    </row>
    <row r="2698">
      <c r="A2698" s="434">
        <f>IFERROR(__xludf.DUMMYFUNCTION("""COMPUTED_VALUE"""),45335.99861111111)</f>
        <v>45335.99861</v>
      </c>
      <c r="B2698" s="433">
        <f>IFERROR(__xludf.DUMMYFUNCTION("""COMPUTED_VALUE"""),49727.57)</f>
        <v>49727.57</v>
      </c>
      <c r="C2698" s="434">
        <f>IFERROR(__xludf.DUMMYFUNCTION("""COMPUTED_VALUE"""),44920.99861111111)</f>
        <v>44920.99861</v>
      </c>
      <c r="D2698" s="433">
        <f>IFERROR(__xludf.DUMMYFUNCTION("""COMPUTED_VALUE"""),1221.1715)</f>
        <v>1221.1715</v>
      </c>
    </row>
    <row r="2699">
      <c r="A2699" s="434">
        <f>IFERROR(__xludf.DUMMYFUNCTION("""COMPUTED_VALUE"""),45336.99861111111)</f>
        <v>45336.99861</v>
      </c>
      <c r="B2699" s="433">
        <f>IFERROR(__xludf.DUMMYFUNCTION("""COMPUTED_VALUE"""),51837.78)</f>
        <v>51837.78</v>
      </c>
      <c r="C2699" s="434">
        <f>IFERROR(__xludf.DUMMYFUNCTION("""COMPUTED_VALUE"""),44921.99861111111)</f>
        <v>44921.99861</v>
      </c>
      <c r="D2699" s="433">
        <f>IFERROR(__xludf.DUMMYFUNCTION("""COMPUTED_VALUE"""),1218.9202)</f>
        <v>1218.9202</v>
      </c>
    </row>
    <row r="2700">
      <c r="A2700" s="434">
        <f>IFERROR(__xludf.DUMMYFUNCTION("""COMPUTED_VALUE"""),45337.99861111111)</f>
        <v>45337.99861</v>
      </c>
      <c r="B2700" s="433">
        <f>IFERROR(__xludf.DUMMYFUNCTION("""COMPUTED_VALUE"""),51865.25)</f>
        <v>51865.25</v>
      </c>
      <c r="C2700" s="434">
        <f>IFERROR(__xludf.DUMMYFUNCTION("""COMPUTED_VALUE"""),44922.99861111111)</f>
        <v>44922.99861</v>
      </c>
      <c r="D2700" s="433">
        <f>IFERROR(__xludf.DUMMYFUNCTION("""COMPUTED_VALUE"""),1226.9871)</f>
        <v>1226.9871</v>
      </c>
    </row>
    <row r="2701">
      <c r="A2701" s="434">
        <f>IFERROR(__xludf.DUMMYFUNCTION("""COMPUTED_VALUE"""),45338.99861111111)</f>
        <v>45338.99861</v>
      </c>
      <c r="B2701" s="433">
        <f>IFERROR(__xludf.DUMMYFUNCTION("""COMPUTED_VALUE"""),52191.27)</f>
        <v>52191.27</v>
      </c>
      <c r="C2701" s="434">
        <f>IFERROR(__xludf.DUMMYFUNCTION("""COMPUTED_VALUE"""),44923.99861111111)</f>
        <v>44923.99861</v>
      </c>
      <c r="D2701" s="433">
        <f>IFERROR(__xludf.DUMMYFUNCTION("""COMPUTED_VALUE"""),1212.7366)</f>
        <v>1212.7366</v>
      </c>
    </row>
    <row r="2702">
      <c r="A2702" s="434">
        <f>IFERROR(__xludf.DUMMYFUNCTION("""COMPUTED_VALUE"""),45339.99861111111)</f>
        <v>45339.99861</v>
      </c>
      <c r="B2702" s="433">
        <f>IFERROR(__xludf.DUMMYFUNCTION("""COMPUTED_VALUE"""),51685.54)</f>
        <v>51685.54</v>
      </c>
      <c r="C2702" s="434">
        <f>IFERROR(__xludf.DUMMYFUNCTION("""COMPUTED_VALUE"""),44924.99861111111)</f>
        <v>44924.99861</v>
      </c>
      <c r="D2702" s="433">
        <f>IFERROR(__xludf.DUMMYFUNCTION("""COMPUTED_VALUE"""),1190.0102)</f>
        <v>1190.0102</v>
      </c>
    </row>
    <row r="2703">
      <c r="A2703" s="434">
        <f>IFERROR(__xludf.DUMMYFUNCTION("""COMPUTED_VALUE"""),45340.99861111111)</f>
        <v>45340.99861</v>
      </c>
      <c r="B2703" s="433">
        <f>IFERROR(__xludf.DUMMYFUNCTION("""COMPUTED_VALUE"""),52120.28)</f>
        <v>52120.28</v>
      </c>
      <c r="C2703" s="434">
        <f>IFERROR(__xludf.DUMMYFUNCTION("""COMPUTED_VALUE"""),44925.99861111111)</f>
        <v>44925.99861</v>
      </c>
      <c r="D2703" s="433">
        <f>IFERROR(__xludf.DUMMYFUNCTION("""COMPUTED_VALUE"""),1201.5696)</f>
        <v>1201.5696</v>
      </c>
    </row>
    <row r="2704">
      <c r="A2704" s="434">
        <f>IFERROR(__xludf.DUMMYFUNCTION("""COMPUTED_VALUE"""),45341.99861111111)</f>
        <v>45341.99861</v>
      </c>
      <c r="B2704" s="433">
        <f>IFERROR(__xludf.DUMMYFUNCTION("""COMPUTED_VALUE"""),51769.91)</f>
        <v>51769.91</v>
      </c>
      <c r="C2704" s="434">
        <f>IFERROR(__xludf.DUMMYFUNCTION("""COMPUTED_VALUE"""),44926.99861111111)</f>
        <v>44926.99861</v>
      </c>
      <c r="D2704" s="433">
        <f>IFERROR(__xludf.DUMMYFUNCTION("""COMPUTED_VALUE"""),1199.3601)</f>
        <v>1199.3601</v>
      </c>
    </row>
    <row r="2705">
      <c r="A2705" s="434">
        <f>IFERROR(__xludf.DUMMYFUNCTION("""COMPUTED_VALUE"""),45342.99861111111)</f>
        <v>45342.99861</v>
      </c>
      <c r="B2705" s="433">
        <f>IFERROR(__xludf.DUMMYFUNCTION("""COMPUTED_VALUE"""),52287.03)</f>
        <v>52287.03</v>
      </c>
      <c r="C2705" s="434">
        <f>IFERROR(__xludf.DUMMYFUNCTION("""COMPUTED_VALUE"""),44927.99861111111)</f>
        <v>44927.99861</v>
      </c>
      <c r="D2705" s="433">
        <f>IFERROR(__xludf.DUMMYFUNCTION("""COMPUTED_VALUE"""),1196.7137)</f>
        <v>1196.7137</v>
      </c>
    </row>
    <row r="2706">
      <c r="A2706" s="434">
        <f>IFERROR(__xludf.DUMMYFUNCTION("""COMPUTED_VALUE"""),45343.99861111111)</f>
        <v>45343.99861</v>
      </c>
      <c r="B2706" s="433">
        <f>IFERROR(__xludf.DUMMYFUNCTION("""COMPUTED_VALUE"""),51756.38)</f>
        <v>51756.38</v>
      </c>
      <c r="C2706" s="434">
        <f>IFERROR(__xludf.DUMMYFUNCTION("""COMPUTED_VALUE"""),44928.99861111111)</f>
        <v>44928.99861</v>
      </c>
      <c r="D2706" s="433">
        <f>IFERROR(__xludf.DUMMYFUNCTION("""COMPUTED_VALUE"""),1201.1033)</f>
        <v>1201.1033</v>
      </c>
    </row>
    <row r="2707">
      <c r="A2707" s="434">
        <f>IFERROR(__xludf.DUMMYFUNCTION("""COMPUTED_VALUE"""),45344.99861111111)</f>
        <v>45344.99861</v>
      </c>
      <c r="B2707" s="433">
        <f>IFERROR(__xludf.DUMMYFUNCTION("""COMPUTED_VALUE"""),51312.23)</f>
        <v>51312.23</v>
      </c>
      <c r="C2707" s="434">
        <f>IFERROR(__xludf.DUMMYFUNCTION("""COMPUTED_VALUE"""),44929.99861111111)</f>
        <v>44929.99861</v>
      </c>
      <c r="D2707" s="433">
        <f>IFERROR(__xludf.DUMMYFUNCTION("""COMPUTED_VALUE"""),1214.744)</f>
        <v>1214.744</v>
      </c>
    </row>
    <row r="2708">
      <c r="A2708" s="434">
        <f>IFERROR(__xludf.DUMMYFUNCTION("""COMPUTED_VALUE"""),45345.99861111111)</f>
        <v>45345.99861</v>
      </c>
      <c r="B2708" s="433">
        <f>IFERROR(__xludf.DUMMYFUNCTION("""COMPUTED_VALUE"""),50745.88)</f>
        <v>50745.88</v>
      </c>
      <c r="C2708" s="434">
        <f>IFERROR(__xludf.DUMMYFUNCTION("""COMPUTED_VALUE"""),44930.99861111111)</f>
        <v>44930.99861</v>
      </c>
      <c r="D2708" s="433">
        <f>IFERROR(__xludf.DUMMYFUNCTION("""COMPUTED_VALUE"""),1214.7186)</f>
        <v>1214.7186</v>
      </c>
    </row>
    <row r="2709">
      <c r="A2709" s="434">
        <f>IFERROR(__xludf.DUMMYFUNCTION("""COMPUTED_VALUE"""),45346.99861111111)</f>
        <v>45346.99861</v>
      </c>
      <c r="B2709" s="433">
        <f>IFERROR(__xludf.DUMMYFUNCTION("""COMPUTED_VALUE"""),51592.58)</f>
        <v>51592.58</v>
      </c>
      <c r="C2709" s="434">
        <f>IFERROR(__xludf.DUMMYFUNCTION("""COMPUTED_VALUE"""),44931.99861111111)</f>
        <v>44931.99861</v>
      </c>
      <c r="D2709" s="433">
        <f>IFERROR(__xludf.DUMMYFUNCTION("""COMPUTED_VALUE"""),1256.4846)</f>
        <v>1256.4846</v>
      </c>
    </row>
    <row r="2710">
      <c r="A2710" s="434">
        <f>IFERROR(__xludf.DUMMYFUNCTION("""COMPUTED_VALUE"""),45347.99861111111)</f>
        <v>45347.99861</v>
      </c>
      <c r="B2710" s="433">
        <f>IFERROR(__xludf.DUMMYFUNCTION("""COMPUTED_VALUE"""),51728.53)</f>
        <v>51728.53</v>
      </c>
      <c r="C2710" s="434">
        <f>IFERROR(__xludf.DUMMYFUNCTION("""COMPUTED_VALUE"""),44932.99861111111)</f>
        <v>44932.99861</v>
      </c>
      <c r="D2710" s="433">
        <f>IFERROR(__xludf.DUMMYFUNCTION("""COMPUTED_VALUE"""),1250.459)</f>
        <v>1250.459</v>
      </c>
    </row>
    <row r="2711">
      <c r="A2711" s="434">
        <f>IFERROR(__xludf.DUMMYFUNCTION("""COMPUTED_VALUE"""),45348.99861111111)</f>
        <v>45348.99861</v>
      </c>
      <c r="B2711" s="433">
        <f>IFERROR(__xludf.DUMMYFUNCTION("""COMPUTED_VALUE"""),54501.24)</f>
        <v>54501.24</v>
      </c>
      <c r="C2711" s="434">
        <f>IFERROR(__xludf.DUMMYFUNCTION("""COMPUTED_VALUE"""),44933.99861111111)</f>
        <v>44933.99861</v>
      </c>
      <c r="D2711" s="433">
        <f>IFERROR(__xludf.DUMMYFUNCTION("""COMPUTED_VALUE"""),1269.4197)</f>
        <v>1269.4197</v>
      </c>
    </row>
    <row r="2712">
      <c r="A2712" s="434">
        <f>IFERROR(__xludf.DUMMYFUNCTION("""COMPUTED_VALUE"""),45349.99861111111)</f>
        <v>45349.99861</v>
      </c>
      <c r="B2712" s="433">
        <f>IFERROR(__xludf.DUMMYFUNCTION("""COMPUTED_VALUE"""),57067.15)</f>
        <v>57067.15</v>
      </c>
      <c r="C2712" s="434">
        <f>IFERROR(__xludf.DUMMYFUNCTION("""COMPUTED_VALUE"""),44934.99861111111)</f>
        <v>44934.99861</v>
      </c>
      <c r="D2712" s="433">
        <f>IFERROR(__xludf.DUMMYFUNCTION("""COMPUTED_VALUE"""),1264.1819)</f>
        <v>1264.1819</v>
      </c>
    </row>
    <row r="2713">
      <c r="A2713" s="434">
        <f>IFERROR(__xludf.DUMMYFUNCTION("""COMPUTED_VALUE"""),45350.99861111111)</f>
        <v>45350.99861</v>
      </c>
      <c r="B2713" s="433">
        <f>IFERROR(__xludf.DUMMYFUNCTION("""COMPUTED_VALUE"""),62534.39)</f>
        <v>62534.39</v>
      </c>
      <c r="C2713" s="434">
        <f>IFERROR(__xludf.DUMMYFUNCTION("""COMPUTED_VALUE"""),44935.99861111111)</f>
        <v>44935.99861</v>
      </c>
      <c r="D2713" s="433">
        <f>IFERROR(__xludf.DUMMYFUNCTION("""COMPUTED_VALUE"""),1287.4508)</f>
        <v>1287.4508</v>
      </c>
    </row>
    <row r="2714">
      <c r="A2714" s="434">
        <f>IFERROR(__xludf.DUMMYFUNCTION("""COMPUTED_VALUE"""),45351.99861111111)</f>
        <v>45351.99861</v>
      </c>
      <c r="B2714" s="433">
        <f>IFERROR(__xludf.DUMMYFUNCTION("""COMPUTED_VALUE"""),61253.9)</f>
        <v>61253.9</v>
      </c>
      <c r="C2714" s="434">
        <f>IFERROR(__xludf.DUMMYFUNCTION("""COMPUTED_VALUE"""),44936.99861111111)</f>
        <v>44936.99861</v>
      </c>
      <c r="D2714" s="433">
        <f>IFERROR(__xludf.DUMMYFUNCTION("""COMPUTED_VALUE"""),1321.3955)</f>
        <v>1321.3955</v>
      </c>
    </row>
    <row r="2715">
      <c r="A2715" s="434">
        <f>IFERROR(__xludf.DUMMYFUNCTION("""COMPUTED_VALUE"""),45352.99861111111)</f>
        <v>45352.99861</v>
      </c>
      <c r="B2715" s="433">
        <f>IFERROR(__xludf.DUMMYFUNCTION("""COMPUTED_VALUE"""),62520.18)</f>
        <v>62520.18</v>
      </c>
      <c r="C2715" s="434">
        <f>IFERROR(__xludf.DUMMYFUNCTION("""COMPUTED_VALUE"""),44937.99861111111)</f>
        <v>44937.99861</v>
      </c>
      <c r="D2715" s="433">
        <f>IFERROR(__xludf.DUMMYFUNCTION("""COMPUTED_VALUE"""),1336.4868)</f>
        <v>1336.4868</v>
      </c>
    </row>
    <row r="2716">
      <c r="A2716" s="434">
        <f>IFERROR(__xludf.DUMMYFUNCTION("""COMPUTED_VALUE"""),45353.99861111111)</f>
        <v>45353.99861</v>
      </c>
      <c r="B2716" s="433">
        <f>IFERROR(__xludf.DUMMYFUNCTION("""COMPUTED_VALUE"""),61980.11)</f>
        <v>61980.11</v>
      </c>
      <c r="C2716" s="434">
        <f>IFERROR(__xludf.DUMMYFUNCTION("""COMPUTED_VALUE"""),44938.99861111111)</f>
        <v>44938.99861</v>
      </c>
      <c r="D2716" s="433">
        <f>IFERROR(__xludf.DUMMYFUNCTION("""COMPUTED_VALUE"""),1387.7529)</f>
        <v>1387.7529</v>
      </c>
    </row>
    <row r="2717">
      <c r="A2717" s="434">
        <f>IFERROR(__xludf.DUMMYFUNCTION("""COMPUTED_VALUE"""),45354.99861111111)</f>
        <v>45354.99861</v>
      </c>
      <c r="B2717" s="433">
        <f>IFERROR(__xludf.DUMMYFUNCTION("""COMPUTED_VALUE"""),63043.77)</f>
        <v>63043.77</v>
      </c>
      <c r="C2717" s="434">
        <f>IFERROR(__xludf.DUMMYFUNCTION("""COMPUTED_VALUE"""),44939.99861111111)</f>
        <v>44939.99861</v>
      </c>
      <c r="D2717" s="433">
        <f>IFERROR(__xludf.DUMMYFUNCTION("""COMPUTED_VALUE"""),1417.9462)</f>
        <v>1417.9462</v>
      </c>
    </row>
    <row r="2718">
      <c r="A2718" s="434">
        <f>IFERROR(__xludf.DUMMYFUNCTION("""COMPUTED_VALUE"""),45355.99861111111)</f>
        <v>45355.99861</v>
      </c>
      <c r="B2718" s="433">
        <f>IFERROR(__xludf.DUMMYFUNCTION("""COMPUTED_VALUE"""),68304.96)</f>
        <v>68304.96</v>
      </c>
      <c r="C2718" s="434">
        <f>IFERROR(__xludf.DUMMYFUNCTION("""COMPUTED_VALUE"""),44940.99861111111)</f>
        <v>44940.99861</v>
      </c>
      <c r="D2718" s="433">
        <f>IFERROR(__xludf.DUMMYFUNCTION("""COMPUTED_VALUE"""),1451.4285)</f>
        <v>1451.4285</v>
      </c>
    </row>
    <row r="2719">
      <c r="A2719" s="434">
        <f>IFERROR(__xludf.DUMMYFUNCTION("""COMPUTED_VALUE"""),45356.99861111111)</f>
        <v>45356.99861</v>
      </c>
      <c r="B2719" s="433">
        <f>IFERROR(__xludf.DUMMYFUNCTION("""COMPUTED_VALUE"""),64041.52)</f>
        <v>64041.52</v>
      </c>
      <c r="C2719" s="434">
        <f>IFERROR(__xludf.DUMMYFUNCTION("""COMPUTED_VALUE"""),44941.99861111111)</f>
        <v>44941.99861</v>
      </c>
      <c r="D2719" s="433">
        <f>IFERROR(__xludf.DUMMYFUNCTION("""COMPUTED_VALUE"""),1550.7315)</f>
        <v>1550.7315</v>
      </c>
    </row>
    <row r="2720">
      <c r="A2720" s="434">
        <f>IFERROR(__xludf.DUMMYFUNCTION("""COMPUTED_VALUE"""),45357.99861111111)</f>
        <v>45357.99861</v>
      </c>
      <c r="B2720" s="433">
        <f>IFERROR(__xludf.DUMMYFUNCTION("""COMPUTED_VALUE"""),66142.74)</f>
        <v>66142.74</v>
      </c>
      <c r="C2720" s="434">
        <f>IFERROR(__xludf.DUMMYFUNCTION("""COMPUTED_VALUE"""),44942.99861111111)</f>
        <v>44942.99861</v>
      </c>
      <c r="D2720" s="433">
        <f>IFERROR(__xludf.DUMMYFUNCTION("""COMPUTED_VALUE"""),1552.5193)</f>
        <v>1552.5193</v>
      </c>
    </row>
    <row r="2721">
      <c r="A2721" s="434">
        <f>IFERROR(__xludf.DUMMYFUNCTION("""COMPUTED_VALUE"""),45358.99861111111)</f>
        <v>45358.99861</v>
      </c>
      <c r="B2721" s="433">
        <f>IFERROR(__xludf.DUMMYFUNCTION("""COMPUTED_VALUE"""),66935.05)</f>
        <v>66935.05</v>
      </c>
      <c r="C2721" s="434">
        <f>IFERROR(__xludf.DUMMYFUNCTION("""COMPUTED_VALUE"""),44943.99861111111)</f>
        <v>44943.99861</v>
      </c>
      <c r="D2721" s="433">
        <f>IFERROR(__xludf.DUMMYFUNCTION("""COMPUTED_VALUE"""),1577.1075)</f>
        <v>1577.1075</v>
      </c>
    </row>
    <row r="2722">
      <c r="A2722" s="434">
        <f>IFERROR(__xludf.DUMMYFUNCTION("""COMPUTED_VALUE"""),45359.99861111111)</f>
        <v>45359.99861</v>
      </c>
      <c r="B2722" s="433">
        <f>IFERROR(__xludf.DUMMYFUNCTION("""COMPUTED_VALUE"""),68330.96)</f>
        <v>68330.96</v>
      </c>
      <c r="C2722" s="434">
        <f>IFERROR(__xludf.DUMMYFUNCTION("""COMPUTED_VALUE"""),44944.99861111111)</f>
        <v>44944.99861</v>
      </c>
      <c r="D2722" s="433">
        <f>IFERROR(__xludf.DUMMYFUNCTION("""COMPUTED_VALUE"""),1567.6989)</f>
        <v>1567.6989</v>
      </c>
    </row>
    <row r="2723">
      <c r="A2723" s="434">
        <f>IFERROR(__xludf.DUMMYFUNCTION("""COMPUTED_VALUE"""),45360.99861111111)</f>
        <v>45360.99861</v>
      </c>
      <c r="B2723" s="433">
        <f>IFERROR(__xludf.DUMMYFUNCTION("""COMPUTED_VALUE"""),68469.46)</f>
        <v>68469.46</v>
      </c>
      <c r="C2723" s="434">
        <f>IFERROR(__xludf.DUMMYFUNCTION("""COMPUTED_VALUE"""),44945.99861111111)</f>
        <v>44945.99861</v>
      </c>
      <c r="D2723" s="433">
        <f>IFERROR(__xludf.DUMMYFUNCTION("""COMPUTED_VALUE"""),1515.2496)</f>
        <v>1515.2496</v>
      </c>
    </row>
    <row r="2724">
      <c r="A2724" s="434">
        <f>IFERROR(__xludf.DUMMYFUNCTION("""COMPUTED_VALUE"""),45361.99861111111)</f>
        <v>45361.99861</v>
      </c>
      <c r="B2724" s="433">
        <f>IFERROR(__xludf.DUMMYFUNCTION("""COMPUTED_VALUE"""),69011.28)</f>
        <v>69011.28</v>
      </c>
      <c r="C2724" s="434">
        <f>IFERROR(__xludf.DUMMYFUNCTION("""COMPUTED_VALUE"""),44946.99861111111)</f>
        <v>44946.99861</v>
      </c>
      <c r="D2724" s="433">
        <f>IFERROR(__xludf.DUMMYFUNCTION("""COMPUTED_VALUE"""),1552.3737)</f>
        <v>1552.3737</v>
      </c>
    </row>
    <row r="2725">
      <c r="A2725" s="434">
        <f>IFERROR(__xludf.DUMMYFUNCTION("""COMPUTED_VALUE"""),45362.99861111111)</f>
        <v>45362.99861</v>
      </c>
      <c r="B2725" s="433">
        <f>IFERROR(__xludf.DUMMYFUNCTION("""COMPUTED_VALUE"""),72133.38)</f>
        <v>72133.38</v>
      </c>
      <c r="C2725" s="434">
        <f>IFERROR(__xludf.DUMMYFUNCTION("""COMPUTED_VALUE"""),44947.99861111111)</f>
        <v>44947.99861</v>
      </c>
      <c r="D2725" s="433">
        <f>IFERROR(__xludf.DUMMYFUNCTION("""COMPUTED_VALUE"""),1659.7061)</f>
        <v>1659.7061</v>
      </c>
    </row>
    <row r="2726">
      <c r="A2726" s="434">
        <f>IFERROR(__xludf.DUMMYFUNCTION("""COMPUTED_VALUE"""),45363.99861111111)</f>
        <v>45363.99861</v>
      </c>
      <c r="B2726" s="433">
        <f>IFERROR(__xludf.DUMMYFUNCTION("""COMPUTED_VALUE"""),71491.77)</f>
        <v>71491.77</v>
      </c>
      <c r="C2726" s="434">
        <f>IFERROR(__xludf.DUMMYFUNCTION("""COMPUTED_VALUE"""),44948.99861111111)</f>
        <v>44948.99861</v>
      </c>
      <c r="D2726" s="433">
        <f>IFERROR(__xludf.DUMMYFUNCTION("""COMPUTED_VALUE"""),1627.366)</f>
        <v>1627.366</v>
      </c>
    </row>
    <row r="2727">
      <c r="A2727" s="434">
        <f>IFERROR(__xludf.DUMMYFUNCTION("""COMPUTED_VALUE"""),45364.99861111111)</f>
        <v>45364.99861</v>
      </c>
      <c r="B2727" s="433">
        <f>IFERROR(__xludf.DUMMYFUNCTION("""COMPUTED_VALUE"""),73096.85)</f>
        <v>73096.85</v>
      </c>
      <c r="C2727" s="434">
        <f>IFERROR(__xludf.DUMMYFUNCTION("""COMPUTED_VALUE"""),44949.99861111111)</f>
        <v>44949.99861</v>
      </c>
      <c r="D2727" s="433">
        <f>IFERROR(__xludf.DUMMYFUNCTION("""COMPUTED_VALUE"""),1628.5508)</f>
        <v>1628.5508</v>
      </c>
    </row>
    <row r="2728">
      <c r="A2728" s="434">
        <f>IFERROR(__xludf.DUMMYFUNCTION("""COMPUTED_VALUE"""),45365.99861111111)</f>
        <v>45365.99861</v>
      </c>
      <c r="B2728" s="433">
        <f>IFERROR(__xludf.DUMMYFUNCTION("""COMPUTED_VALUE"""),71394.04)</f>
        <v>71394.04</v>
      </c>
      <c r="C2728" s="434">
        <f>IFERROR(__xludf.DUMMYFUNCTION("""COMPUTED_VALUE"""),44950.99861111111)</f>
        <v>44950.99861</v>
      </c>
      <c r="D2728" s="433">
        <f>IFERROR(__xludf.DUMMYFUNCTION("""COMPUTED_VALUE"""),1627.8483)</f>
        <v>1627.8483</v>
      </c>
    </row>
    <row r="2729">
      <c r="A2729" s="434">
        <f>IFERROR(__xludf.DUMMYFUNCTION("""COMPUTED_VALUE"""),45366.99861111111)</f>
        <v>45366.99861</v>
      </c>
      <c r="B2729" s="433">
        <f>IFERROR(__xludf.DUMMYFUNCTION("""COMPUTED_VALUE"""),69441.68)</f>
        <v>69441.68</v>
      </c>
      <c r="C2729" s="434">
        <f>IFERROR(__xludf.DUMMYFUNCTION("""COMPUTED_VALUE"""),44951.99861111111)</f>
        <v>44951.99861</v>
      </c>
      <c r="D2729" s="433">
        <f>IFERROR(__xludf.DUMMYFUNCTION("""COMPUTED_VALUE"""),1556.8074)</f>
        <v>1556.8074</v>
      </c>
    </row>
    <row r="2730">
      <c r="A2730" s="434">
        <f>IFERROR(__xludf.DUMMYFUNCTION("""COMPUTED_VALUE"""),45367.99861111111)</f>
        <v>45367.99861</v>
      </c>
      <c r="B2730" s="433">
        <f>IFERROR(__xludf.DUMMYFUNCTION("""COMPUTED_VALUE"""),65314.75)</f>
        <v>65314.75</v>
      </c>
      <c r="C2730" s="434">
        <f>IFERROR(__xludf.DUMMYFUNCTION("""COMPUTED_VALUE"""),44952.99861111111)</f>
        <v>44952.99861</v>
      </c>
      <c r="D2730" s="433">
        <f>IFERROR(__xludf.DUMMYFUNCTION("""COMPUTED_VALUE"""),1611.081)</f>
        <v>1611.081</v>
      </c>
    </row>
    <row r="2731">
      <c r="A2731" s="434">
        <f>IFERROR(__xludf.DUMMYFUNCTION("""COMPUTED_VALUE"""),45368.99861111111)</f>
        <v>45368.99861</v>
      </c>
      <c r="B2731" s="433">
        <f>IFERROR(__xludf.DUMMYFUNCTION("""COMPUTED_VALUE"""),68476.19)</f>
        <v>68476.19</v>
      </c>
      <c r="C2731" s="434">
        <f>IFERROR(__xludf.DUMMYFUNCTION("""COMPUTED_VALUE"""),44953.99861111111)</f>
        <v>44953.99861</v>
      </c>
      <c r="D2731" s="433">
        <f>IFERROR(__xludf.DUMMYFUNCTION("""COMPUTED_VALUE"""),1603.0801)</f>
        <v>1603.0801</v>
      </c>
    </row>
    <row r="2732">
      <c r="A2732" s="434">
        <f>IFERROR(__xludf.DUMMYFUNCTION("""COMPUTED_VALUE"""),45369.99861111111)</f>
        <v>45369.99861</v>
      </c>
      <c r="B2732" s="433">
        <f>IFERROR(__xludf.DUMMYFUNCTION("""COMPUTED_VALUE"""),67732.55)</f>
        <v>67732.55</v>
      </c>
      <c r="C2732" s="434">
        <f>IFERROR(__xludf.DUMMYFUNCTION("""COMPUTED_VALUE"""),44954.99861111111)</f>
        <v>44954.99861</v>
      </c>
      <c r="D2732" s="433">
        <f>IFERROR(__xludf.DUMMYFUNCTION("""COMPUTED_VALUE"""),1598.1254)</f>
        <v>1598.1254</v>
      </c>
    </row>
    <row r="2733">
      <c r="A2733" s="434">
        <f>IFERROR(__xludf.DUMMYFUNCTION("""COMPUTED_VALUE"""),45370.99861111111)</f>
        <v>45370.99861</v>
      </c>
      <c r="B2733" s="433">
        <f>IFERROR(__xludf.DUMMYFUNCTION("""COMPUTED_VALUE"""),61964.65)</f>
        <v>61964.65</v>
      </c>
      <c r="C2733" s="434">
        <f>IFERROR(__xludf.DUMMYFUNCTION("""COMPUTED_VALUE"""),44955.99861111111)</f>
        <v>44955.99861</v>
      </c>
      <c r="D2733" s="433">
        <f>IFERROR(__xludf.DUMMYFUNCTION("""COMPUTED_VALUE"""),1572.6295)</f>
        <v>1572.6295</v>
      </c>
    </row>
    <row r="2734">
      <c r="A2734" s="434">
        <f>IFERROR(__xludf.DUMMYFUNCTION("""COMPUTED_VALUE"""),45371.99861111111)</f>
        <v>45371.99861</v>
      </c>
      <c r="B2734" s="433">
        <f>IFERROR(__xludf.DUMMYFUNCTION("""COMPUTED_VALUE"""),67900.47)</f>
        <v>67900.47</v>
      </c>
      <c r="C2734" s="434">
        <f>IFERROR(__xludf.DUMMYFUNCTION("""COMPUTED_VALUE"""),44956.99861111111)</f>
        <v>44956.99861</v>
      </c>
      <c r="D2734" s="433">
        <f>IFERROR(__xludf.DUMMYFUNCTION("""COMPUTED_VALUE"""),1646.1476)</f>
        <v>1646.1476</v>
      </c>
    </row>
    <row r="2735">
      <c r="A2735" s="434">
        <f>IFERROR(__xludf.DUMMYFUNCTION("""COMPUTED_VALUE"""),45372.99861111111)</f>
        <v>45372.99861</v>
      </c>
      <c r="B2735" s="433">
        <f>IFERROR(__xludf.DUMMYFUNCTION("""COMPUTED_VALUE"""),65507.84)</f>
        <v>65507.84</v>
      </c>
      <c r="C2735" s="434">
        <f>IFERROR(__xludf.DUMMYFUNCTION("""COMPUTED_VALUE"""),44957.99861111111)</f>
        <v>44957.99861</v>
      </c>
      <c r="D2735" s="433">
        <f>IFERROR(__xludf.DUMMYFUNCTION("""COMPUTED_VALUE"""),1567.4199)</f>
        <v>1567.4199</v>
      </c>
    </row>
    <row r="2736">
      <c r="A2736" s="434">
        <f>IFERROR(__xludf.DUMMYFUNCTION("""COMPUTED_VALUE"""),45373.99861111111)</f>
        <v>45373.99861</v>
      </c>
      <c r="B2736" s="433">
        <f>IFERROR(__xludf.DUMMYFUNCTION("""COMPUTED_VALUE"""),63669.71)</f>
        <v>63669.71</v>
      </c>
      <c r="C2736" s="434">
        <f>IFERROR(__xludf.DUMMYFUNCTION("""COMPUTED_VALUE"""),44958.99861111111)</f>
        <v>44958.99861</v>
      </c>
      <c r="D2736" s="433">
        <f>IFERROR(__xludf.DUMMYFUNCTION("""COMPUTED_VALUE"""),1586.4881)</f>
        <v>1586.4881</v>
      </c>
    </row>
    <row r="2737">
      <c r="A2737" s="434">
        <f>IFERROR(__xludf.DUMMYFUNCTION("""COMPUTED_VALUE"""),45374.99861111111)</f>
        <v>45374.99861</v>
      </c>
      <c r="B2737" s="433">
        <f>IFERROR(__xludf.DUMMYFUNCTION("""COMPUTED_VALUE"""),64052.68)</f>
        <v>64052.68</v>
      </c>
      <c r="C2737" s="434">
        <f>IFERROR(__xludf.DUMMYFUNCTION("""COMPUTED_VALUE"""),44959.99861111111)</f>
        <v>44959.99861</v>
      </c>
      <c r="D2737" s="433">
        <f>IFERROR(__xludf.DUMMYFUNCTION("""COMPUTED_VALUE"""),1641.366)</f>
        <v>1641.366</v>
      </c>
    </row>
    <row r="2738">
      <c r="A2738" s="434">
        <f>IFERROR(__xludf.DUMMYFUNCTION("""COMPUTED_VALUE"""),45375.99861111111)</f>
        <v>45375.99861</v>
      </c>
      <c r="B2738" s="433">
        <f>IFERROR(__xludf.DUMMYFUNCTION("""COMPUTED_VALUE"""),67228.68)</f>
        <v>67228.68</v>
      </c>
      <c r="C2738" s="434">
        <f>IFERROR(__xludf.DUMMYFUNCTION("""COMPUTED_VALUE"""),44960.99861111111)</f>
        <v>44960.99861</v>
      </c>
      <c r="D2738" s="433">
        <f>IFERROR(__xludf.DUMMYFUNCTION("""COMPUTED_VALUE"""),1642.9047)</f>
        <v>1642.9047</v>
      </c>
    </row>
    <row r="2739">
      <c r="A2739" s="434">
        <f>IFERROR(__xludf.DUMMYFUNCTION("""COMPUTED_VALUE"""),45376.99861111111)</f>
        <v>45376.99861</v>
      </c>
      <c r="B2739" s="433">
        <f>IFERROR(__xludf.DUMMYFUNCTION("""COMPUTED_VALUE"""),69956.47)</f>
        <v>69956.47</v>
      </c>
      <c r="C2739" s="434">
        <f>IFERROR(__xludf.DUMMYFUNCTION("""COMPUTED_VALUE"""),44961.99861111111)</f>
        <v>44961.99861</v>
      </c>
      <c r="D2739" s="433">
        <f>IFERROR(__xludf.DUMMYFUNCTION("""COMPUTED_VALUE"""),1664.4723)</f>
        <v>1664.4723</v>
      </c>
    </row>
    <row r="2740">
      <c r="A2740" s="434">
        <f>IFERROR(__xludf.DUMMYFUNCTION("""COMPUTED_VALUE"""),45377.99861111111)</f>
        <v>45377.99861</v>
      </c>
      <c r="B2740" s="433">
        <f>IFERROR(__xludf.DUMMYFUNCTION("""COMPUTED_VALUE"""),69976.26)</f>
        <v>69976.26</v>
      </c>
      <c r="C2740" s="434">
        <f>IFERROR(__xludf.DUMMYFUNCTION("""COMPUTED_VALUE"""),44962.99861111111)</f>
        <v>44962.99861</v>
      </c>
      <c r="D2740" s="433">
        <f>IFERROR(__xludf.DUMMYFUNCTION("""COMPUTED_VALUE"""),1667.1665)</f>
        <v>1667.1665</v>
      </c>
    </row>
    <row r="2741">
      <c r="A2741" s="434">
        <f>IFERROR(__xludf.DUMMYFUNCTION("""COMPUTED_VALUE"""),45378.99861111111)</f>
        <v>45378.99861</v>
      </c>
      <c r="B2741" s="433">
        <f>IFERROR(__xludf.DUMMYFUNCTION("""COMPUTED_VALUE"""),69402.96)</f>
        <v>69402.96</v>
      </c>
      <c r="C2741" s="434">
        <f>IFERROR(__xludf.DUMMYFUNCTION("""COMPUTED_VALUE"""),44963.99861111111)</f>
        <v>44963.99861</v>
      </c>
      <c r="D2741" s="433">
        <f>IFERROR(__xludf.DUMMYFUNCTION("""COMPUTED_VALUE"""),1631.6453)</f>
        <v>1631.6453</v>
      </c>
    </row>
    <row r="2742">
      <c r="A2742" s="434">
        <f>IFERROR(__xludf.DUMMYFUNCTION("""COMPUTED_VALUE"""),45379.99861111111)</f>
        <v>45379.99861</v>
      </c>
      <c r="B2742" s="433">
        <f>IFERROR(__xludf.DUMMYFUNCTION("""COMPUTED_VALUE"""),70787.45)</f>
        <v>70787.45</v>
      </c>
      <c r="C2742" s="434">
        <f>IFERROR(__xludf.DUMMYFUNCTION("""COMPUTED_VALUE"""),44964.99861111111)</f>
        <v>44964.99861</v>
      </c>
      <c r="D2742" s="433">
        <f>IFERROR(__xludf.DUMMYFUNCTION("""COMPUTED_VALUE"""),1616.0096)</f>
        <v>1616.0096</v>
      </c>
    </row>
    <row r="2743">
      <c r="A2743" s="434">
        <f>IFERROR(__xludf.DUMMYFUNCTION("""COMPUTED_VALUE"""),45380.99861111111)</f>
        <v>45380.99861</v>
      </c>
      <c r="B2743" s="433">
        <f>IFERROR(__xludf.DUMMYFUNCTION("""COMPUTED_VALUE"""),69917.16)</f>
        <v>69917.16</v>
      </c>
      <c r="C2743" s="434">
        <f>IFERROR(__xludf.DUMMYFUNCTION("""COMPUTED_VALUE"""),44965.99861111111)</f>
        <v>44965.99861</v>
      </c>
      <c r="D2743" s="433">
        <f>IFERROR(__xludf.DUMMYFUNCTION("""COMPUTED_VALUE"""),1671.9052)</f>
        <v>1671.9052</v>
      </c>
    </row>
    <row r="2744">
      <c r="A2744" s="434">
        <f>IFERROR(__xludf.DUMMYFUNCTION("""COMPUTED_VALUE"""),45381.99861111111)</f>
        <v>45381.99861</v>
      </c>
      <c r="B2744" s="433">
        <f>IFERROR(__xludf.DUMMYFUNCTION("""COMPUTED_VALUE"""),69666.93)</f>
        <v>69666.93</v>
      </c>
      <c r="C2744" s="434">
        <f>IFERROR(__xludf.DUMMYFUNCTION("""COMPUTED_VALUE"""),44966.99861111111)</f>
        <v>44966.99861</v>
      </c>
      <c r="D2744" s="433">
        <f>IFERROR(__xludf.DUMMYFUNCTION("""COMPUTED_VALUE"""),1651.0822)</f>
        <v>1651.0822</v>
      </c>
    </row>
    <row r="2745">
      <c r="A2745" s="434">
        <f>IFERROR(__xludf.DUMMYFUNCTION("""COMPUTED_VALUE"""),45382.99861111111)</f>
        <v>45382.99861</v>
      </c>
      <c r="B2745" s="433">
        <f>IFERROR(__xludf.DUMMYFUNCTION("""COMPUTED_VALUE"""),71341.71)</f>
        <v>71341.71</v>
      </c>
      <c r="C2745" s="434">
        <f>IFERROR(__xludf.DUMMYFUNCTION("""COMPUTED_VALUE"""),44967.99861111111)</f>
        <v>44967.99861</v>
      </c>
      <c r="D2745" s="433">
        <f>IFERROR(__xludf.DUMMYFUNCTION("""COMPUTED_VALUE"""),1546.5965)</f>
        <v>1546.5965</v>
      </c>
    </row>
    <row r="2746">
      <c r="A2746" s="434">
        <f>IFERROR(__xludf.DUMMYFUNCTION("""COMPUTED_VALUE"""),45383.99861111111)</f>
        <v>45383.99861</v>
      </c>
      <c r="B2746" s="433">
        <f>IFERROR(__xludf.DUMMYFUNCTION("""COMPUTED_VALUE"""),69693.39)</f>
        <v>69693.39</v>
      </c>
      <c r="C2746" s="434">
        <f>IFERROR(__xludf.DUMMYFUNCTION("""COMPUTED_VALUE"""),44968.99861111111)</f>
        <v>44968.99861</v>
      </c>
      <c r="D2746" s="433">
        <f>IFERROR(__xludf.DUMMYFUNCTION("""COMPUTED_VALUE"""),1514.9419)</f>
        <v>1514.9419</v>
      </c>
    </row>
    <row r="2747">
      <c r="A2747" s="434">
        <f>IFERROR(__xludf.DUMMYFUNCTION("""COMPUTED_VALUE"""),45384.99861111111)</f>
        <v>45384.99861</v>
      </c>
      <c r="B2747" s="433">
        <f>IFERROR(__xludf.DUMMYFUNCTION("""COMPUTED_VALUE"""),65620.65)</f>
        <v>65620.65</v>
      </c>
      <c r="C2747" s="434">
        <f>IFERROR(__xludf.DUMMYFUNCTION("""COMPUTED_VALUE"""),44969.99861111111)</f>
        <v>44969.99861</v>
      </c>
      <c r="D2747" s="433">
        <f>IFERROR(__xludf.DUMMYFUNCTION("""COMPUTED_VALUE"""),1539.776)</f>
        <v>1539.776</v>
      </c>
    </row>
    <row r="2748">
      <c r="A2748" s="434">
        <f>IFERROR(__xludf.DUMMYFUNCTION("""COMPUTED_VALUE"""),45385.99861111111)</f>
        <v>45385.99861</v>
      </c>
      <c r="B2748" s="433">
        <f>IFERROR(__xludf.DUMMYFUNCTION("""COMPUTED_VALUE"""),66053.35)</f>
        <v>66053.35</v>
      </c>
      <c r="C2748" s="434">
        <f>IFERROR(__xludf.DUMMYFUNCTION("""COMPUTED_VALUE"""),44970.99861111111)</f>
        <v>44970.99861</v>
      </c>
      <c r="D2748" s="433">
        <f>IFERROR(__xludf.DUMMYFUNCTION("""COMPUTED_VALUE"""),1514.9171)</f>
        <v>1514.9171</v>
      </c>
    </row>
    <row r="2749">
      <c r="A2749" s="434">
        <f>IFERROR(__xludf.DUMMYFUNCTION("""COMPUTED_VALUE"""),45386.99861111111)</f>
        <v>45386.99861</v>
      </c>
      <c r="B2749" s="433">
        <f>IFERROR(__xludf.DUMMYFUNCTION("""COMPUTED_VALUE"""),68517.75)</f>
        <v>68517.75</v>
      </c>
      <c r="C2749" s="434">
        <f>IFERROR(__xludf.DUMMYFUNCTION("""COMPUTED_VALUE"""),44971.99861111111)</f>
        <v>44971.99861</v>
      </c>
      <c r="D2749" s="433">
        <f>IFERROR(__xludf.DUMMYFUNCTION("""COMPUTED_VALUE"""),1506.9921)</f>
        <v>1506.9921</v>
      </c>
    </row>
    <row r="2750">
      <c r="A2750" s="434">
        <f>IFERROR(__xludf.DUMMYFUNCTION("""COMPUTED_VALUE"""),45387.99861111111)</f>
        <v>45387.99861</v>
      </c>
      <c r="B2750" s="433">
        <f>IFERROR(__xludf.DUMMYFUNCTION("""COMPUTED_VALUE"""),67824.42)</f>
        <v>67824.42</v>
      </c>
      <c r="C2750" s="434">
        <f>IFERROR(__xludf.DUMMYFUNCTION("""COMPUTED_VALUE"""),44972.99861111111)</f>
        <v>44972.99861</v>
      </c>
      <c r="D2750" s="433">
        <f>IFERROR(__xludf.DUMMYFUNCTION("""COMPUTED_VALUE"""),1556.7651)</f>
        <v>1556.7651</v>
      </c>
    </row>
    <row r="2751">
      <c r="A2751" s="434">
        <f>IFERROR(__xludf.DUMMYFUNCTION("""COMPUTED_VALUE"""),45388.99861111111)</f>
        <v>45388.99861</v>
      </c>
      <c r="B2751" s="433">
        <f>IFERROR(__xludf.DUMMYFUNCTION("""COMPUTED_VALUE"""),68870.32)</f>
        <v>68870.32</v>
      </c>
      <c r="C2751" s="434">
        <f>IFERROR(__xludf.DUMMYFUNCTION("""COMPUTED_VALUE"""),44973.99861111111)</f>
        <v>44973.99861</v>
      </c>
      <c r="D2751" s="433">
        <f>IFERROR(__xludf.DUMMYFUNCTION("""COMPUTED_VALUE"""),1673.8675)</f>
        <v>1673.8675</v>
      </c>
    </row>
    <row r="2752">
      <c r="A2752" s="434">
        <f>IFERROR(__xludf.DUMMYFUNCTION("""COMPUTED_VALUE"""),45389.99861111111)</f>
        <v>45389.99861</v>
      </c>
      <c r="B2752" s="433">
        <f>IFERROR(__xludf.DUMMYFUNCTION("""COMPUTED_VALUE"""),69412.3)</f>
        <v>69412.3</v>
      </c>
      <c r="C2752" s="434">
        <f>IFERROR(__xludf.DUMMYFUNCTION("""COMPUTED_VALUE"""),44974.99861111111)</f>
        <v>44974.99861</v>
      </c>
      <c r="D2752" s="433">
        <f>IFERROR(__xludf.DUMMYFUNCTION("""COMPUTED_VALUE"""),1640.2801)</f>
        <v>1640.2801</v>
      </c>
    </row>
    <row r="2753">
      <c r="A2753" s="434">
        <f>IFERROR(__xludf.DUMMYFUNCTION("""COMPUTED_VALUE"""),45390.99861111111)</f>
        <v>45390.99861</v>
      </c>
      <c r="B2753" s="433">
        <f>IFERROR(__xludf.DUMMYFUNCTION("""COMPUTED_VALUE"""),71636.84)</f>
        <v>71636.84</v>
      </c>
      <c r="C2753" s="434">
        <f>IFERROR(__xludf.DUMMYFUNCTION("""COMPUTED_VALUE"""),44975.99861111111)</f>
        <v>44975.99861</v>
      </c>
      <c r="D2753" s="433">
        <f>IFERROR(__xludf.DUMMYFUNCTION("""COMPUTED_VALUE"""),1694.7418)</f>
        <v>1694.7418</v>
      </c>
    </row>
    <row r="2754">
      <c r="A2754" s="434">
        <f>IFERROR(__xludf.DUMMYFUNCTION("""COMPUTED_VALUE"""),45391.99861111111)</f>
        <v>45391.99861</v>
      </c>
      <c r="B2754" s="433">
        <f>IFERROR(__xludf.DUMMYFUNCTION("""COMPUTED_VALUE"""),69156.68)</f>
        <v>69156.68</v>
      </c>
      <c r="C2754" s="434">
        <f>IFERROR(__xludf.DUMMYFUNCTION("""COMPUTED_VALUE"""),44976.99861111111)</f>
        <v>44976.99861</v>
      </c>
      <c r="D2754" s="433">
        <f>IFERROR(__xludf.DUMMYFUNCTION("""COMPUTED_VALUE"""),1691.6802)</f>
        <v>1691.6802</v>
      </c>
    </row>
    <row r="2755">
      <c r="A2755" s="434">
        <f>IFERROR(__xludf.DUMMYFUNCTION("""COMPUTED_VALUE"""),45392.99861111111)</f>
        <v>45392.99861</v>
      </c>
      <c r="B2755" s="433">
        <f>IFERROR(__xludf.DUMMYFUNCTION("""COMPUTED_VALUE"""),70612.79)</f>
        <v>70612.79</v>
      </c>
      <c r="C2755" s="434">
        <f>IFERROR(__xludf.DUMMYFUNCTION("""COMPUTED_VALUE"""),44977.99861111111)</f>
        <v>44977.99861</v>
      </c>
      <c r="D2755" s="433">
        <f>IFERROR(__xludf.DUMMYFUNCTION("""COMPUTED_VALUE"""),1682.337)</f>
        <v>1682.337</v>
      </c>
    </row>
    <row r="2756">
      <c r="A2756" s="434">
        <f>IFERROR(__xludf.DUMMYFUNCTION("""COMPUTED_VALUE"""),45393.99861111111)</f>
        <v>45393.99861</v>
      </c>
      <c r="B2756" s="433">
        <f>IFERROR(__xludf.DUMMYFUNCTION("""COMPUTED_VALUE"""),70029.4)</f>
        <v>70029.4</v>
      </c>
      <c r="C2756" s="434">
        <f>IFERROR(__xludf.DUMMYFUNCTION("""COMPUTED_VALUE"""),44978.99861111111)</f>
        <v>44978.99861</v>
      </c>
      <c r="D2756" s="433">
        <f>IFERROR(__xludf.DUMMYFUNCTION("""COMPUTED_VALUE"""),1702.7978)</f>
        <v>1702.7978</v>
      </c>
    </row>
    <row r="2757">
      <c r="A2757" s="434">
        <f>IFERROR(__xludf.DUMMYFUNCTION("""COMPUTED_VALUE"""),45394.99861111111)</f>
        <v>45394.99861</v>
      </c>
      <c r="B2757" s="433">
        <f>IFERROR(__xludf.DUMMYFUNCTION("""COMPUTED_VALUE"""),67094.69)</f>
        <v>67094.69</v>
      </c>
      <c r="C2757" s="434">
        <f>IFERROR(__xludf.DUMMYFUNCTION("""COMPUTED_VALUE"""),44979.99861111111)</f>
        <v>44979.99861</v>
      </c>
      <c r="D2757" s="433">
        <f>IFERROR(__xludf.DUMMYFUNCTION("""COMPUTED_VALUE"""),1658.141)</f>
        <v>1658.141</v>
      </c>
    </row>
    <row r="2758">
      <c r="A2758" s="434">
        <f>IFERROR(__xludf.DUMMYFUNCTION("""COMPUTED_VALUE"""),45395.99861111111)</f>
        <v>45395.99861</v>
      </c>
      <c r="B2758" s="433">
        <f>IFERROR(__xludf.DUMMYFUNCTION("""COMPUTED_VALUE"""),64349.1)</f>
        <v>64349.1</v>
      </c>
      <c r="C2758" s="434">
        <f>IFERROR(__xludf.DUMMYFUNCTION("""COMPUTED_VALUE"""),44980.99861111111)</f>
        <v>44980.99861</v>
      </c>
      <c r="D2758" s="433">
        <f>IFERROR(__xludf.DUMMYFUNCTION("""COMPUTED_VALUE"""),1643.2986)</f>
        <v>1643.2986</v>
      </c>
    </row>
    <row r="2759">
      <c r="A2759" s="434">
        <f>IFERROR(__xludf.DUMMYFUNCTION("""COMPUTED_VALUE"""),45396.99861111111)</f>
        <v>45396.99861</v>
      </c>
      <c r="B2759" s="433">
        <f>IFERROR(__xludf.DUMMYFUNCTION("""COMPUTED_VALUE"""),65779.36)</f>
        <v>65779.36</v>
      </c>
      <c r="C2759" s="434">
        <f>IFERROR(__xludf.DUMMYFUNCTION("""COMPUTED_VALUE"""),44981.99861111111)</f>
        <v>44981.99861</v>
      </c>
      <c r="D2759" s="433">
        <f>IFERROR(__xludf.DUMMYFUNCTION("""COMPUTED_VALUE"""),1650.8951)</f>
        <v>1650.8951</v>
      </c>
    </row>
    <row r="2760">
      <c r="A2760" s="434">
        <f>IFERROR(__xludf.DUMMYFUNCTION("""COMPUTED_VALUE"""),45397.99861111111)</f>
        <v>45397.99861</v>
      </c>
      <c r="B2760" s="433">
        <f>IFERROR(__xludf.DUMMYFUNCTION("""COMPUTED_VALUE"""),63431.23)</f>
        <v>63431.23</v>
      </c>
      <c r="C2760" s="434">
        <f>IFERROR(__xludf.DUMMYFUNCTION("""COMPUTED_VALUE"""),44982.99861111111)</f>
        <v>44982.99861</v>
      </c>
      <c r="D2760" s="433">
        <f>IFERROR(__xludf.DUMMYFUNCTION("""COMPUTED_VALUE"""),1608.6584)</f>
        <v>1608.6584</v>
      </c>
    </row>
    <row r="2761">
      <c r="A2761" s="434">
        <f>IFERROR(__xludf.DUMMYFUNCTION("""COMPUTED_VALUE"""),45398.99861111111)</f>
        <v>45398.99861</v>
      </c>
      <c r="B2761" s="433">
        <f>IFERROR(__xludf.DUMMYFUNCTION("""COMPUTED_VALUE"""),63780.76)</f>
        <v>63780.76</v>
      </c>
      <c r="C2761" s="434">
        <f>IFERROR(__xludf.DUMMYFUNCTION("""COMPUTED_VALUE"""),44983.99861111111)</f>
        <v>44983.99861</v>
      </c>
      <c r="D2761" s="433">
        <f>IFERROR(__xludf.DUMMYFUNCTION("""COMPUTED_VALUE"""),1594.7611)</f>
        <v>1594.7611</v>
      </c>
    </row>
    <row r="2762">
      <c r="A2762" s="434">
        <f>IFERROR(__xludf.DUMMYFUNCTION("""COMPUTED_VALUE"""),45399.99861111111)</f>
        <v>45399.99861</v>
      </c>
      <c r="B2762" s="433">
        <f>IFERROR(__xludf.DUMMYFUNCTION("""COMPUTED_VALUE"""),61321.64)</f>
        <v>61321.64</v>
      </c>
      <c r="C2762" s="434">
        <f>IFERROR(__xludf.DUMMYFUNCTION("""COMPUTED_VALUE"""),44984.99861111111)</f>
        <v>44984.99861</v>
      </c>
      <c r="D2762" s="433">
        <f>IFERROR(__xludf.DUMMYFUNCTION("""COMPUTED_VALUE"""),1640.7637)</f>
        <v>1640.7637</v>
      </c>
    </row>
    <row r="2763">
      <c r="A2763" s="434">
        <f>IFERROR(__xludf.DUMMYFUNCTION("""COMPUTED_VALUE"""),45400.99861111111)</f>
        <v>45400.99861</v>
      </c>
      <c r="B2763" s="433">
        <f>IFERROR(__xludf.DUMMYFUNCTION("""COMPUTED_VALUE"""),63509.67)</f>
        <v>63509.67</v>
      </c>
      <c r="C2763" s="434">
        <f>IFERROR(__xludf.DUMMYFUNCTION("""COMPUTED_VALUE"""),44985.99861111111)</f>
        <v>44985.99861</v>
      </c>
      <c r="D2763" s="433">
        <f>IFERROR(__xludf.DUMMYFUNCTION("""COMPUTED_VALUE"""),1634.5024)</f>
        <v>1634.5024</v>
      </c>
    </row>
    <row r="2764">
      <c r="A2764" s="434">
        <f>IFERROR(__xludf.DUMMYFUNCTION("""COMPUTED_VALUE"""),45401.99861111111)</f>
        <v>45401.99861</v>
      </c>
      <c r="B2764" s="433">
        <f>IFERROR(__xludf.DUMMYFUNCTION("""COMPUTED_VALUE"""),63803.57)</f>
        <v>63803.57</v>
      </c>
      <c r="C2764" s="434">
        <f>IFERROR(__xludf.DUMMYFUNCTION("""COMPUTED_VALUE"""),44986.99861111111)</f>
        <v>44986.99861</v>
      </c>
      <c r="D2764" s="433">
        <f>IFERROR(__xludf.DUMMYFUNCTION("""COMPUTED_VALUE"""),1606.0404)</f>
        <v>1606.0404</v>
      </c>
    </row>
    <row r="2765">
      <c r="A2765" s="434">
        <f>IFERROR(__xludf.DUMMYFUNCTION("""COMPUTED_VALUE"""),45402.99861111111)</f>
        <v>45402.99861</v>
      </c>
      <c r="B2765" s="433">
        <f>IFERROR(__xludf.DUMMYFUNCTION("""COMPUTED_VALUE"""),64958.39)</f>
        <v>64958.39</v>
      </c>
      <c r="C2765" s="434">
        <f>IFERROR(__xludf.DUMMYFUNCTION("""COMPUTED_VALUE"""),44987.99861111111)</f>
        <v>44987.99861</v>
      </c>
      <c r="D2765" s="433">
        <f>IFERROR(__xludf.DUMMYFUNCTION("""COMPUTED_VALUE"""),1663.5491)</f>
        <v>1663.5491</v>
      </c>
    </row>
    <row r="2766">
      <c r="A2766" s="434">
        <f>IFERROR(__xludf.DUMMYFUNCTION("""COMPUTED_VALUE"""),45403.99861111111)</f>
        <v>45403.99861</v>
      </c>
      <c r="B2766" s="433">
        <f>IFERROR(__xludf.DUMMYFUNCTION("""COMPUTED_VALUE"""),64946.52)</f>
        <v>64946.52</v>
      </c>
      <c r="C2766" s="434">
        <f>IFERROR(__xludf.DUMMYFUNCTION("""COMPUTED_VALUE"""),44988.99861111111)</f>
        <v>44988.99861</v>
      </c>
      <c r="D2766" s="433">
        <f>IFERROR(__xludf.DUMMYFUNCTION("""COMPUTED_VALUE"""),1647.5578)</f>
        <v>1647.5578</v>
      </c>
    </row>
    <row r="2767">
      <c r="A2767" s="434">
        <f>IFERROR(__xludf.DUMMYFUNCTION("""COMPUTED_VALUE"""),45404.99861111111)</f>
        <v>45404.99861</v>
      </c>
      <c r="B2767" s="433">
        <f>IFERROR(__xludf.DUMMYFUNCTION("""COMPUTED_VALUE"""),66840.57)</f>
        <v>66840.57</v>
      </c>
      <c r="C2767" s="434">
        <f>IFERROR(__xludf.DUMMYFUNCTION("""COMPUTED_VALUE"""),44989.99861111111)</f>
        <v>44989.99861</v>
      </c>
      <c r="D2767" s="433">
        <f>IFERROR(__xludf.DUMMYFUNCTION("""COMPUTED_VALUE"""),1569.2781)</f>
        <v>1569.2781</v>
      </c>
    </row>
    <row r="2768">
      <c r="A2768" s="434">
        <f>IFERROR(__xludf.DUMMYFUNCTION("""COMPUTED_VALUE"""),45405.99861111111)</f>
        <v>45405.99861</v>
      </c>
      <c r="B2768" s="433">
        <f>IFERROR(__xludf.DUMMYFUNCTION("""COMPUTED_VALUE"""),66402.03)</f>
        <v>66402.03</v>
      </c>
      <c r="C2768" s="434">
        <f>IFERROR(__xludf.DUMMYFUNCTION("""COMPUTED_VALUE"""),44990.99861111111)</f>
        <v>44990.99861</v>
      </c>
      <c r="D2768" s="433">
        <f>IFERROR(__xludf.DUMMYFUNCTION("""COMPUTED_VALUE"""),1567.1793)</f>
        <v>1567.1793</v>
      </c>
    </row>
    <row r="2769">
      <c r="A2769" s="434">
        <f>IFERROR(__xludf.DUMMYFUNCTION("""COMPUTED_VALUE"""),45406.99861111111)</f>
        <v>45406.99861</v>
      </c>
      <c r="B2769" s="433">
        <f>IFERROR(__xludf.DUMMYFUNCTION("""COMPUTED_VALUE"""),64270.73)</f>
        <v>64270.73</v>
      </c>
      <c r="C2769" s="434">
        <f>IFERROR(__xludf.DUMMYFUNCTION("""COMPUTED_VALUE"""),44991.99861111111)</f>
        <v>44991.99861</v>
      </c>
      <c r="D2769" s="433">
        <f>IFERROR(__xludf.DUMMYFUNCTION("""COMPUTED_VALUE"""),1564.3831)</f>
        <v>1564.3831</v>
      </c>
    </row>
    <row r="2770">
      <c r="A2770" s="434">
        <f>IFERROR(__xludf.DUMMYFUNCTION("""COMPUTED_VALUE"""),45407.99861111111)</f>
        <v>45407.99861</v>
      </c>
      <c r="B2770" s="433">
        <f>IFERROR(__xludf.DUMMYFUNCTION("""COMPUTED_VALUE"""),64506.1)</f>
        <v>64506.1</v>
      </c>
      <c r="C2770" s="434">
        <f>IFERROR(__xludf.DUMMYFUNCTION("""COMPUTED_VALUE"""),44992.99861111111)</f>
        <v>44992.99861</v>
      </c>
      <c r="D2770" s="433">
        <f>IFERROR(__xludf.DUMMYFUNCTION("""COMPUTED_VALUE"""),1567.4246)</f>
        <v>1567.4246</v>
      </c>
    </row>
    <row r="2771">
      <c r="A2771" s="434">
        <f>IFERROR(__xludf.DUMMYFUNCTION("""COMPUTED_VALUE"""),45408.99861111111)</f>
        <v>45408.99861</v>
      </c>
      <c r="B2771" s="433">
        <f>IFERROR(__xludf.DUMMYFUNCTION("""COMPUTED_VALUE"""),63782.04)</f>
        <v>63782.04</v>
      </c>
      <c r="C2771" s="434">
        <f>IFERROR(__xludf.DUMMYFUNCTION("""COMPUTED_VALUE"""),44993.99861111111)</f>
        <v>44993.99861</v>
      </c>
      <c r="D2771" s="433">
        <f>IFERROR(__xludf.DUMMYFUNCTION("""COMPUTED_VALUE"""),1561.9779)</f>
        <v>1561.9779</v>
      </c>
    </row>
    <row r="2772">
      <c r="A2772" s="434">
        <f>IFERROR(__xludf.DUMMYFUNCTION("""COMPUTED_VALUE"""),45409.99861111111)</f>
        <v>45409.99861</v>
      </c>
      <c r="B2772" s="433">
        <f>IFERROR(__xludf.DUMMYFUNCTION("""COMPUTED_VALUE"""),63452.65)</f>
        <v>63452.65</v>
      </c>
      <c r="C2772" s="434">
        <f>IFERROR(__xludf.DUMMYFUNCTION("""COMPUTED_VALUE"""),44994.99861111111)</f>
        <v>44994.99861</v>
      </c>
      <c r="D2772" s="433">
        <f>IFERROR(__xludf.DUMMYFUNCTION("""COMPUTED_VALUE"""),1534.0317)</f>
        <v>1534.0317</v>
      </c>
    </row>
    <row r="2773">
      <c r="A2773" s="434">
        <f>IFERROR(__xludf.DUMMYFUNCTION("""COMPUTED_VALUE"""),45410.99861111111)</f>
        <v>45410.99861</v>
      </c>
      <c r="B2773" s="433">
        <f>IFERROR(__xludf.DUMMYFUNCTION("""COMPUTED_VALUE"""),62987.93)</f>
        <v>62987.93</v>
      </c>
      <c r="C2773" s="434">
        <f>IFERROR(__xludf.DUMMYFUNCTION("""COMPUTED_VALUE"""),44995.99861111111)</f>
        <v>44995.99861</v>
      </c>
      <c r="D2773" s="433">
        <f>IFERROR(__xludf.DUMMYFUNCTION("""COMPUTED_VALUE"""),1438.7602)</f>
        <v>1438.7602</v>
      </c>
    </row>
    <row r="2774">
      <c r="A2774" s="434">
        <f>IFERROR(__xludf.DUMMYFUNCTION("""COMPUTED_VALUE"""),45411.99861111111)</f>
        <v>45411.99861</v>
      </c>
      <c r="B2774" s="433">
        <f>IFERROR(__xludf.DUMMYFUNCTION("""COMPUTED_VALUE"""),63869.59)</f>
        <v>63869.59</v>
      </c>
      <c r="C2774" s="434">
        <f>IFERROR(__xludf.DUMMYFUNCTION("""COMPUTED_VALUE"""),44996.99861111111)</f>
        <v>44996.99861</v>
      </c>
      <c r="D2774" s="433">
        <f>IFERROR(__xludf.DUMMYFUNCTION("""COMPUTED_VALUE"""),1429.1008)</f>
        <v>1429.1008</v>
      </c>
    </row>
    <row r="2775">
      <c r="A2775" s="434">
        <f>IFERROR(__xludf.DUMMYFUNCTION("""COMPUTED_VALUE"""),45412.99861111111)</f>
        <v>45412.99861</v>
      </c>
      <c r="B2775" s="433">
        <f>IFERROR(__xludf.DUMMYFUNCTION("""COMPUTED_VALUE"""),60751.65)</f>
        <v>60751.65</v>
      </c>
      <c r="C2775" s="434">
        <f>IFERROR(__xludf.DUMMYFUNCTION("""COMPUTED_VALUE"""),44997.99861111111)</f>
        <v>44997.99861</v>
      </c>
      <c r="D2775" s="433">
        <f>IFERROR(__xludf.DUMMYFUNCTION("""COMPUTED_VALUE"""),1482.4319)</f>
        <v>1482.4319</v>
      </c>
    </row>
    <row r="2776">
      <c r="A2776" s="434">
        <f>IFERROR(__xludf.DUMMYFUNCTION("""COMPUTED_VALUE"""),45413.99861111111)</f>
        <v>45413.99861</v>
      </c>
      <c r="B2776" s="433">
        <f>IFERROR(__xludf.DUMMYFUNCTION("""COMPUTED_VALUE"""),58311.26)</f>
        <v>58311.26</v>
      </c>
      <c r="C2776" s="434">
        <f>IFERROR(__xludf.DUMMYFUNCTION("""COMPUTED_VALUE"""),44998.99861111111)</f>
        <v>44998.99861</v>
      </c>
      <c r="D2776" s="433">
        <f>IFERROR(__xludf.DUMMYFUNCTION("""COMPUTED_VALUE"""),1590.8312)</f>
        <v>1590.8312</v>
      </c>
    </row>
    <row r="2777">
      <c r="A2777" s="434">
        <f>IFERROR(__xludf.DUMMYFUNCTION("""COMPUTED_VALUE"""),45414.99861111111)</f>
        <v>45414.99861</v>
      </c>
      <c r="B2777" s="433">
        <f>IFERROR(__xludf.DUMMYFUNCTION("""COMPUTED_VALUE"""),59146.74)</f>
        <v>59146.74</v>
      </c>
      <c r="C2777" s="434">
        <f>IFERROR(__xludf.DUMMYFUNCTION("""COMPUTED_VALUE"""),44999.99861111111)</f>
        <v>44999.99861</v>
      </c>
      <c r="D2777" s="433">
        <f>IFERROR(__xludf.DUMMYFUNCTION("""COMPUTED_VALUE"""),1680.2953)</f>
        <v>1680.2953</v>
      </c>
    </row>
    <row r="2778">
      <c r="A2778" s="434">
        <f>IFERROR(__xludf.DUMMYFUNCTION("""COMPUTED_VALUE"""),45415.99861111111)</f>
        <v>45415.99861</v>
      </c>
      <c r="B2778" s="433">
        <f>IFERROR(__xludf.DUMMYFUNCTION("""COMPUTED_VALUE"""),62914.16)</f>
        <v>62914.16</v>
      </c>
      <c r="C2778" s="434">
        <f>IFERROR(__xludf.DUMMYFUNCTION("""COMPUTED_VALUE"""),45000.99861111111)</f>
        <v>45000.99861</v>
      </c>
      <c r="D2778" s="433">
        <f>IFERROR(__xludf.DUMMYFUNCTION("""COMPUTED_VALUE"""),1705.19)</f>
        <v>1705.19</v>
      </c>
    </row>
    <row r="2779">
      <c r="A2779" s="434">
        <f>IFERROR(__xludf.DUMMYFUNCTION("""COMPUTED_VALUE"""),45416.99861111111)</f>
        <v>45416.99861</v>
      </c>
      <c r="B2779" s="433">
        <f>IFERROR(__xludf.DUMMYFUNCTION("""COMPUTED_VALUE"""),63866.37)</f>
        <v>63866.37</v>
      </c>
      <c r="C2779" s="434">
        <f>IFERROR(__xludf.DUMMYFUNCTION("""COMPUTED_VALUE"""),45001.99861111111)</f>
        <v>45001.99861</v>
      </c>
      <c r="D2779" s="433">
        <f>IFERROR(__xludf.DUMMYFUNCTION("""COMPUTED_VALUE"""),1656.332)</f>
        <v>1656.332</v>
      </c>
    </row>
    <row r="2780">
      <c r="A2780" s="434">
        <f>IFERROR(__xludf.DUMMYFUNCTION("""COMPUTED_VALUE"""),45417.99861111111)</f>
        <v>45417.99861</v>
      </c>
      <c r="B2780" s="433">
        <f>IFERROR(__xludf.DUMMYFUNCTION("""COMPUTED_VALUE"""),63928.8)</f>
        <v>63928.8</v>
      </c>
      <c r="C2780" s="434">
        <f>IFERROR(__xludf.DUMMYFUNCTION("""COMPUTED_VALUE"""),45002.99861111111)</f>
        <v>45002.99861</v>
      </c>
      <c r="D2780" s="433">
        <f>IFERROR(__xludf.DUMMYFUNCTION("""COMPUTED_VALUE"""),1677.2967)</f>
        <v>1677.2967</v>
      </c>
    </row>
    <row r="2781">
      <c r="A2781" s="434">
        <f>IFERROR(__xludf.DUMMYFUNCTION("""COMPUTED_VALUE"""),45418.99861111111)</f>
        <v>45418.99861</v>
      </c>
      <c r="B2781" s="433">
        <f>IFERROR(__xludf.DUMMYFUNCTION("""COMPUTED_VALUE"""),63193.37)</f>
        <v>63193.37</v>
      </c>
      <c r="C2781" s="434">
        <f>IFERROR(__xludf.DUMMYFUNCTION("""COMPUTED_VALUE"""),45003.99861111111)</f>
        <v>45003.99861</v>
      </c>
      <c r="D2781" s="433">
        <f>IFERROR(__xludf.DUMMYFUNCTION("""COMPUTED_VALUE"""),1793.5924)</f>
        <v>1793.5924</v>
      </c>
    </row>
    <row r="2782">
      <c r="A2782" s="434">
        <f>IFERROR(__xludf.DUMMYFUNCTION("""COMPUTED_VALUE"""),45419.99861111111)</f>
        <v>45419.99861</v>
      </c>
      <c r="B2782" s="433">
        <f>IFERROR(__xludf.DUMMYFUNCTION("""COMPUTED_VALUE"""),62382.92)</f>
        <v>62382.92</v>
      </c>
      <c r="C2782" s="434">
        <f>IFERROR(__xludf.DUMMYFUNCTION("""COMPUTED_VALUE"""),45004.99861111111)</f>
        <v>45004.99861</v>
      </c>
      <c r="D2782" s="433">
        <f>IFERROR(__xludf.DUMMYFUNCTION("""COMPUTED_VALUE"""),1762.9632)</f>
        <v>1762.9632</v>
      </c>
    </row>
    <row r="2783">
      <c r="A2783" s="434">
        <f>IFERROR(__xludf.DUMMYFUNCTION("""COMPUTED_VALUE"""),45420.99861111111)</f>
        <v>45420.99861</v>
      </c>
      <c r="B2783" s="433">
        <f>IFERROR(__xludf.DUMMYFUNCTION("""COMPUTED_VALUE"""),61105.57)</f>
        <v>61105.57</v>
      </c>
      <c r="C2783" s="434">
        <f>IFERROR(__xludf.DUMMYFUNCTION("""COMPUTED_VALUE"""),45005.99861111111)</f>
        <v>45005.99861</v>
      </c>
      <c r="D2783" s="433">
        <f>IFERROR(__xludf.DUMMYFUNCTION("""COMPUTED_VALUE"""),1785.4163)</f>
        <v>1785.4163</v>
      </c>
    </row>
    <row r="2784">
      <c r="A2784" s="434">
        <f>IFERROR(__xludf.DUMMYFUNCTION("""COMPUTED_VALUE"""),45421.99861111111)</f>
        <v>45421.99861</v>
      </c>
      <c r="B2784" s="433">
        <f>IFERROR(__xludf.DUMMYFUNCTION("""COMPUTED_VALUE"""),63025.2)</f>
        <v>63025.2</v>
      </c>
      <c r="C2784" s="434">
        <f>IFERROR(__xludf.DUMMYFUNCTION("""COMPUTED_VALUE"""),45006.99861111111)</f>
        <v>45006.99861</v>
      </c>
      <c r="D2784" s="433">
        <f>IFERROR(__xludf.DUMMYFUNCTION("""COMPUTED_VALUE"""),1735.618)</f>
        <v>1735.618</v>
      </c>
    </row>
    <row r="2785">
      <c r="A2785" s="434">
        <f>IFERROR(__xludf.DUMMYFUNCTION("""COMPUTED_VALUE"""),45422.99861111111)</f>
        <v>45422.99861</v>
      </c>
      <c r="B2785" s="433">
        <f>IFERROR(__xludf.DUMMYFUNCTION("""COMPUTED_VALUE"""),60863.24)</f>
        <v>60863.24</v>
      </c>
      <c r="C2785" s="434">
        <f>IFERROR(__xludf.DUMMYFUNCTION("""COMPUTED_VALUE"""),45007.99861111111)</f>
        <v>45007.99861</v>
      </c>
      <c r="D2785" s="433">
        <f>IFERROR(__xludf.DUMMYFUNCTION("""COMPUTED_VALUE"""),1804.957)</f>
        <v>1804.957</v>
      </c>
    </row>
    <row r="2786">
      <c r="A2786" s="434">
        <f>IFERROR(__xludf.DUMMYFUNCTION("""COMPUTED_VALUE"""),45424.99861111111)</f>
        <v>45424.99861</v>
      </c>
      <c r="B2786" s="433">
        <f>IFERROR(__xludf.DUMMYFUNCTION("""COMPUTED_VALUE"""),60914.79)</f>
        <v>60914.79</v>
      </c>
      <c r="C2786" s="434">
        <f>IFERROR(__xludf.DUMMYFUNCTION("""COMPUTED_VALUE"""),45008.99861111111)</f>
        <v>45008.99861</v>
      </c>
      <c r="D2786" s="433">
        <f>IFERROR(__xludf.DUMMYFUNCTION("""COMPUTED_VALUE"""),1737.1409)</f>
        <v>1737.1409</v>
      </c>
    </row>
    <row r="2787">
      <c r="A2787" s="434">
        <f>IFERROR(__xludf.DUMMYFUNCTION("""COMPUTED_VALUE"""),45425.99861111111)</f>
        <v>45425.99861</v>
      </c>
      <c r="B2787" s="433">
        <f>IFERROR(__xludf.DUMMYFUNCTION("""COMPUTED_VALUE"""),61151.16)</f>
        <v>61151.16</v>
      </c>
      <c r="C2787" s="434">
        <f>IFERROR(__xludf.DUMMYFUNCTION("""COMPUTED_VALUE"""),45009.99861111111)</f>
        <v>45009.99861</v>
      </c>
      <c r="D2787" s="433">
        <f>IFERROR(__xludf.DUMMYFUNCTION("""COMPUTED_VALUE"""),1815.8198)</f>
        <v>1815.8198</v>
      </c>
    </row>
    <row r="2788">
      <c r="A2788" s="434">
        <f>IFERROR(__xludf.DUMMYFUNCTION("""COMPUTED_VALUE"""),45426.99861111111)</f>
        <v>45426.99861</v>
      </c>
      <c r="B2788" s="433">
        <f>IFERROR(__xludf.DUMMYFUNCTION("""COMPUTED_VALUE"""),62425.72)</f>
        <v>62425.72</v>
      </c>
      <c r="C2788" s="434">
        <f>IFERROR(__xludf.DUMMYFUNCTION("""COMPUTED_VALUE"""),45010.99861111111)</f>
        <v>45010.99861</v>
      </c>
      <c r="D2788" s="433">
        <f>IFERROR(__xludf.DUMMYFUNCTION("""COMPUTED_VALUE"""),1751.4695)</f>
        <v>1751.4695</v>
      </c>
    </row>
    <row r="2789">
      <c r="A2789" s="434">
        <f>IFERROR(__xludf.DUMMYFUNCTION("""COMPUTED_VALUE"""),45427.99861111111)</f>
        <v>45427.99861</v>
      </c>
      <c r="B2789" s="433">
        <f>IFERROR(__xludf.DUMMYFUNCTION("""COMPUTED_VALUE"""),61854.5)</f>
        <v>61854.5</v>
      </c>
      <c r="C2789" s="434">
        <f>IFERROR(__xludf.DUMMYFUNCTION("""COMPUTED_VALUE"""),45011.99861111111)</f>
        <v>45011.99861</v>
      </c>
      <c r="D2789" s="433">
        <f>IFERROR(__xludf.DUMMYFUNCTION("""COMPUTED_VALUE"""),1743.8421)</f>
        <v>1743.8421</v>
      </c>
    </row>
    <row r="2790">
      <c r="A2790" s="434">
        <f>IFERROR(__xludf.DUMMYFUNCTION("""COMPUTED_VALUE"""),45428.99861111111)</f>
        <v>45428.99861</v>
      </c>
      <c r="B2790" s="433">
        <f>IFERROR(__xludf.DUMMYFUNCTION("""COMPUTED_VALUE"""),66077.67)</f>
        <v>66077.67</v>
      </c>
      <c r="C2790" s="434">
        <f>IFERROR(__xludf.DUMMYFUNCTION("""COMPUTED_VALUE"""),45012.99861111111)</f>
        <v>45012.99861</v>
      </c>
      <c r="D2790" s="433">
        <f>IFERROR(__xludf.DUMMYFUNCTION("""COMPUTED_VALUE"""),1775.4813)</f>
        <v>1775.4813</v>
      </c>
    </row>
    <row r="2791">
      <c r="A2791" s="434">
        <f>IFERROR(__xludf.DUMMYFUNCTION("""COMPUTED_VALUE"""),45429.99861111111)</f>
        <v>45429.99861</v>
      </c>
      <c r="B2791" s="433">
        <f>IFERROR(__xludf.DUMMYFUNCTION("""COMPUTED_VALUE"""),65647.21)</f>
        <v>65647.21</v>
      </c>
      <c r="C2791" s="434">
        <f>IFERROR(__xludf.DUMMYFUNCTION("""COMPUTED_VALUE"""),45013.99861111111)</f>
        <v>45013.99861</v>
      </c>
      <c r="D2791" s="433">
        <f>IFERROR(__xludf.DUMMYFUNCTION("""COMPUTED_VALUE"""),1715.3274)</f>
        <v>1715.3274</v>
      </c>
    </row>
    <row r="2792">
      <c r="A2792" s="434">
        <f>IFERROR(__xludf.DUMMYFUNCTION("""COMPUTED_VALUE"""),45430.99861111111)</f>
        <v>45430.99861</v>
      </c>
      <c r="B2792" s="433">
        <f>IFERROR(__xludf.DUMMYFUNCTION("""COMPUTED_VALUE"""),66964.48)</f>
        <v>66964.48</v>
      </c>
      <c r="C2792" s="434">
        <f>IFERROR(__xludf.DUMMYFUNCTION("""COMPUTED_VALUE"""),45014.99861111111)</f>
        <v>45014.99861</v>
      </c>
      <c r="D2792" s="433">
        <f>IFERROR(__xludf.DUMMYFUNCTION("""COMPUTED_VALUE"""),1772.9)</f>
        <v>1772.9</v>
      </c>
    </row>
    <row r="2793">
      <c r="A2793" s="434">
        <f>IFERROR(__xludf.DUMMYFUNCTION("""COMPUTED_VALUE"""),45431.99861111111)</f>
        <v>45431.99861</v>
      </c>
      <c r="B2793" s="433">
        <f>IFERROR(__xludf.DUMMYFUNCTION("""COMPUTED_VALUE"""),67052.87)</f>
        <v>67052.87</v>
      </c>
      <c r="C2793" s="434">
        <f>IFERROR(__xludf.DUMMYFUNCTION("""COMPUTED_VALUE"""),45015.99861111111)</f>
        <v>45015.99861</v>
      </c>
      <c r="D2793" s="433">
        <f>IFERROR(__xludf.DUMMYFUNCTION("""COMPUTED_VALUE"""),1793.3459)</f>
        <v>1793.3459</v>
      </c>
    </row>
    <row r="2794">
      <c r="A2794" s="434">
        <f>IFERROR(__xludf.DUMMYFUNCTION("""COMPUTED_VALUE"""),45432.99861111111)</f>
        <v>45432.99861</v>
      </c>
      <c r="B2794" s="433">
        <f>IFERROR(__xludf.DUMMYFUNCTION("""COMPUTED_VALUE"""),66680.9)</f>
        <v>66680.9</v>
      </c>
      <c r="C2794" s="434">
        <f>IFERROR(__xludf.DUMMYFUNCTION("""COMPUTED_VALUE"""),45016.99861111111)</f>
        <v>45016.99861</v>
      </c>
      <c r="D2794" s="433">
        <f>IFERROR(__xludf.DUMMYFUNCTION("""COMPUTED_VALUE"""),1793.6201)</f>
        <v>1793.6201</v>
      </c>
    </row>
    <row r="2795">
      <c r="A2795" s="434">
        <f>IFERROR(__xludf.DUMMYFUNCTION("""COMPUTED_VALUE"""),45433.99861111111)</f>
        <v>45433.99861</v>
      </c>
      <c r="B2795" s="433">
        <f>IFERROR(__xludf.DUMMYFUNCTION("""COMPUTED_VALUE"""),71227.18)</f>
        <v>71227.18</v>
      </c>
      <c r="C2795" s="434">
        <f>IFERROR(__xludf.DUMMYFUNCTION("""COMPUTED_VALUE"""),45017.99861111111)</f>
        <v>45017.99861</v>
      </c>
      <c r="D2795" s="433">
        <f>IFERROR(__xludf.DUMMYFUNCTION("""COMPUTED_VALUE"""),1821.7044)</f>
        <v>1821.7044</v>
      </c>
    </row>
    <row r="2796">
      <c r="A2796" s="434">
        <f>IFERROR(__xludf.DUMMYFUNCTION("""COMPUTED_VALUE"""),45434.99861111111)</f>
        <v>45434.99861</v>
      </c>
      <c r="B2796" s="433">
        <f>IFERROR(__xludf.DUMMYFUNCTION("""COMPUTED_VALUE"""),69901.25)</f>
        <v>69901.25</v>
      </c>
      <c r="C2796" s="434">
        <f>IFERROR(__xludf.DUMMYFUNCTION("""COMPUTED_VALUE"""),45018.99861111111)</f>
        <v>45018.99861</v>
      </c>
      <c r="D2796" s="433">
        <f>IFERROR(__xludf.DUMMYFUNCTION("""COMPUTED_VALUE"""),1821.1921)</f>
        <v>1821.1921</v>
      </c>
    </row>
    <row r="2797">
      <c r="A2797" s="434">
        <f>IFERROR(__xludf.DUMMYFUNCTION("""COMPUTED_VALUE"""),45435.99861111111)</f>
        <v>45435.99861</v>
      </c>
      <c r="B2797" s="433">
        <f>IFERROR(__xludf.DUMMYFUNCTION("""COMPUTED_VALUE"""),69334.23)</f>
        <v>69334.23</v>
      </c>
      <c r="C2797" s="434">
        <f>IFERROR(__xludf.DUMMYFUNCTION("""COMPUTED_VALUE"""),45019.99861111111)</f>
        <v>45019.99861</v>
      </c>
      <c r="D2797" s="433">
        <f>IFERROR(__xludf.DUMMYFUNCTION("""COMPUTED_VALUE"""),1794.9224)</f>
        <v>1794.9224</v>
      </c>
    </row>
    <row r="2798">
      <c r="A2798" s="434">
        <f>IFERROR(__xludf.DUMMYFUNCTION("""COMPUTED_VALUE"""),45436.99861111111)</f>
        <v>45436.99861</v>
      </c>
      <c r="B2798" s="433">
        <f>IFERROR(__xludf.DUMMYFUNCTION("""COMPUTED_VALUE"""),67851.91)</f>
        <v>67851.91</v>
      </c>
      <c r="C2798" s="434">
        <f>IFERROR(__xludf.DUMMYFUNCTION("""COMPUTED_VALUE"""),45020.99861111111)</f>
        <v>45020.99861</v>
      </c>
      <c r="D2798" s="433">
        <f>IFERROR(__xludf.DUMMYFUNCTION("""COMPUTED_VALUE"""),1810.1421)</f>
        <v>1810.1421</v>
      </c>
    </row>
    <row r="2799">
      <c r="A2799" s="434">
        <f>IFERROR(__xludf.DUMMYFUNCTION("""COMPUTED_VALUE"""),45437.99861111111)</f>
        <v>45437.99861</v>
      </c>
      <c r="B2799" s="433">
        <f>IFERROR(__xludf.DUMMYFUNCTION("""COMPUTED_VALUE"""),68747.1)</f>
        <v>68747.1</v>
      </c>
      <c r="C2799" s="434">
        <f>IFERROR(__xludf.DUMMYFUNCTION("""COMPUTED_VALUE"""),45021.99861111111)</f>
        <v>45021.99861</v>
      </c>
      <c r="D2799" s="433">
        <f>IFERROR(__xludf.DUMMYFUNCTION("""COMPUTED_VALUE"""),1870.9651)</f>
        <v>1870.9651</v>
      </c>
    </row>
    <row r="2800">
      <c r="A2800" s="434">
        <f>IFERROR(__xludf.DUMMYFUNCTION("""COMPUTED_VALUE"""),45438.99861111111)</f>
        <v>45438.99861</v>
      </c>
      <c r="B2800" s="433">
        <f>IFERROR(__xludf.DUMMYFUNCTION("""COMPUTED_VALUE"""),69076.61)</f>
        <v>69076.61</v>
      </c>
      <c r="C2800" s="434">
        <f>IFERROR(__xludf.DUMMYFUNCTION("""COMPUTED_VALUE"""),45022.99861111111)</f>
        <v>45022.99861</v>
      </c>
      <c r="D2800" s="433">
        <f>IFERROR(__xludf.DUMMYFUNCTION("""COMPUTED_VALUE"""),1909.1435)</f>
        <v>1909.1435</v>
      </c>
    </row>
    <row r="2801">
      <c r="A2801" s="434">
        <f>IFERROR(__xludf.DUMMYFUNCTION("""COMPUTED_VALUE"""),45439.99861111111)</f>
        <v>45439.99861</v>
      </c>
      <c r="B2801" s="433">
        <f>IFERROR(__xludf.DUMMYFUNCTION("""COMPUTED_VALUE"""),68914.83)</f>
        <v>68914.83</v>
      </c>
      <c r="C2801" s="434">
        <f>IFERROR(__xludf.DUMMYFUNCTION("""COMPUTED_VALUE"""),45023.99861111111)</f>
        <v>45023.99861</v>
      </c>
      <c r="D2801" s="433">
        <f>IFERROR(__xludf.DUMMYFUNCTION("""COMPUTED_VALUE"""),1872.7341)</f>
        <v>1872.7341</v>
      </c>
    </row>
    <row r="2802">
      <c r="A2802" s="434">
        <f>IFERROR(__xludf.DUMMYFUNCTION("""COMPUTED_VALUE"""),45440.99861111111)</f>
        <v>45440.99861</v>
      </c>
      <c r="B2802" s="433">
        <f>IFERROR(__xludf.DUMMYFUNCTION("""COMPUTED_VALUE"""),68102.04)</f>
        <v>68102.04</v>
      </c>
      <c r="C2802" s="434">
        <f>IFERROR(__xludf.DUMMYFUNCTION("""COMPUTED_VALUE"""),45024.99861111111)</f>
        <v>45024.99861</v>
      </c>
      <c r="D2802" s="433">
        <f>IFERROR(__xludf.DUMMYFUNCTION("""COMPUTED_VALUE"""),1864.6791)</f>
        <v>1864.6791</v>
      </c>
    </row>
    <row r="2803">
      <c r="A2803" s="434">
        <f>IFERROR(__xludf.DUMMYFUNCTION("""COMPUTED_VALUE"""),45441.99861111111)</f>
        <v>45441.99861</v>
      </c>
      <c r="B2803" s="433">
        <f>IFERROR(__xludf.DUMMYFUNCTION("""COMPUTED_VALUE"""),68713.48)</f>
        <v>68713.48</v>
      </c>
      <c r="C2803" s="434">
        <f>IFERROR(__xludf.DUMMYFUNCTION("""COMPUTED_VALUE"""),45025.99861111111)</f>
        <v>45025.99861</v>
      </c>
      <c r="D2803" s="433">
        <f>IFERROR(__xludf.DUMMYFUNCTION("""COMPUTED_VALUE"""),1849.6723)</f>
        <v>1849.6723</v>
      </c>
    </row>
    <row r="2804">
      <c r="A2804" s="434">
        <f>IFERROR(__xludf.DUMMYFUNCTION("""COMPUTED_VALUE"""),45442.99861111111)</f>
        <v>45442.99861</v>
      </c>
      <c r="B2804" s="433">
        <f>IFERROR(__xludf.DUMMYFUNCTION("""COMPUTED_VALUE"""),68038.64)</f>
        <v>68038.64</v>
      </c>
      <c r="C2804" s="434">
        <f>IFERROR(__xludf.DUMMYFUNCTION("""COMPUTED_VALUE"""),45026.99861111111)</f>
        <v>45026.99861</v>
      </c>
      <c r="D2804" s="433">
        <f>IFERROR(__xludf.DUMMYFUNCTION("""COMPUTED_VALUE"""),1859.7412)</f>
        <v>1859.7412</v>
      </c>
    </row>
    <row r="2805">
      <c r="A2805" s="434">
        <f>IFERROR(__xludf.DUMMYFUNCTION("""COMPUTED_VALUE"""),45443.99861111111)</f>
        <v>45443.99861</v>
      </c>
      <c r="B2805" s="433">
        <f>IFERROR(__xludf.DUMMYFUNCTION("""COMPUTED_VALUE"""),68571.17)</f>
        <v>68571.17</v>
      </c>
      <c r="C2805" s="434">
        <f>IFERROR(__xludf.DUMMYFUNCTION("""COMPUTED_VALUE"""),45027.99861111111)</f>
        <v>45027.99861</v>
      </c>
      <c r="D2805" s="433">
        <f>IFERROR(__xludf.DUMMYFUNCTION("""COMPUTED_VALUE"""),1911.3758)</f>
        <v>1911.3758</v>
      </c>
    </row>
    <row r="2806">
      <c r="A2806" s="434">
        <f>IFERROR(__xludf.DUMMYFUNCTION("""COMPUTED_VALUE"""),45444.99861111111)</f>
        <v>45444.99861</v>
      </c>
      <c r="B2806" s="433">
        <f>IFERROR(__xludf.DUMMYFUNCTION("""COMPUTED_VALUE"""),67659.3)</f>
        <v>67659.3</v>
      </c>
      <c r="C2806" s="434">
        <f>IFERROR(__xludf.DUMMYFUNCTION("""COMPUTED_VALUE"""),45028.99861111111)</f>
        <v>45028.99861</v>
      </c>
      <c r="D2806" s="433">
        <f>IFERROR(__xludf.DUMMYFUNCTION("""COMPUTED_VALUE"""),1891.9498)</f>
        <v>1891.9498</v>
      </c>
    </row>
    <row r="2807">
      <c r="A2807" s="434">
        <f>IFERROR(__xludf.DUMMYFUNCTION("""COMPUTED_VALUE"""),45445.99861111111)</f>
        <v>45445.99861</v>
      </c>
      <c r="B2807" s="433">
        <f>IFERROR(__xludf.DUMMYFUNCTION("""COMPUTED_VALUE"""),67737.81)</f>
        <v>67737.81</v>
      </c>
      <c r="C2807" s="434">
        <f>IFERROR(__xludf.DUMMYFUNCTION("""COMPUTED_VALUE"""),45029.99861111111)</f>
        <v>45029.99861</v>
      </c>
      <c r="D2807" s="433">
        <f>IFERROR(__xludf.DUMMYFUNCTION("""COMPUTED_VALUE"""),1917.6983)</f>
        <v>1917.6983</v>
      </c>
    </row>
    <row r="2808">
      <c r="A2808" s="434">
        <f>IFERROR(__xludf.DUMMYFUNCTION("""COMPUTED_VALUE"""),45446.99861111111)</f>
        <v>45446.99861</v>
      </c>
      <c r="B2808" s="433">
        <f>IFERROR(__xludf.DUMMYFUNCTION("""COMPUTED_VALUE"""),68358.28)</f>
        <v>68358.28</v>
      </c>
      <c r="C2808" s="434">
        <f>IFERROR(__xludf.DUMMYFUNCTION("""COMPUTED_VALUE"""),45030.99861111111)</f>
        <v>45030.99861</v>
      </c>
      <c r="D2808" s="433">
        <f>IFERROR(__xludf.DUMMYFUNCTION("""COMPUTED_VALUE"""),2013.9306)</f>
        <v>2013.9306</v>
      </c>
    </row>
    <row r="2809">
      <c r="A2809" s="434">
        <f>IFERROR(__xludf.DUMMYFUNCTION("""COMPUTED_VALUE"""),45447.99861111111)</f>
        <v>45447.99861</v>
      </c>
      <c r="B2809" s="433">
        <f>IFERROR(__xludf.DUMMYFUNCTION("""COMPUTED_VALUE"""),69155.55)</f>
        <v>69155.55</v>
      </c>
      <c r="C2809" s="434">
        <f>IFERROR(__xludf.DUMMYFUNCTION("""COMPUTED_VALUE"""),45031.99861111111)</f>
        <v>45031.99861</v>
      </c>
      <c r="D2809" s="433">
        <f>IFERROR(__xludf.DUMMYFUNCTION("""COMPUTED_VALUE"""),2101.6164)</f>
        <v>2101.6164</v>
      </c>
    </row>
    <row r="2810">
      <c r="A2810" s="434">
        <f>IFERROR(__xludf.DUMMYFUNCTION("""COMPUTED_VALUE"""),45448.99861111111)</f>
        <v>45448.99861</v>
      </c>
      <c r="B2810" s="433">
        <f>IFERROR(__xludf.DUMMYFUNCTION("""COMPUTED_VALUE"""),70883.12)</f>
        <v>70883.12</v>
      </c>
      <c r="C2810" s="434">
        <f>IFERROR(__xludf.DUMMYFUNCTION("""COMPUTED_VALUE"""),45032.99861111111)</f>
        <v>45032.99861</v>
      </c>
      <c r="D2810" s="433">
        <f>IFERROR(__xludf.DUMMYFUNCTION("""COMPUTED_VALUE"""),2092.2809)</f>
        <v>2092.2809</v>
      </c>
    </row>
    <row r="2811">
      <c r="A2811" s="434">
        <f>IFERROR(__xludf.DUMMYFUNCTION("""COMPUTED_VALUE"""),45449.99861111111)</f>
        <v>45449.99861</v>
      </c>
      <c r="B2811" s="433">
        <f>IFERROR(__xludf.DUMMYFUNCTION("""COMPUTED_VALUE"""),71103.14)</f>
        <v>71103.14</v>
      </c>
      <c r="C2811" s="434">
        <f>IFERROR(__xludf.DUMMYFUNCTION("""COMPUTED_VALUE"""),45033.99861111111)</f>
        <v>45033.99861</v>
      </c>
      <c r="D2811" s="433">
        <f>IFERROR(__xludf.DUMMYFUNCTION("""COMPUTED_VALUE"""),2120.0012)</f>
        <v>2120.0012</v>
      </c>
    </row>
    <row r="2812">
      <c r="A2812" s="434">
        <f>IFERROR(__xludf.DUMMYFUNCTION("""COMPUTED_VALUE"""),45450.99861111111)</f>
        <v>45450.99861</v>
      </c>
      <c r="B2812" s="433">
        <f>IFERROR(__xludf.DUMMYFUNCTION("""COMPUTED_VALUE"""),70959.8)</f>
        <v>70959.8</v>
      </c>
      <c r="C2812" s="434">
        <f>IFERROR(__xludf.DUMMYFUNCTION("""COMPUTED_VALUE"""),45034.99861111111)</f>
        <v>45034.99861</v>
      </c>
      <c r="D2812" s="433">
        <f>IFERROR(__xludf.DUMMYFUNCTION("""COMPUTED_VALUE"""),2075.8553)</f>
        <v>2075.8553</v>
      </c>
    </row>
    <row r="2813">
      <c r="A2813" s="434">
        <f>IFERROR(__xludf.DUMMYFUNCTION("""COMPUTED_VALUE"""),45451.99861111111)</f>
        <v>45451.99861</v>
      </c>
      <c r="B2813" s="433">
        <f>IFERROR(__xludf.DUMMYFUNCTION("""COMPUTED_VALUE"""),69445.59)</f>
        <v>69445.59</v>
      </c>
      <c r="C2813" s="434">
        <f>IFERROR(__xludf.DUMMYFUNCTION("""COMPUTED_VALUE"""),45035.99861111111)</f>
        <v>45035.99861</v>
      </c>
      <c r="D2813" s="433">
        <f>IFERROR(__xludf.DUMMYFUNCTION("""COMPUTED_VALUE"""),2103.9464)</f>
        <v>2103.9464</v>
      </c>
    </row>
    <row r="2814">
      <c r="A2814" s="434">
        <f>IFERROR(__xludf.DUMMYFUNCTION("""COMPUTED_VALUE"""),45452.99861111111)</f>
        <v>45452.99861</v>
      </c>
      <c r="B2814" s="433">
        <f>IFERROR(__xludf.DUMMYFUNCTION("""COMPUTED_VALUE"""),69277.68)</f>
        <v>69277.68</v>
      </c>
      <c r="C2814" s="434">
        <f>IFERROR(__xludf.DUMMYFUNCTION("""COMPUTED_VALUE"""),45036.99861111111)</f>
        <v>45036.99861</v>
      </c>
      <c r="D2814" s="433">
        <f>IFERROR(__xludf.DUMMYFUNCTION("""COMPUTED_VALUE"""),1936.4179)</f>
        <v>1936.4179</v>
      </c>
    </row>
    <row r="2815">
      <c r="A2815" s="434">
        <f>IFERROR(__xludf.DUMMYFUNCTION("""COMPUTED_VALUE"""),45453.99861111111)</f>
        <v>45453.99861</v>
      </c>
      <c r="B2815" s="433">
        <f>IFERROR(__xludf.DUMMYFUNCTION("""COMPUTED_VALUE"""),69633.42)</f>
        <v>69633.42</v>
      </c>
      <c r="C2815" s="434">
        <f>IFERROR(__xludf.DUMMYFUNCTION("""COMPUTED_VALUE"""),45037.99861111111)</f>
        <v>45037.99861</v>
      </c>
      <c r="D2815" s="433">
        <f>IFERROR(__xludf.DUMMYFUNCTION("""COMPUTED_VALUE"""),1943.4099)</f>
        <v>1943.4099</v>
      </c>
    </row>
    <row r="2816">
      <c r="A2816" s="434">
        <f>IFERROR(__xludf.DUMMYFUNCTION("""COMPUTED_VALUE"""),45454.99861111111)</f>
        <v>45454.99861</v>
      </c>
      <c r="B2816" s="433">
        <f>IFERROR(__xludf.DUMMYFUNCTION("""COMPUTED_VALUE"""),68405.53)</f>
        <v>68405.53</v>
      </c>
      <c r="C2816" s="434">
        <f>IFERROR(__xludf.DUMMYFUNCTION("""COMPUTED_VALUE"""),45038.99861111111)</f>
        <v>45038.99861</v>
      </c>
      <c r="D2816" s="433">
        <f>IFERROR(__xludf.DUMMYFUNCTION("""COMPUTED_VALUE"""),1849.2865)</f>
        <v>1849.2865</v>
      </c>
    </row>
    <row r="2817">
      <c r="A2817" s="434">
        <f>IFERROR(__xludf.DUMMYFUNCTION("""COMPUTED_VALUE"""),45455.99861111111)</f>
        <v>45455.99861</v>
      </c>
      <c r="B2817" s="433">
        <f>IFERROR(__xludf.DUMMYFUNCTION("""COMPUTED_VALUE"""),67369.51)</f>
        <v>67369.51</v>
      </c>
      <c r="C2817" s="434">
        <f>IFERROR(__xludf.DUMMYFUNCTION("""COMPUTED_VALUE"""),45039.99861111111)</f>
        <v>45039.99861</v>
      </c>
      <c r="D2817" s="433">
        <f>IFERROR(__xludf.DUMMYFUNCTION("""COMPUTED_VALUE"""),1874.1715)</f>
        <v>1874.1715</v>
      </c>
    </row>
    <row r="2818">
      <c r="A2818" s="434">
        <f>IFERROR(__xludf.DUMMYFUNCTION("""COMPUTED_VALUE"""),45456.99861111111)</f>
        <v>45456.99861</v>
      </c>
      <c r="B2818" s="433">
        <f>IFERROR(__xludf.DUMMYFUNCTION("""COMPUTED_VALUE"""),67363.84)</f>
        <v>67363.84</v>
      </c>
      <c r="C2818" s="434">
        <f>IFERROR(__xludf.DUMMYFUNCTION("""COMPUTED_VALUE"""),45040.99861111111)</f>
        <v>45040.99861</v>
      </c>
      <c r="D2818" s="433">
        <f>IFERROR(__xludf.DUMMYFUNCTION("""COMPUTED_VALUE"""),1862.0853)</f>
        <v>1862.0853</v>
      </c>
    </row>
    <row r="2819">
      <c r="A2819" s="434">
        <f>IFERROR(__xludf.DUMMYFUNCTION("""COMPUTED_VALUE"""),45457.99861111111)</f>
        <v>45457.99861</v>
      </c>
      <c r="B2819" s="433">
        <f>IFERROR(__xludf.DUMMYFUNCTION("""COMPUTED_VALUE"""),66718.27)</f>
        <v>66718.27</v>
      </c>
      <c r="C2819" s="434">
        <f>IFERROR(__xludf.DUMMYFUNCTION("""COMPUTED_VALUE"""),45041.99861111111)</f>
        <v>45041.99861</v>
      </c>
      <c r="D2819" s="433">
        <f>IFERROR(__xludf.DUMMYFUNCTION("""COMPUTED_VALUE"""),1842.2044)</f>
        <v>1842.2044</v>
      </c>
    </row>
    <row r="2820">
      <c r="A2820" s="434">
        <f>IFERROR(__xludf.DUMMYFUNCTION("""COMPUTED_VALUE"""),45458.99861111111)</f>
        <v>45458.99861</v>
      </c>
      <c r="B2820" s="433">
        <f>IFERROR(__xludf.DUMMYFUNCTION("""COMPUTED_VALUE"""),66138.7)</f>
        <v>66138.7</v>
      </c>
      <c r="C2820" s="434">
        <f>IFERROR(__xludf.DUMMYFUNCTION("""COMPUTED_VALUE"""),45042.99861111111)</f>
        <v>45042.99861</v>
      </c>
      <c r="D2820" s="433">
        <f>IFERROR(__xludf.DUMMYFUNCTION("""COMPUTED_VALUE"""),1866.1489)</f>
        <v>1866.1489</v>
      </c>
    </row>
    <row r="2821">
      <c r="A2821" s="434">
        <f>IFERROR(__xludf.DUMMYFUNCTION("""COMPUTED_VALUE"""),45459.99861111111)</f>
        <v>45459.99861</v>
      </c>
      <c r="B2821" s="433">
        <f>IFERROR(__xludf.DUMMYFUNCTION("""COMPUTED_VALUE"""),66111.79)</f>
        <v>66111.79</v>
      </c>
      <c r="C2821" s="434">
        <f>IFERROR(__xludf.DUMMYFUNCTION("""COMPUTED_VALUE"""),45043.99861111111)</f>
        <v>45043.99861</v>
      </c>
      <c r="D2821" s="433">
        <f>IFERROR(__xludf.DUMMYFUNCTION("""COMPUTED_VALUE"""),1866.6933)</f>
        <v>1866.6933</v>
      </c>
    </row>
    <row r="2822">
      <c r="A2822" s="434">
        <f>IFERROR(__xludf.DUMMYFUNCTION("""COMPUTED_VALUE"""),45460.99861111111)</f>
        <v>45460.99861</v>
      </c>
      <c r="B2822" s="433">
        <f>IFERROR(__xludf.DUMMYFUNCTION("""COMPUTED_VALUE"""),66229.78)</f>
        <v>66229.78</v>
      </c>
      <c r="C2822" s="434">
        <f>IFERROR(__xludf.DUMMYFUNCTION("""COMPUTED_VALUE"""),45044.99861111111)</f>
        <v>45044.99861</v>
      </c>
      <c r="D2822" s="433">
        <f>IFERROR(__xludf.DUMMYFUNCTION("""COMPUTED_VALUE"""),1909.2731)</f>
        <v>1909.2731</v>
      </c>
    </row>
    <row r="2823">
      <c r="A2823" s="434">
        <f>IFERROR(__xludf.DUMMYFUNCTION("""COMPUTED_VALUE"""),45461.99861111111)</f>
        <v>45461.99861</v>
      </c>
      <c r="B2823" s="433">
        <f>IFERROR(__xludf.DUMMYFUNCTION("""COMPUTED_VALUE"""),65507.87)</f>
        <v>65507.87</v>
      </c>
      <c r="C2823" s="434">
        <f>IFERROR(__xludf.DUMMYFUNCTION("""COMPUTED_VALUE"""),45045.99861111111)</f>
        <v>45045.99861</v>
      </c>
      <c r="D2823" s="433">
        <f>IFERROR(__xludf.DUMMYFUNCTION("""COMPUTED_VALUE"""),1892.565)</f>
        <v>1892.565</v>
      </c>
    </row>
    <row r="2824">
      <c r="A2824" s="434">
        <f>IFERROR(__xludf.DUMMYFUNCTION("""COMPUTED_VALUE"""),45462.99861111111)</f>
        <v>45462.99861</v>
      </c>
      <c r="B2824" s="433">
        <f>IFERROR(__xludf.DUMMYFUNCTION("""COMPUTED_VALUE"""),65411.28)</f>
        <v>65411.28</v>
      </c>
      <c r="C2824" s="434">
        <f>IFERROR(__xludf.DUMMYFUNCTION("""COMPUTED_VALUE"""),45046.99861111111)</f>
        <v>45046.99861</v>
      </c>
      <c r="D2824" s="433">
        <f>IFERROR(__xludf.DUMMYFUNCTION("""COMPUTED_VALUE"""),1908.7413)</f>
        <v>1908.7413</v>
      </c>
    </row>
    <row r="2825">
      <c r="A2825" s="434">
        <f>IFERROR(__xludf.DUMMYFUNCTION("""COMPUTED_VALUE"""),45463.99861111111)</f>
        <v>45463.99861</v>
      </c>
      <c r="B2825" s="433">
        <f>IFERROR(__xludf.DUMMYFUNCTION("""COMPUTED_VALUE"""),65171.54)</f>
        <v>65171.54</v>
      </c>
      <c r="C2825" s="434">
        <f>IFERROR(__xludf.DUMMYFUNCTION("""COMPUTED_VALUE"""),45047.99861111111)</f>
        <v>45047.99861</v>
      </c>
      <c r="D2825" s="433">
        <f>IFERROR(__xludf.DUMMYFUNCTION("""COMPUTED_VALUE"""),1868.8911)</f>
        <v>1868.8911</v>
      </c>
    </row>
    <row r="2826">
      <c r="A2826" s="434">
        <f>IFERROR(__xludf.DUMMYFUNCTION("""COMPUTED_VALUE"""),45464.99861111111)</f>
        <v>45464.99861</v>
      </c>
      <c r="B2826" s="433">
        <f>IFERROR(__xludf.DUMMYFUNCTION("""COMPUTED_VALUE"""),64652.56)</f>
        <v>64652.56</v>
      </c>
      <c r="C2826" s="434">
        <f>IFERROR(__xludf.DUMMYFUNCTION("""COMPUTED_VALUE"""),45048.99861111111)</f>
        <v>45048.99861</v>
      </c>
      <c r="D2826" s="433">
        <f>IFERROR(__xludf.DUMMYFUNCTION("""COMPUTED_VALUE"""),1831.7265)</f>
        <v>1831.7265</v>
      </c>
    </row>
    <row r="2827">
      <c r="A2827" s="434">
        <f>IFERROR(__xludf.DUMMYFUNCTION("""COMPUTED_VALUE"""),45465.99861111111)</f>
        <v>45465.99861</v>
      </c>
      <c r="B2827" s="433">
        <f>IFERROR(__xludf.DUMMYFUNCTION("""COMPUTED_VALUE"""),64283.77)</f>
        <v>64283.77</v>
      </c>
      <c r="C2827" s="434">
        <f>IFERROR(__xludf.DUMMYFUNCTION("""COMPUTED_VALUE"""),45049.99861111111)</f>
        <v>45049.99861</v>
      </c>
      <c r="D2827" s="433">
        <f>IFERROR(__xludf.DUMMYFUNCTION("""COMPUTED_VALUE"""),1870.6871)</f>
        <v>1870.6871</v>
      </c>
    </row>
    <row r="2828">
      <c r="A2828" s="434">
        <f>IFERROR(__xludf.DUMMYFUNCTION("""COMPUTED_VALUE"""),45466.99861111111)</f>
        <v>45466.99861</v>
      </c>
      <c r="B2828" s="433">
        <f>IFERROR(__xludf.DUMMYFUNCTION("""COMPUTED_VALUE"""),64407.0)</f>
        <v>64407</v>
      </c>
      <c r="C2828" s="434">
        <f>IFERROR(__xludf.DUMMYFUNCTION("""COMPUTED_VALUE"""),45050.99861111111)</f>
        <v>45050.99861</v>
      </c>
      <c r="D2828" s="433">
        <f>IFERROR(__xludf.DUMMYFUNCTION("""COMPUTED_VALUE"""),1905.169)</f>
        <v>1905.169</v>
      </c>
    </row>
    <row r="2829">
      <c r="A2829" s="434">
        <f>IFERROR(__xludf.DUMMYFUNCTION("""COMPUTED_VALUE"""),45467.99861111111)</f>
        <v>45467.99861</v>
      </c>
      <c r="B2829" s="433">
        <f>IFERROR(__xludf.DUMMYFUNCTION("""COMPUTED_VALUE"""),62860.14)</f>
        <v>62860.14</v>
      </c>
      <c r="C2829" s="434">
        <f>IFERROR(__xludf.DUMMYFUNCTION("""COMPUTED_VALUE"""),45051.99861111111)</f>
        <v>45051.99861</v>
      </c>
      <c r="D2829" s="433">
        <f>IFERROR(__xludf.DUMMYFUNCTION("""COMPUTED_VALUE"""),1877.8332)</f>
        <v>1877.8332</v>
      </c>
    </row>
    <row r="2830">
      <c r="A2830" s="434">
        <f>IFERROR(__xludf.DUMMYFUNCTION("""COMPUTED_VALUE"""),45468.99861111111)</f>
        <v>45468.99861</v>
      </c>
      <c r="B2830" s="433">
        <f>IFERROR(__xludf.DUMMYFUNCTION("""COMPUTED_VALUE"""),61352.41)</f>
        <v>61352.41</v>
      </c>
      <c r="C2830" s="434">
        <f>IFERROR(__xludf.DUMMYFUNCTION("""COMPUTED_VALUE"""),45052.99861111111)</f>
        <v>45052.99861</v>
      </c>
      <c r="D2830" s="433">
        <f>IFERROR(__xludf.DUMMYFUNCTION("""COMPUTED_VALUE"""),1995.4792)</f>
        <v>1995.4792</v>
      </c>
    </row>
    <row r="2831">
      <c r="A2831" s="434">
        <f>IFERROR(__xludf.DUMMYFUNCTION("""COMPUTED_VALUE"""),45469.99861111111)</f>
        <v>45469.99861</v>
      </c>
      <c r="B2831" s="433">
        <f>IFERROR(__xludf.DUMMYFUNCTION("""COMPUTED_VALUE"""),61958.77)</f>
        <v>61958.77</v>
      </c>
      <c r="C2831" s="434">
        <f>IFERROR(__xludf.DUMMYFUNCTION("""COMPUTED_VALUE"""),45053.99861111111)</f>
        <v>45053.99861</v>
      </c>
      <c r="D2831" s="433">
        <f>IFERROR(__xludf.DUMMYFUNCTION("""COMPUTED_VALUE"""),1899.9176)</f>
        <v>1899.9176</v>
      </c>
    </row>
    <row r="2832">
      <c r="A2832" s="434">
        <f>IFERROR(__xludf.DUMMYFUNCTION("""COMPUTED_VALUE"""),45470.99861111111)</f>
        <v>45470.99861</v>
      </c>
      <c r="B2832" s="433">
        <f>IFERROR(__xludf.DUMMYFUNCTION("""COMPUTED_VALUE"""),61006.5)</f>
        <v>61006.5</v>
      </c>
      <c r="C2832" s="434">
        <f>IFERROR(__xludf.DUMMYFUNCTION("""COMPUTED_VALUE"""),45054.99861111111)</f>
        <v>45054.99861</v>
      </c>
      <c r="D2832" s="433">
        <f>IFERROR(__xludf.DUMMYFUNCTION("""COMPUTED_VALUE"""),1872.4751)</f>
        <v>1872.4751</v>
      </c>
    </row>
    <row r="2833">
      <c r="A2833" s="434">
        <f>IFERROR(__xludf.DUMMYFUNCTION("""COMPUTED_VALUE"""),45471.99861111111)</f>
        <v>45471.99861</v>
      </c>
      <c r="B2833" s="433">
        <f>IFERROR(__xludf.DUMMYFUNCTION("""COMPUTED_VALUE"""),61814.18)</f>
        <v>61814.18</v>
      </c>
      <c r="C2833" s="434">
        <f>IFERROR(__xludf.DUMMYFUNCTION("""COMPUTED_VALUE"""),45055.99861111111)</f>
        <v>45055.99861</v>
      </c>
      <c r="D2833" s="433">
        <f>IFERROR(__xludf.DUMMYFUNCTION("""COMPUTED_VALUE"""),1849.061)</f>
        <v>1849.061</v>
      </c>
    </row>
    <row r="2834">
      <c r="A2834" s="434">
        <f>IFERROR(__xludf.DUMMYFUNCTION("""COMPUTED_VALUE"""),45472.99861111111)</f>
        <v>45472.99861</v>
      </c>
      <c r="B2834" s="433">
        <f>IFERROR(__xludf.DUMMYFUNCTION("""COMPUTED_VALUE"""),60684.36)</f>
        <v>60684.36</v>
      </c>
      <c r="C2834" s="434">
        <f>IFERROR(__xludf.DUMMYFUNCTION("""COMPUTED_VALUE"""),45056.99861111111)</f>
        <v>45056.99861</v>
      </c>
      <c r="D2834" s="433">
        <f>IFERROR(__xludf.DUMMYFUNCTION("""COMPUTED_VALUE"""),1848.2135)</f>
        <v>1848.2135</v>
      </c>
    </row>
    <row r="2835">
      <c r="A2835" s="434">
        <f>IFERROR(__xludf.DUMMYFUNCTION("""COMPUTED_VALUE"""),45473.99861111111)</f>
        <v>45473.99861</v>
      </c>
      <c r="B2835" s="433">
        <f>IFERROR(__xludf.DUMMYFUNCTION("""COMPUTED_VALUE"""),60860.1)</f>
        <v>60860.1</v>
      </c>
      <c r="C2835" s="434">
        <f>IFERROR(__xludf.DUMMYFUNCTION("""COMPUTED_VALUE"""),45057.99861111111)</f>
        <v>45057.99861</v>
      </c>
      <c r="D2835" s="433">
        <f>IFERROR(__xludf.DUMMYFUNCTION("""COMPUTED_VALUE"""),1842.4921)</f>
        <v>1842.4921</v>
      </c>
    </row>
    <row r="2836">
      <c r="A2836" s="434">
        <f>IFERROR(__xludf.DUMMYFUNCTION("""COMPUTED_VALUE"""),45474.99861111111)</f>
        <v>45474.99861</v>
      </c>
      <c r="B2836" s="433">
        <f>IFERROR(__xludf.DUMMYFUNCTION("""COMPUTED_VALUE"""),63352.62)</f>
        <v>63352.62</v>
      </c>
      <c r="C2836" s="434">
        <f>IFERROR(__xludf.DUMMYFUNCTION("""COMPUTED_VALUE"""),45058.99861111111)</f>
        <v>45058.99861</v>
      </c>
      <c r="D2836" s="433">
        <f>IFERROR(__xludf.DUMMYFUNCTION("""COMPUTED_VALUE"""),1795.1766)</f>
        <v>1795.1766</v>
      </c>
    </row>
    <row r="2837">
      <c r="A2837" s="434">
        <f>IFERROR(__xludf.DUMMYFUNCTION("""COMPUTED_VALUE"""),45475.99861111111)</f>
        <v>45475.99861</v>
      </c>
      <c r="B2837" s="433">
        <f>IFERROR(__xludf.DUMMYFUNCTION("""COMPUTED_VALUE"""),63112.1)</f>
        <v>63112.1</v>
      </c>
      <c r="C2837" s="434">
        <f>IFERROR(__xludf.DUMMYFUNCTION("""COMPUTED_VALUE"""),45059.99861111111)</f>
        <v>45059.99861</v>
      </c>
      <c r="D2837" s="433">
        <f>IFERROR(__xludf.DUMMYFUNCTION("""COMPUTED_VALUE"""),1808.375)</f>
        <v>1808.375</v>
      </c>
    </row>
    <row r="2838">
      <c r="A2838" s="434">
        <f>IFERROR(__xludf.DUMMYFUNCTION("""COMPUTED_VALUE"""),45476.99861111111)</f>
        <v>45476.99861</v>
      </c>
      <c r="B2838" s="433">
        <f>IFERROR(__xludf.DUMMYFUNCTION("""COMPUTED_VALUE"""),60889.5)</f>
        <v>60889.5</v>
      </c>
      <c r="C2838" s="434">
        <f>IFERROR(__xludf.DUMMYFUNCTION("""COMPUTED_VALUE"""),45060.99861111111)</f>
        <v>45060.99861</v>
      </c>
      <c r="D2838" s="433">
        <f>IFERROR(__xludf.DUMMYFUNCTION("""COMPUTED_VALUE"""),1796.108)</f>
        <v>1796.108</v>
      </c>
    </row>
    <row r="2839">
      <c r="A2839" s="434">
        <f>IFERROR(__xludf.DUMMYFUNCTION("""COMPUTED_VALUE"""),45477.99861111111)</f>
        <v>45477.99861</v>
      </c>
      <c r="B2839" s="433">
        <f>IFERROR(__xludf.DUMMYFUNCTION("""COMPUTED_VALUE"""),58973.24)</f>
        <v>58973.24</v>
      </c>
      <c r="C2839" s="434">
        <f>IFERROR(__xludf.DUMMYFUNCTION("""COMPUTED_VALUE"""),45061.99861111111)</f>
        <v>45061.99861</v>
      </c>
      <c r="D2839" s="433">
        <f>IFERROR(__xludf.DUMMYFUNCTION("""COMPUTED_VALUE"""),1800.3712)</f>
        <v>1800.3712</v>
      </c>
    </row>
    <row r="2840">
      <c r="A2840" s="434">
        <f>IFERROR(__xludf.DUMMYFUNCTION("""COMPUTED_VALUE"""),45478.99861111111)</f>
        <v>45478.99861</v>
      </c>
      <c r="B2840" s="433">
        <f>IFERROR(__xludf.DUMMYFUNCTION("""COMPUTED_VALUE"""),55244.81)</f>
        <v>55244.81</v>
      </c>
      <c r="C2840" s="434">
        <f>IFERROR(__xludf.DUMMYFUNCTION("""COMPUTED_VALUE"""),45062.99861111111)</f>
        <v>45062.99861</v>
      </c>
      <c r="D2840" s="433">
        <f>IFERROR(__xludf.DUMMYFUNCTION("""COMPUTED_VALUE"""),1816.8243)</f>
        <v>1816.8243</v>
      </c>
    </row>
    <row r="2841">
      <c r="A2841" s="434">
        <f>IFERROR(__xludf.DUMMYFUNCTION("""COMPUTED_VALUE"""),45479.99861111111)</f>
        <v>45479.99861</v>
      </c>
      <c r="B2841" s="433">
        <f>IFERROR(__xludf.DUMMYFUNCTION("""COMPUTED_VALUE"""),56420.53)</f>
        <v>56420.53</v>
      </c>
      <c r="C2841" s="434">
        <f>IFERROR(__xludf.DUMMYFUNCTION("""COMPUTED_VALUE"""),45063.99861111111)</f>
        <v>45063.99861</v>
      </c>
      <c r="D2841" s="433">
        <f>IFERROR(__xludf.DUMMYFUNCTION("""COMPUTED_VALUE"""),1824.0684)</f>
        <v>1824.0684</v>
      </c>
    </row>
    <row r="2842">
      <c r="A2842" s="434">
        <f>IFERROR(__xludf.DUMMYFUNCTION("""COMPUTED_VALUE"""),45480.99861111111)</f>
        <v>45480.99861</v>
      </c>
      <c r="B2842" s="433">
        <f>IFERROR(__xludf.DUMMYFUNCTION("""COMPUTED_VALUE"""),58088.72)</f>
        <v>58088.72</v>
      </c>
      <c r="C2842" s="434">
        <f>IFERROR(__xludf.DUMMYFUNCTION("""COMPUTED_VALUE"""),45064.99861111111)</f>
        <v>45064.99861</v>
      </c>
      <c r="D2842" s="433">
        <f>IFERROR(__xludf.DUMMYFUNCTION("""COMPUTED_VALUE"""),1822.0682)</f>
        <v>1822.0682</v>
      </c>
    </row>
    <row r="2843">
      <c r="A2843" s="434">
        <f>IFERROR(__xludf.DUMMYFUNCTION("""COMPUTED_VALUE"""),45481.99861111111)</f>
        <v>45481.99861</v>
      </c>
      <c r="B2843" s="433">
        <f>IFERROR(__xludf.DUMMYFUNCTION("""COMPUTED_VALUE"""),55184.9)</f>
        <v>55184.9</v>
      </c>
      <c r="C2843" s="434">
        <f>IFERROR(__xludf.DUMMYFUNCTION("""COMPUTED_VALUE"""),45065.99861111111)</f>
        <v>45065.99861</v>
      </c>
      <c r="D2843" s="433">
        <f>IFERROR(__xludf.DUMMYFUNCTION("""COMPUTED_VALUE"""),1800.9944)</f>
        <v>1800.9944</v>
      </c>
    </row>
    <row r="2844">
      <c r="A2844" s="434">
        <f>IFERROR(__xludf.DUMMYFUNCTION("""COMPUTED_VALUE"""),45482.99861111111)</f>
        <v>45482.99861</v>
      </c>
      <c r="B2844" s="433">
        <f>IFERROR(__xludf.DUMMYFUNCTION("""COMPUTED_VALUE"""),57109.26)</f>
        <v>57109.26</v>
      </c>
      <c r="C2844" s="434">
        <f>IFERROR(__xludf.DUMMYFUNCTION("""COMPUTED_VALUE"""),45066.99861111111)</f>
        <v>45066.99861</v>
      </c>
      <c r="D2844" s="433">
        <f>IFERROR(__xludf.DUMMYFUNCTION("""COMPUTED_VALUE"""),1812.7661)</f>
        <v>1812.7661</v>
      </c>
    </row>
    <row r="2845">
      <c r="A2845" s="434">
        <f>IFERROR(__xludf.DUMMYFUNCTION("""COMPUTED_VALUE"""),45483.99861111111)</f>
        <v>45483.99861</v>
      </c>
      <c r="B2845" s="433">
        <f>IFERROR(__xludf.DUMMYFUNCTION("""COMPUTED_VALUE"""),58045.79)</f>
        <v>58045.79</v>
      </c>
      <c r="C2845" s="434">
        <f>IFERROR(__xludf.DUMMYFUNCTION("""COMPUTED_VALUE"""),45067.99861111111)</f>
        <v>45067.99861</v>
      </c>
      <c r="D2845" s="433">
        <f>IFERROR(__xludf.DUMMYFUNCTION("""COMPUTED_VALUE"""),1820.1381)</f>
        <v>1820.1381</v>
      </c>
    </row>
    <row r="2846">
      <c r="A2846" s="434">
        <f>IFERROR(__xludf.DUMMYFUNCTION("""COMPUTED_VALUE"""),45484.99861111111)</f>
        <v>45484.99861</v>
      </c>
      <c r="B2846" s="433">
        <f>IFERROR(__xludf.DUMMYFUNCTION("""COMPUTED_VALUE"""),57602.57)</f>
        <v>57602.57</v>
      </c>
      <c r="C2846" s="434">
        <f>IFERROR(__xludf.DUMMYFUNCTION("""COMPUTED_VALUE"""),45068.99861111111)</f>
        <v>45068.99861</v>
      </c>
      <c r="D2846" s="433">
        <f>IFERROR(__xludf.DUMMYFUNCTION("""COMPUTED_VALUE"""),1804.8419)</f>
        <v>1804.8419</v>
      </c>
    </row>
    <row r="2847">
      <c r="A2847" s="434">
        <f>IFERROR(__xludf.DUMMYFUNCTION("""COMPUTED_VALUE"""),45485.99861111111)</f>
        <v>45485.99861</v>
      </c>
      <c r="B2847" s="433">
        <f>IFERROR(__xludf.DUMMYFUNCTION("""COMPUTED_VALUE"""),56940.31)</f>
        <v>56940.31</v>
      </c>
      <c r="C2847" s="434">
        <f>IFERROR(__xludf.DUMMYFUNCTION("""COMPUTED_VALUE"""),45069.99861111111)</f>
        <v>45069.99861</v>
      </c>
      <c r="D2847" s="433">
        <f>IFERROR(__xludf.DUMMYFUNCTION("""COMPUTED_VALUE"""),1817.7812)</f>
        <v>1817.7812</v>
      </c>
    </row>
    <row r="2848">
      <c r="A2848" s="434">
        <f>IFERROR(__xludf.DUMMYFUNCTION("""COMPUTED_VALUE"""),45486.99861111111)</f>
        <v>45486.99861</v>
      </c>
      <c r="B2848" s="433">
        <f>IFERROR(__xludf.DUMMYFUNCTION("""COMPUTED_VALUE"""),57935.24)</f>
        <v>57935.24</v>
      </c>
      <c r="C2848" s="434">
        <f>IFERROR(__xludf.DUMMYFUNCTION("""COMPUTED_VALUE"""),45070.99861111111)</f>
        <v>45070.99861</v>
      </c>
      <c r="D2848" s="433">
        <f>IFERROR(__xludf.DUMMYFUNCTION("""COMPUTED_VALUE"""),1854.2997)</f>
        <v>1854.2997</v>
      </c>
    </row>
    <row r="2849">
      <c r="A2849" s="434">
        <f>IFERROR(__xludf.DUMMYFUNCTION("""COMPUTED_VALUE"""),45487.99861111111)</f>
        <v>45487.99861</v>
      </c>
      <c r="B2849" s="433">
        <f>IFERROR(__xludf.DUMMYFUNCTION("""COMPUTED_VALUE"""),59477.68)</f>
        <v>59477.68</v>
      </c>
      <c r="C2849" s="434">
        <f>IFERROR(__xludf.DUMMYFUNCTION("""COMPUTED_VALUE"""),45071.99861111111)</f>
        <v>45071.99861</v>
      </c>
      <c r="D2849" s="433">
        <f>IFERROR(__xludf.DUMMYFUNCTION("""COMPUTED_VALUE"""),1799.8452)</f>
        <v>1799.8452</v>
      </c>
    </row>
    <row r="2850">
      <c r="A2850" s="434">
        <f>IFERROR(__xludf.DUMMYFUNCTION("""COMPUTED_VALUE"""),45488.99861111111)</f>
        <v>45488.99861</v>
      </c>
      <c r="B2850" s="433">
        <f>IFERROR(__xludf.DUMMYFUNCTION("""COMPUTED_VALUE"""),62609.86)</f>
        <v>62609.86</v>
      </c>
      <c r="C2850" s="434">
        <f>IFERROR(__xludf.DUMMYFUNCTION("""COMPUTED_VALUE"""),45072.99861111111)</f>
        <v>45072.99861</v>
      </c>
      <c r="D2850" s="433">
        <f>IFERROR(__xludf.DUMMYFUNCTION("""COMPUTED_VALUE"""),1805.7254)</f>
        <v>1805.7254</v>
      </c>
    </row>
    <row r="2851">
      <c r="A2851" s="434">
        <f>IFERROR(__xludf.DUMMYFUNCTION("""COMPUTED_VALUE"""),45489.99861111111)</f>
        <v>45489.99861</v>
      </c>
      <c r="B2851" s="433">
        <f>IFERROR(__xludf.DUMMYFUNCTION("""COMPUTED_VALUE"""),64779.16)</f>
        <v>64779.16</v>
      </c>
      <c r="C2851" s="434">
        <f>IFERROR(__xludf.DUMMYFUNCTION("""COMPUTED_VALUE"""),45073.99861111111)</f>
        <v>45073.99861</v>
      </c>
      <c r="D2851" s="433">
        <f>IFERROR(__xludf.DUMMYFUNCTION("""COMPUTED_VALUE"""),1828.5757)</f>
        <v>1828.5757</v>
      </c>
    </row>
    <row r="2852">
      <c r="A2852" s="434">
        <f>IFERROR(__xludf.DUMMYFUNCTION("""COMPUTED_VALUE"""),45490.99861111111)</f>
        <v>45490.99861</v>
      </c>
      <c r="B2852" s="433">
        <f>IFERROR(__xludf.DUMMYFUNCTION("""COMPUTED_VALUE"""),65735.7)</f>
        <v>65735.7</v>
      </c>
      <c r="C2852" s="434">
        <f>IFERROR(__xludf.DUMMYFUNCTION("""COMPUTED_VALUE"""),45074.99861111111)</f>
        <v>45074.99861</v>
      </c>
      <c r="D2852" s="433">
        <f>IFERROR(__xludf.DUMMYFUNCTION("""COMPUTED_VALUE"""),1831.0987)</f>
        <v>1831.0987</v>
      </c>
    </row>
    <row r="2853">
      <c r="A2853" s="434">
        <f>IFERROR(__xludf.DUMMYFUNCTION("""COMPUTED_VALUE"""),45491.99861111111)</f>
        <v>45491.99861</v>
      </c>
      <c r="B2853" s="433">
        <f>IFERROR(__xludf.DUMMYFUNCTION("""COMPUTED_VALUE"""),64883.35)</f>
        <v>64883.35</v>
      </c>
      <c r="C2853" s="434">
        <f>IFERROR(__xludf.DUMMYFUNCTION("""COMPUTED_VALUE"""),45075.99861111111)</f>
        <v>45075.99861</v>
      </c>
      <c r="D2853" s="433">
        <f>IFERROR(__xludf.DUMMYFUNCTION("""COMPUTED_VALUE"""),1909.2975)</f>
        <v>1909.2975</v>
      </c>
    </row>
    <row r="2854">
      <c r="A2854" s="434">
        <f>IFERROR(__xludf.DUMMYFUNCTION("""COMPUTED_VALUE"""),45492.99861111111)</f>
        <v>45492.99861</v>
      </c>
      <c r="B2854" s="433">
        <f>IFERROR(__xludf.DUMMYFUNCTION("""COMPUTED_VALUE"""),64186.21)</f>
        <v>64186.21</v>
      </c>
      <c r="C2854" s="434">
        <f>IFERROR(__xludf.DUMMYFUNCTION("""COMPUTED_VALUE"""),45076.99861111111)</f>
        <v>45076.99861</v>
      </c>
      <c r="D2854" s="433">
        <f>IFERROR(__xludf.DUMMYFUNCTION("""COMPUTED_VALUE"""),1893.0932)</f>
        <v>1893.0932</v>
      </c>
    </row>
    <row r="2855">
      <c r="A2855" s="434">
        <f>IFERROR(__xludf.DUMMYFUNCTION("""COMPUTED_VALUE"""),45493.99861111111)</f>
        <v>45493.99861</v>
      </c>
      <c r="B2855" s="433">
        <f>IFERROR(__xludf.DUMMYFUNCTION("""COMPUTED_VALUE"""),66693.2)</f>
        <v>66693.2</v>
      </c>
      <c r="C2855" s="434">
        <f>IFERROR(__xludf.DUMMYFUNCTION("""COMPUTED_VALUE"""),45077.99861111111)</f>
        <v>45077.99861</v>
      </c>
      <c r="D2855" s="433">
        <f>IFERROR(__xludf.DUMMYFUNCTION("""COMPUTED_VALUE"""),1901.0983)</f>
        <v>1901.0983</v>
      </c>
    </row>
    <row r="2856">
      <c r="A2856" s="434">
        <f>IFERROR(__xludf.DUMMYFUNCTION("""COMPUTED_VALUE"""),45494.99861111111)</f>
        <v>45494.99861</v>
      </c>
      <c r="B2856" s="433">
        <f>IFERROR(__xludf.DUMMYFUNCTION("""COMPUTED_VALUE"""),67156.72)</f>
        <v>67156.72</v>
      </c>
      <c r="C2856" s="434">
        <f>IFERROR(__xludf.DUMMYFUNCTION("""COMPUTED_VALUE"""),45078.99861111111)</f>
        <v>45078.99861</v>
      </c>
      <c r="D2856" s="433">
        <f>IFERROR(__xludf.DUMMYFUNCTION("""COMPUTED_VALUE"""),1873.9147)</f>
        <v>1873.9147</v>
      </c>
    </row>
    <row r="2857">
      <c r="A2857" s="434">
        <f>IFERROR(__xludf.DUMMYFUNCTION("""COMPUTED_VALUE"""),45495.99861111111)</f>
        <v>45495.99861</v>
      </c>
      <c r="B2857" s="433">
        <f>IFERROR(__xludf.DUMMYFUNCTION("""COMPUTED_VALUE"""),67951.34)</f>
        <v>67951.34</v>
      </c>
      <c r="C2857" s="434">
        <f>IFERROR(__xludf.DUMMYFUNCTION("""COMPUTED_VALUE"""),45079.99861111111)</f>
        <v>45079.99861</v>
      </c>
      <c r="D2857" s="433">
        <f>IFERROR(__xludf.DUMMYFUNCTION("""COMPUTED_VALUE"""),1862.4238)</f>
        <v>1862.4238</v>
      </c>
    </row>
    <row r="2858">
      <c r="A2858" s="434">
        <f>IFERROR(__xludf.DUMMYFUNCTION("""COMPUTED_VALUE"""),45496.99861111111)</f>
        <v>45496.99861</v>
      </c>
      <c r="B2858" s="433">
        <f>IFERROR(__xludf.DUMMYFUNCTION("""COMPUTED_VALUE"""),67566.87)</f>
        <v>67566.87</v>
      </c>
      <c r="C2858" s="434">
        <f>IFERROR(__xludf.DUMMYFUNCTION("""COMPUTED_VALUE"""),45080.99861111111)</f>
        <v>45080.99861</v>
      </c>
      <c r="D2858" s="433">
        <f>IFERROR(__xludf.DUMMYFUNCTION("""COMPUTED_VALUE"""),1907.4208)</f>
        <v>1907.4208</v>
      </c>
    </row>
    <row r="2859">
      <c r="A2859" s="434">
        <f>IFERROR(__xludf.DUMMYFUNCTION("""COMPUTED_VALUE"""),45497.99861111111)</f>
        <v>45497.99861</v>
      </c>
      <c r="B2859" s="433">
        <f>IFERROR(__xludf.DUMMYFUNCTION("""COMPUTED_VALUE"""),66041.17)</f>
        <v>66041.17</v>
      </c>
      <c r="C2859" s="434">
        <f>IFERROR(__xludf.DUMMYFUNCTION("""COMPUTED_VALUE"""),45081.99861111111)</f>
        <v>45081.99861</v>
      </c>
      <c r="D2859" s="433">
        <f>IFERROR(__xludf.DUMMYFUNCTION("""COMPUTED_VALUE"""),1892.3982)</f>
        <v>1892.3982</v>
      </c>
    </row>
    <row r="2860">
      <c r="A2860" s="434">
        <f>IFERROR(__xludf.DUMMYFUNCTION("""COMPUTED_VALUE"""),45498.99861111111)</f>
        <v>45498.99861</v>
      </c>
      <c r="B2860" s="433">
        <f>IFERROR(__xludf.DUMMYFUNCTION("""COMPUTED_VALUE"""),64125.9)</f>
        <v>64125.9</v>
      </c>
      <c r="C2860" s="434">
        <f>IFERROR(__xludf.DUMMYFUNCTION("""COMPUTED_VALUE"""),45082.99861111111)</f>
        <v>45082.99861</v>
      </c>
      <c r="D2860" s="433">
        <f>IFERROR(__xludf.DUMMYFUNCTION("""COMPUTED_VALUE"""),1890.4177)</f>
        <v>1890.4177</v>
      </c>
    </row>
    <row r="2861">
      <c r="A2861" s="434">
        <f>IFERROR(__xludf.DUMMYFUNCTION("""COMPUTED_VALUE"""),45499.99861111111)</f>
        <v>45499.99861</v>
      </c>
      <c r="B2861" s="433">
        <f>IFERROR(__xludf.DUMMYFUNCTION("""COMPUTED_VALUE"""),66948.46)</f>
        <v>66948.46</v>
      </c>
      <c r="C2861" s="434">
        <f>IFERROR(__xludf.DUMMYFUNCTION("""COMPUTED_VALUE"""),45083.99861111111)</f>
        <v>45083.99861</v>
      </c>
      <c r="D2861" s="433">
        <f>IFERROR(__xludf.DUMMYFUNCTION("""COMPUTED_VALUE"""),1810.5815)</f>
        <v>1810.5815</v>
      </c>
    </row>
    <row r="2862">
      <c r="A2862" s="434">
        <f>IFERROR(__xludf.DUMMYFUNCTION("""COMPUTED_VALUE"""),45500.99861111111)</f>
        <v>45500.99861</v>
      </c>
      <c r="B2862" s="433">
        <f>IFERROR(__xludf.DUMMYFUNCTION("""COMPUTED_VALUE"""),67845.7)</f>
        <v>67845.7</v>
      </c>
      <c r="C2862" s="434">
        <f>IFERROR(__xludf.DUMMYFUNCTION("""COMPUTED_VALUE"""),45084.99861111111)</f>
        <v>45084.99861</v>
      </c>
      <c r="D2862" s="433">
        <f>IFERROR(__xludf.DUMMYFUNCTION("""COMPUTED_VALUE"""),1884.3729)</f>
        <v>1884.3729</v>
      </c>
    </row>
    <row r="2863">
      <c r="A2863" s="434">
        <f>IFERROR(__xludf.DUMMYFUNCTION("""COMPUTED_VALUE"""),45501.99861111111)</f>
        <v>45501.99861</v>
      </c>
      <c r="B2863" s="433">
        <f>IFERROR(__xludf.DUMMYFUNCTION("""COMPUTED_VALUE"""),68017.18)</f>
        <v>68017.18</v>
      </c>
      <c r="C2863" s="434">
        <f>IFERROR(__xludf.DUMMYFUNCTION("""COMPUTED_VALUE"""),45085.99861111111)</f>
        <v>45085.99861</v>
      </c>
      <c r="D2863" s="433">
        <f>IFERROR(__xludf.DUMMYFUNCTION("""COMPUTED_VALUE"""),1832.5135)</f>
        <v>1832.5135</v>
      </c>
    </row>
    <row r="2864">
      <c r="A2864" s="434">
        <f>IFERROR(__xludf.DUMMYFUNCTION("""COMPUTED_VALUE"""),45502.99861111111)</f>
        <v>45502.99861</v>
      </c>
      <c r="B2864" s="433">
        <f>IFERROR(__xludf.DUMMYFUNCTION("""COMPUTED_VALUE"""),69351.13)</f>
        <v>69351.13</v>
      </c>
      <c r="C2864" s="434">
        <f>IFERROR(__xludf.DUMMYFUNCTION("""COMPUTED_VALUE"""),45086.99861111111)</f>
        <v>45086.99861</v>
      </c>
      <c r="D2864" s="433">
        <f>IFERROR(__xludf.DUMMYFUNCTION("""COMPUTED_VALUE"""),1846.0779)</f>
        <v>1846.0779</v>
      </c>
    </row>
    <row r="2865">
      <c r="A2865" s="434">
        <f>IFERROR(__xludf.DUMMYFUNCTION("""COMPUTED_VALUE"""),45503.99861111111)</f>
        <v>45503.99861</v>
      </c>
      <c r="B2865" s="433">
        <f>IFERROR(__xludf.DUMMYFUNCTION("""COMPUTED_VALUE"""),66416.08)</f>
        <v>66416.08</v>
      </c>
      <c r="C2865" s="434">
        <f>IFERROR(__xludf.DUMMYFUNCTION("""COMPUTED_VALUE"""),45087.99861111111)</f>
        <v>45087.99861</v>
      </c>
      <c r="D2865" s="433">
        <f>IFERROR(__xludf.DUMMYFUNCTION("""COMPUTED_VALUE"""),1840.392)</f>
        <v>1840.392</v>
      </c>
    </row>
    <row r="2866">
      <c r="A2866" s="434">
        <f>IFERROR(__xludf.DUMMYFUNCTION("""COMPUTED_VALUE"""),45504.99861111111)</f>
        <v>45504.99861</v>
      </c>
      <c r="B2866" s="433">
        <f>IFERROR(__xludf.DUMMYFUNCTION("""COMPUTED_VALUE"""),66110.05)</f>
        <v>66110.05</v>
      </c>
      <c r="C2866" s="434">
        <f>IFERROR(__xludf.DUMMYFUNCTION("""COMPUTED_VALUE"""),45088.99861111111)</f>
        <v>45088.99861</v>
      </c>
      <c r="D2866" s="433">
        <f>IFERROR(__xludf.DUMMYFUNCTION("""COMPUTED_VALUE"""),1752.5276)</f>
        <v>1752.5276</v>
      </c>
    </row>
    <row r="2867">
      <c r="A2867" s="434">
        <f>IFERROR(__xludf.DUMMYFUNCTION("""COMPUTED_VALUE"""),45505.99861111111)</f>
        <v>45505.99861</v>
      </c>
      <c r="B2867" s="433">
        <f>IFERROR(__xludf.DUMMYFUNCTION("""COMPUTED_VALUE"""),63925.74)</f>
        <v>63925.74</v>
      </c>
      <c r="C2867" s="434">
        <f>IFERROR(__xludf.DUMMYFUNCTION("""COMPUTED_VALUE"""),45089.99861111111)</f>
        <v>45089.99861</v>
      </c>
      <c r="D2867" s="433">
        <f>IFERROR(__xludf.DUMMYFUNCTION("""COMPUTED_VALUE"""),1753.0754)</f>
        <v>1753.0754</v>
      </c>
    </row>
    <row r="2868">
      <c r="A2868" s="434">
        <f>IFERROR(__xludf.DUMMYFUNCTION("""COMPUTED_VALUE"""),45506.99861111111)</f>
        <v>45506.99861</v>
      </c>
      <c r="B2868" s="433">
        <f>IFERROR(__xludf.DUMMYFUNCTION("""COMPUTED_VALUE"""),64529.93)</f>
        <v>64529.93</v>
      </c>
      <c r="C2868" s="434">
        <f>IFERROR(__xludf.DUMMYFUNCTION("""COMPUTED_VALUE"""),45090.99861111111)</f>
        <v>45090.99861</v>
      </c>
      <c r="D2868" s="433">
        <f>IFERROR(__xludf.DUMMYFUNCTION("""COMPUTED_VALUE"""),1742.3901)</f>
        <v>1742.3901</v>
      </c>
    </row>
    <row r="2869">
      <c r="A2869" s="434">
        <f>IFERROR(__xludf.DUMMYFUNCTION("""COMPUTED_VALUE"""),45507.99861111111)</f>
        <v>45507.99861</v>
      </c>
      <c r="B2869" s="433">
        <f>IFERROR(__xludf.DUMMYFUNCTION("""COMPUTED_VALUE"""),61732.31)</f>
        <v>61732.31</v>
      </c>
      <c r="C2869" s="434">
        <f>IFERROR(__xludf.DUMMYFUNCTION("""COMPUTED_VALUE"""),45091.99861111111)</f>
        <v>45091.99861</v>
      </c>
      <c r="D2869" s="433">
        <f>IFERROR(__xludf.DUMMYFUNCTION("""COMPUTED_VALUE"""),1739.2501)</f>
        <v>1739.2501</v>
      </c>
    </row>
    <row r="2870">
      <c r="A2870" s="434">
        <f>IFERROR(__xludf.DUMMYFUNCTION("""COMPUTED_VALUE"""),45508.99861111111)</f>
        <v>45508.99861</v>
      </c>
      <c r="B2870" s="433">
        <f>IFERROR(__xludf.DUMMYFUNCTION("""COMPUTED_VALUE"""),60761.09)</f>
        <v>60761.09</v>
      </c>
      <c r="C2870" s="434">
        <f>IFERROR(__xludf.DUMMYFUNCTION("""COMPUTED_VALUE"""),45092.99861111111)</f>
        <v>45092.99861</v>
      </c>
      <c r="D2870" s="433">
        <f>IFERROR(__xludf.DUMMYFUNCTION("""COMPUTED_VALUE"""),1650.4982)</f>
        <v>1650.4982</v>
      </c>
    </row>
    <row r="2871">
      <c r="A2871" s="434">
        <f>IFERROR(__xludf.DUMMYFUNCTION("""COMPUTED_VALUE"""),45509.99861111111)</f>
        <v>45509.99861</v>
      </c>
      <c r="B2871" s="433">
        <f>IFERROR(__xludf.DUMMYFUNCTION("""COMPUTED_VALUE"""),54237.53)</f>
        <v>54237.53</v>
      </c>
      <c r="C2871" s="434">
        <f>IFERROR(__xludf.DUMMYFUNCTION("""COMPUTED_VALUE"""),45093.99861111111)</f>
        <v>45093.99861</v>
      </c>
      <c r="D2871" s="433">
        <f>IFERROR(__xludf.DUMMYFUNCTION("""COMPUTED_VALUE"""),1665.4107)</f>
        <v>1665.4107</v>
      </c>
    </row>
    <row r="2872">
      <c r="A2872" s="434">
        <f>IFERROR(__xludf.DUMMYFUNCTION("""COMPUTED_VALUE"""),45510.99861111111)</f>
        <v>45510.99861</v>
      </c>
      <c r="B2872" s="433">
        <f>IFERROR(__xludf.DUMMYFUNCTION("""COMPUTED_VALUE"""),55764.82)</f>
        <v>55764.82</v>
      </c>
      <c r="C2872" s="434">
        <f>IFERROR(__xludf.DUMMYFUNCTION("""COMPUTED_VALUE"""),45094.99861111111)</f>
        <v>45094.99861</v>
      </c>
      <c r="D2872" s="433">
        <f>IFERROR(__xludf.DUMMYFUNCTION("""COMPUTED_VALUE"""),1716.6717)</f>
        <v>1716.6717</v>
      </c>
    </row>
    <row r="2873">
      <c r="A2873" s="434">
        <f>IFERROR(__xludf.DUMMYFUNCTION("""COMPUTED_VALUE"""),45511.99861111111)</f>
        <v>45511.99861</v>
      </c>
      <c r="B2873" s="433">
        <f>IFERROR(__xludf.DUMMYFUNCTION("""COMPUTED_VALUE"""),56886.8)</f>
        <v>56886.8</v>
      </c>
      <c r="C2873" s="434">
        <f>IFERROR(__xludf.DUMMYFUNCTION("""COMPUTED_VALUE"""),45095.99861111111)</f>
        <v>45095.99861</v>
      </c>
      <c r="D2873" s="433">
        <f>IFERROR(__xludf.DUMMYFUNCTION("""COMPUTED_VALUE"""),1727.1937)</f>
        <v>1727.1937</v>
      </c>
    </row>
    <row r="2874">
      <c r="A2874" s="434">
        <f>IFERROR(__xludf.DUMMYFUNCTION("""COMPUTED_VALUE"""),45512.99861111111)</f>
        <v>45512.99861</v>
      </c>
      <c r="B2874" s="433">
        <f>IFERROR(__xludf.DUMMYFUNCTION("""COMPUTED_VALUE"""),57157.95)</f>
        <v>57157.95</v>
      </c>
      <c r="C2874" s="434">
        <f>IFERROR(__xludf.DUMMYFUNCTION("""COMPUTED_VALUE"""),45096.99861111111)</f>
        <v>45096.99861</v>
      </c>
      <c r="D2874" s="433">
        <f>IFERROR(__xludf.DUMMYFUNCTION("""COMPUTED_VALUE"""),1720.5053)</f>
        <v>1720.5053</v>
      </c>
    </row>
    <row r="2875">
      <c r="A2875" s="434">
        <f>IFERROR(__xludf.DUMMYFUNCTION("""COMPUTED_VALUE"""),45513.99861111111)</f>
        <v>45513.99861</v>
      </c>
      <c r="B2875" s="433">
        <f>IFERROR(__xludf.DUMMYFUNCTION("""COMPUTED_VALUE"""),61347.45)</f>
        <v>61347.45</v>
      </c>
      <c r="C2875" s="434">
        <f>IFERROR(__xludf.DUMMYFUNCTION("""COMPUTED_VALUE"""),45097.99861111111)</f>
        <v>45097.99861</v>
      </c>
      <c r="D2875" s="433">
        <f>IFERROR(__xludf.DUMMYFUNCTION("""COMPUTED_VALUE"""),1736.8798)</f>
        <v>1736.8798</v>
      </c>
    </row>
    <row r="2876">
      <c r="A2876" s="434">
        <f>IFERROR(__xludf.DUMMYFUNCTION("""COMPUTED_VALUE"""),45514.99861111111)</f>
        <v>45514.99861</v>
      </c>
      <c r="B2876" s="433">
        <f>IFERROR(__xludf.DUMMYFUNCTION("""COMPUTED_VALUE"""),60463.2)</f>
        <v>60463.2</v>
      </c>
      <c r="C2876" s="434">
        <f>IFERROR(__xludf.DUMMYFUNCTION("""COMPUTED_VALUE"""),45098.99861111111)</f>
        <v>45098.99861</v>
      </c>
      <c r="D2876" s="433">
        <f>IFERROR(__xludf.DUMMYFUNCTION("""COMPUTED_VALUE"""),1791.995)</f>
        <v>1791.995</v>
      </c>
    </row>
    <row r="2877">
      <c r="A2877" s="434">
        <f>IFERROR(__xludf.DUMMYFUNCTION("""COMPUTED_VALUE"""),45515.99861111111)</f>
        <v>45515.99861</v>
      </c>
      <c r="B2877" s="433">
        <f>IFERROR(__xludf.DUMMYFUNCTION("""COMPUTED_VALUE"""),61144.88)</f>
        <v>61144.88</v>
      </c>
      <c r="C2877" s="434">
        <f>IFERROR(__xludf.DUMMYFUNCTION("""COMPUTED_VALUE"""),45099.99861111111)</f>
        <v>45099.99861</v>
      </c>
      <c r="D2877" s="433">
        <f>IFERROR(__xludf.DUMMYFUNCTION("""COMPUTED_VALUE"""),1889.7944)</f>
        <v>1889.7944</v>
      </c>
    </row>
    <row r="2878">
      <c r="A2878" s="434">
        <f>IFERROR(__xludf.DUMMYFUNCTION("""COMPUTED_VALUE"""),45516.99861111111)</f>
        <v>45516.99861</v>
      </c>
      <c r="B2878" s="433">
        <f>IFERROR(__xludf.DUMMYFUNCTION("""COMPUTED_VALUE"""),58614.72)</f>
        <v>58614.72</v>
      </c>
      <c r="C2878" s="434">
        <f>IFERROR(__xludf.DUMMYFUNCTION("""COMPUTED_VALUE"""),45100.99861111111)</f>
        <v>45100.99861</v>
      </c>
      <c r="D2878" s="433">
        <f>IFERROR(__xludf.DUMMYFUNCTION("""COMPUTED_VALUE"""),1872.5408)</f>
        <v>1872.5408</v>
      </c>
    </row>
    <row r="2879">
      <c r="A2879" s="434">
        <f>IFERROR(__xludf.DUMMYFUNCTION("""COMPUTED_VALUE"""),45517.99861111111)</f>
        <v>45517.99861</v>
      </c>
      <c r="B2879" s="433">
        <f>IFERROR(__xludf.DUMMYFUNCTION("""COMPUTED_VALUE"""),59135.62)</f>
        <v>59135.62</v>
      </c>
      <c r="C2879" s="434">
        <f>IFERROR(__xludf.DUMMYFUNCTION("""COMPUTED_VALUE"""),45101.99861111111)</f>
        <v>45101.99861</v>
      </c>
      <c r="D2879" s="433">
        <f>IFERROR(__xludf.DUMMYFUNCTION("""COMPUTED_VALUE"""),1893.772)</f>
        <v>1893.772</v>
      </c>
    </row>
    <row r="2880">
      <c r="A2880" s="434">
        <f>IFERROR(__xludf.DUMMYFUNCTION("""COMPUTED_VALUE"""),45518.99861111111)</f>
        <v>45518.99861</v>
      </c>
      <c r="B2880" s="433">
        <f>IFERROR(__xludf.DUMMYFUNCTION("""COMPUTED_VALUE"""),61051.58)</f>
        <v>61051.58</v>
      </c>
      <c r="C2880" s="434">
        <f>IFERROR(__xludf.DUMMYFUNCTION("""COMPUTED_VALUE"""),45102.99861111111)</f>
        <v>45102.99861</v>
      </c>
      <c r="D2880" s="433">
        <f>IFERROR(__xludf.DUMMYFUNCTION("""COMPUTED_VALUE"""),1875.8491)</f>
        <v>1875.8491</v>
      </c>
    </row>
    <row r="2881">
      <c r="A2881" s="434">
        <f>IFERROR(__xludf.DUMMYFUNCTION("""COMPUTED_VALUE"""),45519.99861111111)</f>
        <v>45519.99861</v>
      </c>
      <c r="B2881" s="433">
        <f>IFERROR(__xludf.DUMMYFUNCTION("""COMPUTED_VALUE"""),58418.11)</f>
        <v>58418.11</v>
      </c>
      <c r="C2881" s="434">
        <f>IFERROR(__xludf.DUMMYFUNCTION("""COMPUTED_VALUE"""),45103.99861111111)</f>
        <v>45103.99861</v>
      </c>
      <c r="D2881" s="433">
        <f>IFERROR(__xludf.DUMMYFUNCTION("""COMPUTED_VALUE"""),1900.0503)</f>
        <v>1900.0503</v>
      </c>
    </row>
    <row r="2882">
      <c r="A2882" s="434">
        <f>IFERROR(__xludf.DUMMYFUNCTION("""COMPUTED_VALUE"""),45520.99861111111)</f>
        <v>45520.99861</v>
      </c>
      <c r="B2882" s="433">
        <f>IFERROR(__xludf.DUMMYFUNCTION("""COMPUTED_VALUE"""),57976.19)</f>
        <v>57976.19</v>
      </c>
      <c r="C2882" s="434">
        <f>IFERROR(__xludf.DUMMYFUNCTION("""COMPUTED_VALUE"""),45104.99861111111)</f>
        <v>45104.99861</v>
      </c>
      <c r="D2882" s="433">
        <f>IFERROR(__xludf.DUMMYFUNCTION("""COMPUTED_VALUE"""),1859.3462)</f>
        <v>1859.3462</v>
      </c>
    </row>
    <row r="2883">
      <c r="A2883" s="434">
        <f>IFERROR(__xludf.DUMMYFUNCTION("""COMPUTED_VALUE"""),45521.99861111111)</f>
        <v>45521.99861</v>
      </c>
      <c r="B2883" s="433">
        <f>IFERROR(__xludf.DUMMYFUNCTION("""COMPUTED_VALUE"""),59131.83)</f>
        <v>59131.83</v>
      </c>
      <c r="C2883" s="434">
        <f>IFERROR(__xludf.DUMMYFUNCTION("""COMPUTED_VALUE"""),45105.99861111111)</f>
        <v>45105.99861</v>
      </c>
      <c r="D2883" s="433">
        <f>IFERROR(__xludf.DUMMYFUNCTION("""COMPUTED_VALUE"""),1889.9065)</f>
        <v>1889.9065</v>
      </c>
    </row>
    <row r="2884">
      <c r="A2884" s="434">
        <f>IFERROR(__xludf.DUMMYFUNCTION("""COMPUTED_VALUE"""),45522.99861111111)</f>
        <v>45522.99861</v>
      </c>
      <c r="B2884" s="433">
        <f>IFERROR(__xludf.DUMMYFUNCTION("""COMPUTED_VALUE"""),59435.34)</f>
        <v>59435.34</v>
      </c>
      <c r="C2884" s="434">
        <f>IFERROR(__xludf.DUMMYFUNCTION("""COMPUTED_VALUE"""),45106.99861111111)</f>
        <v>45106.99861</v>
      </c>
      <c r="D2884" s="433">
        <f>IFERROR(__xludf.DUMMYFUNCTION("""COMPUTED_VALUE"""),1828.0594)</f>
        <v>1828.0594</v>
      </c>
    </row>
    <row r="2885">
      <c r="A2885" s="434">
        <f>IFERROR(__xludf.DUMMYFUNCTION("""COMPUTED_VALUE"""),45523.99861111111)</f>
        <v>45523.99861</v>
      </c>
      <c r="B2885" s="433">
        <f>IFERROR(__xludf.DUMMYFUNCTION("""COMPUTED_VALUE"""),58708.96)</f>
        <v>58708.96</v>
      </c>
      <c r="C2885" s="434">
        <f>IFERROR(__xludf.DUMMYFUNCTION("""COMPUTED_VALUE"""),45107.99861111111)</f>
        <v>45107.99861</v>
      </c>
      <c r="D2885" s="433">
        <f>IFERROR(__xludf.DUMMYFUNCTION("""COMPUTED_VALUE"""),1852.0085)</f>
        <v>1852.0085</v>
      </c>
    </row>
    <row r="2886">
      <c r="A2886" s="434">
        <f>IFERROR(__xludf.DUMMYFUNCTION("""COMPUTED_VALUE"""),45524.99861111111)</f>
        <v>45524.99861</v>
      </c>
      <c r="B2886" s="433">
        <f>IFERROR(__xludf.DUMMYFUNCTION("""COMPUTED_VALUE"""),60549.66)</f>
        <v>60549.66</v>
      </c>
      <c r="C2886" s="434">
        <f>IFERROR(__xludf.DUMMYFUNCTION("""COMPUTED_VALUE"""),45108.99861111111)</f>
        <v>45108.99861</v>
      </c>
      <c r="D2886" s="433">
        <f>IFERROR(__xludf.DUMMYFUNCTION("""COMPUTED_VALUE"""),1933.3239)</f>
        <v>1933.3239</v>
      </c>
    </row>
    <row r="2887">
      <c r="A2887" s="434">
        <f>IFERROR(__xludf.DUMMYFUNCTION("""COMPUTED_VALUE"""),45525.99861111111)</f>
        <v>45525.99861</v>
      </c>
      <c r="B2887" s="433">
        <f>IFERROR(__xludf.DUMMYFUNCTION("""COMPUTED_VALUE"""),59291.03)</f>
        <v>59291.03</v>
      </c>
      <c r="C2887" s="434">
        <f>IFERROR(__xludf.DUMMYFUNCTION("""COMPUTED_VALUE"""),45109.99861111111)</f>
        <v>45109.99861</v>
      </c>
      <c r="D2887" s="433">
        <f>IFERROR(__xludf.DUMMYFUNCTION("""COMPUTED_VALUE"""),1924.4482)</f>
        <v>1924.4482</v>
      </c>
    </row>
    <row r="2888">
      <c r="A2888" s="434">
        <f>IFERROR(__xludf.DUMMYFUNCTION("""COMPUTED_VALUE"""),45526.99861111111)</f>
        <v>45526.99861</v>
      </c>
      <c r="B2888" s="433">
        <f>IFERROR(__xludf.DUMMYFUNCTION("""COMPUTED_VALUE"""),60554.25)</f>
        <v>60554.25</v>
      </c>
      <c r="C2888" s="434">
        <f>IFERROR(__xludf.DUMMYFUNCTION("""COMPUTED_VALUE"""),45110.99861111111)</f>
        <v>45110.99861</v>
      </c>
      <c r="D2888" s="433">
        <f>IFERROR(__xludf.DUMMYFUNCTION("""COMPUTED_VALUE"""),1937.8838)</f>
        <v>1937.8838</v>
      </c>
    </row>
    <row r="2889">
      <c r="A2889" s="434">
        <f>IFERROR(__xludf.DUMMYFUNCTION("""COMPUTED_VALUE"""),45527.99861111111)</f>
        <v>45527.99861</v>
      </c>
      <c r="B2889" s="433">
        <f>IFERROR(__xludf.DUMMYFUNCTION("""COMPUTED_VALUE"""),60625.02)</f>
        <v>60625.02</v>
      </c>
      <c r="C2889" s="434">
        <f>IFERROR(__xludf.DUMMYFUNCTION("""COMPUTED_VALUE"""),45111.99861111111)</f>
        <v>45111.99861</v>
      </c>
      <c r="D2889" s="433">
        <f>IFERROR(__xludf.DUMMYFUNCTION("""COMPUTED_VALUE"""),1955.5241)</f>
        <v>1955.5241</v>
      </c>
    </row>
    <row r="2890">
      <c r="A2890" s="434">
        <f>IFERROR(__xludf.DUMMYFUNCTION("""COMPUTED_VALUE"""),45528.99861111111)</f>
        <v>45528.99861</v>
      </c>
      <c r="B2890" s="433">
        <f>IFERROR(__xludf.DUMMYFUNCTION("""COMPUTED_VALUE"""),63975.61)</f>
        <v>63975.61</v>
      </c>
      <c r="C2890" s="434">
        <f>IFERROR(__xludf.DUMMYFUNCTION("""COMPUTED_VALUE"""),45112.99861111111)</f>
        <v>45112.99861</v>
      </c>
      <c r="D2890" s="433">
        <f>IFERROR(__xludf.DUMMYFUNCTION("""COMPUTED_VALUE"""),1936.7968)</f>
        <v>1936.7968</v>
      </c>
    </row>
    <row r="2891">
      <c r="A2891" s="434">
        <f>IFERROR(__xludf.DUMMYFUNCTION("""COMPUTED_VALUE"""),45529.99861111111)</f>
        <v>45529.99861</v>
      </c>
      <c r="B2891" s="433">
        <f>IFERROR(__xludf.DUMMYFUNCTION("""COMPUTED_VALUE"""),64153.97)</f>
        <v>64153.97</v>
      </c>
      <c r="C2891" s="434">
        <f>IFERROR(__xludf.DUMMYFUNCTION("""COMPUTED_VALUE"""),45113.99861111111)</f>
        <v>45113.99861</v>
      </c>
      <c r="D2891" s="433">
        <f>IFERROR(__xludf.DUMMYFUNCTION("""COMPUTED_VALUE"""),1910.4171)</f>
        <v>1910.4171</v>
      </c>
    </row>
    <row r="2892">
      <c r="A2892" s="434">
        <f>IFERROR(__xludf.DUMMYFUNCTION("""COMPUTED_VALUE"""),45530.99861111111)</f>
        <v>45530.99861</v>
      </c>
      <c r="B2892" s="433">
        <f>IFERROR(__xludf.DUMMYFUNCTION("""COMPUTED_VALUE"""),64134.76)</f>
        <v>64134.76</v>
      </c>
      <c r="C2892" s="434">
        <f>IFERROR(__xludf.DUMMYFUNCTION("""COMPUTED_VALUE"""),45114.99861111111)</f>
        <v>45114.99861</v>
      </c>
      <c r="D2892" s="433">
        <f>IFERROR(__xludf.DUMMYFUNCTION("""COMPUTED_VALUE"""),1847.5125)</f>
        <v>1847.5125</v>
      </c>
    </row>
    <row r="2893">
      <c r="A2893" s="434">
        <f>IFERROR(__xludf.DUMMYFUNCTION("""COMPUTED_VALUE"""),45531.99861111111)</f>
        <v>45531.99861</v>
      </c>
      <c r="B2893" s="433">
        <f>IFERROR(__xludf.DUMMYFUNCTION("""COMPUTED_VALUE"""),62976.04)</f>
        <v>62976.04</v>
      </c>
      <c r="C2893" s="434">
        <f>IFERROR(__xludf.DUMMYFUNCTION("""COMPUTED_VALUE"""),45115.99861111111)</f>
        <v>45115.99861</v>
      </c>
      <c r="D2893" s="433">
        <f>IFERROR(__xludf.DUMMYFUNCTION("""COMPUTED_VALUE"""),1871.0021)</f>
        <v>1871.0021</v>
      </c>
    </row>
    <row r="2894">
      <c r="A2894" s="434">
        <f>IFERROR(__xludf.DUMMYFUNCTION("""COMPUTED_VALUE"""),45532.99861111111)</f>
        <v>45532.99861</v>
      </c>
      <c r="B2894" s="433">
        <f>IFERROR(__xludf.DUMMYFUNCTION("""COMPUTED_VALUE"""),59536.44)</f>
        <v>59536.44</v>
      </c>
      <c r="C2894" s="434">
        <f>IFERROR(__xludf.DUMMYFUNCTION("""COMPUTED_VALUE"""),45116.99861111111)</f>
        <v>45116.99861</v>
      </c>
      <c r="D2894" s="433">
        <f>IFERROR(__xludf.DUMMYFUNCTION("""COMPUTED_VALUE"""),1865.595)</f>
        <v>1865.595</v>
      </c>
    </row>
    <row r="2895">
      <c r="A2895" s="434">
        <f>IFERROR(__xludf.DUMMYFUNCTION("""COMPUTED_VALUE"""),45533.99861111111)</f>
        <v>45533.99861</v>
      </c>
      <c r="B2895" s="433">
        <f>IFERROR(__xludf.DUMMYFUNCTION("""COMPUTED_VALUE"""),59114.96)</f>
        <v>59114.96</v>
      </c>
      <c r="C2895" s="434">
        <f>IFERROR(__xludf.DUMMYFUNCTION("""COMPUTED_VALUE"""),45117.99861111111)</f>
        <v>45117.99861</v>
      </c>
      <c r="D2895" s="433">
        <f>IFERROR(__xludf.DUMMYFUNCTION("""COMPUTED_VALUE"""),1863.2402)</f>
        <v>1863.2402</v>
      </c>
    </row>
    <row r="2896">
      <c r="A2896" s="434">
        <f>IFERROR(__xludf.DUMMYFUNCTION("""COMPUTED_VALUE"""),45534.99861111111)</f>
        <v>45534.99861</v>
      </c>
      <c r="B2896" s="433">
        <f>IFERROR(__xludf.DUMMYFUNCTION("""COMPUTED_VALUE"""),59061.49)</f>
        <v>59061.49</v>
      </c>
      <c r="C2896" s="434">
        <f>IFERROR(__xludf.DUMMYFUNCTION("""COMPUTED_VALUE"""),45118.99861111111)</f>
        <v>45118.99861</v>
      </c>
      <c r="D2896" s="433">
        <f>IFERROR(__xludf.DUMMYFUNCTION("""COMPUTED_VALUE"""),1880.6549)</f>
        <v>1880.6549</v>
      </c>
    </row>
    <row r="2897">
      <c r="A2897" s="434">
        <f>IFERROR(__xludf.DUMMYFUNCTION("""COMPUTED_VALUE"""),45535.99861111111)</f>
        <v>45535.99861</v>
      </c>
      <c r="B2897" s="433">
        <f>IFERROR(__xludf.DUMMYFUNCTION("""COMPUTED_VALUE"""),59244.12)</f>
        <v>59244.12</v>
      </c>
      <c r="C2897" s="434">
        <f>IFERROR(__xludf.DUMMYFUNCTION("""COMPUTED_VALUE"""),45119.99861111111)</f>
        <v>45119.99861</v>
      </c>
      <c r="D2897" s="433">
        <f>IFERROR(__xludf.DUMMYFUNCTION("""COMPUTED_VALUE"""),1878.3221)</f>
        <v>1878.3221</v>
      </c>
    </row>
    <row r="2898">
      <c r="A2898" s="434">
        <f>IFERROR(__xludf.DUMMYFUNCTION("""COMPUTED_VALUE"""),45536.99861111111)</f>
        <v>45536.99861</v>
      </c>
      <c r="B2898" s="433">
        <f>IFERROR(__xludf.DUMMYFUNCTION("""COMPUTED_VALUE"""),58563.01)</f>
        <v>58563.01</v>
      </c>
      <c r="C2898" s="434">
        <f>IFERROR(__xludf.DUMMYFUNCTION("""COMPUTED_VALUE"""),45120.99861111111)</f>
        <v>45120.99861</v>
      </c>
      <c r="D2898" s="433">
        <f>IFERROR(__xludf.DUMMYFUNCTION("""COMPUTED_VALUE"""),1872.0402)</f>
        <v>1872.0402</v>
      </c>
    </row>
    <row r="2899">
      <c r="A2899" s="434">
        <f>IFERROR(__xludf.DUMMYFUNCTION("""COMPUTED_VALUE"""),45537.99861111111)</f>
        <v>45537.99861</v>
      </c>
      <c r="B2899" s="433">
        <f>IFERROR(__xludf.DUMMYFUNCTION("""COMPUTED_VALUE"""),57724.56)</f>
        <v>57724.56</v>
      </c>
      <c r="C2899" s="434">
        <f>IFERROR(__xludf.DUMMYFUNCTION("""COMPUTED_VALUE"""),45121.99861111111)</f>
        <v>45121.99861</v>
      </c>
      <c r="D2899" s="433">
        <f>IFERROR(__xludf.DUMMYFUNCTION("""COMPUTED_VALUE"""),2005.6861)</f>
        <v>2005.6861</v>
      </c>
    </row>
    <row r="2900">
      <c r="A2900" s="434">
        <f>IFERROR(__xludf.DUMMYFUNCTION("""COMPUTED_VALUE"""),45538.99861111111)</f>
        <v>45538.99861</v>
      </c>
      <c r="B2900" s="433">
        <f>IFERROR(__xludf.DUMMYFUNCTION("""COMPUTED_VALUE"""),59123.2)</f>
        <v>59123.2</v>
      </c>
      <c r="C2900" s="434">
        <f>IFERROR(__xludf.DUMMYFUNCTION("""COMPUTED_VALUE"""),45122.99861111111)</f>
        <v>45122.99861</v>
      </c>
      <c r="D2900" s="433">
        <f>IFERROR(__xludf.DUMMYFUNCTION("""COMPUTED_VALUE"""),1939.1296)</f>
        <v>1939.1296</v>
      </c>
    </row>
    <row r="2901">
      <c r="A2901" s="434">
        <f>IFERROR(__xludf.DUMMYFUNCTION("""COMPUTED_VALUE"""),45539.99861111111)</f>
        <v>45539.99861</v>
      </c>
      <c r="B2901" s="433">
        <f>IFERROR(__xludf.DUMMYFUNCTION("""COMPUTED_VALUE"""),56729.19)</f>
        <v>56729.19</v>
      </c>
      <c r="C2901" s="434">
        <f>IFERROR(__xludf.DUMMYFUNCTION("""COMPUTED_VALUE"""),45123.99861111111)</f>
        <v>45123.99861</v>
      </c>
      <c r="D2901" s="433">
        <f>IFERROR(__xludf.DUMMYFUNCTION("""COMPUTED_VALUE"""),1931.645)</f>
        <v>1931.645</v>
      </c>
    </row>
    <row r="2902">
      <c r="A2902" s="434">
        <f>IFERROR(__xludf.DUMMYFUNCTION("""COMPUTED_VALUE"""),45540.99861111111)</f>
        <v>45540.99861</v>
      </c>
      <c r="B2902" s="433">
        <f>IFERROR(__xludf.DUMMYFUNCTION("""COMPUTED_VALUE"""),57202.56)</f>
        <v>57202.56</v>
      </c>
      <c r="C2902" s="434">
        <f>IFERROR(__xludf.DUMMYFUNCTION("""COMPUTED_VALUE"""),45124.99861111111)</f>
        <v>45124.99861</v>
      </c>
      <c r="D2902" s="433">
        <f>IFERROR(__xludf.DUMMYFUNCTION("""COMPUTED_VALUE"""),1923.6943)</f>
        <v>1923.6943</v>
      </c>
    </row>
    <row r="2903">
      <c r="A2903" s="434">
        <f>IFERROR(__xludf.DUMMYFUNCTION("""COMPUTED_VALUE"""),45541.99861111111)</f>
        <v>45541.99861</v>
      </c>
      <c r="B2903" s="433">
        <f>IFERROR(__xludf.DUMMYFUNCTION("""COMPUTED_VALUE"""),56604.56)</f>
        <v>56604.56</v>
      </c>
      <c r="C2903" s="434">
        <f>IFERROR(__xludf.DUMMYFUNCTION("""COMPUTED_VALUE"""),45125.99861111111)</f>
        <v>45125.99861</v>
      </c>
      <c r="D2903" s="433">
        <f>IFERROR(__xludf.DUMMYFUNCTION("""COMPUTED_VALUE"""),1911.697)</f>
        <v>1911.697</v>
      </c>
    </row>
    <row r="2904">
      <c r="A2904" s="434">
        <f>IFERROR(__xludf.DUMMYFUNCTION("""COMPUTED_VALUE"""),45542.99861111111)</f>
        <v>45542.99861</v>
      </c>
      <c r="B2904" s="433">
        <f>IFERROR(__xludf.DUMMYFUNCTION("""COMPUTED_VALUE"""),53857.56)</f>
        <v>53857.56</v>
      </c>
      <c r="C2904" s="434">
        <f>IFERROR(__xludf.DUMMYFUNCTION("""COMPUTED_VALUE"""),45126.99861111111)</f>
        <v>45126.99861</v>
      </c>
      <c r="D2904" s="433">
        <f>IFERROR(__xludf.DUMMYFUNCTION("""COMPUTED_VALUE"""),1897.7973)</f>
        <v>1897.7973</v>
      </c>
    </row>
    <row r="2905">
      <c r="A2905" s="434">
        <f>IFERROR(__xludf.DUMMYFUNCTION("""COMPUTED_VALUE"""),45543.99861111111)</f>
        <v>45543.99861</v>
      </c>
      <c r="B2905" s="433">
        <f>IFERROR(__xludf.DUMMYFUNCTION("""COMPUTED_VALUE"""),54382.0)</f>
        <v>54382</v>
      </c>
      <c r="C2905" s="434">
        <f>IFERROR(__xludf.DUMMYFUNCTION("""COMPUTED_VALUE"""),45127.99861111111)</f>
        <v>45127.99861</v>
      </c>
      <c r="D2905" s="433">
        <f>IFERROR(__xludf.DUMMYFUNCTION("""COMPUTED_VALUE"""),1889.0737)</f>
        <v>1889.0737</v>
      </c>
    </row>
    <row r="2906">
      <c r="A2906" s="434">
        <f>IFERROR(__xludf.DUMMYFUNCTION("""COMPUTED_VALUE"""),45544.99861111111)</f>
        <v>45544.99861</v>
      </c>
      <c r="B2906" s="433">
        <f>IFERROR(__xludf.DUMMYFUNCTION("""COMPUTED_VALUE"""),55073.68)</f>
        <v>55073.68</v>
      </c>
      <c r="C2906" s="434">
        <f>IFERROR(__xludf.DUMMYFUNCTION("""COMPUTED_VALUE"""),45128.99861111111)</f>
        <v>45128.99861</v>
      </c>
      <c r="D2906" s="433">
        <f>IFERROR(__xludf.DUMMYFUNCTION("""COMPUTED_VALUE"""),1891.5813)</f>
        <v>1891.5813</v>
      </c>
    </row>
    <row r="2907">
      <c r="A2907" s="434">
        <f>IFERROR(__xludf.DUMMYFUNCTION("""COMPUTED_VALUE"""),45545.99861111111)</f>
        <v>45545.99861</v>
      </c>
      <c r="B2907" s="433">
        <f>IFERROR(__xludf.DUMMYFUNCTION("""COMPUTED_VALUE"""),56568.94)</f>
        <v>56568.94</v>
      </c>
      <c r="C2907" s="434">
        <f>IFERROR(__xludf.DUMMYFUNCTION("""COMPUTED_VALUE"""),45129.99861111111)</f>
        <v>45129.99861</v>
      </c>
      <c r="D2907" s="433">
        <f>IFERROR(__xludf.DUMMYFUNCTION("""COMPUTED_VALUE"""),1891.9551)</f>
        <v>1891.9551</v>
      </c>
    </row>
    <row r="2908">
      <c r="A2908" s="434">
        <f>IFERROR(__xludf.DUMMYFUNCTION("""COMPUTED_VALUE"""),45546.99861111111)</f>
        <v>45546.99861</v>
      </c>
      <c r="B2908" s="433">
        <f>IFERROR(__xludf.DUMMYFUNCTION("""COMPUTED_VALUE"""),56778.54)</f>
        <v>56778.54</v>
      </c>
      <c r="C2908" s="434">
        <f>IFERROR(__xludf.DUMMYFUNCTION("""COMPUTED_VALUE"""),45130.99861111111)</f>
        <v>45130.99861</v>
      </c>
      <c r="D2908" s="433">
        <f>IFERROR(__xludf.DUMMYFUNCTION("""COMPUTED_VALUE"""),1866.0942)</f>
        <v>1866.0942</v>
      </c>
    </row>
    <row r="2909">
      <c r="A2909" s="434">
        <f>IFERROR(__xludf.DUMMYFUNCTION("""COMPUTED_VALUE"""),45547.99861111111)</f>
        <v>45547.99861</v>
      </c>
      <c r="B2909" s="433">
        <f>IFERROR(__xludf.DUMMYFUNCTION("""COMPUTED_VALUE"""),58084.02)</f>
        <v>58084.02</v>
      </c>
      <c r="C2909" s="434">
        <f>IFERROR(__xludf.DUMMYFUNCTION("""COMPUTED_VALUE"""),45131.99861111111)</f>
        <v>45131.99861</v>
      </c>
      <c r="D2909" s="433">
        <f>IFERROR(__xludf.DUMMYFUNCTION("""COMPUTED_VALUE"""),1888.8095)</f>
        <v>1888.8095</v>
      </c>
    </row>
    <row r="2910">
      <c r="A2910" s="434">
        <f>IFERROR(__xludf.DUMMYFUNCTION("""COMPUTED_VALUE"""),45548.99861111111)</f>
        <v>45548.99861</v>
      </c>
      <c r="B2910" s="433">
        <f>IFERROR(__xludf.DUMMYFUNCTION("""COMPUTED_VALUE"""),57886.09)</f>
        <v>57886.09</v>
      </c>
      <c r="C2910" s="434">
        <f>IFERROR(__xludf.DUMMYFUNCTION("""COMPUTED_VALUE"""),45132.99861111111)</f>
        <v>45132.99861</v>
      </c>
      <c r="D2910" s="433">
        <f>IFERROR(__xludf.DUMMYFUNCTION("""COMPUTED_VALUE"""),1850.028)</f>
        <v>1850.028</v>
      </c>
    </row>
    <row r="2911">
      <c r="A2911" s="434">
        <f>IFERROR(__xludf.DUMMYFUNCTION("""COMPUTED_VALUE"""),45549.99861111111)</f>
        <v>45549.99861</v>
      </c>
      <c r="B2911" s="433">
        <f>IFERROR(__xludf.DUMMYFUNCTION("""COMPUTED_VALUE"""),60382.43)</f>
        <v>60382.43</v>
      </c>
      <c r="C2911" s="434">
        <f>IFERROR(__xludf.DUMMYFUNCTION("""COMPUTED_VALUE"""),45133.99861111111)</f>
        <v>45133.99861</v>
      </c>
      <c r="D2911" s="433">
        <f>IFERROR(__xludf.DUMMYFUNCTION("""COMPUTED_VALUE"""),1857.6965)</f>
        <v>1857.6965</v>
      </c>
    </row>
    <row r="2912">
      <c r="A2912" s="434">
        <f>IFERROR(__xludf.DUMMYFUNCTION("""COMPUTED_VALUE"""),45550.99861111111)</f>
        <v>45550.99861</v>
      </c>
      <c r="B2912" s="433">
        <f>IFERROR(__xludf.DUMMYFUNCTION("""COMPUTED_VALUE"""),60186.94)</f>
        <v>60186.94</v>
      </c>
      <c r="C2912" s="434">
        <f>IFERROR(__xludf.DUMMYFUNCTION("""COMPUTED_VALUE"""),45134.99861111111)</f>
        <v>45134.99861</v>
      </c>
      <c r="D2912" s="433">
        <f>IFERROR(__xludf.DUMMYFUNCTION("""COMPUTED_VALUE"""),1872.0863)</f>
        <v>1872.0863</v>
      </c>
    </row>
    <row r="2913">
      <c r="A2913" s="434">
        <f>IFERROR(__xludf.DUMMYFUNCTION("""COMPUTED_VALUE"""),45551.99861111111)</f>
        <v>45551.99861</v>
      </c>
      <c r="B2913" s="433">
        <f>IFERROR(__xludf.DUMMYFUNCTION("""COMPUTED_VALUE"""),58582.38)</f>
        <v>58582.38</v>
      </c>
      <c r="C2913" s="434">
        <f>IFERROR(__xludf.DUMMYFUNCTION("""COMPUTED_VALUE"""),45135.99861111111)</f>
        <v>45135.99861</v>
      </c>
      <c r="D2913" s="433">
        <f>IFERROR(__xludf.DUMMYFUNCTION("""COMPUTED_VALUE"""),1860.7025)</f>
        <v>1860.7025</v>
      </c>
    </row>
    <row r="2914">
      <c r="A2914" s="434">
        <f>IFERROR(__xludf.DUMMYFUNCTION("""COMPUTED_VALUE"""),45552.99861111111)</f>
        <v>45552.99861</v>
      </c>
      <c r="B2914" s="433">
        <f>IFERROR(__xludf.DUMMYFUNCTION("""COMPUTED_VALUE"""),58073.78)</f>
        <v>58073.78</v>
      </c>
      <c r="C2914" s="434">
        <f>IFERROR(__xludf.DUMMYFUNCTION("""COMPUTED_VALUE"""),45136.99861111111)</f>
        <v>45136.99861</v>
      </c>
      <c r="D2914" s="433">
        <f>IFERROR(__xludf.DUMMYFUNCTION("""COMPUTED_VALUE"""),1874.5604)</f>
        <v>1874.5604</v>
      </c>
    </row>
    <row r="2915">
      <c r="A2915" s="434">
        <f>IFERROR(__xludf.DUMMYFUNCTION("""COMPUTED_VALUE"""),45553.99861111111)</f>
        <v>45553.99861</v>
      </c>
      <c r="B2915" s="433">
        <f>IFERROR(__xludf.DUMMYFUNCTION("""COMPUTED_VALUE"""),60545.42)</f>
        <v>60545.42</v>
      </c>
      <c r="C2915" s="434">
        <f>IFERROR(__xludf.DUMMYFUNCTION("""COMPUTED_VALUE"""),45137.99861111111)</f>
        <v>45137.99861</v>
      </c>
      <c r="D2915" s="433">
        <f>IFERROR(__xludf.DUMMYFUNCTION("""COMPUTED_VALUE"""),1880.8715)</f>
        <v>1880.8715</v>
      </c>
    </row>
    <row r="2916">
      <c r="A2916" s="434">
        <f>IFERROR(__xludf.DUMMYFUNCTION("""COMPUTED_VALUE"""),45554.99861111111)</f>
        <v>45554.99861</v>
      </c>
      <c r="B2916" s="433">
        <f>IFERROR(__xludf.DUMMYFUNCTION("""COMPUTED_VALUE"""),62095.62)</f>
        <v>62095.62</v>
      </c>
      <c r="C2916" s="434">
        <f>IFERROR(__xludf.DUMMYFUNCTION("""COMPUTED_VALUE"""),45138.99861111111)</f>
        <v>45138.99861</v>
      </c>
      <c r="D2916" s="433">
        <f>IFERROR(__xludf.DUMMYFUNCTION("""COMPUTED_VALUE"""),1861.7552)</f>
        <v>1861.7552</v>
      </c>
    </row>
    <row r="2917">
      <c r="A2917" s="434">
        <f>IFERROR(__xludf.DUMMYFUNCTION("""COMPUTED_VALUE"""),45555.99861111111)</f>
        <v>45555.99861</v>
      </c>
      <c r="B2917" s="433">
        <f>IFERROR(__xludf.DUMMYFUNCTION("""COMPUTED_VALUE"""),63671.56)</f>
        <v>63671.56</v>
      </c>
      <c r="C2917" s="434">
        <f>IFERROR(__xludf.DUMMYFUNCTION("""COMPUTED_VALUE"""),45139.99861111111)</f>
        <v>45139.99861</v>
      </c>
      <c r="D2917" s="433">
        <f>IFERROR(__xludf.DUMMYFUNCTION("""COMPUTED_VALUE"""),1856.1902)</f>
        <v>1856.1902</v>
      </c>
    </row>
    <row r="2918">
      <c r="A2918" s="434">
        <f>IFERROR(__xludf.DUMMYFUNCTION("""COMPUTED_VALUE"""),45556.99861111111)</f>
        <v>45556.99861</v>
      </c>
      <c r="B2918" s="433">
        <f>IFERROR(__xludf.DUMMYFUNCTION("""COMPUTED_VALUE"""),62922.14)</f>
        <v>62922.14</v>
      </c>
      <c r="C2918" s="434">
        <f>IFERROR(__xludf.DUMMYFUNCTION("""COMPUTED_VALUE"""),45140.99861111111)</f>
        <v>45140.99861</v>
      </c>
      <c r="D2918" s="433">
        <f>IFERROR(__xludf.DUMMYFUNCTION("""COMPUTED_VALUE"""),1873.4681)</f>
        <v>1873.4681</v>
      </c>
    </row>
    <row r="2919">
      <c r="A2919" s="434">
        <f>IFERROR(__xludf.DUMMYFUNCTION("""COMPUTED_VALUE"""),45557.99861111111)</f>
        <v>45557.99861</v>
      </c>
      <c r="B2919" s="433">
        <f>IFERROR(__xludf.DUMMYFUNCTION("""COMPUTED_VALUE"""),63140.06)</f>
        <v>63140.06</v>
      </c>
      <c r="C2919" s="434">
        <f>IFERROR(__xludf.DUMMYFUNCTION("""COMPUTED_VALUE"""),45141.99861111111)</f>
        <v>45141.99861</v>
      </c>
      <c r="D2919" s="433">
        <f>IFERROR(__xludf.DUMMYFUNCTION("""COMPUTED_VALUE"""),1838.8979)</f>
        <v>1838.8979</v>
      </c>
    </row>
    <row r="2920">
      <c r="A2920" s="434">
        <f>IFERROR(__xludf.DUMMYFUNCTION("""COMPUTED_VALUE"""),45558.99861111111)</f>
        <v>45558.99861</v>
      </c>
      <c r="B2920" s="433">
        <f>IFERROR(__xludf.DUMMYFUNCTION("""COMPUTED_VALUE"""),64343.49)</f>
        <v>64343.49</v>
      </c>
      <c r="C2920" s="434">
        <f>IFERROR(__xludf.DUMMYFUNCTION("""COMPUTED_VALUE"""),45142.99861111111)</f>
        <v>45142.99861</v>
      </c>
      <c r="D2920" s="433">
        <f>IFERROR(__xludf.DUMMYFUNCTION("""COMPUTED_VALUE"""),1834.8905)</f>
        <v>1834.8905</v>
      </c>
    </row>
    <row r="2921">
      <c r="A2921" s="434">
        <f>IFERROR(__xludf.DUMMYFUNCTION("""COMPUTED_VALUE"""),45559.99861111111)</f>
        <v>45559.99861</v>
      </c>
      <c r="B2921" s="433">
        <f>IFERROR(__xludf.DUMMYFUNCTION("""COMPUTED_VALUE"""),63130.39)</f>
        <v>63130.39</v>
      </c>
      <c r="C2921" s="434">
        <f>IFERROR(__xludf.DUMMYFUNCTION("""COMPUTED_VALUE"""),45143.99861111111)</f>
        <v>45143.99861</v>
      </c>
      <c r="D2921" s="433">
        <f>IFERROR(__xludf.DUMMYFUNCTION("""COMPUTED_VALUE"""),1827.7986)</f>
        <v>1827.7986</v>
      </c>
    </row>
    <row r="2922">
      <c r="A2922" s="434">
        <f>IFERROR(__xludf.DUMMYFUNCTION("""COMPUTED_VALUE"""),45560.99861111111)</f>
        <v>45560.99861</v>
      </c>
      <c r="B2922" s="433">
        <f>IFERROR(__xludf.DUMMYFUNCTION("""COMPUTED_VALUE"""),64450.64)</f>
        <v>64450.64</v>
      </c>
      <c r="C2922" s="434">
        <f>IFERROR(__xludf.DUMMYFUNCTION("""COMPUTED_VALUE"""),45144.99861111111)</f>
        <v>45144.99861</v>
      </c>
      <c r="D2922" s="433">
        <f>IFERROR(__xludf.DUMMYFUNCTION("""COMPUTED_VALUE"""),1834.8452)</f>
        <v>1834.8452</v>
      </c>
    </row>
    <row r="2923">
      <c r="A2923" s="434">
        <f>IFERROR(__xludf.DUMMYFUNCTION("""COMPUTED_VALUE"""),45561.99861111111)</f>
        <v>45561.99861</v>
      </c>
      <c r="B2923" s="433">
        <f>IFERROR(__xludf.DUMMYFUNCTION("""COMPUTED_VALUE"""),63495.91)</f>
        <v>63495.91</v>
      </c>
      <c r="C2923" s="434">
        <f>IFERROR(__xludf.DUMMYFUNCTION("""COMPUTED_VALUE"""),45145.99861111111)</f>
        <v>45145.99861</v>
      </c>
      <c r="D2923" s="433">
        <f>IFERROR(__xludf.DUMMYFUNCTION("""COMPUTED_VALUE"""),1827.2395)</f>
        <v>1827.2395</v>
      </c>
    </row>
    <row r="2924">
      <c r="A2924" s="434">
        <f>IFERROR(__xludf.DUMMYFUNCTION("""COMPUTED_VALUE"""),45562.99861111111)</f>
        <v>45562.99861</v>
      </c>
      <c r="B2924" s="433">
        <f>IFERROR(__xludf.DUMMYFUNCTION("""COMPUTED_VALUE"""),65390.85)</f>
        <v>65390.85</v>
      </c>
      <c r="C2924" s="434">
        <f>IFERROR(__xludf.DUMMYFUNCTION("""COMPUTED_VALUE"""),45146.99861111111)</f>
        <v>45146.99861</v>
      </c>
      <c r="D2924" s="433">
        <f>IFERROR(__xludf.DUMMYFUNCTION("""COMPUTED_VALUE"""),1826.931)</f>
        <v>1826.931</v>
      </c>
    </row>
    <row r="2925">
      <c r="A2925" s="434">
        <f>IFERROR(__xludf.DUMMYFUNCTION("""COMPUTED_VALUE"""),45563.99861111111)</f>
        <v>45563.99861</v>
      </c>
      <c r="B2925" s="433">
        <f>IFERROR(__xludf.DUMMYFUNCTION("""COMPUTED_VALUE"""),66096.32)</f>
        <v>66096.32</v>
      </c>
      <c r="C2925" s="434">
        <f>IFERROR(__xludf.DUMMYFUNCTION("""COMPUTED_VALUE"""),45147.99861111111)</f>
        <v>45147.99861</v>
      </c>
      <c r="D2925" s="433">
        <f>IFERROR(__xludf.DUMMYFUNCTION("""COMPUTED_VALUE"""),1855.7795)</f>
        <v>1855.7795</v>
      </c>
    </row>
    <row r="2926">
      <c r="A2926" s="434">
        <f>IFERROR(__xludf.DUMMYFUNCTION("""COMPUTED_VALUE"""),45564.99861111111)</f>
        <v>45564.99861</v>
      </c>
      <c r="B2926" s="433">
        <f>IFERROR(__xludf.DUMMYFUNCTION("""COMPUTED_VALUE"""),65848.43)</f>
        <v>65848.43</v>
      </c>
      <c r="C2926" s="434">
        <f>IFERROR(__xludf.DUMMYFUNCTION("""COMPUTED_VALUE"""),45148.99861111111)</f>
        <v>45148.99861</v>
      </c>
      <c r="D2926" s="433">
        <f>IFERROR(__xludf.DUMMYFUNCTION("""COMPUTED_VALUE"""),1854.3483)</f>
        <v>1854.3483</v>
      </c>
    </row>
    <row r="2927">
      <c r="A2927" s="434">
        <f>IFERROR(__xludf.DUMMYFUNCTION("""COMPUTED_VALUE"""),45565.99861111111)</f>
        <v>45565.99861</v>
      </c>
      <c r="B2927" s="433">
        <f>IFERROR(__xludf.DUMMYFUNCTION("""COMPUTED_VALUE"""),64544.22)</f>
        <v>64544.22</v>
      </c>
      <c r="C2927" s="434">
        <f>IFERROR(__xludf.DUMMYFUNCTION("""COMPUTED_VALUE"""),45149.99861111111)</f>
        <v>45149.99861</v>
      </c>
      <c r="D2927" s="433">
        <f>IFERROR(__xludf.DUMMYFUNCTION("""COMPUTED_VALUE"""),1850.7417)</f>
        <v>1850.7417</v>
      </c>
    </row>
    <row r="2928">
      <c r="A2928" s="434">
        <f>IFERROR(__xludf.DUMMYFUNCTION("""COMPUTED_VALUE"""),45566.99861111111)</f>
        <v>45566.99861</v>
      </c>
      <c r="B2928" s="433">
        <f>IFERROR(__xludf.DUMMYFUNCTION("""COMPUTED_VALUE"""),63711.69)</f>
        <v>63711.69</v>
      </c>
      <c r="C2928" s="434">
        <f>IFERROR(__xludf.DUMMYFUNCTION("""COMPUTED_VALUE"""),45150.99861111111)</f>
        <v>45150.99861</v>
      </c>
      <c r="D2928" s="433">
        <f>IFERROR(__xludf.DUMMYFUNCTION("""COMPUTED_VALUE"""),1847.1719)</f>
        <v>1847.1719</v>
      </c>
    </row>
    <row r="2929">
      <c r="A2929" s="434">
        <f>IFERROR(__xludf.DUMMYFUNCTION("""COMPUTED_VALUE"""),45567.99861111111)</f>
        <v>45567.99861</v>
      </c>
      <c r="B2929" s="433">
        <f>IFERROR(__xludf.DUMMYFUNCTION("""COMPUTED_VALUE"""),61781.73)</f>
        <v>61781.73</v>
      </c>
      <c r="C2929" s="434">
        <f>IFERROR(__xludf.DUMMYFUNCTION("""COMPUTED_VALUE"""),45151.99861111111)</f>
        <v>45151.99861</v>
      </c>
      <c r="D2929" s="433">
        <f>IFERROR(__xludf.DUMMYFUNCTION("""COMPUTED_VALUE"""),1849.0538)</f>
        <v>1849.0538</v>
      </c>
    </row>
    <row r="2930">
      <c r="A2930" s="434">
        <f>IFERROR(__xludf.DUMMYFUNCTION("""COMPUTED_VALUE"""),45568.99861111111)</f>
        <v>45568.99861</v>
      </c>
      <c r="B2930" s="433">
        <f>IFERROR(__xludf.DUMMYFUNCTION("""COMPUTED_VALUE"""),61441.14)</f>
        <v>61441.14</v>
      </c>
      <c r="C2930" s="434">
        <f>IFERROR(__xludf.DUMMYFUNCTION("""COMPUTED_VALUE"""),45152.99861111111)</f>
        <v>45152.99861</v>
      </c>
      <c r="D2930" s="433">
        <f>IFERROR(__xludf.DUMMYFUNCTION("""COMPUTED_VALUE"""),1839.3235)</f>
        <v>1839.3235</v>
      </c>
    </row>
    <row r="2931">
      <c r="A2931" s="434">
        <f>IFERROR(__xludf.DUMMYFUNCTION("""COMPUTED_VALUE"""),45569.99861111111)</f>
        <v>45569.99861</v>
      </c>
      <c r="B2931" s="433">
        <f>IFERROR(__xludf.DUMMYFUNCTION("""COMPUTED_VALUE"""),60953.97)</f>
        <v>60953.97</v>
      </c>
      <c r="C2931" s="434">
        <f>IFERROR(__xludf.DUMMYFUNCTION("""COMPUTED_VALUE"""),45153.99861111111)</f>
        <v>45153.99861</v>
      </c>
      <c r="D2931" s="433">
        <f>IFERROR(__xludf.DUMMYFUNCTION("""COMPUTED_VALUE"""),1844.1641)</f>
        <v>1844.1641</v>
      </c>
    </row>
    <row r="2932">
      <c r="A2932" s="434">
        <f>IFERROR(__xludf.DUMMYFUNCTION("""COMPUTED_VALUE"""),45570.99861111111)</f>
        <v>45570.99861</v>
      </c>
      <c r="B2932" s="433">
        <f>IFERROR(__xludf.DUMMYFUNCTION("""COMPUTED_VALUE"""),61897.85)</f>
        <v>61897.85</v>
      </c>
      <c r="C2932" s="434">
        <f>IFERROR(__xludf.DUMMYFUNCTION("""COMPUTED_VALUE"""),45154.99861111111)</f>
        <v>45154.99861</v>
      </c>
      <c r="D2932" s="433">
        <f>IFERROR(__xludf.DUMMYFUNCTION("""COMPUTED_VALUE"""),1827.0364)</f>
        <v>1827.0364</v>
      </c>
    </row>
    <row r="2933">
      <c r="A2933" s="434">
        <f>IFERROR(__xludf.DUMMYFUNCTION("""COMPUTED_VALUE"""),45571.99861111111)</f>
        <v>45571.99861</v>
      </c>
      <c r="B2933" s="433">
        <f>IFERROR(__xludf.DUMMYFUNCTION("""COMPUTED_VALUE"""),61906.66)</f>
        <v>61906.66</v>
      </c>
      <c r="C2933" s="434">
        <f>IFERROR(__xludf.DUMMYFUNCTION("""COMPUTED_VALUE"""),45155.99861111111)</f>
        <v>45155.99861</v>
      </c>
      <c r="D2933" s="433">
        <f>IFERROR(__xludf.DUMMYFUNCTION("""COMPUTED_VALUE"""),1805.5674)</f>
        <v>1805.5674</v>
      </c>
    </row>
    <row r="2934">
      <c r="A2934" s="434">
        <f>IFERROR(__xludf.DUMMYFUNCTION("""COMPUTED_VALUE"""),45572.99861111111)</f>
        <v>45572.99861</v>
      </c>
      <c r="B2934" s="433">
        <f>IFERROR(__xludf.DUMMYFUNCTION("""COMPUTED_VALUE"""),63514.6)</f>
        <v>63514.6</v>
      </c>
      <c r="C2934" s="434">
        <f>IFERROR(__xludf.DUMMYFUNCTION("""COMPUTED_VALUE"""),45156.99861111111)</f>
        <v>45156.99861</v>
      </c>
      <c r="D2934" s="433">
        <f>IFERROR(__xludf.DUMMYFUNCTION("""COMPUTED_VALUE"""),1682.0385)</f>
        <v>1682.0385</v>
      </c>
    </row>
    <row r="2935">
      <c r="A2935" s="434">
        <f>IFERROR(__xludf.DUMMYFUNCTION("""COMPUTED_VALUE"""),45573.99861111111)</f>
        <v>45573.99861</v>
      </c>
      <c r="B2935" s="433">
        <f>IFERROR(__xludf.DUMMYFUNCTION("""COMPUTED_VALUE"""),62609.76)</f>
        <v>62609.76</v>
      </c>
      <c r="C2935" s="434">
        <f>IFERROR(__xludf.DUMMYFUNCTION("""COMPUTED_VALUE"""),45157.99861111111)</f>
        <v>45157.99861</v>
      </c>
      <c r="D2935" s="433">
        <f>IFERROR(__xludf.DUMMYFUNCTION("""COMPUTED_VALUE"""),1660.8443)</f>
        <v>1660.8443</v>
      </c>
    </row>
    <row r="2936">
      <c r="A2936" s="434">
        <f>IFERROR(__xludf.DUMMYFUNCTION("""COMPUTED_VALUE"""),45574.99861111111)</f>
        <v>45574.99861</v>
      </c>
      <c r="B2936" s="433">
        <f>IFERROR(__xludf.DUMMYFUNCTION("""COMPUTED_VALUE"""),62359.38)</f>
        <v>62359.38</v>
      </c>
      <c r="C2936" s="434">
        <f>IFERROR(__xludf.DUMMYFUNCTION("""COMPUTED_VALUE"""),45158.99861111111)</f>
        <v>45158.99861</v>
      </c>
      <c r="D2936" s="433">
        <f>IFERROR(__xludf.DUMMYFUNCTION("""COMPUTED_VALUE"""),1669.5877)</f>
        <v>1669.5877</v>
      </c>
    </row>
    <row r="2937">
      <c r="A2937" s="434">
        <f>IFERROR(__xludf.DUMMYFUNCTION("""COMPUTED_VALUE"""),45575.99861111111)</f>
        <v>45575.99861</v>
      </c>
      <c r="B2937" s="433">
        <f>IFERROR(__xludf.DUMMYFUNCTION("""COMPUTED_VALUE"""),60833.65)</f>
        <v>60833.65</v>
      </c>
      <c r="C2937" s="434">
        <f>IFERROR(__xludf.DUMMYFUNCTION("""COMPUTED_VALUE"""),45159.99861111111)</f>
        <v>45159.99861</v>
      </c>
      <c r="D2937" s="433">
        <f>IFERROR(__xludf.DUMMYFUNCTION("""COMPUTED_VALUE"""),1685.0223)</f>
        <v>1685.0223</v>
      </c>
    </row>
    <row r="2938">
      <c r="A2938" s="434">
        <f>IFERROR(__xludf.DUMMYFUNCTION("""COMPUTED_VALUE"""),45576.99861111111)</f>
        <v>45576.99861</v>
      </c>
      <c r="B2938" s="433">
        <f>IFERROR(__xludf.DUMMYFUNCTION("""COMPUTED_VALUE"""),60607.19)</f>
        <v>60607.19</v>
      </c>
      <c r="C2938" s="434">
        <f>IFERROR(__xludf.DUMMYFUNCTION("""COMPUTED_VALUE"""),45160.99861111111)</f>
        <v>45160.99861</v>
      </c>
      <c r="D2938" s="433">
        <f>IFERROR(__xludf.DUMMYFUNCTION("""COMPUTED_VALUE"""),1667.2792)</f>
        <v>1667.2792</v>
      </c>
    </row>
    <row r="2939">
      <c r="A2939" s="434">
        <f>IFERROR(__xludf.DUMMYFUNCTION("""COMPUTED_VALUE"""),45577.99861111111)</f>
        <v>45577.99861</v>
      </c>
      <c r="B2939" s="433">
        <f>IFERROR(__xludf.DUMMYFUNCTION("""COMPUTED_VALUE"""),62555.24)</f>
        <v>62555.24</v>
      </c>
      <c r="C2939" s="434">
        <f>IFERROR(__xludf.DUMMYFUNCTION("""COMPUTED_VALUE"""),45161.99861111111)</f>
        <v>45161.99861</v>
      </c>
      <c r="D2939" s="433">
        <f>IFERROR(__xludf.DUMMYFUNCTION("""COMPUTED_VALUE"""),1634.4017)</f>
        <v>1634.4017</v>
      </c>
    </row>
    <row r="2940">
      <c r="A2940" s="434">
        <f>IFERROR(__xludf.DUMMYFUNCTION("""COMPUTED_VALUE"""),45578.99861111111)</f>
        <v>45578.99861</v>
      </c>
      <c r="B2940" s="433">
        <f>IFERROR(__xludf.DUMMYFUNCTION("""COMPUTED_VALUE"""),62717.15)</f>
        <v>62717.15</v>
      </c>
      <c r="C2940" s="434">
        <f>IFERROR(__xludf.DUMMYFUNCTION("""COMPUTED_VALUE"""),45162.99861111111)</f>
        <v>45162.99861</v>
      </c>
      <c r="D2940" s="433">
        <f>IFERROR(__xludf.DUMMYFUNCTION("""COMPUTED_VALUE"""),1679.2483)</f>
        <v>1679.2483</v>
      </c>
    </row>
    <row r="2941">
      <c r="A2941" s="434">
        <f>IFERROR(__xludf.DUMMYFUNCTION("""COMPUTED_VALUE"""),45579.99861111111)</f>
        <v>45579.99861</v>
      </c>
      <c r="B2941" s="433">
        <f>IFERROR(__xludf.DUMMYFUNCTION("""COMPUTED_VALUE"""),64195.47)</f>
        <v>64195.47</v>
      </c>
      <c r="C2941" s="434">
        <f>IFERROR(__xludf.DUMMYFUNCTION("""COMPUTED_VALUE"""),45163.99861111111)</f>
        <v>45163.99861</v>
      </c>
      <c r="D2941" s="433">
        <f>IFERROR(__xludf.DUMMYFUNCTION("""COMPUTED_VALUE"""),1660.2699)</f>
        <v>1660.2699</v>
      </c>
    </row>
    <row r="2942">
      <c r="A2942" s="434">
        <f>IFERROR(__xludf.DUMMYFUNCTION("""COMPUTED_VALUE"""),45580.99861111111)</f>
        <v>45580.99861</v>
      </c>
      <c r="B2942" s="433">
        <f>IFERROR(__xludf.DUMMYFUNCTION("""COMPUTED_VALUE"""),65353.81)</f>
        <v>65353.81</v>
      </c>
      <c r="C2942" s="434">
        <f>IFERROR(__xludf.DUMMYFUNCTION("""COMPUTED_VALUE"""),45164.99861111111)</f>
        <v>45164.99861</v>
      </c>
      <c r="D2942" s="433">
        <f>IFERROR(__xludf.DUMMYFUNCTION("""COMPUTED_VALUE"""),1652.9272)</f>
        <v>1652.9272</v>
      </c>
    </row>
    <row r="2943">
      <c r="A2943" s="434">
        <f>IFERROR(__xludf.DUMMYFUNCTION("""COMPUTED_VALUE"""),45581.99861111111)</f>
        <v>45581.99861</v>
      </c>
      <c r="B2943" s="433">
        <f>IFERROR(__xludf.DUMMYFUNCTION("""COMPUTED_VALUE"""),67104.47)</f>
        <v>67104.47</v>
      </c>
      <c r="C2943" s="434">
        <f>IFERROR(__xludf.DUMMYFUNCTION("""COMPUTED_VALUE"""),45165.99861111111)</f>
        <v>45165.99861</v>
      </c>
      <c r="D2943" s="433">
        <f>IFERROR(__xludf.DUMMYFUNCTION("""COMPUTED_VALUE"""),1646.272)</f>
        <v>1646.272</v>
      </c>
    </row>
    <row r="2944">
      <c r="A2944" s="434">
        <f>IFERROR(__xludf.DUMMYFUNCTION("""COMPUTED_VALUE"""),45582.99861111111)</f>
        <v>45582.99861</v>
      </c>
      <c r="B2944" s="433">
        <f>IFERROR(__xludf.DUMMYFUNCTION("""COMPUTED_VALUE"""),67605.86)</f>
        <v>67605.86</v>
      </c>
      <c r="C2944" s="434">
        <f>IFERROR(__xludf.DUMMYFUNCTION("""COMPUTED_VALUE"""),45166.99861111111)</f>
        <v>45166.99861</v>
      </c>
      <c r="D2944" s="433">
        <f>IFERROR(__xludf.DUMMYFUNCTION("""COMPUTED_VALUE"""),1657.4398)</f>
        <v>1657.4398</v>
      </c>
    </row>
    <row r="2945">
      <c r="A2945" s="434">
        <f>IFERROR(__xludf.DUMMYFUNCTION("""COMPUTED_VALUE"""),45583.99861111111)</f>
        <v>45583.99861</v>
      </c>
      <c r="B2945" s="433">
        <f>IFERROR(__xludf.DUMMYFUNCTION("""COMPUTED_VALUE"""),67535.72)</f>
        <v>67535.72</v>
      </c>
      <c r="C2945" s="434">
        <f>IFERROR(__xludf.DUMMYFUNCTION("""COMPUTED_VALUE"""),45167.99861111111)</f>
        <v>45167.99861</v>
      </c>
      <c r="D2945" s="433">
        <f>IFERROR(__xludf.DUMMYFUNCTION("""COMPUTED_VALUE"""),1652.2742)</f>
        <v>1652.2742</v>
      </c>
    </row>
    <row r="2946">
      <c r="A2946" s="434">
        <f>IFERROR(__xludf.DUMMYFUNCTION("""COMPUTED_VALUE"""),45584.99861111111)</f>
        <v>45584.99861</v>
      </c>
      <c r="B2946" s="433">
        <f>IFERROR(__xludf.DUMMYFUNCTION("""COMPUTED_VALUE"""),68456.86)</f>
        <v>68456.86</v>
      </c>
      <c r="C2946" s="434">
        <f>IFERROR(__xludf.DUMMYFUNCTION("""COMPUTED_VALUE"""),45168.99861111111)</f>
        <v>45168.99861</v>
      </c>
      <c r="D2946" s="433">
        <f>IFERROR(__xludf.DUMMYFUNCTION("""COMPUTED_VALUE"""),1729.6766)</f>
        <v>1729.6766</v>
      </c>
    </row>
    <row r="2947">
      <c r="A2947" s="434">
        <f>IFERROR(__xludf.DUMMYFUNCTION("""COMPUTED_VALUE"""),45585.99861111111)</f>
        <v>45585.99861</v>
      </c>
      <c r="B2947" s="433">
        <f>IFERROR(__xludf.DUMMYFUNCTION("""COMPUTED_VALUE"""),68179.25)</f>
        <v>68179.25</v>
      </c>
      <c r="C2947" s="434">
        <f>IFERROR(__xludf.DUMMYFUNCTION("""COMPUTED_VALUE"""),45169.99861111111)</f>
        <v>45169.99861</v>
      </c>
      <c r="D2947" s="433">
        <f>IFERROR(__xludf.DUMMYFUNCTION("""COMPUTED_VALUE"""),1705.3645)</f>
        <v>1705.3645</v>
      </c>
    </row>
    <row r="2948">
      <c r="A2948" s="434">
        <f>IFERROR(__xludf.DUMMYFUNCTION("""COMPUTED_VALUE"""),45586.99861111111)</f>
        <v>45586.99861</v>
      </c>
      <c r="B2948" s="433">
        <f>IFERROR(__xludf.DUMMYFUNCTION("""COMPUTED_VALUE"""),68890.14)</f>
        <v>68890.14</v>
      </c>
      <c r="C2948" s="434">
        <f>IFERROR(__xludf.DUMMYFUNCTION("""COMPUTED_VALUE"""),45170.99861111111)</f>
        <v>45170.99861</v>
      </c>
      <c r="D2948" s="433">
        <f>IFERROR(__xludf.DUMMYFUNCTION("""COMPUTED_VALUE"""),1645.5813)</f>
        <v>1645.5813</v>
      </c>
    </row>
    <row r="2949">
      <c r="A2949" s="434">
        <f>IFERROR(__xludf.DUMMYFUNCTION("""COMPUTED_VALUE"""),45587.99861111111)</f>
        <v>45587.99861</v>
      </c>
      <c r="B2949" s="433">
        <f>IFERROR(__xludf.DUMMYFUNCTION("""COMPUTED_VALUE"""),67344.48)</f>
        <v>67344.48</v>
      </c>
      <c r="C2949" s="434">
        <f>IFERROR(__xludf.DUMMYFUNCTION("""COMPUTED_VALUE"""),45171.99861111111)</f>
        <v>45171.99861</v>
      </c>
      <c r="D2949" s="433">
        <f>IFERROR(__xludf.DUMMYFUNCTION("""COMPUTED_VALUE"""),1628.5597)</f>
        <v>1628.5597</v>
      </c>
    </row>
    <row r="2950">
      <c r="A2950" s="434">
        <f>IFERROR(__xludf.DUMMYFUNCTION("""COMPUTED_VALUE"""),45588.99861111111)</f>
        <v>45588.99861</v>
      </c>
      <c r="B2950" s="433">
        <f>IFERROR(__xludf.DUMMYFUNCTION("""COMPUTED_VALUE"""),67029.24)</f>
        <v>67029.24</v>
      </c>
      <c r="C2950" s="434">
        <f>IFERROR(__xludf.DUMMYFUNCTION("""COMPUTED_VALUE"""),45172.99861111111)</f>
        <v>45172.99861</v>
      </c>
      <c r="D2950" s="433">
        <f>IFERROR(__xludf.DUMMYFUNCTION("""COMPUTED_VALUE"""),1637.0436)</f>
        <v>1637.0436</v>
      </c>
    </row>
    <row r="2951">
      <c r="A2951" s="434">
        <f>IFERROR(__xludf.DUMMYFUNCTION("""COMPUTED_VALUE"""),45589.99861111111)</f>
        <v>45589.99861</v>
      </c>
      <c r="B2951" s="433">
        <f>IFERROR(__xludf.DUMMYFUNCTION("""COMPUTED_VALUE"""),67189.43)</f>
        <v>67189.43</v>
      </c>
      <c r="C2951" s="434">
        <f>IFERROR(__xludf.DUMMYFUNCTION("""COMPUTED_VALUE"""),45173.99861111111)</f>
        <v>45173.99861</v>
      </c>
      <c r="D2951" s="433">
        <f>IFERROR(__xludf.DUMMYFUNCTION("""COMPUTED_VALUE"""),1635.7248)</f>
        <v>1635.7248</v>
      </c>
    </row>
    <row r="2952">
      <c r="A2952" s="434">
        <f>IFERROR(__xludf.DUMMYFUNCTION("""COMPUTED_VALUE"""),45590.99861111111)</f>
        <v>45590.99861</v>
      </c>
      <c r="B2952" s="433">
        <f>IFERROR(__xludf.DUMMYFUNCTION("""COMPUTED_VALUE"""),67973.21)</f>
        <v>67973.21</v>
      </c>
      <c r="C2952" s="434">
        <f>IFERROR(__xludf.DUMMYFUNCTION("""COMPUTED_VALUE"""),45174.99861111111)</f>
        <v>45174.99861</v>
      </c>
      <c r="D2952" s="433">
        <f>IFERROR(__xludf.DUMMYFUNCTION("""COMPUTED_VALUE"""),1629.9111)</f>
        <v>1629.9111</v>
      </c>
    </row>
    <row r="2953">
      <c r="A2953" s="434">
        <f>IFERROR(__xludf.DUMMYFUNCTION("""COMPUTED_VALUE"""),45591.99861111111)</f>
        <v>45591.99861</v>
      </c>
      <c r="B2953" s="433">
        <f>IFERROR(__xludf.DUMMYFUNCTION("""COMPUTED_VALUE"""),66863.0)</f>
        <v>66863</v>
      </c>
      <c r="C2953" s="434">
        <f>IFERROR(__xludf.DUMMYFUNCTION("""COMPUTED_VALUE"""),45175.99861111111)</f>
        <v>45175.99861</v>
      </c>
      <c r="D2953" s="433">
        <f>IFERROR(__xludf.DUMMYFUNCTION("""COMPUTED_VALUE"""),1633.9121)</f>
        <v>1633.9121</v>
      </c>
    </row>
    <row r="2954">
      <c r="A2954" s="434">
        <f>IFERROR(__xludf.DUMMYFUNCTION("""COMPUTED_VALUE"""),45592.99861111111)</f>
        <v>45592.99861</v>
      </c>
      <c r="B2954" s="433">
        <f>IFERROR(__xludf.DUMMYFUNCTION("""COMPUTED_VALUE"""),67196.3)</f>
        <v>67196.3</v>
      </c>
      <c r="C2954" s="434">
        <f>IFERROR(__xludf.DUMMYFUNCTION("""COMPUTED_VALUE"""),45176.99861111111)</f>
        <v>45176.99861</v>
      </c>
      <c r="D2954" s="433">
        <f>IFERROR(__xludf.DUMMYFUNCTION("""COMPUTED_VALUE"""),1632.2629)</f>
        <v>1632.2629</v>
      </c>
    </row>
    <row r="2955">
      <c r="A2955" s="434">
        <f>IFERROR(__xludf.DUMMYFUNCTION("""COMPUTED_VALUE"""),45593.99861111111)</f>
        <v>45593.99861</v>
      </c>
      <c r="B2955" s="433">
        <f>IFERROR(__xludf.DUMMYFUNCTION("""COMPUTED_VALUE"""),67672.59)</f>
        <v>67672.59</v>
      </c>
      <c r="C2955" s="434">
        <f>IFERROR(__xludf.DUMMYFUNCTION("""COMPUTED_VALUE"""),45177.99861111111)</f>
        <v>45177.99861</v>
      </c>
      <c r="D2955" s="433">
        <f>IFERROR(__xludf.DUMMYFUNCTION("""COMPUTED_VALUE"""),1647.8076)</f>
        <v>1647.8076</v>
      </c>
    </row>
    <row r="2956">
      <c r="A2956" s="434">
        <f>IFERROR(__xludf.DUMMYFUNCTION("""COMPUTED_VALUE"""),45594.99861111111)</f>
        <v>45594.99861</v>
      </c>
      <c r="B2956" s="433">
        <f>IFERROR(__xludf.DUMMYFUNCTION("""COMPUTED_VALUE"""),70889.45)</f>
        <v>70889.45</v>
      </c>
      <c r="C2956" s="434">
        <f>IFERROR(__xludf.DUMMYFUNCTION("""COMPUTED_VALUE"""),45178.99861111111)</f>
        <v>45178.99861</v>
      </c>
      <c r="D2956" s="433">
        <f>IFERROR(__xludf.DUMMYFUNCTION("""COMPUTED_VALUE"""),1636.0505)</f>
        <v>1636.0505</v>
      </c>
    </row>
    <row r="2957">
      <c r="A2957" s="434">
        <f>IFERROR(__xludf.DUMMYFUNCTION("""COMPUTED_VALUE"""),45595.99861111111)</f>
        <v>45595.99861</v>
      </c>
      <c r="B2957" s="433">
        <f>IFERROR(__xludf.DUMMYFUNCTION("""COMPUTED_VALUE"""),72185.68)</f>
        <v>72185.68</v>
      </c>
      <c r="C2957" s="434">
        <f>IFERROR(__xludf.DUMMYFUNCTION("""COMPUTED_VALUE"""),45179.99861111111)</f>
        <v>45179.99861</v>
      </c>
      <c r="D2957" s="433">
        <f>IFERROR(__xludf.DUMMYFUNCTION("""COMPUTED_VALUE"""),1635.2117)</f>
        <v>1635.2117</v>
      </c>
    </row>
    <row r="2958">
      <c r="A2958" s="434">
        <f>IFERROR(__xludf.DUMMYFUNCTION("""COMPUTED_VALUE"""),45596.99861111111)</f>
        <v>45596.99861</v>
      </c>
      <c r="B2958" s="433">
        <f>IFERROR(__xludf.DUMMYFUNCTION("""COMPUTED_VALUE"""),72327.32)</f>
        <v>72327.32</v>
      </c>
      <c r="C2958" s="434">
        <f>IFERROR(__xludf.DUMMYFUNCTION("""COMPUTED_VALUE"""),45180.99861111111)</f>
        <v>45180.99861</v>
      </c>
      <c r="D2958" s="433">
        <f>IFERROR(__xludf.DUMMYFUNCTION("""COMPUTED_VALUE"""),1616.7697)</f>
        <v>1616.7697</v>
      </c>
    </row>
    <row r="2959">
      <c r="A2959" s="434">
        <f>IFERROR(__xludf.DUMMYFUNCTION("""COMPUTED_VALUE"""),45597.99861111111)</f>
        <v>45597.99861</v>
      </c>
      <c r="B2959" s="433">
        <f>IFERROR(__xludf.DUMMYFUNCTION("""COMPUTED_VALUE"""),69310.14)</f>
        <v>69310.14</v>
      </c>
      <c r="C2959" s="434">
        <f>IFERROR(__xludf.DUMMYFUNCTION("""COMPUTED_VALUE"""),45181.99861111111)</f>
        <v>45181.99861</v>
      </c>
      <c r="D2959" s="433">
        <f>IFERROR(__xludf.DUMMYFUNCTION("""COMPUTED_VALUE"""),1551.4978)</f>
        <v>1551.4978</v>
      </c>
    </row>
    <row r="2960">
      <c r="A2960" s="434">
        <f>IFERROR(__xludf.DUMMYFUNCTION("""COMPUTED_VALUE"""),45598.99861111111)</f>
        <v>45598.99861</v>
      </c>
      <c r="B2960" s="433">
        <f>IFERROR(__xludf.DUMMYFUNCTION("""COMPUTED_VALUE"""),69621.91)</f>
        <v>69621.91</v>
      </c>
      <c r="C2960" s="434">
        <f>IFERROR(__xludf.DUMMYFUNCTION("""COMPUTED_VALUE"""),45182.99861111111)</f>
        <v>45182.99861</v>
      </c>
      <c r="D2960" s="433">
        <f>IFERROR(__xludf.DUMMYFUNCTION("""COMPUTED_VALUE"""),1592.8924)</f>
        <v>1592.8924</v>
      </c>
    </row>
    <row r="2961">
      <c r="A2961" s="434">
        <f>IFERROR(__xludf.DUMMYFUNCTION("""COMPUTED_VALUE"""),45599.99861111111)</f>
        <v>45599.99861</v>
      </c>
      <c r="B2961" s="433">
        <f>IFERROR(__xludf.DUMMYFUNCTION("""COMPUTED_VALUE"""),68434.65)</f>
        <v>68434.65</v>
      </c>
      <c r="C2961" s="434">
        <f>IFERROR(__xludf.DUMMYFUNCTION("""COMPUTED_VALUE"""),45183.99861111111)</f>
        <v>45183.99861</v>
      </c>
      <c r="D2961" s="433">
        <f>IFERROR(__xludf.DUMMYFUNCTION("""COMPUTED_VALUE"""),1608.0316)</f>
        <v>1608.0316</v>
      </c>
    </row>
    <row r="2962">
      <c r="A2962" s="434">
        <f>IFERROR(__xludf.DUMMYFUNCTION("""COMPUTED_VALUE"""),45600.99861111111)</f>
        <v>45600.99861</v>
      </c>
      <c r="B2962" s="433">
        <f>IFERROR(__xludf.DUMMYFUNCTION("""COMPUTED_VALUE"""),69121.93)</f>
        <v>69121.93</v>
      </c>
      <c r="C2962" s="434">
        <f>IFERROR(__xludf.DUMMYFUNCTION("""COMPUTED_VALUE"""),45184.99861111111)</f>
        <v>45184.99861</v>
      </c>
      <c r="D2962" s="433">
        <f>IFERROR(__xludf.DUMMYFUNCTION("""COMPUTED_VALUE"""),1626.8701)</f>
        <v>1626.8701</v>
      </c>
    </row>
    <row r="2963">
      <c r="A2963" s="434">
        <f>IFERROR(__xludf.DUMMYFUNCTION("""COMPUTED_VALUE"""),45601.99861111111)</f>
        <v>45601.99861</v>
      </c>
      <c r="B2963" s="433">
        <f>IFERROR(__xludf.DUMMYFUNCTION("""COMPUTED_VALUE"""),68317.69)</f>
        <v>68317.69</v>
      </c>
      <c r="C2963" s="434">
        <f>IFERROR(__xludf.DUMMYFUNCTION("""COMPUTED_VALUE"""),45185.99861111111)</f>
        <v>45185.99861</v>
      </c>
      <c r="D2963" s="433">
        <f>IFERROR(__xludf.DUMMYFUNCTION("""COMPUTED_VALUE"""),1641.4465)</f>
        <v>1641.4465</v>
      </c>
    </row>
    <row r="2964">
      <c r="A2964" s="434">
        <f>IFERROR(__xludf.DUMMYFUNCTION("""COMPUTED_VALUE"""),45602.99861111111)</f>
        <v>45602.99861</v>
      </c>
      <c r="B2964" s="433">
        <f>IFERROR(__xludf.DUMMYFUNCTION("""COMPUTED_VALUE"""),74445.82)</f>
        <v>74445.82</v>
      </c>
      <c r="C2964" s="434">
        <f>IFERROR(__xludf.DUMMYFUNCTION("""COMPUTED_VALUE"""),45186.99861111111)</f>
        <v>45186.99861</v>
      </c>
      <c r="D2964" s="433">
        <f>IFERROR(__xludf.DUMMYFUNCTION("""COMPUTED_VALUE"""),1635.2011)</f>
        <v>1635.2011</v>
      </c>
    </row>
    <row r="2965">
      <c r="A2965" s="434">
        <f>IFERROR(__xludf.DUMMYFUNCTION("""COMPUTED_VALUE"""),45603.99861111111)</f>
        <v>45603.99861</v>
      </c>
      <c r="B2965" s="433">
        <f>IFERROR(__xludf.DUMMYFUNCTION("""COMPUTED_VALUE"""),74732.36)</f>
        <v>74732.36</v>
      </c>
      <c r="C2965" s="434">
        <f>IFERROR(__xludf.DUMMYFUNCTION("""COMPUTED_VALUE"""),45187.99861111111)</f>
        <v>45187.99861</v>
      </c>
      <c r="D2965" s="433">
        <f>IFERROR(__xludf.DUMMYFUNCTION("""COMPUTED_VALUE"""),1623.0819)</f>
        <v>1623.0819</v>
      </c>
    </row>
    <row r="2966">
      <c r="A2966" s="434">
        <f>IFERROR(__xludf.DUMMYFUNCTION("""COMPUTED_VALUE"""),45604.99861111111)</f>
        <v>45604.99861</v>
      </c>
      <c r="B2966" s="433">
        <f>IFERROR(__xludf.DUMMYFUNCTION("""COMPUTED_VALUE"""),75883.62)</f>
        <v>75883.62</v>
      </c>
      <c r="C2966" s="434">
        <f>IFERROR(__xludf.DUMMYFUNCTION("""COMPUTED_VALUE"""),45188.99861111111)</f>
        <v>45188.99861</v>
      </c>
      <c r="D2966" s="433">
        <f>IFERROR(__xludf.DUMMYFUNCTION("""COMPUTED_VALUE"""),1637.312)</f>
        <v>1637.312</v>
      </c>
    </row>
    <row r="2967">
      <c r="A2967" s="434">
        <f>IFERROR(__xludf.DUMMYFUNCTION("""COMPUTED_VALUE"""),45605.99861111111)</f>
        <v>45605.99861</v>
      </c>
      <c r="B2967" s="433">
        <f>IFERROR(__xludf.DUMMYFUNCTION("""COMPUTED_VALUE"""),76413.14)</f>
        <v>76413.14</v>
      </c>
      <c r="C2967" s="434">
        <f>IFERROR(__xludf.DUMMYFUNCTION("""COMPUTED_VALUE"""),45189.99861111111)</f>
        <v>45189.99861</v>
      </c>
      <c r="D2967" s="433">
        <f>IFERROR(__xludf.DUMMYFUNCTION("""COMPUTED_VALUE"""),1643.4953)</f>
        <v>1643.4953</v>
      </c>
    </row>
    <row r="2968">
      <c r="A2968" s="434">
        <f>IFERROR(__xludf.DUMMYFUNCTION("""COMPUTED_VALUE"""),45606.99861111111)</f>
        <v>45606.99861</v>
      </c>
      <c r="B2968" s="433">
        <f>IFERROR(__xludf.DUMMYFUNCTION("""COMPUTED_VALUE"""),78990.8)</f>
        <v>78990.8</v>
      </c>
      <c r="C2968" s="434">
        <f>IFERROR(__xludf.DUMMYFUNCTION("""COMPUTED_VALUE"""),45190.99861111111)</f>
        <v>45190.99861</v>
      </c>
      <c r="D2968" s="433">
        <f>IFERROR(__xludf.DUMMYFUNCTION("""COMPUTED_VALUE"""),1622.5918)</f>
        <v>1622.5918</v>
      </c>
    </row>
    <row r="2969">
      <c r="A2969" s="434">
        <f>IFERROR(__xludf.DUMMYFUNCTION("""COMPUTED_VALUE"""),45607.99861111111)</f>
        <v>45607.99861</v>
      </c>
      <c r="B2969" s="433">
        <f>IFERROR(__xludf.DUMMYFUNCTION("""COMPUTED_VALUE"""),81483.31)</f>
        <v>81483.31</v>
      </c>
      <c r="C2969" s="434">
        <f>IFERROR(__xludf.DUMMYFUNCTION("""COMPUTED_VALUE"""),45191.99861111111)</f>
        <v>45191.99861</v>
      </c>
      <c r="D2969" s="433">
        <f>IFERROR(__xludf.DUMMYFUNCTION("""COMPUTED_VALUE"""),1584.0026)</f>
        <v>1584.0026</v>
      </c>
    </row>
    <row r="2970">
      <c r="A2970" s="434">
        <f>IFERROR(__xludf.DUMMYFUNCTION("""COMPUTED_VALUE"""),45608.99861111111)</f>
        <v>45608.99861</v>
      </c>
      <c r="B2970" s="433">
        <f>IFERROR(__xludf.DUMMYFUNCTION("""COMPUTED_VALUE"""),88470.49)</f>
        <v>88470.49</v>
      </c>
      <c r="C2970" s="434">
        <f>IFERROR(__xludf.DUMMYFUNCTION("""COMPUTED_VALUE"""),45192.99861111111)</f>
        <v>45192.99861</v>
      </c>
      <c r="D2970" s="433">
        <f>IFERROR(__xludf.DUMMYFUNCTION("""COMPUTED_VALUE"""),1593.2131)</f>
        <v>1593.2131</v>
      </c>
    </row>
    <row r="2971">
      <c r="A2971" s="434">
        <f>IFERROR(__xludf.DUMMYFUNCTION("""COMPUTED_VALUE"""),45609.99861111111)</f>
        <v>45609.99861</v>
      </c>
      <c r="B2971" s="433">
        <f>IFERROR(__xludf.DUMMYFUNCTION("""COMPUTED_VALUE"""),87125.45)</f>
        <v>87125.45</v>
      </c>
      <c r="C2971" s="434">
        <f>IFERROR(__xludf.DUMMYFUNCTION("""COMPUTED_VALUE"""),45193.99861111111)</f>
        <v>45193.99861</v>
      </c>
      <c r="D2971" s="433">
        <f>IFERROR(__xludf.DUMMYFUNCTION("""COMPUTED_VALUE"""),1593.8257)</f>
        <v>1593.8257</v>
      </c>
    </row>
    <row r="2972">
      <c r="A2972" s="434">
        <f>IFERROR(__xludf.DUMMYFUNCTION("""COMPUTED_VALUE"""),45610.99861111111)</f>
        <v>45610.99861</v>
      </c>
      <c r="B2972" s="433">
        <f>IFERROR(__xludf.DUMMYFUNCTION("""COMPUTED_VALUE"""),90107.27)</f>
        <v>90107.27</v>
      </c>
      <c r="C2972" s="434">
        <f>IFERROR(__xludf.DUMMYFUNCTION("""COMPUTED_VALUE"""),45194.99861111111)</f>
        <v>45194.99861</v>
      </c>
      <c r="D2972" s="433">
        <f>IFERROR(__xludf.DUMMYFUNCTION("""COMPUTED_VALUE"""),1580.7475)</f>
        <v>1580.7475</v>
      </c>
    </row>
    <row r="2973">
      <c r="A2973" s="434">
        <f>IFERROR(__xludf.DUMMYFUNCTION("""COMPUTED_VALUE"""),45611.99861111111)</f>
        <v>45611.99861</v>
      </c>
      <c r="B2973" s="433">
        <f>IFERROR(__xludf.DUMMYFUNCTION("""COMPUTED_VALUE"""),87426.22)</f>
        <v>87426.22</v>
      </c>
      <c r="C2973" s="434">
        <f>IFERROR(__xludf.DUMMYFUNCTION("""COMPUTED_VALUE"""),45195.99861111111)</f>
        <v>45195.99861</v>
      </c>
      <c r="D2973" s="433">
        <f>IFERROR(__xludf.DUMMYFUNCTION("""COMPUTED_VALUE"""),1588.0232)</f>
        <v>1588.0232</v>
      </c>
    </row>
    <row r="2974">
      <c r="A2974" s="434">
        <f>IFERROR(__xludf.DUMMYFUNCTION("""COMPUTED_VALUE"""),45612.99861111111)</f>
        <v>45612.99861</v>
      </c>
      <c r="B2974" s="433">
        <f>IFERROR(__xludf.DUMMYFUNCTION("""COMPUTED_VALUE"""),91278.47)</f>
        <v>91278.47</v>
      </c>
      <c r="C2974" s="434">
        <f>IFERROR(__xludf.DUMMYFUNCTION("""COMPUTED_VALUE"""),45196.99861111111)</f>
        <v>45196.99861</v>
      </c>
      <c r="D2974" s="433">
        <f>IFERROR(__xludf.DUMMYFUNCTION("""COMPUTED_VALUE"""),1593.1083)</f>
        <v>1593.1083</v>
      </c>
    </row>
    <row r="2975">
      <c r="A2975" s="434">
        <f>IFERROR(__xludf.DUMMYFUNCTION("""COMPUTED_VALUE"""),45613.99861111111)</f>
        <v>45613.99861</v>
      </c>
      <c r="B2975" s="433">
        <f>IFERROR(__xludf.DUMMYFUNCTION("""COMPUTED_VALUE"""),90318.17)</f>
        <v>90318.17</v>
      </c>
      <c r="C2975" s="434">
        <f>IFERROR(__xludf.DUMMYFUNCTION("""COMPUTED_VALUE"""),45197.99861111111)</f>
        <v>45197.99861</v>
      </c>
      <c r="D2975" s="433">
        <f>IFERROR(__xludf.DUMMYFUNCTION("""COMPUTED_VALUE"""),1597.672)</f>
        <v>1597.672</v>
      </c>
    </row>
    <row r="2976">
      <c r="A2976" s="434">
        <f>IFERROR(__xludf.DUMMYFUNCTION("""COMPUTED_VALUE"""),45614.99861111111)</f>
        <v>45614.99861</v>
      </c>
      <c r="B2976" s="433">
        <f>IFERROR(__xludf.DUMMYFUNCTION("""COMPUTED_VALUE"""),90449.91)</f>
        <v>90449.91</v>
      </c>
      <c r="C2976" s="434">
        <f>IFERROR(__xludf.DUMMYFUNCTION("""COMPUTED_VALUE"""),45198.99861111111)</f>
        <v>45198.99861</v>
      </c>
      <c r="D2976" s="433">
        <f>IFERROR(__xludf.DUMMYFUNCTION("""COMPUTED_VALUE"""),1652.9999)</f>
        <v>1652.9999</v>
      </c>
    </row>
    <row r="2977">
      <c r="A2977" s="434">
        <f>IFERROR(__xludf.DUMMYFUNCTION("""COMPUTED_VALUE"""),45615.99861111111)</f>
        <v>45615.99861</v>
      </c>
      <c r="B2977" s="433">
        <f>IFERROR(__xludf.DUMMYFUNCTION("""COMPUTED_VALUE"""),91546.89)</f>
        <v>91546.89</v>
      </c>
      <c r="C2977" s="434">
        <f>IFERROR(__xludf.DUMMYFUNCTION("""COMPUTED_VALUE"""),45199.99861111111)</f>
        <v>45199.99861</v>
      </c>
      <c r="D2977" s="433">
        <f>IFERROR(__xludf.DUMMYFUNCTION("""COMPUTED_VALUE"""),1667.8345)</f>
        <v>1667.8345</v>
      </c>
    </row>
    <row r="2978">
      <c r="A2978" s="434">
        <f>IFERROR(__xludf.DUMMYFUNCTION("""COMPUTED_VALUE"""),45616.99861111111)</f>
        <v>45616.99861</v>
      </c>
      <c r="B2978" s="433">
        <f>IFERROR(__xludf.DUMMYFUNCTION("""COMPUTED_VALUE"""),92217.93)</f>
        <v>92217.93</v>
      </c>
      <c r="C2978" s="434">
        <f>IFERROR(__xludf.DUMMYFUNCTION("""COMPUTED_VALUE"""),45200.99861111111)</f>
        <v>45200.99861</v>
      </c>
      <c r="D2978" s="433">
        <f>IFERROR(__xludf.DUMMYFUNCTION("""COMPUTED_VALUE"""),1671.1615)</f>
        <v>1671.1615</v>
      </c>
    </row>
    <row r="2979">
      <c r="A2979" s="434">
        <f>IFERROR(__xludf.DUMMYFUNCTION("""COMPUTED_VALUE"""),45617.99861111111)</f>
        <v>45617.99861</v>
      </c>
      <c r="B2979" s="433">
        <f>IFERROR(__xludf.DUMMYFUNCTION("""COMPUTED_VALUE"""),97402.66)</f>
        <v>97402.66</v>
      </c>
      <c r="C2979" s="434">
        <f>IFERROR(__xludf.DUMMYFUNCTION("""COMPUTED_VALUE"""),45201.99861111111)</f>
        <v>45201.99861</v>
      </c>
      <c r="D2979" s="433">
        <f>IFERROR(__xludf.DUMMYFUNCTION("""COMPUTED_VALUE"""),1732.984)</f>
        <v>1732.984</v>
      </c>
    </row>
    <row r="2980">
      <c r="A2980" s="434">
        <f>IFERROR(__xludf.DUMMYFUNCTION("""COMPUTED_VALUE"""),45618.99861111111)</f>
        <v>45618.99861</v>
      </c>
      <c r="B2980" s="433">
        <f>IFERROR(__xludf.DUMMYFUNCTION("""COMPUTED_VALUE"""),98739.25)</f>
        <v>98739.25</v>
      </c>
      <c r="C2980" s="434">
        <f>IFERROR(__xludf.DUMMYFUNCTION("""COMPUTED_VALUE"""),45202.99861111111)</f>
        <v>45202.99861</v>
      </c>
      <c r="D2980" s="433">
        <f>IFERROR(__xludf.DUMMYFUNCTION("""COMPUTED_VALUE"""),1662.8872)</f>
        <v>1662.8872</v>
      </c>
    </row>
    <row r="2981">
      <c r="A2981" s="434">
        <f>IFERROR(__xludf.DUMMYFUNCTION("""COMPUTED_VALUE"""),45619.99861111111)</f>
        <v>45619.99861</v>
      </c>
      <c r="B2981" s="433">
        <f>IFERROR(__xludf.DUMMYFUNCTION("""COMPUTED_VALUE"""),98496.91)</f>
        <v>98496.91</v>
      </c>
      <c r="C2981" s="434">
        <f>IFERROR(__xludf.DUMMYFUNCTION("""COMPUTED_VALUE"""),45203.99861111111)</f>
        <v>45203.99861</v>
      </c>
      <c r="D2981" s="433">
        <f>IFERROR(__xludf.DUMMYFUNCTION("""COMPUTED_VALUE"""),1656.736)</f>
        <v>1656.736</v>
      </c>
    </row>
    <row r="2982">
      <c r="A2982" s="434">
        <f>IFERROR(__xludf.DUMMYFUNCTION("""COMPUTED_VALUE"""),45620.99861111111)</f>
        <v>45620.99861</v>
      </c>
      <c r="B2982" s="433">
        <f>IFERROR(__xludf.DUMMYFUNCTION("""COMPUTED_VALUE"""),98110.87)</f>
        <v>98110.87</v>
      </c>
      <c r="C2982" s="434">
        <f>IFERROR(__xludf.DUMMYFUNCTION("""COMPUTED_VALUE"""),45204.99861111111)</f>
        <v>45204.99861</v>
      </c>
      <c r="D2982" s="433">
        <f>IFERROR(__xludf.DUMMYFUNCTION("""COMPUTED_VALUE"""),1647.7882)</f>
        <v>1647.7882</v>
      </c>
    </row>
    <row r="2983">
      <c r="A2983" s="434">
        <f>IFERROR(__xludf.DUMMYFUNCTION("""COMPUTED_VALUE"""),45621.99861111111)</f>
        <v>45621.99861</v>
      </c>
      <c r="B2983" s="433">
        <f>IFERROR(__xludf.DUMMYFUNCTION("""COMPUTED_VALUE"""),97811.99)</f>
        <v>97811.99</v>
      </c>
      <c r="C2983" s="434">
        <f>IFERROR(__xludf.DUMMYFUNCTION("""COMPUTED_VALUE"""),45205.99861111111)</f>
        <v>45205.99861</v>
      </c>
      <c r="D2983" s="433">
        <f>IFERROR(__xludf.DUMMYFUNCTION("""COMPUTED_VALUE"""),1611.3657)</f>
        <v>1611.3657</v>
      </c>
    </row>
    <row r="2984">
      <c r="A2984" s="434">
        <f>IFERROR(__xludf.DUMMYFUNCTION("""COMPUTED_VALUE"""),45622.99861111111)</f>
        <v>45622.99861</v>
      </c>
      <c r="B2984" s="433">
        <f>IFERROR(__xludf.DUMMYFUNCTION("""COMPUTED_VALUE"""),94322.14)</f>
        <v>94322.14</v>
      </c>
      <c r="C2984" s="434">
        <f>IFERROR(__xludf.DUMMYFUNCTION("""COMPUTED_VALUE"""),45206.99861111111)</f>
        <v>45206.99861</v>
      </c>
      <c r="D2984" s="433">
        <f>IFERROR(__xludf.DUMMYFUNCTION("""COMPUTED_VALUE"""),1645.8109)</f>
        <v>1645.8109</v>
      </c>
    </row>
    <row r="2985">
      <c r="A2985" s="434">
        <f>IFERROR(__xludf.DUMMYFUNCTION("""COMPUTED_VALUE"""),45623.99861111111)</f>
        <v>45623.99861</v>
      </c>
      <c r="B2985" s="433">
        <f>IFERROR(__xludf.DUMMYFUNCTION("""COMPUTED_VALUE"""),92545.14)</f>
        <v>92545.14</v>
      </c>
      <c r="C2985" s="434">
        <f>IFERROR(__xludf.DUMMYFUNCTION("""COMPUTED_VALUE"""),45207.99861111111)</f>
        <v>45207.99861</v>
      </c>
      <c r="D2985" s="433">
        <f>IFERROR(__xludf.DUMMYFUNCTION("""COMPUTED_VALUE"""),1634.6574)</f>
        <v>1634.6574</v>
      </c>
    </row>
    <row r="2986">
      <c r="A2986" s="434">
        <f>IFERROR(__xludf.DUMMYFUNCTION("""COMPUTED_VALUE"""),45624.99861111111)</f>
        <v>45624.99861</v>
      </c>
      <c r="B2986" s="433">
        <f>IFERROR(__xludf.DUMMYFUNCTION("""COMPUTED_VALUE"""),95797.01)</f>
        <v>95797.01</v>
      </c>
      <c r="C2986" s="434">
        <f>IFERROR(__xludf.DUMMYFUNCTION("""COMPUTED_VALUE"""),45208.99861111111)</f>
        <v>45208.99861</v>
      </c>
      <c r="D2986" s="433">
        <f>IFERROR(__xludf.DUMMYFUNCTION("""COMPUTED_VALUE"""),1633.4549)</f>
        <v>1633.4549</v>
      </c>
    </row>
    <row r="2987">
      <c r="A2987" s="434">
        <f>IFERROR(__xludf.DUMMYFUNCTION("""COMPUTED_VALUE"""),45625.99861111111)</f>
        <v>45625.99861</v>
      </c>
      <c r="B2987" s="433">
        <f>IFERROR(__xludf.DUMMYFUNCTION("""COMPUTED_VALUE"""),96293.35)</f>
        <v>96293.35</v>
      </c>
      <c r="C2987" s="434">
        <f>IFERROR(__xludf.DUMMYFUNCTION("""COMPUTED_VALUE"""),45209.99861111111)</f>
        <v>45209.99861</v>
      </c>
      <c r="D2987" s="433">
        <f>IFERROR(__xludf.DUMMYFUNCTION("""COMPUTED_VALUE"""),1580.1121)</f>
        <v>1580.1121</v>
      </c>
    </row>
    <row r="2988">
      <c r="A2988" s="434">
        <f>IFERROR(__xludf.DUMMYFUNCTION("""COMPUTED_VALUE"""),45626.99861111111)</f>
        <v>45626.99861</v>
      </c>
      <c r="B2988" s="433">
        <f>IFERROR(__xludf.DUMMYFUNCTION("""COMPUTED_VALUE"""),96716.79)</f>
        <v>96716.79</v>
      </c>
      <c r="C2988" s="434">
        <f>IFERROR(__xludf.DUMMYFUNCTION("""COMPUTED_VALUE"""),45210.99861111111)</f>
        <v>45210.99861</v>
      </c>
      <c r="D2988" s="433">
        <f>IFERROR(__xludf.DUMMYFUNCTION("""COMPUTED_VALUE"""),1567.6808)</f>
        <v>1567.6808</v>
      </c>
    </row>
    <row r="2989">
      <c r="A2989" s="434">
        <f>IFERROR(__xludf.DUMMYFUNCTION("""COMPUTED_VALUE"""),45627.99861111111)</f>
        <v>45627.99861</v>
      </c>
      <c r="B2989" s="433">
        <f>IFERROR(__xludf.DUMMYFUNCTION("""COMPUTED_VALUE"""),96490.37)</f>
        <v>96490.37</v>
      </c>
      <c r="C2989" s="434">
        <f>IFERROR(__xludf.DUMMYFUNCTION("""COMPUTED_VALUE"""),45211.99861111111)</f>
        <v>45211.99861</v>
      </c>
      <c r="D2989" s="433">
        <f>IFERROR(__xludf.DUMMYFUNCTION("""COMPUTED_VALUE"""),1566.356)</f>
        <v>1566.356</v>
      </c>
    </row>
    <row r="2990">
      <c r="A2990" s="434">
        <f>IFERROR(__xludf.DUMMYFUNCTION("""COMPUTED_VALUE"""),45628.99861111111)</f>
        <v>45628.99861</v>
      </c>
      <c r="B2990" s="433">
        <f>IFERROR(__xludf.DUMMYFUNCTION("""COMPUTED_VALUE"""),96741.65)</f>
        <v>96741.65</v>
      </c>
      <c r="C2990" s="434">
        <f>IFERROR(__xludf.DUMMYFUNCTION("""COMPUTED_VALUE"""),45212.99861111111)</f>
        <v>45212.99861</v>
      </c>
      <c r="D2990" s="433">
        <f>IFERROR(__xludf.DUMMYFUNCTION("""COMPUTED_VALUE"""),1539.4328)</f>
        <v>1539.4328</v>
      </c>
    </row>
    <row r="2991">
      <c r="A2991" s="434">
        <f>IFERROR(__xludf.DUMMYFUNCTION("""COMPUTED_VALUE"""),45629.99861111111)</f>
        <v>45629.99861</v>
      </c>
      <c r="B2991" s="433">
        <f>IFERROR(__xludf.DUMMYFUNCTION("""COMPUTED_VALUE"""),95939.93)</f>
        <v>95939.93</v>
      </c>
      <c r="C2991" s="434">
        <f>IFERROR(__xludf.DUMMYFUNCTION("""COMPUTED_VALUE"""),45213.99861111111)</f>
        <v>45213.99861</v>
      </c>
      <c r="D2991" s="433">
        <f>IFERROR(__xludf.DUMMYFUNCTION("""COMPUTED_VALUE"""),1552.2638)</f>
        <v>1552.2638</v>
      </c>
    </row>
    <row r="2992">
      <c r="A2992" s="434">
        <f>IFERROR(__xludf.DUMMYFUNCTION("""COMPUTED_VALUE"""),45630.99861111111)</f>
        <v>45630.99861</v>
      </c>
      <c r="B2992" s="433">
        <f>IFERROR(__xludf.DUMMYFUNCTION("""COMPUTED_VALUE"""),95934.26)</f>
        <v>95934.26</v>
      </c>
      <c r="C2992" s="434">
        <f>IFERROR(__xludf.DUMMYFUNCTION("""COMPUTED_VALUE"""),45214.99861111111)</f>
        <v>45214.99861</v>
      </c>
      <c r="D2992" s="433">
        <f>IFERROR(__xludf.DUMMYFUNCTION("""COMPUTED_VALUE"""),1555.0761)</f>
        <v>1555.0761</v>
      </c>
    </row>
    <row r="2993">
      <c r="A2993" s="434">
        <f>IFERROR(__xludf.DUMMYFUNCTION("""COMPUTED_VALUE"""),45631.99861111111)</f>
        <v>45631.99861</v>
      </c>
      <c r="B2993" s="433">
        <f>IFERROR(__xludf.DUMMYFUNCTION("""COMPUTED_VALUE"""),103242.7)</f>
        <v>103242.7</v>
      </c>
      <c r="C2993" s="434">
        <f>IFERROR(__xludf.DUMMYFUNCTION("""COMPUTED_VALUE"""),45215.99861111111)</f>
        <v>45215.99861</v>
      </c>
      <c r="D2993" s="433">
        <f>IFERROR(__xludf.DUMMYFUNCTION("""COMPUTED_VALUE"""),1558.3135)</f>
        <v>1558.3135</v>
      </c>
    </row>
    <row r="2994">
      <c r="A2994" s="434">
        <f>IFERROR(__xludf.DUMMYFUNCTION("""COMPUTED_VALUE"""),45632.99861111111)</f>
        <v>45632.99861</v>
      </c>
      <c r="B2994" s="433">
        <f>IFERROR(__xludf.DUMMYFUNCTION("""COMPUTED_VALUE"""),97952.27)</f>
        <v>97952.27</v>
      </c>
      <c r="C2994" s="434">
        <f>IFERROR(__xludf.DUMMYFUNCTION("""COMPUTED_VALUE"""),45216.99861111111)</f>
        <v>45216.99861</v>
      </c>
      <c r="D2994" s="433">
        <f>IFERROR(__xludf.DUMMYFUNCTION("""COMPUTED_VALUE"""),1600.6356)</f>
        <v>1600.6356</v>
      </c>
    </row>
    <row r="2995">
      <c r="A2995" s="434">
        <f>IFERROR(__xludf.DUMMYFUNCTION("""COMPUTED_VALUE"""),45633.99861111111)</f>
        <v>45633.99861</v>
      </c>
      <c r="B2995" s="433">
        <f>IFERROR(__xludf.DUMMYFUNCTION("""COMPUTED_VALUE"""),99702.98)</f>
        <v>99702.98</v>
      </c>
      <c r="C2995" s="434">
        <f>IFERROR(__xludf.DUMMYFUNCTION("""COMPUTED_VALUE"""),45217.99861111111)</f>
        <v>45217.99861</v>
      </c>
      <c r="D2995" s="433">
        <f>IFERROR(__xludf.DUMMYFUNCTION("""COMPUTED_VALUE"""),1565.3828)</f>
        <v>1565.3828</v>
      </c>
    </row>
    <row r="2996">
      <c r="A2996" s="434">
        <f>IFERROR(__xludf.DUMMYFUNCTION("""COMPUTED_VALUE"""),45634.99861111111)</f>
        <v>45634.99861</v>
      </c>
      <c r="B2996" s="433">
        <f>IFERROR(__xludf.DUMMYFUNCTION("""COMPUTED_VALUE"""),99819.01)</f>
        <v>99819.01</v>
      </c>
      <c r="C2996" s="434">
        <f>IFERROR(__xludf.DUMMYFUNCTION("""COMPUTED_VALUE"""),45218.99861111111)</f>
        <v>45218.99861</v>
      </c>
      <c r="D2996" s="433">
        <f>IFERROR(__xludf.DUMMYFUNCTION("""COMPUTED_VALUE"""),1563.9581)</f>
        <v>1563.9581</v>
      </c>
    </row>
    <row r="2997">
      <c r="A2997" s="434">
        <f>IFERROR(__xludf.DUMMYFUNCTION("""COMPUTED_VALUE"""),45635.99861111111)</f>
        <v>45635.99861</v>
      </c>
      <c r="B2997" s="433">
        <f>IFERROR(__xludf.DUMMYFUNCTION("""COMPUTED_VALUE"""),99438.46)</f>
        <v>99438.46</v>
      </c>
      <c r="C2997" s="434">
        <f>IFERROR(__xludf.DUMMYFUNCTION("""COMPUTED_VALUE"""),45219.99861111111)</f>
        <v>45219.99861</v>
      </c>
      <c r="D2997" s="433">
        <f>IFERROR(__xludf.DUMMYFUNCTION("""COMPUTED_VALUE"""),1567.571)</f>
        <v>1567.571</v>
      </c>
    </row>
    <row r="2998">
      <c r="A2998" s="434">
        <f>IFERROR(__xludf.DUMMYFUNCTION("""COMPUTED_VALUE"""),45636.99861111111)</f>
        <v>45636.99861</v>
      </c>
      <c r="B2998" s="433">
        <f>IFERROR(__xludf.DUMMYFUNCTION("""COMPUTED_VALUE"""),97077.3)</f>
        <v>97077.3</v>
      </c>
      <c r="C2998" s="434">
        <f>IFERROR(__xludf.DUMMYFUNCTION("""COMPUTED_VALUE"""),45220.99861111111)</f>
        <v>45220.99861</v>
      </c>
      <c r="D2998" s="433">
        <f>IFERROR(__xludf.DUMMYFUNCTION("""COMPUTED_VALUE"""),1604.8222)</f>
        <v>1604.8222</v>
      </c>
    </row>
    <row r="2999">
      <c r="A2999" s="434">
        <f>IFERROR(__xludf.DUMMYFUNCTION("""COMPUTED_VALUE"""),45637.99861111111)</f>
        <v>45637.99861</v>
      </c>
      <c r="B2999" s="433">
        <f>IFERROR(__xludf.DUMMYFUNCTION("""COMPUTED_VALUE"""),97601.6)</f>
        <v>97601.6</v>
      </c>
      <c r="C2999" s="434">
        <f>IFERROR(__xludf.DUMMYFUNCTION("""COMPUTED_VALUE"""),45221.99861111111)</f>
        <v>45221.99861</v>
      </c>
      <c r="D2999" s="433">
        <f>IFERROR(__xludf.DUMMYFUNCTION("""COMPUTED_VALUE"""),1629.2978)</f>
        <v>1629.2978</v>
      </c>
    </row>
    <row r="3000">
      <c r="A3000" s="434">
        <f>IFERROR(__xludf.DUMMYFUNCTION("""COMPUTED_VALUE"""),45638.99861111111)</f>
        <v>45638.99861</v>
      </c>
      <c r="B3000" s="433">
        <f>IFERROR(__xludf.DUMMYFUNCTION("""COMPUTED_VALUE"""),100697.2)</f>
        <v>100697.2</v>
      </c>
      <c r="C3000" s="434">
        <f>IFERROR(__xludf.DUMMYFUNCTION("""COMPUTED_VALUE"""),45222.99861111111)</f>
        <v>45222.99861</v>
      </c>
      <c r="D3000" s="433">
        <f>IFERROR(__xludf.DUMMYFUNCTION("""COMPUTED_VALUE"""),1664.3236)</f>
        <v>1664.3236</v>
      </c>
    </row>
    <row r="3001">
      <c r="A3001" s="434">
        <f>IFERROR(__xludf.DUMMYFUNCTION("""COMPUTED_VALUE"""),45639.99861111111)</f>
        <v>45639.99861</v>
      </c>
      <c r="B3001" s="433">
        <f>IFERROR(__xludf.DUMMYFUNCTION("""COMPUTED_VALUE"""),99999.12)</f>
        <v>99999.12</v>
      </c>
      <c r="C3001" s="434">
        <f>IFERROR(__xludf.DUMMYFUNCTION("""COMPUTED_VALUE"""),45223.99861111111)</f>
        <v>45223.99861</v>
      </c>
      <c r="D3001" s="433">
        <f>IFERROR(__xludf.DUMMYFUNCTION("""COMPUTED_VALUE"""),1766.0146)</f>
        <v>1766.0146</v>
      </c>
    </row>
    <row r="3002">
      <c r="A3002" s="434">
        <f>IFERROR(__xludf.DUMMYFUNCTION("""COMPUTED_VALUE"""),45640.99861111111)</f>
        <v>45640.99861</v>
      </c>
      <c r="B3002" s="433">
        <f>IFERROR(__xludf.DUMMYFUNCTION("""COMPUTED_VALUE"""),101680.9)</f>
        <v>101680.9</v>
      </c>
      <c r="C3002" s="434">
        <f>IFERROR(__xludf.DUMMYFUNCTION("""COMPUTED_VALUE"""),45224.99861111111)</f>
        <v>45224.99861</v>
      </c>
      <c r="D3002" s="433">
        <f>IFERROR(__xludf.DUMMYFUNCTION("""COMPUTED_VALUE"""),1784.905)</f>
        <v>1784.905</v>
      </c>
    </row>
    <row r="3003">
      <c r="A3003" s="434">
        <f>IFERROR(__xludf.DUMMYFUNCTION("""COMPUTED_VALUE"""),45641.99861111111)</f>
        <v>45641.99861</v>
      </c>
      <c r="B3003" s="433">
        <f>IFERROR(__xludf.DUMMYFUNCTION("""COMPUTED_VALUE"""),102259.9)</f>
        <v>102259.9</v>
      </c>
      <c r="C3003" s="434">
        <f>IFERROR(__xludf.DUMMYFUNCTION("""COMPUTED_VALUE"""),45225.99861111111)</f>
        <v>45225.99861</v>
      </c>
      <c r="D3003" s="433">
        <f>IFERROR(__xludf.DUMMYFUNCTION("""COMPUTED_VALUE"""),1787.4819)</f>
        <v>1787.4819</v>
      </c>
    </row>
    <row r="3004">
      <c r="A3004" s="434">
        <f>IFERROR(__xludf.DUMMYFUNCTION("""COMPUTED_VALUE"""),45642.99861111111)</f>
        <v>45642.99861</v>
      </c>
      <c r="B3004" s="433">
        <f>IFERROR(__xludf.DUMMYFUNCTION("""COMPUTED_VALUE"""),104572.1)</f>
        <v>104572.1</v>
      </c>
      <c r="C3004" s="434">
        <f>IFERROR(__xludf.DUMMYFUNCTION("""COMPUTED_VALUE"""),45226.99861111111)</f>
        <v>45226.99861</v>
      </c>
      <c r="D3004" s="433">
        <f>IFERROR(__xludf.DUMMYFUNCTION("""COMPUTED_VALUE"""),1803.7949)</f>
        <v>1803.7949</v>
      </c>
    </row>
    <row r="3005">
      <c r="A3005" s="434">
        <f>IFERROR(__xludf.DUMMYFUNCTION("""COMPUTED_VALUE"""),45643.99861111111)</f>
        <v>45643.99861</v>
      </c>
      <c r="B3005" s="433">
        <f>IFERROR(__xludf.DUMMYFUNCTION("""COMPUTED_VALUE"""),106490.1)</f>
        <v>106490.1</v>
      </c>
      <c r="C3005" s="434">
        <f>IFERROR(__xludf.DUMMYFUNCTION("""COMPUTED_VALUE"""),45227.99861111111)</f>
        <v>45227.99861</v>
      </c>
      <c r="D3005" s="433">
        <f>IFERROR(__xludf.DUMMYFUNCTION("""COMPUTED_VALUE"""),1780.0842)</f>
        <v>1780.0842</v>
      </c>
    </row>
    <row r="3006">
      <c r="A3006" s="434">
        <f>IFERROR(__xludf.DUMMYFUNCTION("""COMPUTED_VALUE"""),45644.99861111111)</f>
        <v>45644.99861</v>
      </c>
      <c r="B3006" s="433">
        <f>IFERROR(__xludf.DUMMYFUNCTION("""COMPUTED_VALUE"""),103848.1)</f>
        <v>103848.1</v>
      </c>
      <c r="C3006" s="434">
        <f>IFERROR(__xludf.DUMMYFUNCTION("""COMPUTED_VALUE"""),45228.99861111111)</f>
        <v>45228.99861</v>
      </c>
      <c r="D3006" s="433">
        <f>IFERROR(__xludf.DUMMYFUNCTION("""COMPUTED_VALUE"""),1776.5639)</f>
        <v>1776.5639</v>
      </c>
    </row>
    <row r="3007">
      <c r="A3007" s="434">
        <f>IFERROR(__xludf.DUMMYFUNCTION("""COMPUTED_VALUE"""),45645.99861111111)</f>
        <v>45645.99861</v>
      </c>
      <c r="B3007" s="433">
        <f>IFERROR(__xludf.DUMMYFUNCTION("""COMPUTED_VALUE"""),100646.2)</f>
        <v>100646.2</v>
      </c>
      <c r="C3007" s="434">
        <f>IFERROR(__xludf.DUMMYFUNCTION("""COMPUTED_VALUE"""),45229.99861111111)</f>
        <v>45229.99861</v>
      </c>
      <c r="D3007" s="433">
        <f>IFERROR(__xludf.DUMMYFUNCTION("""COMPUTED_VALUE"""),1795.5891)</f>
        <v>1795.5891</v>
      </c>
    </row>
    <row r="3008">
      <c r="A3008" s="434">
        <f>IFERROR(__xludf.DUMMYFUNCTION("""COMPUTED_VALUE"""),45646.99861111111)</f>
        <v>45646.99861</v>
      </c>
      <c r="B3008" s="433">
        <f>IFERROR(__xludf.DUMMYFUNCTION("""COMPUTED_VALUE"""),97334.15)</f>
        <v>97334.15</v>
      </c>
      <c r="C3008" s="434">
        <f>IFERROR(__xludf.DUMMYFUNCTION("""COMPUTED_VALUE"""),45230.99861111111)</f>
        <v>45230.99861</v>
      </c>
      <c r="D3008" s="433">
        <f>IFERROR(__xludf.DUMMYFUNCTION("""COMPUTED_VALUE"""),1810.1316)</f>
        <v>1810.1316</v>
      </c>
    </row>
    <row r="3009">
      <c r="A3009" s="434">
        <f>IFERROR(__xludf.DUMMYFUNCTION("""COMPUTED_VALUE"""),45647.99861111111)</f>
        <v>45647.99861</v>
      </c>
      <c r="B3009" s="433">
        <f>IFERROR(__xludf.DUMMYFUNCTION("""COMPUTED_VALUE"""),97623.92)</f>
        <v>97623.92</v>
      </c>
      <c r="C3009" s="434">
        <f>IFERROR(__xludf.DUMMYFUNCTION("""COMPUTED_VALUE"""),45231.99861111111)</f>
        <v>45231.99861</v>
      </c>
      <c r="D3009" s="433">
        <f>IFERROR(__xludf.DUMMYFUNCTION("""COMPUTED_VALUE"""),1815.8721)</f>
        <v>1815.8721</v>
      </c>
    </row>
    <row r="3010">
      <c r="A3010" s="434">
        <f>IFERROR(__xludf.DUMMYFUNCTION("""COMPUTED_VALUE"""),45648.99861111111)</f>
        <v>45648.99861</v>
      </c>
      <c r="B3010" s="433">
        <f>IFERROR(__xludf.DUMMYFUNCTION("""COMPUTED_VALUE"""),96193.61)</f>
        <v>96193.61</v>
      </c>
      <c r="C3010" s="434">
        <f>IFERROR(__xludf.DUMMYFUNCTION("""COMPUTED_VALUE"""),45232.99861111111)</f>
        <v>45232.99861</v>
      </c>
      <c r="D3010" s="433">
        <f>IFERROR(__xludf.DUMMYFUNCTION("""COMPUTED_VALUE"""),1847.2599)</f>
        <v>1847.2599</v>
      </c>
    </row>
    <row r="3011">
      <c r="A3011" s="434">
        <f>IFERROR(__xludf.DUMMYFUNCTION("""COMPUTED_VALUE"""),45649.99861111111)</f>
        <v>45649.99861</v>
      </c>
      <c r="B3011" s="433">
        <f>IFERROR(__xludf.DUMMYFUNCTION("""COMPUTED_VALUE"""),95786.72)</f>
        <v>95786.72</v>
      </c>
      <c r="C3011" s="434">
        <f>IFERROR(__xludf.DUMMYFUNCTION("""COMPUTED_VALUE"""),45233.99861111111)</f>
        <v>45233.99861</v>
      </c>
      <c r="D3011" s="433">
        <f>IFERROR(__xludf.DUMMYFUNCTION("""COMPUTED_VALUE"""),1800.9165)</f>
        <v>1800.9165</v>
      </c>
    </row>
    <row r="3012">
      <c r="A3012" s="434">
        <f>IFERROR(__xludf.DUMMYFUNCTION("""COMPUTED_VALUE"""),45650.99861111111)</f>
        <v>45650.99861</v>
      </c>
      <c r="B3012" s="433">
        <f>IFERROR(__xludf.DUMMYFUNCTION("""COMPUTED_VALUE"""),94287.05)</f>
        <v>94287.05</v>
      </c>
      <c r="C3012" s="434">
        <f>IFERROR(__xludf.DUMMYFUNCTION("""COMPUTED_VALUE"""),45234.99861111111)</f>
        <v>45234.99861</v>
      </c>
      <c r="D3012" s="433">
        <f>IFERROR(__xludf.DUMMYFUNCTION("""COMPUTED_VALUE"""),1833.3688)</f>
        <v>1833.3688</v>
      </c>
    </row>
    <row r="3013">
      <c r="A3013" s="434">
        <f>IFERROR(__xludf.DUMMYFUNCTION("""COMPUTED_VALUE"""),45651.99861111111)</f>
        <v>45651.99861</v>
      </c>
      <c r="B3013" s="433">
        <f>IFERROR(__xludf.DUMMYFUNCTION("""COMPUTED_VALUE"""),98209.62)</f>
        <v>98209.62</v>
      </c>
      <c r="C3013" s="434">
        <f>IFERROR(__xludf.DUMMYFUNCTION("""COMPUTED_VALUE"""),45235.99861111111)</f>
        <v>45235.99861</v>
      </c>
      <c r="D3013" s="433">
        <f>IFERROR(__xludf.DUMMYFUNCTION("""COMPUTED_VALUE"""),1857.3956)</f>
        <v>1857.3956</v>
      </c>
    </row>
    <row r="3014">
      <c r="A3014" s="434">
        <f>IFERROR(__xludf.DUMMYFUNCTION("""COMPUTED_VALUE"""),45652.99861111111)</f>
        <v>45652.99861</v>
      </c>
      <c r="B3014" s="433">
        <f>IFERROR(__xludf.DUMMYFUNCTION("""COMPUTED_VALUE"""),98294.12)</f>
        <v>98294.12</v>
      </c>
      <c r="C3014" s="434">
        <f>IFERROR(__xludf.DUMMYFUNCTION("""COMPUTED_VALUE"""),45236.99861111111)</f>
        <v>45236.99861</v>
      </c>
      <c r="D3014" s="433">
        <f>IFERROR(__xludf.DUMMYFUNCTION("""COMPUTED_VALUE"""),1894.0271)</f>
        <v>1894.0271</v>
      </c>
    </row>
    <row r="3015">
      <c r="A3015" s="434">
        <f>IFERROR(__xludf.DUMMYFUNCTION("""COMPUTED_VALUE"""),45653.99861111111)</f>
        <v>45653.99861</v>
      </c>
      <c r="B3015" s="433">
        <f>IFERROR(__xludf.DUMMYFUNCTION("""COMPUTED_VALUE"""),96209.8)</f>
        <v>96209.8</v>
      </c>
      <c r="C3015" s="434">
        <f>IFERROR(__xludf.DUMMYFUNCTION("""COMPUTED_VALUE"""),45237.99861111111)</f>
        <v>45237.99861</v>
      </c>
      <c r="D3015" s="433">
        <f>IFERROR(__xludf.DUMMYFUNCTION("""COMPUTED_VALUE"""),1900.5997)</f>
        <v>1900.5997</v>
      </c>
    </row>
    <row r="3016">
      <c r="A3016" s="434">
        <f>IFERROR(__xludf.DUMMYFUNCTION("""COMPUTED_VALUE"""),45654.99861111111)</f>
        <v>45654.99861</v>
      </c>
      <c r="B3016" s="433">
        <f>IFERROR(__xludf.DUMMYFUNCTION("""COMPUTED_VALUE"""),94449.97)</f>
        <v>94449.97</v>
      </c>
      <c r="C3016" s="434">
        <f>IFERROR(__xludf.DUMMYFUNCTION("""COMPUTED_VALUE"""),45238.99861111111)</f>
        <v>45238.99861</v>
      </c>
      <c r="D3016" s="433">
        <f>IFERROR(__xludf.DUMMYFUNCTION("""COMPUTED_VALUE"""),1887.119)</f>
        <v>1887.119</v>
      </c>
    </row>
    <row r="3017">
      <c r="A3017" s="434">
        <f>IFERROR(__xludf.DUMMYFUNCTION("""COMPUTED_VALUE"""),45655.99861111111)</f>
        <v>45655.99861</v>
      </c>
      <c r="B3017" s="433">
        <f>IFERROR(__xludf.DUMMYFUNCTION("""COMPUTED_VALUE"""),94996.09)</f>
        <v>94996.09</v>
      </c>
      <c r="C3017" s="434">
        <f>IFERROR(__xludf.DUMMYFUNCTION("""COMPUTED_VALUE"""),45239.99861111111)</f>
        <v>45239.99861</v>
      </c>
      <c r="D3017" s="433">
        <f>IFERROR(__xludf.DUMMYFUNCTION("""COMPUTED_VALUE"""),1888.9403)</f>
        <v>1888.9403</v>
      </c>
    </row>
    <row r="3018">
      <c r="A3018" s="434">
        <f>IFERROR(__xludf.DUMMYFUNCTION("""COMPUTED_VALUE"""),45656.99861111111)</f>
        <v>45656.99861</v>
      </c>
      <c r="B3018" s="433">
        <f>IFERROR(__xludf.DUMMYFUNCTION("""COMPUTED_VALUE"""),93169.94)</f>
        <v>93169.94</v>
      </c>
      <c r="C3018" s="434">
        <f>IFERROR(__xludf.DUMMYFUNCTION("""COMPUTED_VALUE"""),45240.99861111111)</f>
        <v>45240.99861</v>
      </c>
      <c r="D3018" s="433">
        <f>IFERROR(__xludf.DUMMYFUNCTION("""COMPUTED_VALUE"""),2121.0674)</f>
        <v>2121.0674</v>
      </c>
    </row>
    <row r="3019">
      <c r="A3019" s="434">
        <f>IFERROR(__xludf.DUMMYFUNCTION("""COMPUTED_VALUE"""),45657.99861111111)</f>
        <v>45657.99861</v>
      </c>
      <c r="B3019" s="433">
        <f>IFERROR(__xludf.DUMMYFUNCTION("""COMPUTED_VALUE"""),92382.89)</f>
        <v>92382.89</v>
      </c>
      <c r="C3019" s="434">
        <f>IFERROR(__xludf.DUMMYFUNCTION("""COMPUTED_VALUE"""),45241.99861111111)</f>
        <v>45241.99861</v>
      </c>
      <c r="D3019" s="433">
        <f>IFERROR(__xludf.DUMMYFUNCTION("""COMPUTED_VALUE"""),2078.0583)</f>
        <v>2078.0583</v>
      </c>
    </row>
    <row r="3020">
      <c r="A3020" s="434">
        <f>IFERROR(__xludf.DUMMYFUNCTION("""COMPUTED_VALUE"""),45658.99861111111)</f>
        <v>45658.99861</v>
      </c>
      <c r="B3020" s="433">
        <f>IFERROR(__xludf.DUMMYFUNCTION("""COMPUTED_VALUE"""),93462.86)</f>
        <v>93462.86</v>
      </c>
      <c r="C3020" s="434">
        <f>IFERROR(__xludf.DUMMYFUNCTION("""COMPUTED_VALUE"""),45242.99861111111)</f>
        <v>45242.99861</v>
      </c>
      <c r="D3020" s="433">
        <f>IFERROR(__xludf.DUMMYFUNCTION("""COMPUTED_VALUE"""),2053.1187)</f>
        <v>2053.1187</v>
      </c>
    </row>
    <row r="3021">
      <c r="A3021" s="434">
        <f>IFERROR(__xludf.DUMMYFUNCTION("""COMPUTED_VALUE"""),45659.99861111111)</f>
        <v>45659.99861</v>
      </c>
      <c r="B3021" s="433">
        <f>IFERROR(__xludf.DUMMYFUNCTION("""COMPUTED_VALUE"""),95642.54)</f>
        <v>95642.54</v>
      </c>
      <c r="C3021" s="434">
        <f>IFERROR(__xludf.DUMMYFUNCTION("""COMPUTED_VALUE"""),45243.99861111111)</f>
        <v>45243.99861</v>
      </c>
      <c r="D3021" s="433">
        <f>IFERROR(__xludf.DUMMYFUNCTION("""COMPUTED_VALUE"""),2045.3545)</f>
        <v>2045.3545</v>
      </c>
    </row>
    <row r="3022">
      <c r="A3022" s="434">
        <f>IFERROR(__xludf.DUMMYFUNCTION("""COMPUTED_VALUE"""),45660.99861111111)</f>
        <v>45660.99861</v>
      </c>
      <c r="B3022" s="433">
        <f>IFERROR(__xludf.DUMMYFUNCTION("""COMPUTED_VALUE"""),96732.46)</f>
        <v>96732.46</v>
      </c>
      <c r="C3022" s="434">
        <f>IFERROR(__xludf.DUMMYFUNCTION("""COMPUTED_VALUE"""),45244.99861111111)</f>
        <v>45244.99861</v>
      </c>
      <c r="D3022" s="433">
        <f>IFERROR(__xludf.DUMMYFUNCTION("""COMPUTED_VALUE"""),2054.7653)</f>
        <v>2054.7653</v>
      </c>
    </row>
    <row r="3023">
      <c r="A3023" s="434">
        <f>IFERROR(__xludf.DUMMYFUNCTION("""COMPUTED_VALUE"""),45661.99861111111)</f>
        <v>45661.99861</v>
      </c>
      <c r="B3023" s="433">
        <f>IFERROR(__xludf.DUMMYFUNCTION("""COMPUTED_VALUE"""),97942.97)</f>
        <v>97942.97</v>
      </c>
      <c r="C3023" s="434">
        <f>IFERROR(__xludf.DUMMYFUNCTION("""COMPUTED_VALUE"""),45245.99861111111)</f>
        <v>45245.99861</v>
      </c>
      <c r="D3023" s="433">
        <f>IFERROR(__xludf.DUMMYFUNCTION("""COMPUTED_VALUE"""),1979.4726)</f>
        <v>1979.4726</v>
      </c>
    </row>
    <row r="3024">
      <c r="A3024" s="434">
        <f>IFERROR(__xludf.DUMMYFUNCTION("""COMPUTED_VALUE"""),45662.99861111111)</f>
        <v>45662.99861</v>
      </c>
      <c r="B3024" s="433">
        <f>IFERROR(__xludf.DUMMYFUNCTION("""COMPUTED_VALUE"""),98355.51)</f>
        <v>98355.51</v>
      </c>
      <c r="C3024" s="434">
        <f>IFERROR(__xludf.DUMMYFUNCTION("""COMPUTED_VALUE"""),45246.99861111111)</f>
        <v>45246.99861</v>
      </c>
      <c r="D3024" s="433">
        <f>IFERROR(__xludf.DUMMYFUNCTION("""COMPUTED_VALUE"""),2059.9658)</f>
        <v>2059.9658</v>
      </c>
    </row>
    <row r="3025">
      <c r="A3025" s="434">
        <f>IFERROR(__xludf.DUMMYFUNCTION("""COMPUTED_VALUE"""),45663.99861111111)</f>
        <v>45663.99861</v>
      </c>
      <c r="B3025" s="433">
        <f>IFERROR(__xludf.DUMMYFUNCTION("""COMPUTED_VALUE"""),99424.66)</f>
        <v>99424.66</v>
      </c>
      <c r="C3025" s="434">
        <f>IFERROR(__xludf.DUMMYFUNCTION("""COMPUTED_VALUE"""),45247.99861111111)</f>
        <v>45247.99861</v>
      </c>
      <c r="D3025" s="433">
        <f>IFERROR(__xludf.DUMMYFUNCTION("""COMPUTED_VALUE"""),1961.8675)</f>
        <v>1961.8675</v>
      </c>
    </row>
    <row r="3026">
      <c r="A3026" s="434">
        <f>IFERROR(__xludf.DUMMYFUNCTION("""COMPUTED_VALUE"""),45664.99861111111)</f>
        <v>45664.99861</v>
      </c>
      <c r="B3026" s="433">
        <f>IFERROR(__xludf.DUMMYFUNCTION("""COMPUTED_VALUE"""),101731.0)</f>
        <v>101731</v>
      </c>
      <c r="C3026" s="434">
        <f>IFERROR(__xludf.DUMMYFUNCTION("""COMPUTED_VALUE"""),45248.99861111111)</f>
        <v>45248.99861</v>
      </c>
      <c r="D3026" s="433">
        <f>IFERROR(__xludf.DUMMYFUNCTION("""COMPUTED_VALUE"""),1961.6713)</f>
        <v>1961.6713</v>
      </c>
    </row>
    <row r="3027">
      <c r="A3027" s="434">
        <f>IFERROR(__xludf.DUMMYFUNCTION("""COMPUTED_VALUE"""),45665.99861111111)</f>
        <v>45665.99861</v>
      </c>
      <c r="B3027" s="433">
        <f>IFERROR(__xludf.DUMMYFUNCTION("""COMPUTED_VALUE"""),96294.37)</f>
        <v>96294.37</v>
      </c>
      <c r="C3027" s="434">
        <f>IFERROR(__xludf.DUMMYFUNCTION("""COMPUTED_VALUE"""),45249.99861111111)</f>
        <v>45249.99861</v>
      </c>
      <c r="D3027" s="433">
        <f>IFERROR(__xludf.DUMMYFUNCTION("""COMPUTED_VALUE"""),1963.18)</f>
        <v>1963.18</v>
      </c>
    </row>
    <row r="3028">
      <c r="A3028" s="434">
        <f>IFERROR(__xludf.DUMMYFUNCTION("""COMPUTED_VALUE"""),45666.99861111111)</f>
        <v>45666.99861</v>
      </c>
      <c r="B3028" s="433">
        <f>IFERROR(__xludf.DUMMYFUNCTION("""COMPUTED_VALUE"""),94409.58)</f>
        <v>94409.58</v>
      </c>
      <c r="C3028" s="434">
        <f>IFERROR(__xludf.DUMMYFUNCTION("""COMPUTED_VALUE"""),45250.99861111111)</f>
        <v>45250.99861</v>
      </c>
      <c r="D3028" s="433">
        <f>IFERROR(__xludf.DUMMYFUNCTION("""COMPUTED_VALUE"""),2011.8533)</f>
        <v>2011.8533</v>
      </c>
    </row>
    <row r="3029">
      <c r="A3029" s="434">
        <f>IFERROR(__xludf.DUMMYFUNCTION("""COMPUTED_VALUE"""),45667.99861111111)</f>
        <v>45667.99861</v>
      </c>
      <c r="B3029" s="433">
        <f>IFERROR(__xludf.DUMMYFUNCTION("""COMPUTED_VALUE"""),93850.97)</f>
        <v>93850.97</v>
      </c>
      <c r="C3029" s="434">
        <f>IFERROR(__xludf.DUMMYFUNCTION("""COMPUTED_VALUE"""),45251.99861111111)</f>
        <v>45251.99861</v>
      </c>
      <c r="D3029" s="433">
        <f>IFERROR(__xludf.DUMMYFUNCTION("""COMPUTED_VALUE"""),2022.2173)</f>
        <v>2022.2173</v>
      </c>
    </row>
    <row r="3030">
      <c r="A3030" s="434">
        <f>IFERROR(__xludf.DUMMYFUNCTION("""COMPUTED_VALUE"""),45668.99861111111)</f>
        <v>45668.99861</v>
      </c>
      <c r="B3030" s="433">
        <f>IFERROR(__xludf.DUMMYFUNCTION("""COMPUTED_VALUE"""),94033.5)</f>
        <v>94033.5</v>
      </c>
      <c r="C3030" s="434">
        <f>IFERROR(__xludf.DUMMYFUNCTION("""COMPUTED_VALUE"""),45252.99861111111)</f>
        <v>45252.99861</v>
      </c>
      <c r="D3030" s="433">
        <f>IFERROR(__xludf.DUMMYFUNCTION("""COMPUTED_VALUE"""),1933.5832)</f>
        <v>1933.5832</v>
      </c>
    </row>
    <row r="3031">
      <c r="A3031" s="434">
        <f>IFERROR(__xludf.DUMMYFUNCTION("""COMPUTED_VALUE"""),45669.99861111111)</f>
        <v>45669.99861</v>
      </c>
      <c r="B3031" s="433">
        <f>IFERROR(__xludf.DUMMYFUNCTION("""COMPUTED_VALUE"""),94575.31)</f>
        <v>94575.31</v>
      </c>
      <c r="C3031" s="434">
        <f>IFERROR(__xludf.DUMMYFUNCTION("""COMPUTED_VALUE"""),45253.99861111111)</f>
        <v>45253.99861</v>
      </c>
      <c r="D3031" s="433">
        <f>IFERROR(__xludf.DUMMYFUNCTION("""COMPUTED_VALUE"""),2063.9055)</f>
        <v>2063.9055</v>
      </c>
    </row>
    <row r="3032">
      <c r="A3032" s="434">
        <f>IFERROR(__xludf.DUMMYFUNCTION("""COMPUTED_VALUE"""),45670.99861111111)</f>
        <v>45670.99861</v>
      </c>
      <c r="B3032" s="433">
        <f>IFERROR(__xludf.DUMMYFUNCTION("""COMPUTED_VALUE"""),94559.12)</f>
        <v>94559.12</v>
      </c>
      <c r="C3032" s="434">
        <f>IFERROR(__xludf.DUMMYFUNCTION("""COMPUTED_VALUE"""),45254.99861111111)</f>
        <v>45254.99861</v>
      </c>
      <c r="D3032" s="433">
        <f>IFERROR(__xludf.DUMMYFUNCTION("""COMPUTED_VALUE"""),2062.4117)</f>
        <v>2062.4117</v>
      </c>
    </row>
    <row r="3033">
      <c r="A3033" s="434">
        <f>IFERROR(__xludf.DUMMYFUNCTION("""COMPUTED_VALUE"""),45671.99861111111)</f>
        <v>45671.99861</v>
      </c>
      <c r="B3033" s="433">
        <f>IFERROR(__xludf.DUMMYFUNCTION("""COMPUTED_VALUE"""),95099.77)</f>
        <v>95099.77</v>
      </c>
      <c r="C3033" s="434">
        <f>IFERROR(__xludf.DUMMYFUNCTION("""COMPUTED_VALUE"""),45255.99861111111)</f>
        <v>45255.99861</v>
      </c>
      <c r="D3033" s="433">
        <f>IFERROR(__xludf.DUMMYFUNCTION("""COMPUTED_VALUE"""),2081.2962)</f>
        <v>2081.2962</v>
      </c>
    </row>
    <row r="3034">
      <c r="A3034" s="434">
        <f>IFERROR(__xludf.DUMMYFUNCTION("""COMPUTED_VALUE"""),45672.99861111111)</f>
        <v>45672.99861</v>
      </c>
      <c r="B3034" s="433">
        <f>IFERROR(__xludf.DUMMYFUNCTION("""COMPUTED_VALUE"""),97176.71)</f>
        <v>97176.71</v>
      </c>
      <c r="C3034" s="434">
        <f>IFERROR(__xludf.DUMMYFUNCTION("""COMPUTED_VALUE"""),45256.99861111111)</f>
        <v>45256.99861</v>
      </c>
      <c r="D3034" s="433">
        <f>IFERROR(__xludf.DUMMYFUNCTION("""COMPUTED_VALUE"""),2084.1774)</f>
        <v>2084.1774</v>
      </c>
    </row>
    <row r="3035">
      <c r="A3035" s="434">
        <f>IFERROR(__xludf.DUMMYFUNCTION("""COMPUTED_VALUE"""),45673.99861111111)</f>
        <v>45673.99861</v>
      </c>
      <c r="B3035" s="433">
        <f>IFERROR(__xludf.DUMMYFUNCTION("""COMPUTED_VALUE"""),99576.98)</f>
        <v>99576.98</v>
      </c>
      <c r="C3035" s="434">
        <f>IFERROR(__xludf.DUMMYFUNCTION("""COMPUTED_VALUE"""),45257.99861111111)</f>
        <v>45257.99861</v>
      </c>
      <c r="D3035" s="433">
        <f>IFERROR(__xludf.DUMMYFUNCTION("""COMPUTED_VALUE"""),2062.3908)</f>
        <v>2062.3908</v>
      </c>
    </row>
    <row r="3036">
      <c r="A3036" s="434">
        <f>IFERROR(__xludf.DUMMYFUNCTION("""COMPUTED_VALUE"""),45674.99861111111)</f>
        <v>45674.99861</v>
      </c>
      <c r="B3036" s="433">
        <f>IFERROR(__xludf.DUMMYFUNCTION("""COMPUTED_VALUE"""),101413.4)</f>
        <v>101413.4</v>
      </c>
      <c r="C3036" s="434">
        <f>IFERROR(__xludf.DUMMYFUNCTION("""COMPUTED_VALUE"""),45258.99861111111)</f>
        <v>45258.99861</v>
      </c>
      <c r="D3036" s="433">
        <f>IFERROR(__xludf.DUMMYFUNCTION("""COMPUTED_VALUE"""),2027.5172)</f>
        <v>2027.5172</v>
      </c>
    </row>
    <row r="3037">
      <c r="A3037" s="434">
        <f>IFERROR(__xludf.DUMMYFUNCTION("""COMPUTED_VALUE"""),45675.99861111111)</f>
        <v>45675.99861</v>
      </c>
      <c r="B3037" s="433">
        <f>IFERROR(__xludf.DUMMYFUNCTION("""COMPUTED_VALUE"""),103545.4)</f>
        <v>103545.4</v>
      </c>
      <c r="C3037" s="434">
        <f>IFERROR(__xludf.DUMMYFUNCTION("""COMPUTED_VALUE"""),45259.99861111111)</f>
        <v>45259.99861</v>
      </c>
      <c r="D3037" s="433">
        <f>IFERROR(__xludf.DUMMYFUNCTION("""COMPUTED_VALUE"""),2049.1868)</f>
        <v>2049.1868</v>
      </c>
    </row>
    <row r="3038">
      <c r="A3038" s="434">
        <f>IFERROR(__xludf.DUMMYFUNCTION("""COMPUTED_VALUE"""),45676.99861111111)</f>
        <v>45676.99861</v>
      </c>
      <c r="B3038" s="433">
        <f>IFERROR(__xludf.DUMMYFUNCTION("""COMPUTED_VALUE"""),104841.0)</f>
        <v>104841</v>
      </c>
      <c r="C3038" s="434">
        <f>IFERROR(__xludf.DUMMYFUNCTION("""COMPUTED_VALUE"""),45260.99861111111)</f>
        <v>45260.99861</v>
      </c>
      <c r="D3038" s="433">
        <f>IFERROR(__xludf.DUMMYFUNCTION("""COMPUTED_VALUE"""),2029.3583)</f>
        <v>2029.3583</v>
      </c>
    </row>
    <row r="3039">
      <c r="A3039" s="434">
        <f>IFERROR(__xludf.DUMMYFUNCTION("""COMPUTED_VALUE"""),45677.99861111111)</f>
        <v>45677.99861</v>
      </c>
      <c r="B3039" s="433">
        <f>IFERROR(__xludf.DUMMYFUNCTION("""COMPUTED_VALUE"""),102194.9)</f>
        <v>102194.9</v>
      </c>
      <c r="C3039" s="434">
        <f>IFERROR(__xludf.DUMMYFUNCTION("""COMPUTED_VALUE"""),45261.99861111111)</f>
        <v>45261.99861</v>
      </c>
      <c r="D3039" s="433">
        <f>IFERROR(__xludf.DUMMYFUNCTION("""COMPUTED_VALUE"""),2052.0967)</f>
        <v>2052.0967</v>
      </c>
    </row>
    <row r="3040">
      <c r="A3040" s="434">
        <f>IFERROR(__xludf.DUMMYFUNCTION("""COMPUTED_VALUE"""),45678.99861111111)</f>
        <v>45678.99861</v>
      </c>
      <c r="B3040" s="433">
        <f>IFERROR(__xludf.DUMMYFUNCTION("""COMPUTED_VALUE"""),102204.3)</f>
        <v>102204.3</v>
      </c>
      <c r="C3040" s="434">
        <f>IFERROR(__xludf.DUMMYFUNCTION("""COMPUTED_VALUE"""),45262.99861111111)</f>
        <v>45262.99861</v>
      </c>
      <c r="D3040" s="433">
        <f>IFERROR(__xludf.DUMMYFUNCTION("""COMPUTED_VALUE"""),2087.6635)</f>
        <v>2087.6635</v>
      </c>
    </row>
    <row r="3041">
      <c r="A3041" s="434">
        <f>IFERROR(__xludf.DUMMYFUNCTION("""COMPUTED_VALUE"""),45679.99861111111)</f>
        <v>45679.99861</v>
      </c>
      <c r="B3041" s="433">
        <f>IFERROR(__xludf.DUMMYFUNCTION("""COMPUTED_VALUE"""),105559.4)</f>
        <v>105559.4</v>
      </c>
      <c r="C3041" s="434">
        <f>IFERROR(__xludf.DUMMYFUNCTION("""COMPUTED_VALUE"""),45263.99861111111)</f>
        <v>45263.99861</v>
      </c>
      <c r="D3041" s="433">
        <f>IFERROR(__xludf.DUMMYFUNCTION("""COMPUTED_VALUE"""),2165.8957)</f>
        <v>2165.8957</v>
      </c>
    </row>
    <row r="3042">
      <c r="A3042" s="434">
        <f>IFERROR(__xludf.DUMMYFUNCTION("""COMPUTED_VALUE"""),45680.99861111111)</f>
        <v>45680.99861</v>
      </c>
      <c r="B3042" s="433">
        <f>IFERROR(__xludf.DUMMYFUNCTION("""COMPUTED_VALUE"""),101964.6)</f>
        <v>101964.6</v>
      </c>
      <c r="C3042" s="434">
        <f>IFERROR(__xludf.DUMMYFUNCTION("""COMPUTED_VALUE"""),45264.99861111111)</f>
        <v>45264.99861</v>
      </c>
      <c r="D3042" s="433">
        <f>IFERROR(__xludf.DUMMYFUNCTION("""COMPUTED_VALUE"""),2193.6634)</f>
        <v>2193.6634</v>
      </c>
    </row>
    <row r="3043">
      <c r="A3043" s="434">
        <f>IFERROR(__xludf.DUMMYFUNCTION("""COMPUTED_VALUE"""),45681.99861111111)</f>
        <v>45681.99861</v>
      </c>
      <c r="B3043" s="433">
        <f>IFERROR(__xludf.DUMMYFUNCTION("""COMPUTED_VALUE"""),104563.0)</f>
        <v>104563</v>
      </c>
      <c r="C3043" s="434">
        <f>IFERROR(__xludf.DUMMYFUNCTION("""COMPUTED_VALUE"""),45265.99861111111)</f>
        <v>45265.99861</v>
      </c>
      <c r="D3043" s="433">
        <f>IFERROR(__xludf.DUMMYFUNCTION("""COMPUTED_VALUE"""),2243.0925)</f>
        <v>2243.0925</v>
      </c>
    </row>
    <row r="3044">
      <c r="A3044" s="434">
        <f>IFERROR(__xludf.DUMMYFUNCTION("""COMPUTED_VALUE"""),45682.99861111111)</f>
        <v>45682.99861</v>
      </c>
      <c r="B3044" s="433">
        <f>IFERROR(__xludf.DUMMYFUNCTION("""COMPUTED_VALUE"""),104669.3)</f>
        <v>104669.3</v>
      </c>
      <c r="C3044" s="434">
        <f>IFERROR(__xludf.DUMMYFUNCTION("""COMPUTED_VALUE"""),45266.99861111111)</f>
        <v>45266.99861</v>
      </c>
      <c r="D3044" s="433">
        <f>IFERROR(__xludf.DUMMYFUNCTION("""COMPUTED_VALUE"""),2293.6282)</f>
        <v>2293.6282</v>
      </c>
    </row>
    <row r="3045">
      <c r="A3045" s="434">
        <f>IFERROR(__xludf.DUMMYFUNCTION("""COMPUTED_VALUE"""),45683.99861111111)</f>
        <v>45683.99861</v>
      </c>
      <c r="B3045" s="433">
        <f>IFERROR(__xludf.DUMMYFUNCTION("""COMPUTED_VALUE"""),105193.9)</f>
        <v>105193.9</v>
      </c>
      <c r="C3045" s="434">
        <f>IFERROR(__xludf.DUMMYFUNCTION("""COMPUTED_VALUE"""),45267.99861111111)</f>
        <v>45267.99861</v>
      </c>
      <c r="D3045" s="433">
        <f>IFERROR(__xludf.DUMMYFUNCTION("""COMPUTED_VALUE"""),2233.2177)</f>
        <v>2233.2177</v>
      </c>
    </row>
    <row r="3046">
      <c r="A3046" s="434">
        <f>IFERROR(__xludf.DUMMYFUNCTION("""COMPUTED_VALUE"""),45684.99861111111)</f>
        <v>45684.99861</v>
      </c>
      <c r="B3046" s="433">
        <f>IFERROR(__xludf.DUMMYFUNCTION("""COMPUTED_VALUE"""),100414.1)</f>
        <v>100414.1</v>
      </c>
      <c r="C3046" s="434">
        <f>IFERROR(__xludf.DUMMYFUNCTION("""COMPUTED_VALUE"""),45268.99861111111)</f>
        <v>45268.99861</v>
      </c>
      <c r="D3046" s="433">
        <f>IFERROR(__xludf.DUMMYFUNCTION("""COMPUTED_VALUE"""),2357.1693)</f>
        <v>2357.1693</v>
      </c>
    </row>
    <row r="3047">
      <c r="A3047" s="434">
        <f>IFERROR(__xludf.DUMMYFUNCTION("""COMPUTED_VALUE"""),45685.99861111111)</f>
        <v>45685.99861</v>
      </c>
      <c r="B3047" s="433">
        <f>IFERROR(__xludf.DUMMYFUNCTION("""COMPUTED_VALUE"""),102938.0)</f>
        <v>102938</v>
      </c>
      <c r="C3047" s="434">
        <f>IFERROR(__xludf.DUMMYFUNCTION("""COMPUTED_VALUE"""),45269.99861111111)</f>
        <v>45269.99861</v>
      </c>
      <c r="D3047" s="433">
        <f>IFERROR(__xludf.DUMMYFUNCTION("""COMPUTED_VALUE"""),2358.686)</f>
        <v>2358.686</v>
      </c>
    </row>
    <row r="3048">
      <c r="A3048" s="434">
        <f>IFERROR(__xludf.DUMMYFUNCTION("""COMPUTED_VALUE"""),45686.99861111111)</f>
        <v>45686.99861</v>
      </c>
      <c r="B3048" s="433">
        <f>IFERROR(__xludf.DUMMYFUNCTION("""COMPUTED_VALUE"""),101995.6)</f>
        <v>101995.6</v>
      </c>
      <c r="C3048" s="434">
        <f>IFERROR(__xludf.DUMMYFUNCTION("""COMPUTED_VALUE"""),45270.99861111111)</f>
        <v>45270.99861</v>
      </c>
      <c r="D3048" s="433">
        <f>IFERROR(__xludf.DUMMYFUNCTION("""COMPUTED_VALUE"""),2341.4402)</f>
        <v>2341.4402</v>
      </c>
    </row>
    <row r="3049">
      <c r="A3049" s="434">
        <f>IFERROR(__xludf.DUMMYFUNCTION("""COMPUTED_VALUE"""),45687.99861111111)</f>
        <v>45687.99861</v>
      </c>
      <c r="B3049" s="433">
        <f>IFERROR(__xludf.DUMMYFUNCTION("""COMPUTED_VALUE"""),105403.1)</f>
        <v>105403.1</v>
      </c>
      <c r="C3049" s="434">
        <f>IFERROR(__xludf.DUMMYFUNCTION("""COMPUTED_VALUE"""),45271.99861111111)</f>
        <v>45271.99861</v>
      </c>
      <c r="D3049" s="433">
        <f>IFERROR(__xludf.DUMMYFUNCTION("""COMPUTED_VALUE"""),2352.4967)</f>
        <v>2352.4967</v>
      </c>
    </row>
    <row r="3050">
      <c r="A3050" s="434">
        <f>IFERROR(__xludf.DUMMYFUNCTION("""COMPUTED_VALUE"""),45688.99861111111)</f>
        <v>45688.99861</v>
      </c>
      <c r="B3050" s="433">
        <f>IFERROR(__xludf.DUMMYFUNCTION("""COMPUTED_VALUE"""),104008.8)</f>
        <v>104008.8</v>
      </c>
      <c r="C3050" s="434">
        <f>IFERROR(__xludf.DUMMYFUNCTION("""COMPUTED_VALUE"""),45272.99861111111)</f>
        <v>45272.99861</v>
      </c>
      <c r="D3050" s="433">
        <f>IFERROR(__xludf.DUMMYFUNCTION("""COMPUTED_VALUE"""),2224.391)</f>
        <v>2224.391</v>
      </c>
    </row>
    <row r="3051">
      <c r="A3051" s="434">
        <f>IFERROR(__xludf.DUMMYFUNCTION("""COMPUTED_VALUE"""),45689.99861111111)</f>
        <v>45689.99861</v>
      </c>
      <c r="B3051" s="433">
        <f>IFERROR(__xludf.DUMMYFUNCTION("""COMPUTED_VALUE"""),102345.6)</f>
        <v>102345.6</v>
      </c>
      <c r="C3051" s="434">
        <f>IFERROR(__xludf.DUMMYFUNCTION("""COMPUTED_VALUE"""),45273.99861111111)</f>
        <v>45273.99861</v>
      </c>
      <c r="D3051" s="433">
        <f>IFERROR(__xludf.DUMMYFUNCTION("""COMPUTED_VALUE"""),2202.6003)</f>
        <v>2202.6003</v>
      </c>
    </row>
    <row r="3052">
      <c r="A3052" s="434">
        <f>IFERROR(__xludf.DUMMYFUNCTION("""COMPUTED_VALUE"""),45690.99861111111)</f>
        <v>45690.99861</v>
      </c>
      <c r="B3052" s="433">
        <f>IFERROR(__xludf.DUMMYFUNCTION("""COMPUTED_VALUE"""),99655.54)</f>
        <v>99655.54</v>
      </c>
      <c r="C3052" s="434">
        <f>IFERROR(__xludf.DUMMYFUNCTION("""COMPUTED_VALUE"""),45274.99861111111)</f>
        <v>45274.99861</v>
      </c>
      <c r="D3052" s="433">
        <f>IFERROR(__xludf.DUMMYFUNCTION("""COMPUTED_VALUE"""),2260.736)</f>
        <v>2260.736</v>
      </c>
    </row>
    <row r="3053">
      <c r="A3053" s="434">
        <f>IFERROR(__xludf.DUMMYFUNCTION("""COMPUTED_VALUE"""),45691.99861111111)</f>
        <v>45691.99861</v>
      </c>
      <c r="B3053" s="433">
        <f>IFERROR(__xludf.DUMMYFUNCTION("""COMPUTED_VALUE"""),92883.21)</f>
        <v>92883.21</v>
      </c>
      <c r="C3053" s="434">
        <f>IFERROR(__xludf.DUMMYFUNCTION("""COMPUTED_VALUE"""),45275.99861111111)</f>
        <v>45275.99861</v>
      </c>
      <c r="D3053" s="433">
        <f>IFERROR(__xludf.DUMMYFUNCTION("""COMPUTED_VALUE"""),2316.1104)</f>
        <v>2316.1104</v>
      </c>
    </row>
    <row r="3054">
      <c r="A3054" s="434">
        <f>IFERROR(__xludf.DUMMYFUNCTION("""COMPUTED_VALUE"""),45692.99861111111)</f>
        <v>45692.99861</v>
      </c>
      <c r="B3054" s="433">
        <f>IFERROR(__xludf.DUMMYFUNCTION("""COMPUTED_VALUE"""),100156.4)</f>
        <v>100156.4</v>
      </c>
      <c r="C3054" s="434">
        <f>IFERROR(__xludf.DUMMYFUNCTION("""COMPUTED_VALUE"""),45276.99861111111)</f>
        <v>45276.99861</v>
      </c>
      <c r="D3054" s="433">
        <f>IFERROR(__xludf.DUMMYFUNCTION("""COMPUTED_VALUE"""),2220.4156)</f>
        <v>2220.4156</v>
      </c>
    </row>
    <row r="3055">
      <c r="A3055" s="434">
        <f>IFERROR(__xludf.DUMMYFUNCTION("""COMPUTED_VALUE"""),45693.99861111111)</f>
        <v>45693.99861</v>
      </c>
      <c r="B3055" s="433">
        <f>IFERROR(__xludf.DUMMYFUNCTION("""COMPUTED_VALUE"""),98136.17)</f>
        <v>98136.17</v>
      </c>
      <c r="C3055" s="434">
        <f>IFERROR(__xludf.DUMMYFUNCTION("""COMPUTED_VALUE"""),45277.99861111111)</f>
        <v>45277.99861</v>
      </c>
      <c r="D3055" s="433">
        <f>IFERROR(__xludf.DUMMYFUNCTION("""COMPUTED_VALUE"""),2226.8925)</f>
        <v>2226.8925</v>
      </c>
    </row>
    <row r="3056">
      <c r="A3056" s="434">
        <f>IFERROR(__xludf.DUMMYFUNCTION("""COMPUTED_VALUE"""),45694.99861111111)</f>
        <v>45694.99861</v>
      </c>
      <c r="B3056" s="433">
        <f>IFERROR(__xludf.DUMMYFUNCTION("""COMPUTED_VALUE"""),97649.43)</f>
        <v>97649.43</v>
      </c>
      <c r="C3056" s="434">
        <f>IFERROR(__xludf.DUMMYFUNCTION("""COMPUTED_VALUE"""),45278.99861111111)</f>
        <v>45278.99861</v>
      </c>
      <c r="D3056" s="433">
        <f>IFERROR(__xludf.DUMMYFUNCTION("""COMPUTED_VALUE"""),2195.3417)</f>
        <v>2195.3417</v>
      </c>
    </row>
    <row r="3057">
      <c r="A3057" s="434">
        <f>IFERROR(__xludf.DUMMYFUNCTION("""COMPUTED_VALUE"""),45695.99861111111)</f>
        <v>45695.99861</v>
      </c>
      <c r="B3057" s="433">
        <f>IFERROR(__xludf.DUMMYFUNCTION("""COMPUTED_VALUE"""),97519.86)</f>
        <v>97519.86</v>
      </c>
      <c r="C3057" s="434">
        <f>IFERROR(__xludf.DUMMYFUNCTION("""COMPUTED_VALUE"""),45279.99861111111)</f>
        <v>45279.99861</v>
      </c>
      <c r="D3057" s="433">
        <f>IFERROR(__xludf.DUMMYFUNCTION("""COMPUTED_VALUE"""),2218.241)</f>
        <v>2218.241</v>
      </c>
    </row>
    <row r="3058">
      <c r="A3058" s="434">
        <f>IFERROR(__xludf.DUMMYFUNCTION("""COMPUTED_VALUE"""),45696.99861111111)</f>
        <v>45696.99861</v>
      </c>
      <c r="B3058" s="433">
        <f>IFERROR(__xludf.DUMMYFUNCTION("""COMPUTED_VALUE"""),96362.31)</f>
        <v>96362.31</v>
      </c>
      <c r="C3058" s="434">
        <f>IFERROR(__xludf.DUMMYFUNCTION("""COMPUTED_VALUE"""),45280.99861111111)</f>
        <v>45280.99861</v>
      </c>
      <c r="D3058" s="433">
        <f>IFERROR(__xludf.DUMMYFUNCTION("""COMPUTED_VALUE"""),2177.2395)</f>
        <v>2177.2395</v>
      </c>
    </row>
    <row r="3059">
      <c r="A3059" s="434">
        <f>IFERROR(__xludf.DUMMYFUNCTION("""COMPUTED_VALUE"""),45697.99861111111)</f>
        <v>45697.99861</v>
      </c>
      <c r="B3059" s="433">
        <f>IFERROR(__xludf.DUMMYFUNCTION("""COMPUTED_VALUE"""),97281.8)</f>
        <v>97281.8</v>
      </c>
      <c r="C3059" s="434">
        <f>IFERROR(__xludf.DUMMYFUNCTION("""COMPUTED_VALUE"""),45281.99861111111)</f>
        <v>45281.99861</v>
      </c>
      <c r="D3059" s="433">
        <f>IFERROR(__xludf.DUMMYFUNCTION("""COMPUTED_VALUE"""),2201.7901)</f>
        <v>2201.7901</v>
      </c>
    </row>
    <row r="3060">
      <c r="A3060" s="434">
        <f>IFERROR(__xludf.DUMMYFUNCTION("""COMPUTED_VALUE"""),45698.99861111111)</f>
        <v>45698.99861</v>
      </c>
      <c r="B3060" s="433">
        <f>IFERROR(__xludf.DUMMYFUNCTION("""COMPUTED_VALUE"""),96932.82)</f>
        <v>96932.82</v>
      </c>
      <c r="C3060" s="434">
        <f>IFERROR(__xludf.DUMMYFUNCTION("""COMPUTED_VALUE"""),45282.99861111111)</f>
        <v>45282.99861</v>
      </c>
      <c r="D3060" s="433">
        <f>IFERROR(__xludf.DUMMYFUNCTION("""COMPUTED_VALUE"""),2239.5983)</f>
        <v>2239.5983</v>
      </c>
    </row>
    <row r="3061">
      <c r="A3061" s="434">
        <f>IFERROR(__xludf.DUMMYFUNCTION("""COMPUTED_VALUE"""),45699.99861111111)</f>
        <v>45699.99861</v>
      </c>
      <c r="B3061" s="433">
        <f>IFERROR(__xludf.DUMMYFUNCTION("""COMPUTED_VALUE"""),98077.13)</f>
        <v>98077.13</v>
      </c>
      <c r="C3061" s="434">
        <f>IFERROR(__xludf.DUMMYFUNCTION("""COMPUTED_VALUE"""),45283.99861111111)</f>
        <v>45283.99861</v>
      </c>
      <c r="D3061" s="433">
        <f>IFERROR(__xludf.DUMMYFUNCTION("""COMPUTED_VALUE"""),2326.7159)</f>
        <v>2326.7159</v>
      </c>
    </row>
    <row r="3062">
      <c r="A3062" s="434">
        <f>IFERROR(__xludf.DUMMYFUNCTION("""COMPUTED_VALUE"""),45700.99861111111)</f>
        <v>45700.99861</v>
      </c>
      <c r="B3062" s="433">
        <f>IFERROR(__xludf.DUMMYFUNCTION("""COMPUTED_VALUE"""),95573.3)</f>
        <v>95573.3</v>
      </c>
      <c r="C3062" s="434">
        <f>IFERROR(__xludf.DUMMYFUNCTION("""COMPUTED_VALUE"""),45284.99861111111)</f>
        <v>45284.99861</v>
      </c>
      <c r="D3062" s="433">
        <f>IFERROR(__xludf.DUMMYFUNCTION("""COMPUTED_VALUE"""),2309.6266)</f>
        <v>2309.6266</v>
      </c>
    </row>
    <row r="3063">
      <c r="A3063" s="434">
        <f>IFERROR(__xludf.DUMMYFUNCTION("""COMPUTED_VALUE"""),45701.99861111111)</f>
        <v>45701.99861</v>
      </c>
      <c r="B3063" s="433">
        <f>IFERROR(__xludf.DUMMYFUNCTION("""COMPUTED_VALUE"""),96900.99)</f>
        <v>96900.99</v>
      </c>
      <c r="C3063" s="434">
        <f>IFERROR(__xludf.DUMMYFUNCTION("""COMPUTED_VALUE"""),45285.99861111111)</f>
        <v>45285.99861</v>
      </c>
      <c r="D3063" s="433">
        <f>IFERROR(__xludf.DUMMYFUNCTION("""COMPUTED_VALUE"""),2265.3406)</f>
        <v>2265.3406</v>
      </c>
    </row>
    <row r="3064">
      <c r="A3064" s="434">
        <f>IFERROR(__xludf.DUMMYFUNCTION("""COMPUTED_VALUE"""),45702.99861111111)</f>
        <v>45702.99861</v>
      </c>
      <c r="B3064" s="433">
        <f>IFERROR(__xludf.DUMMYFUNCTION("""COMPUTED_VALUE"""),96796.01)</f>
        <v>96796.01</v>
      </c>
      <c r="C3064" s="434">
        <f>IFERROR(__xludf.DUMMYFUNCTION("""COMPUTED_VALUE"""),45286.99861111111)</f>
        <v>45286.99861</v>
      </c>
      <c r="D3064" s="433">
        <f>IFERROR(__xludf.DUMMYFUNCTION("""COMPUTED_VALUE"""),2272.2188)</f>
        <v>2272.2188</v>
      </c>
    </row>
    <row r="3065">
      <c r="A3065" s="434">
        <f>IFERROR(__xludf.DUMMYFUNCTION("""COMPUTED_VALUE"""),45703.99861111111)</f>
        <v>45703.99861</v>
      </c>
      <c r="B3065" s="433">
        <f>IFERROR(__xludf.DUMMYFUNCTION("""COMPUTED_VALUE"""),97544.53)</f>
        <v>97544.53</v>
      </c>
      <c r="C3065" s="434">
        <f>IFERROR(__xludf.DUMMYFUNCTION("""COMPUTED_VALUE"""),45287.99861111111)</f>
        <v>45287.99861</v>
      </c>
      <c r="D3065" s="433">
        <f>IFERROR(__xludf.DUMMYFUNCTION("""COMPUTED_VALUE"""),2231.3931)</f>
        <v>2231.3931</v>
      </c>
    </row>
    <row r="3066">
      <c r="A3066" s="434">
        <f>IFERROR(__xludf.DUMMYFUNCTION("""COMPUTED_VALUE"""),45704.99861111111)</f>
        <v>45704.99861</v>
      </c>
      <c r="B3066" s="433">
        <f>IFERROR(__xludf.DUMMYFUNCTION("""COMPUTED_VALUE"""),97580.92)</f>
        <v>97580.92</v>
      </c>
      <c r="C3066" s="434">
        <f>IFERROR(__xludf.DUMMYFUNCTION("""COMPUTED_VALUE"""),45288.99861111111)</f>
        <v>45288.99861</v>
      </c>
      <c r="D3066" s="433">
        <f>IFERROR(__xludf.DUMMYFUNCTION("""COMPUTED_VALUE"""),2380.2006)</f>
        <v>2380.2006</v>
      </c>
    </row>
    <row r="3067">
      <c r="A3067" s="434">
        <f>IFERROR(__xludf.DUMMYFUNCTION("""COMPUTED_VALUE"""),45705.99861111111)</f>
        <v>45705.99861</v>
      </c>
      <c r="B3067" s="433">
        <f>IFERROR(__xludf.DUMMYFUNCTION("""COMPUTED_VALUE"""),96127.14)</f>
        <v>96127.14</v>
      </c>
      <c r="C3067" s="434">
        <f>IFERROR(__xludf.DUMMYFUNCTION("""COMPUTED_VALUE"""),45289.99861111111)</f>
        <v>45289.99861</v>
      </c>
      <c r="D3067" s="433">
        <f>IFERROR(__xludf.DUMMYFUNCTION("""COMPUTED_VALUE"""),2346.8438)</f>
        <v>2346.8438</v>
      </c>
    </row>
    <row r="3068">
      <c r="A3068" s="434">
        <f>IFERROR(__xludf.DUMMYFUNCTION("""COMPUTED_VALUE"""),45706.99861111111)</f>
        <v>45706.99861</v>
      </c>
      <c r="B3068" s="433">
        <f>IFERROR(__xludf.DUMMYFUNCTION("""COMPUTED_VALUE"""),96096.47)</f>
        <v>96096.47</v>
      </c>
      <c r="C3068" s="434">
        <f>IFERROR(__xludf.DUMMYFUNCTION("""COMPUTED_VALUE"""),45290.99861111111)</f>
        <v>45290.99861</v>
      </c>
      <c r="D3068" s="433">
        <f>IFERROR(__xludf.DUMMYFUNCTION("""COMPUTED_VALUE"""),2300.3998)</f>
        <v>2300.3998</v>
      </c>
    </row>
    <row r="3069">
      <c r="A3069" s="434">
        <f>IFERROR(__xludf.DUMMYFUNCTION("""COMPUTED_VALUE"""),45707.99861111111)</f>
        <v>45707.99861</v>
      </c>
      <c r="B3069" s="433">
        <f>IFERROR(__xludf.DUMMYFUNCTION("""COMPUTED_VALUE"""),95307.54)</f>
        <v>95307.54</v>
      </c>
      <c r="C3069" s="434">
        <f>IFERROR(__xludf.DUMMYFUNCTION("""COMPUTED_VALUE"""),45291.99861111111)</f>
        <v>45291.99861</v>
      </c>
      <c r="D3069" s="433">
        <f>IFERROR(__xludf.DUMMYFUNCTION("""COMPUTED_VALUE"""),2291.9452)</f>
        <v>2291.9452</v>
      </c>
    </row>
    <row r="3070">
      <c r="A3070" s="434">
        <f>IFERROR(__xludf.DUMMYFUNCTION("""COMPUTED_VALUE"""),45708.99861111111)</f>
        <v>45708.99861</v>
      </c>
      <c r="B3070" s="433">
        <f>IFERROR(__xludf.DUMMYFUNCTION("""COMPUTED_VALUE"""),97243.08)</f>
        <v>97243.08</v>
      </c>
      <c r="C3070" s="434">
        <f>IFERROR(__xludf.DUMMYFUNCTION("""COMPUTED_VALUE"""),45292.99861111111)</f>
        <v>45292.99861</v>
      </c>
      <c r="D3070" s="433">
        <f>IFERROR(__xludf.DUMMYFUNCTION("""COMPUTED_VALUE"""),2281.7966)</f>
        <v>2281.7966</v>
      </c>
    </row>
    <row r="3071">
      <c r="A3071" s="434">
        <f>IFERROR(__xludf.DUMMYFUNCTION("""COMPUTED_VALUE"""),45709.99861111111)</f>
        <v>45709.99861</v>
      </c>
      <c r="B3071" s="433">
        <f>IFERROR(__xludf.DUMMYFUNCTION("""COMPUTED_VALUE"""),98249.46)</f>
        <v>98249.46</v>
      </c>
      <c r="C3071" s="434">
        <f>IFERROR(__xludf.DUMMYFUNCTION("""COMPUTED_VALUE"""),45293.99861111111)</f>
        <v>45293.99861</v>
      </c>
      <c r="D3071" s="433">
        <f>IFERROR(__xludf.DUMMYFUNCTION("""COMPUTED_VALUE"""),2352.5936)</f>
        <v>2352.5936</v>
      </c>
    </row>
    <row r="3072">
      <c r="A3072" s="434">
        <f>IFERROR(__xludf.DUMMYFUNCTION("""COMPUTED_VALUE"""),45710.99861111111)</f>
        <v>45710.99861</v>
      </c>
      <c r="B3072" s="433">
        <f>IFERROR(__xludf.DUMMYFUNCTION("""COMPUTED_VALUE"""),96436.56)</f>
        <v>96436.56</v>
      </c>
      <c r="C3072" s="434">
        <f>IFERROR(__xludf.DUMMYFUNCTION("""COMPUTED_VALUE"""),45294.99861111111)</f>
        <v>45294.99861</v>
      </c>
      <c r="D3072" s="433">
        <f>IFERROR(__xludf.DUMMYFUNCTION("""COMPUTED_VALUE"""),2355.9813)</f>
        <v>2355.9813</v>
      </c>
    </row>
    <row r="3073">
      <c r="A3073" s="434">
        <f>IFERROR(__xludf.DUMMYFUNCTION("""COMPUTED_VALUE"""),45711.99861111111)</f>
        <v>45711.99861</v>
      </c>
      <c r="B3073" s="433">
        <f>IFERROR(__xludf.DUMMYFUNCTION("""COMPUTED_VALUE"""),96443.38)</f>
        <v>96443.38</v>
      </c>
      <c r="C3073" s="434">
        <f>IFERROR(__xludf.DUMMYFUNCTION("""COMPUTED_VALUE"""),45295.99861111111)</f>
        <v>45295.99861</v>
      </c>
      <c r="D3073" s="433">
        <f>IFERROR(__xludf.DUMMYFUNCTION("""COMPUTED_VALUE"""),2210.5291)</f>
        <v>2210.5291</v>
      </c>
    </row>
    <row r="3074">
      <c r="A3074" s="434">
        <f>IFERROR(__xludf.DUMMYFUNCTION("""COMPUTED_VALUE"""),45712.99861111111)</f>
        <v>45712.99861</v>
      </c>
      <c r="B3074" s="433">
        <f>IFERROR(__xludf.DUMMYFUNCTION("""COMPUTED_VALUE"""),95278.63)</f>
        <v>95278.63</v>
      </c>
      <c r="C3074" s="434">
        <f>IFERROR(__xludf.DUMMYFUNCTION("""COMPUTED_VALUE"""),45296.99861111111)</f>
        <v>45296.99861</v>
      </c>
      <c r="D3074" s="433">
        <f>IFERROR(__xludf.DUMMYFUNCTION("""COMPUTED_VALUE"""),2269.4093)</f>
        <v>2269.4093</v>
      </c>
    </row>
    <row r="3075">
      <c r="A3075" s="434">
        <f>IFERROR(__xludf.DUMMYFUNCTION("""COMPUTED_VALUE"""),45713.99861111111)</f>
        <v>45713.99861</v>
      </c>
      <c r="B3075" s="433">
        <f>IFERROR(__xludf.DUMMYFUNCTION("""COMPUTED_VALUE"""),92066.2)</f>
        <v>92066.2</v>
      </c>
      <c r="C3075" s="434">
        <f>IFERROR(__xludf.DUMMYFUNCTION("""COMPUTED_VALUE"""),45297.99861111111)</f>
        <v>45297.99861</v>
      </c>
      <c r="D3075" s="433">
        <f>IFERROR(__xludf.DUMMYFUNCTION("""COMPUTED_VALUE"""),2269.5399)</f>
        <v>2269.5399</v>
      </c>
    </row>
    <row r="3076">
      <c r="A3076" s="434">
        <f>IFERROR(__xludf.DUMMYFUNCTION("""COMPUTED_VALUE"""),45714.99861111111)</f>
        <v>45714.99861</v>
      </c>
      <c r="B3076" s="433">
        <f>IFERROR(__xludf.DUMMYFUNCTION("""COMPUTED_VALUE"""),88801.82)</f>
        <v>88801.82</v>
      </c>
      <c r="C3076" s="434">
        <f>IFERROR(__xludf.DUMMYFUNCTION("""COMPUTED_VALUE"""),45298.99861111111)</f>
        <v>45298.99861</v>
      </c>
      <c r="D3076" s="433">
        <f>IFERROR(__xludf.DUMMYFUNCTION("""COMPUTED_VALUE"""),2242.0127)</f>
        <v>2242.0127</v>
      </c>
    </row>
    <row r="3077">
      <c r="A3077" s="434">
        <f>IFERROR(__xludf.DUMMYFUNCTION("""COMPUTED_VALUE"""),45715.99861111111)</f>
        <v>45715.99861</v>
      </c>
      <c r="B3077" s="433">
        <f>IFERROR(__xludf.DUMMYFUNCTION("""COMPUTED_VALUE"""),85090.99)</f>
        <v>85090.99</v>
      </c>
      <c r="C3077" s="434">
        <f>IFERROR(__xludf.DUMMYFUNCTION("""COMPUTED_VALUE"""),45299.99861111111)</f>
        <v>45299.99861</v>
      </c>
      <c r="D3077" s="433">
        <f>IFERROR(__xludf.DUMMYFUNCTION("""COMPUTED_VALUE"""),2222.8577)</f>
        <v>2222.8577</v>
      </c>
    </row>
    <row r="3078">
      <c r="A3078" s="434">
        <f>IFERROR(__xludf.DUMMYFUNCTION("""COMPUTED_VALUE"""),45716.99861111111)</f>
        <v>45716.99861</v>
      </c>
      <c r="B3078" s="433">
        <f>IFERROR(__xludf.DUMMYFUNCTION("""COMPUTED_VALUE"""),80376.5)</f>
        <v>80376.5</v>
      </c>
      <c r="C3078" s="434">
        <f>IFERROR(__xludf.DUMMYFUNCTION("""COMPUTED_VALUE"""),45300.99861111111)</f>
        <v>45300.99861</v>
      </c>
      <c r="D3078" s="433">
        <f>IFERROR(__xludf.DUMMYFUNCTION("""COMPUTED_VALUE"""),2332.8681)</f>
        <v>2332.8681</v>
      </c>
    </row>
    <row r="3079">
      <c r="A3079" s="434">
        <f>IFERROR(__xludf.DUMMYFUNCTION("""COMPUTED_VALUE"""),45717.99861111111)</f>
        <v>45717.99861</v>
      </c>
      <c r="B3079" s="433">
        <f>IFERROR(__xludf.DUMMYFUNCTION("""COMPUTED_VALUE"""),86273.05)</f>
        <v>86273.05</v>
      </c>
      <c r="C3079" s="434">
        <f>IFERROR(__xludf.DUMMYFUNCTION("""COMPUTED_VALUE"""),45301.99861111111)</f>
        <v>45301.99861</v>
      </c>
      <c r="D3079" s="433">
        <f>IFERROR(__xludf.DUMMYFUNCTION("""COMPUTED_VALUE"""),2344.9236)</f>
        <v>2344.9236</v>
      </c>
    </row>
    <row r="3080">
      <c r="A3080" s="434">
        <f>IFERROR(__xludf.DUMMYFUNCTION("""COMPUTED_VALUE"""),45718.99861111111)</f>
        <v>45718.99861</v>
      </c>
      <c r="B3080" s="433">
        <f>IFERROR(__xludf.DUMMYFUNCTION("""COMPUTED_VALUE"""),85812.15)</f>
        <v>85812.15</v>
      </c>
      <c r="C3080" s="434">
        <f>IFERROR(__xludf.DUMMYFUNCTION("""COMPUTED_VALUE"""),45302.99861111111)</f>
        <v>45302.99861</v>
      </c>
      <c r="D3080" s="433">
        <f>IFERROR(__xludf.DUMMYFUNCTION("""COMPUTED_VALUE"""),2584.1715)</f>
        <v>2584.1715</v>
      </c>
    </row>
    <row r="3081">
      <c r="A3081" s="434">
        <f>IFERROR(__xludf.DUMMYFUNCTION("""COMPUTED_VALUE"""),45719.99861111111)</f>
        <v>45719.99861</v>
      </c>
      <c r="B3081" s="433">
        <f>IFERROR(__xludf.DUMMYFUNCTION("""COMPUTED_VALUE"""),92841.09)</f>
        <v>92841.09</v>
      </c>
      <c r="C3081" s="434">
        <f>IFERROR(__xludf.DUMMYFUNCTION("""COMPUTED_VALUE"""),45303.99861111111)</f>
        <v>45303.99861</v>
      </c>
      <c r="D3081" s="433">
        <f>IFERROR(__xludf.DUMMYFUNCTION("""COMPUTED_VALUE"""),2619.177)</f>
        <v>2619.177</v>
      </c>
    </row>
    <row r="3082">
      <c r="A3082" s="434">
        <f>IFERROR(__xludf.DUMMYFUNCTION("""COMPUTED_VALUE"""),45720.99861111111)</f>
        <v>45720.99861</v>
      </c>
      <c r="B3082" s="433">
        <f>IFERROR(__xludf.DUMMYFUNCTION("""COMPUTED_VALUE"""),83518.82)</f>
        <v>83518.82</v>
      </c>
      <c r="C3082" s="434">
        <f>IFERROR(__xludf.DUMMYFUNCTION("""COMPUTED_VALUE"""),45304.99861111111)</f>
        <v>45304.99861</v>
      </c>
      <c r="D3082" s="433">
        <f>IFERROR(__xludf.DUMMYFUNCTION("""COMPUTED_VALUE"""),2522.9338)</f>
        <v>2522.9338</v>
      </c>
    </row>
    <row r="3083">
      <c r="A3083" s="434">
        <f>IFERROR(__xludf.DUMMYFUNCTION("""COMPUTED_VALUE"""),45721.99861111111)</f>
        <v>45721.99861</v>
      </c>
      <c r="B3083" s="433">
        <f>IFERROR(__xludf.DUMMYFUNCTION("""COMPUTED_VALUE"""),86951.6)</f>
        <v>86951.6</v>
      </c>
      <c r="C3083" s="434">
        <f>IFERROR(__xludf.DUMMYFUNCTION("""COMPUTED_VALUE"""),45305.99861111111)</f>
        <v>45305.99861</v>
      </c>
      <c r="D3083" s="433">
        <f>IFERROR(__xludf.DUMMYFUNCTION("""COMPUTED_VALUE"""),2578.0037)</f>
        <v>2578.0037</v>
      </c>
    </row>
    <row r="3084">
      <c r="A3084" s="434">
        <f>IFERROR(__xludf.DUMMYFUNCTION("""COMPUTED_VALUE"""),45722.99861111111)</f>
        <v>45722.99861</v>
      </c>
      <c r="B3084" s="433">
        <f>IFERROR(__xludf.DUMMYFUNCTION("""COMPUTED_VALUE"""),92272.38)</f>
        <v>92272.38</v>
      </c>
      <c r="C3084" s="434">
        <f>IFERROR(__xludf.DUMMYFUNCTION("""COMPUTED_VALUE"""),45306.99861111111)</f>
        <v>45306.99861</v>
      </c>
      <c r="D3084" s="433">
        <f>IFERROR(__xludf.DUMMYFUNCTION("""COMPUTED_VALUE"""),2471.6669)</f>
        <v>2471.6669</v>
      </c>
    </row>
    <row r="3085">
      <c r="A3085" s="434">
        <f>IFERROR(__xludf.DUMMYFUNCTION("""COMPUTED_VALUE"""),45723.99861111111)</f>
        <v>45723.99861</v>
      </c>
      <c r="B3085" s="433">
        <f>IFERROR(__xludf.DUMMYFUNCTION("""COMPUTED_VALUE"""),87701.4)</f>
        <v>87701.4</v>
      </c>
      <c r="C3085" s="434">
        <f>IFERROR(__xludf.DUMMYFUNCTION("""COMPUTED_VALUE"""),45307.99861111111)</f>
        <v>45307.99861</v>
      </c>
      <c r="D3085" s="433">
        <f>IFERROR(__xludf.DUMMYFUNCTION("""COMPUTED_VALUE"""),2510.6273)</f>
        <v>2510.6273</v>
      </c>
    </row>
    <row r="3086">
      <c r="A3086" s="434">
        <f>IFERROR(__xludf.DUMMYFUNCTION("""COMPUTED_VALUE"""),45724.99861111111)</f>
        <v>45724.99861</v>
      </c>
      <c r="B3086" s="433">
        <f>IFERROR(__xludf.DUMMYFUNCTION("""COMPUTED_VALUE"""),86468.85)</f>
        <v>86468.85</v>
      </c>
      <c r="C3086" s="434">
        <f>IFERROR(__xludf.DUMMYFUNCTION("""COMPUTED_VALUE"""),45308.99861111111)</f>
        <v>45308.99861</v>
      </c>
      <c r="D3086" s="433">
        <f>IFERROR(__xludf.DUMMYFUNCTION("""COMPUTED_VALUE"""),2587.0447)</f>
        <v>2587.0447</v>
      </c>
    </row>
    <row r="3087">
      <c r="A3087" s="434">
        <f>IFERROR(__xludf.DUMMYFUNCTION("""COMPUTED_VALUE"""),45725.99861111111)</f>
        <v>45725.99861</v>
      </c>
      <c r="B3087" s="433">
        <f>IFERROR(__xludf.DUMMYFUNCTION("""COMPUTED_VALUE"""),86143.01)</f>
        <v>86143.01</v>
      </c>
      <c r="C3087" s="434">
        <f>IFERROR(__xludf.DUMMYFUNCTION("""COMPUTED_VALUE"""),45309.99861111111)</f>
        <v>45309.99861</v>
      </c>
      <c r="D3087" s="433">
        <f>IFERROR(__xludf.DUMMYFUNCTION("""COMPUTED_VALUE"""),2528.5931)</f>
        <v>2528.5931</v>
      </c>
    </row>
    <row r="3088">
      <c r="A3088" s="434">
        <f>IFERROR(__xludf.DUMMYFUNCTION("""COMPUTED_VALUE"""),45726.99861111111)</f>
        <v>45726.99861</v>
      </c>
      <c r="B3088" s="433">
        <f>IFERROR(__xludf.DUMMYFUNCTION("""COMPUTED_VALUE"""),82106.8)</f>
        <v>82106.8</v>
      </c>
      <c r="C3088" s="434">
        <f>IFERROR(__xludf.DUMMYFUNCTION("""COMPUTED_VALUE"""),45310.99861111111)</f>
        <v>45310.99861</v>
      </c>
      <c r="D3088" s="433">
        <f>IFERROR(__xludf.DUMMYFUNCTION("""COMPUTED_VALUE"""),2468.6889)</f>
        <v>2468.6889</v>
      </c>
    </row>
    <row r="3089">
      <c r="A3089" s="434">
        <f>IFERROR(__xludf.DUMMYFUNCTION("""COMPUTED_VALUE"""),45727.99861111111)</f>
        <v>45727.99861</v>
      </c>
      <c r="B3089" s="433">
        <f>IFERROR(__xludf.DUMMYFUNCTION("""COMPUTED_VALUE"""),79506.47)</f>
        <v>79506.47</v>
      </c>
      <c r="C3089" s="434">
        <f>IFERROR(__xludf.DUMMYFUNCTION("""COMPUTED_VALUE"""),45311.99861111111)</f>
        <v>45311.99861</v>
      </c>
      <c r="D3089" s="433">
        <f>IFERROR(__xludf.DUMMYFUNCTION("""COMPUTED_VALUE"""),2489.8477)</f>
        <v>2489.8477</v>
      </c>
    </row>
    <row r="3090">
      <c r="A3090" s="434">
        <f>IFERROR(__xludf.DUMMYFUNCTION("""COMPUTED_VALUE"""),45728.99861111111)</f>
        <v>45728.99861</v>
      </c>
      <c r="B3090" s="433">
        <f>IFERROR(__xludf.DUMMYFUNCTION("""COMPUTED_VALUE"""),82201.03)</f>
        <v>82201.03</v>
      </c>
      <c r="C3090" s="434">
        <f>IFERROR(__xludf.DUMMYFUNCTION("""COMPUTED_VALUE"""),45312.99861111111)</f>
        <v>45312.99861</v>
      </c>
      <c r="D3090" s="433">
        <f>IFERROR(__xludf.DUMMYFUNCTION("""COMPUTED_VALUE"""),2469.7986)</f>
        <v>2469.7986</v>
      </c>
    </row>
    <row r="3091">
      <c r="A3091" s="434">
        <f>IFERROR(__xludf.DUMMYFUNCTION("""COMPUTED_VALUE"""),45729.99861111111)</f>
        <v>45729.99861</v>
      </c>
      <c r="B3091" s="433">
        <f>IFERROR(__xludf.DUMMYFUNCTION("""COMPUTED_VALUE"""),83605.95)</f>
        <v>83605.95</v>
      </c>
      <c r="C3091" s="434">
        <f>IFERROR(__xludf.DUMMYFUNCTION("""COMPUTED_VALUE"""),45313.99861111111)</f>
        <v>45313.99861</v>
      </c>
      <c r="D3091" s="433">
        <f>IFERROR(__xludf.DUMMYFUNCTION("""COMPUTED_VALUE"""),2454.9874)</f>
        <v>2454.9874</v>
      </c>
    </row>
    <row r="3092">
      <c r="A3092" s="434">
        <f>IFERROR(__xludf.DUMMYFUNCTION("""COMPUTED_VALUE"""),45730.99861111111)</f>
        <v>45730.99861</v>
      </c>
      <c r="B3092" s="433">
        <f>IFERROR(__xludf.DUMMYFUNCTION("""COMPUTED_VALUE"""),81877.78)</f>
        <v>81877.78</v>
      </c>
      <c r="C3092" s="434">
        <f>IFERROR(__xludf.DUMMYFUNCTION("""COMPUTED_VALUE"""),45314.99861111111)</f>
        <v>45314.99861</v>
      </c>
      <c r="D3092" s="433">
        <f>IFERROR(__xludf.DUMMYFUNCTION("""COMPUTED_VALUE"""),2310.9516)</f>
        <v>2310.9516</v>
      </c>
    </row>
    <row r="3093">
      <c r="A3093" s="434">
        <f>IFERROR(__xludf.DUMMYFUNCTION("""COMPUTED_VALUE"""),45731.99861111111)</f>
        <v>45731.99861</v>
      </c>
      <c r="B3093" s="433">
        <f>IFERROR(__xludf.DUMMYFUNCTION("""COMPUTED_VALUE"""),84582.41)</f>
        <v>84582.41</v>
      </c>
      <c r="C3093" s="434">
        <f>IFERROR(__xludf.DUMMYFUNCTION("""COMPUTED_VALUE"""),45315.99861111111)</f>
        <v>45315.99861</v>
      </c>
      <c r="D3093" s="433">
        <f>IFERROR(__xludf.DUMMYFUNCTION("""COMPUTED_VALUE"""),2241.7499)</f>
        <v>2241.7499</v>
      </c>
    </row>
    <row r="3094">
      <c r="A3094" s="434">
        <f>IFERROR(__xludf.DUMMYFUNCTION("""COMPUTED_VALUE"""),45732.99861111111)</f>
        <v>45732.99861</v>
      </c>
      <c r="B3094" s="433">
        <f>IFERROR(__xludf.DUMMYFUNCTION("""COMPUTED_VALUE"""),84410.52)</f>
        <v>84410.52</v>
      </c>
      <c r="C3094" s="434">
        <f>IFERROR(__xludf.DUMMYFUNCTION("""COMPUTED_VALUE"""),45316.99861111111)</f>
        <v>45316.99861</v>
      </c>
      <c r="D3094" s="433">
        <f>IFERROR(__xludf.DUMMYFUNCTION("""COMPUTED_VALUE"""),2233.9699)</f>
        <v>2233.9699</v>
      </c>
    </row>
    <row r="3095">
      <c r="A3095" s="434">
        <f>IFERROR(__xludf.DUMMYFUNCTION("""COMPUTED_VALUE"""),45733.99861111111)</f>
        <v>45733.99861</v>
      </c>
      <c r="B3095" s="433">
        <f>IFERROR(__xludf.DUMMYFUNCTION("""COMPUTED_VALUE"""),83702.25)</f>
        <v>83702.25</v>
      </c>
      <c r="C3095" s="434">
        <f>IFERROR(__xludf.DUMMYFUNCTION("""COMPUTED_VALUE"""),45317.99861111111)</f>
        <v>45317.99861</v>
      </c>
      <c r="D3095" s="433">
        <f>IFERROR(__xludf.DUMMYFUNCTION("""COMPUTED_VALUE"""),2217.4418)</f>
        <v>2217.4418</v>
      </c>
    </row>
    <row r="3096">
      <c r="A3096" s="434">
        <f>IFERROR(__xludf.DUMMYFUNCTION("""COMPUTED_VALUE"""),45734.99861111111)</f>
        <v>45734.99861</v>
      </c>
      <c r="B3096" s="433">
        <f>IFERROR(__xludf.DUMMYFUNCTION("""COMPUTED_VALUE"""),83152.52)</f>
        <v>83152.52</v>
      </c>
      <c r="C3096" s="434">
        <f>IFERROR(__xludf.DUMMYFUNCTION("""COMPUTED_VALUE"""),45318.99861111111)</f>
        <v>45318.99861</v>
      </c>
      <c r="D3096" s="433">
        <f>IFERROR(__xludf.DUMMYFUNCTION("""COMPUTED_VALUE"""),2267.3192)</f>
        <v>2267.3192</v>
      </c>
    </row>
    <row r="3097">
      <c r="A3097" s="434">
        <f>IFERROR(__xludf.DUMMYFUNCTION("""COMPUTED_VALUE"""),45735.99861111111)</f>
        <v>45735.99861</v>
      </c>
      <c r="B3097" s="433">
        <f>IFERROR(__xludf.DUMMYFUNCTION("""COMPUTED_VALUE"""),83076.51)</f>
        <v>83076.51</v>
      </c>
      <c r="C3097" s="434">
        <f>IFERROR(__xludf.DUMMYFUNCTION("""COMPUTED_VALUE"""),45319.99861111111)</f>
        <v>45319.99861</v>
      </c>
      <c r="D3097" s="433">
        <f>IFERROR(__xludf.DUMMYFUNCTION("""COMPUTED_VALUE"""),2268.1928)</f>
        <v>2268.1928</v>
      </c>
    </row>
    <row r="3098">
      <c r="A3098" s="434">
        <f>IFERROR(__xludf.DUMMYFUNCTION("""COMPUTED_VALUE"""),45736.99861111111)</f>
        <v>45736.99861</v>
      </c>
      <c r="B3098" s="433">
        <f>IFERROR(__xludf.DUMMYFUNCTION("""COMPUTED_VALUE"""),85919.08)</f>
        <v>85919.08</v>
      </c>
      <c r="C3098" s="434">
        <f>IFERROR(__xludf.DUMMYFUNCTION("""COMPUTED_VALUE"""),45320.99861111111)</f>
        <v>45320.99861</v>
      </c>
      <c r="D3098" s="433">
        <f>IFERROR(__xludf.DUMMYFUNCTION("""COMPUTED_VALUE"""),2256.9952)</f>
        <v>2256.9952</v>
      </c>
    </row>
    <row r="3099">
      <c r="A3099" s="434">
        <f>IFERROR(__xludf.DUMMYFUNCTION("""COMPUTED_VALUE"""),45737.99861111111)</f>
        <v>45737.99861</v>
      </c>
      <c r="B3099" s="433">
        <f>IFERROR(__xludf.DUMMYFUNCTION("""COMPUTED_VALUE"""),84434.41)</f>
        <v>84434.41</v>
      </c>
      <c r="C3099" s="434">
        <f>IFERROR(__xludf.DUMMYFUNCTION("""COMPUTED_VALUE"""),45321.99861111111)</f>
        <v>45321.99861</v>
      </c>
      <c r="D3099" s="433">
        <f>IFERROR(__xludf.DUMMYFUNCTION("""COMPUTED_VALUE"""),2317.4357)</f>
        <v>2317.4357</v>
      </c>
    </row>
    <row r="3100">
      <c r="A3100" s="434">
        <f>IFERROR(__xludf.DUMMYFUNCTION("""COMPUTED_VALUE"""),45738.99861111111)</f>
        <v>45738.99861</v>
      </c>
      <c r="B3100" s="433">
        <f>IFERROR(__xludf.DUMMYFUNCTION("""COMPUTED_VALUE"""),84345.25)</f>
        <v>84345.25</v>
      </c>
      <c r="C3100" s="434">
        <f>IFERROR(__xludf.DUMMYFUNCTION("""COMPUTED_VALUE"""),45322.99861111111)</f>
        <v>45322.99861</v>
      </c>
      <c r="D3100" s="433">
        <f>IFERROR(__xludf.DUMMYFUNCTION("""COMPUTED_VALUE"""),2343.5589)</f>
        <v>2343.5589</v>
      </c>
    </row>
    <row r="3101">
      <c r="A3101" s="434">
        <f>IFERROR(__xludf.DUMMYFUNCTION("""COMPUTED_VALUE"""),45739.99861111111)</f>
        <v>45739.99861</v>
      </c>
      <c r="B3101" s="433">
        <f>IFERROR(__xludf.DUMMYFUNCTION("""COMPUTED_VALUE"""),84294.35)</f>
        <v>84294.35</v>
      </c>
      <c r="C3101" s="434">
        <f>IFERROR(__xludf.DUMMYFUNCTION("""COMPUTED_VALUE"""),45323.99861111111)</f>
        <v>45323.99861</v>
      </c>
      <c r="D3101" s="433">
        <f>IFERROR(__xludf.DUMMYFUNCTION("""COMPUTED_VALUE"""),2282.1753)</f>
        <v>2282.1753</v>
      </c>
    </row>
    <row r="3102">
      <c r="A3102" s="434">
        <f>IFERROR(__xludf.DUMMYFUNCTION("""COMPUTED_VALUE"""),45740.99861111111)</f>
        <v>45740.99861</v>
      </c>
      <c r="B3102" s="433">
        <f>IFERROR(__xludf.DUMMYFUNCTION("""COMPUTED_VALUE"""),86531.37)</f>
        <v>86531.37</v>
      </c>
      <c r="C3102" s="434">
        <f>IFERROR(__xludf.DUMMYFUNCTION("""COMPUTED_VALUE"""),45324.99861111111)</f>
        <v>45324.99861</v>
      </c>
      <c r="D3102" s="433">
        <f>IFERROR(__xludf.DUMMYFUNCTION("""COMPUTED_VALUE"""),2303.706)</f>
        <v>2303.706</v>
      </c>
    </row>
    <row r="3103">
      <c r="A3103" s="434">
        <f>IFERROR(__xludf.DUMMYFUNCTION("""COMPUTED_VALUE"""),45741.99861111111)</f>
        <v>45741.99861</v>
      </c>
      <c r="B3103" s="433">
        <f>IFERROR(__xludf.DUMMYFUNCTION("""COMPUTED_VALUE"""),86496.49)</f>
        <v>86496.49</v>
      </c>
      <c r="C3103" s="434">
        <f>IFERROR(__xludf.DUMMYFUNCTION("""COMPUTED_VALUE"""),45325.99861111111)</f>
        <v>45325.99861</v>
      </c>
      <c r="D3103" s="433">
        <f>IFERROR(__xludf.DUMMYFUNCTION("""COMPUTED_VALUE"""),2307.9802)</f>
        <v>2307.9802</v>
      </c>
    </row>
    <row r="3104">
      <c r="A3104" s="434">
        <f>IFERROR(__xludf.DUMMYFUNCTION("""COMPUTED_VALUE"""),45742.99861111111)</f>
        <v>45742.99861</v>
      </c>
      <c r="B3104" s="433">
        <f>IFERROR(__xludf.DUMMYFUNCTION("""COMPUTED_VALUE"""),87186.84)</f>
        <v>87186.84</v>
      </c>
      <c r="C3104" s="434">
        <f>IFERROR(__xludf.DUMMYFUNCTION("""COMPUTED_VALUE"""),45326.99861111111)</f>
        <v>45326.99861</v>
      </c>
      <c r="D3104" s="433">
        <f>IFERROR(__xludf.DUMMYFUNCTION("""COMPUTED_VALUE"""),2296.1169)</f>
        <v>2296.1169</v>
      </c>
    </row>
    <row r="3105">
      <c r="A3105" s="434">
        <f>IFERROR(__xludf.DUMMYFUNCTION("""COMPUTED_VALUE"""),45743.99861111111)</f>
        <v>45743.99861</v>
      </c>
      <c r="B3105" s="433">
        <f>IFERROR(__xludf.DUMMYFUNCTION("""COMPUTED_VALUE"""),87692.71)</f>
        <v>87692.71</v>
      </c>
      <c r="C3105" s="434">
        <f>IFERROR(__xludf.DUMMYFUNCTION("""COMPUTED_VALUE"""),45327.99861111111)</f>
        <v>45327.99861</v>
      </c>
      <c r="D3105" s="433">
        <f>IFERROR(__xludf.DUMMYFUNCTION("""COMPUTED_VALUE"""),2289.2054)</f>
        <v>2289.2054</v>
      </c>
    </row>
    <row r="3106">
      <c r="A3106" s="434">
        <f>IFERROR(__xludf.DUMMYFUNCTION("""COMPUTED_VALUE"""),45744.99861111111)</f>
        <v>45744.99861</v>
      </c>
      <c r="B3106" s="433">
        <f>IFERROR(__xludf.DUMMYFUNCTION("""COMPUTED_VALUE"""),86810.84)</f>
        <v>86810.84</v>
      </c>
      <c r="C3106" s="434">
        <f>IFERROR(__xludf.DUMMYFUNCTION("""COMPUTED_VALUE"""),45328.99861111111)</f>
        <v>45328.99861</v>
      </c>
      <c r="D3106" s="433">
        <f>IFERROR(__xludf.DUMMYFUNCTION("""COMPUTED_VALUE"""),2298.9552)</f>
        <v>2298.9552</v>
      </c>
    </row>
    <row r="3107">
      <c r="A3107" s="434">
        <f>IFERROR(__xludf.DUMMYFUNCTION("""COMPUTED_VALUE"""),45745.99861111111)</f>
        <v>45745.99861</v>
      </c>
      <c r="B3107" s="433">
        <f>IFERROR(__xludf.DUMMYFUNCTION("""COMPUTED_VALUE"""),84261.42)</f>
        <v>84261.42</v>
      </c>
      <c r="C3107" s="434">
        <f>IFERROR(__xludf.DUMMYFUNCTION("""COMPUTED_VALUE"""),45329.99861111111)</f>
        <v>45329.99861</v>
      </c>
      <c r="D3107" s="433">
        <f>IFERROR(__xludf.DUMMYFUNCTION("""COMPUTED_VALUE"""),2372.2627)</f>
        <v>2372.2627</v>
      </c>
    </row>
    <row r="3108">
      <c r="A3108" s="434">
        <f>IFERROR(__xludf.DUMMYFUNCTION("""COMPUTED_VALUE"""),45746.99861111111)</f>
        <v>45746.99861</v>
      </c>
      <c r="B3108" s="433">
        <f>IFERROR(__xludf.DUMMYFUNCTION("""COMPUTED_VALUE"""),83184.34)</f>
        <v>83184.34</v>
      </c>
      <c r="C3108" s="434">
        <f>IFERROR(__xludf.DUMMYFUNCTION("""COMPUTED_VALUE"""),45330.99861111111)</f>
        <v>45330.99861</v>
      </c>
      <c r="D3108" s="433">
        <f>IFERROR(__xludf.DUMMYFUNCTION("""COMPUTED_VALUE"""),2424.0801)</f>
        <v>2424.0801</v>
      </c>
    </row>
    <row r="3109">
      <c r="A3109" s="434">
        <f>IFERROR(__xludf.DUMMYFUNCTION("""COMPUTED_VALUE"""),45747.99861111111)</f>
        <v>45747.99861</v>
      </c>
      <c r="B3109" s="433">
        <f>IFERROR(__xludf.DUMMYFUNCTION("""COMPUTED_VALUE"""),81559.22)</f>
        <v>81559.22</v>
      </c>
      <c r="C3109" s="434">
        <f>IFERROR(__xludf.DUMMYFUNCTION("""COMPUTED_VALUE"""),45331.99861111111)</f>
        <v>45331.99861</v>
      </c>
      <c r="D3109" s="433">
        <f>IFERROR(__xludf.DUMMYFUNCTION("""COMPUTED_VALUE"""),2419.7737)</f>
        <v>2419.7737</v>
      </c>
    </row>
    <row r="3110">
      <c r="A3110" s="434">
        <f>IFERROR(__xludf.DUMMYFUNCTION("""COMPUTED_VALUE"""),45748.99861111111)</f>
        <v>45748.99861</v>
      </c>
      <c r="B3110" s="433">
        <f>IFERROR(__xludf.DUMMYFUNCTION("""COMPUTED_VALUE"""),82963.95)</f>
        <v>82963.95</v>
      </c>
      <c r="C3110" s="434">
        <f>IFERROR(__xludf.DUMMYFUNCTION("""COMPUTED_VALUE"""),45332.99861111111)</f>
        <v>45332.99861</v>
      </c>
      <c r="D3110" s="433">
        <f>IFERROR(__xludf.DUMMYFUNCTION("""COMPUTED_VALUE"""),2487.6503)</f>
        <v>2487.6503</v>
      </c>
    </row>
    <row r="3111">
      <c r="A3111" s="434">
        <f>IFERROR(__xludf.DUMMYFUNCTION("""COMPUTED_VALUE"""),45749.99861111111)</f>
        <v>45749.99861</v>
      </c>
      <c r="B3111" s="433">
        <f>IFERROR(__xludf.DUMMYFUNCTION("""COMPUTED_VALUE"""),84598.74)</f>
        <v>84598.74</v>
      </c>
      <c r="C3111" s="434">
        <f>IFERROR(__xludf.DUMMYFUNCTION("""COMPUTED_VALUE"""),45333.99861111111)</f>
        <v>45333.99861</v>
      </c>
      <c r="D3111" s="433">
        <f>IFERROR(__xludf.DUMMYFUNCTION("""COMPUTED_VALUE"""),2501.1299)</f>
        <v>2501.1299</v>
      </c>
    </row>
    <row r="3112">
      <c r="A3112" s="434">
        <f>IFERROR(__xludf.DUMMYFUNCTION("""COMPUTED_VALUE"""),45750.99861111111)</f>
        <v>45750.99861</v>
      </c>
      <c r="B3112" s="433">
        <f>IFERROR(__xludf.DUMMYFUNCTION("""COMPUTED_VALUE"""),83479.15)</f>
        <v>83479.15</v>
      </c>
      <c r="C3112" s="434">
        <f>IFERROR(__xludf.DUMMYFUNCTION("""COMPUTED_VALUE"""),45334.99861111111)</f>
        <v>45334.99861</v>
      </c>
      <c r="D3112" s="433">
        <f>IFERROR(__xludf.DUMMYFUNCTION("""COMPUTED_VALUE"""),2507.5789)</f>
        <v>2507.5789</v>
      </c>
    </row>
    <row r="3113">
      <c r="A3113" s="434">
        <f>IFERROR(__xludf.DUMMYFUNCTION("""COMPUTED_VALUE"""),45751.99861111111)</f>
        <v>45751.99861</v>
      </c>
      <c r="B3113" s="433">
        <f>IFERROR(__xludf.DUMMYFUNCTION("""COMPUTED_VALUE"""),82740.93)</f>
        <v>82740.93</v>
      </c>
      <c r="C3113" s="434">
        <f>IFERROR(__xludf.DUMMYFUNCTION("""COMPUTED_VALUE"""),45335.99861111111)</f>
        <v>45335.99861</v>
      </c>
      <c r="D3113" s="433">
        <f>IFERROR(__xludf.DUMMYFUNCTION("""COMPUTED_VALUE"""),2659.5862)</f>
        <v>2659.5862</v>
      </c>
    </row>
    <row r="3114">
      <c r="A3114" s="434">
        <f>IFERROR(__xludf.DUMMYFUNCTION("""COMPUTED_VALUE"""),45752.99861111111)</f>
        <v>45752.99861</v>
      </c>
      <c r="B3114" s="433">
        <f>IFERROR(__xludf.DUMMYFUNCTION("""COMPUTED_VALUE"""),83624.02)</f>
        <v>83624.02</v>
      </c>
      <c r="C3114" s="434">
        <f>IFERROR(__xludf.DUMMYFUNCTION("""COMPUTED_VALUE"""),45336.99861111111)</f>
        <v>45336.99861</v>
      </c>
      <c r="D3114" s="433">
        <f>IFERROR(__xludf.DUMMYFUNCTION("""COMPUTED_VALUE"""),2641.6854)</f>
        <v>2641.6854</v>
      </c>
    </row>
    <row r="3115">
      <c r="A3115" s="434">
        <f>IFERROR(__xludf.DUMMYFUNCTION("""COMPUTED_VALUE"""),45753.99861111111)</f>
        <v>45753.99861</v>
      </c>
      <c r="B3115" s="433">
        <f>IFERROR(__xludf.DUMMYFUNCTION("""COMPUTED_VALUE"""),83332.85)</f>
        <v>83332.85</v>
      </c>
      <c r="C3115" s="434">
        <f>IFERROR(__xludf.DUMMYFUNCTION("""COMPUTED_VALUE"""),45337.99861111111)</f>
        <v>45337.99861</v>
      </c>
      <c r="D3115" s="433">
        <f>IFERROR(__xludf.DUMMYFUNCTION("""COMPUTED_VALUE"""),2777.6014)</f>
        <v>2777.6014</v>
      </c>
    </row>
    <row r="3116">
      <c r="A3116" s="434">
        <f>IFERROR(__xludf.DUMMYFUNCTION("""COMPUTED_VALUE"""),45754.99861111111)</f>
        <v>45754.99861</v>
      </c>
      <c r="B3116" s="433">
        <f>IFERROR(__xludf.DUMMYFUNCTION("""COMPUTED_VALUE"""),77555.34)</f>
        <v>77555.34</v>
      </c>
      <c r="C3116" s="434">
        <f>IFERROR(__xludf.DUMMYFUNCTION("""COMPUTED_VALUE"""),45338.99861111111)</f>
        <v>45338.99861</v>
      </c>
      <c r="D3116" s="433">
        <f>IFERROR(__xludf.DUMMYFUNCTION("""COMPUTED_VALUE"""),2825.4806)</f>
        <v>2825.4806</v>
      </c>
    </row>
    <row r="3117">
      <c r="A3117" s="434">
        <f>IFERROR(__xludf.DUMMYFUNCTION("""COMPUTED_VALUE"""),45756.99861111111)</f>
        <v>45756.99861</v>
      </c>
      <c r="B3117" s="433">
        <f>IFERROR(__xludf.DUMMYFUNCTION("""COMPUTED_VALUE"""),75004.68)</f>
        <v>75004.68</v>
      </c>
      <c r="C3117" s="434">
        <f>IFERROR(__xludf.DUMMYFUNCTION("""COMPUTED_VALUE"""),45339.99861111111)</f>
        <v>45339.99861</v>
      </c>
      <c r="D3117" s="433">
        <f>IFERROR(__xludf.DUMMYFUNCTION("""COMPUTED_VALUE"""),2803.7357)</f>
        <v>2803.7357</v>
      </c>
    </row>
    <row r="3118">
      <c r="A3118" s="434">
        <f>IFERROR(__xludf.DUMMYFUNCTION("""COMPUTED_VALUE"""),45757.99861111111)</f>
        <v>45757.99861</v>
      </c>
      <c r="B3118" s="433">
        <f>IFERROR(__xludf.DUMMYFUNCTION("""COMPUTED_VALUE"""),81681.0)</f>
        <v>81681</v>
      </c>
      <c r="C3118" s="434">
        <f>IFERROR(__xludf.DUMMYFUNCTION("""COMPUTED_VALUE"""),45340.99861111111)</f>
        <v>45340.99861</v>
      </c>
      <c r="D3118" s="433">
        <f>IFERROR(__xludf.DUMMYFUNCTION("""COMPUTED_VALUE"""),2786.7097)</f>
        <v>2786.7097</v>
      </c>
    </row>
    <row r="3119">
      <c r="A3119" s="434">
        <f>IFERROR(__xludf.DUMMYFUNCTION("""COMPUTED_VALUE"""),45758.99861111111)</f>
        <v>45758.99861</v>
      </c>
      <c r="B3119" s="433">
        <f>IFERROR(__xludf.DUMMYFUNCTION("""COMPUTED_VALUE"""),80721.91)</f>
        <v>80721.91</v>
      </c>
      <c r="C3119" s="434">
        <f>IFERROR(__xludf.DUMMYFUNCTION("""COMPUTED_VALUE"""),45341.99861111111)</f>
        <v>45341.99861</v>
      </c>
      <c r="D3119" s="433">
        <f>IFERROR(__xludf.DUMMYFUNCTION("""COMPUTED_VALUE"""),2881.297)</f>
        <v>2881.297</v>
      </c>
    </row>
    <row r="3120">
      <c r="A3120" s="434">
        <f>IFERROR(__xludf.DUMMYFUNCTION("""COMPUTED_VALUE"""),45759.99861111111)</f>
        <v>45759.99861</v>
      </c>
      <c r="B3120" s="433">
        <f>IFERROR(__xludf.DUMMYFUNCTION("""COMPUTED_VALUE"""),82944.43)</f>
        <v>82944.43</v>
      </c>
      <c r="C3120" s="434">
        <f>IFERROR(__xludf.DUMMYFUNCTION("""COMPUTED_VALUE"""),45342.99861111111)</f>
        <v>45342.99861</v>
      </c>
      <c r="D3120" s="433">
        <f>IFERROR(__xludf.DUMMYFUNCTION("""COMPUTED_VALUE"""),2944.1065)</f>
        <v>2944.1065</v>
      </c>
    </row>
    <row r="3121">
      <c r="A3121" s="434">
        <f>IFERROR(__xludf.DUMMYFUNCTION("""COMPUTED_VALUE"""),45760.99861111111)</f>
        <v>45760.99861</v>
      </c>
      <c r="B3121" s="433">
        <f>IFERROR(__xludf.DUMMYFUNCTION("""COMPUTED_VALUE"""),85434.14)</f>
        <v>85434.14</v>
      </c>
      <c r="C3121" s="434">
        <f>IFERROR(__xludf.DUMMYFUNCTION("""COMPUTED_VALUE"""),45343.99861111111)</f>
        <v>45343.99861</v>
      </c>
      <c r="D3121" s="433">
        <f>IFERROR(__xludf.DUMMYFUNCTION("""COMPUTED_VALUE"""),3015.6533)</f>
        <v>3015.6533</v>
      </c>
    </row>
    <row r="3122">
      <c r="A3122" s="434">
        <f>IFERROR(__xludf.DUMMYFUNCTION("""COMPUTED_VALUE"""),45761.99861111111)</f>
        <v>45761.99861</v>
      </c>
      <c r="B3122" s="433">
        <f>IFERROR(__xludf.DUMMYFUNCTION("""COMPUTED_VALUE"""),84549.55)</f>
        <v>84549.55</v>
      </c>
      <c r="C3122" s="434">
        <f>IFERROR(__xludf.DUMMYFUNCTION("""COMPUTED_VALUE"""),45344.99861111111)</f>
        <v>45344.99861</v>
      </c>
      <c r="D3122" s="433">
        <f>IFERROR(__xludf.DUMMYFUNCTION("""COMPUTED_VALUE"""),2969.5998)</f>
        <v>2969.5998</v>
      </c>
    </row>
    <row r="3123">
      <c r="A3123" s="434">
        <f>IFERROR(__xludf.DUMMYFUNCTION("""COMPUTED_VALUE"""),45762.99861111111)</f>
        <v>45762.99861</v>
      </c>
      <c r="B3123" s="433">
        <f>IFERROR(__xludf.DUMMYFUNCTION("""COMPUTED_VALUE"""),85358.06)</f>
        <v>85358.06</v>
      </c>
      <c r="C3123" s="434">
        <f>IFERROR(__xludf.DUMMYFUNCTION("""COMPUTED_VALUE"""),45345.99861111111)</f>
        <v>45345.99861</v>
      </c>
      <c r="D3123" s="433">
        <f>IFERROR(__xludf.DUMMYFUNCTION("""COMPUTED_VALUE"""),2970.1396)</f>
        <v>2970.1396</v>
      </c>
    </row>
    <row r="3124">
      <c r="A3124" s="434">
        <f>IFERROR(__xludf.DUMMYFUNCTION("""COMPUTED_VALUE"""),45763.99861111111)</f>
        <v>45763.99861</v>
      </c>
      <c r="B3124" s="433">
        <f>IFERROR(__xludf.DUMMYFUNCTION("""COMPUTED_VALUE"""),83726.81)</f>
        <v>83726.81</v>
      </c>
      <c r="C3124" s="434">
        <f>IFERROR(__xludf.DUMMYFUNCTION("""COMPUTED_VALUE"""),45346.99861111111)</f>
        <v>45346.99861</v>
      </c>
      <c r="D3124" s="433">
        <f>IFERROR(__xludf.DUMMYFUNCTION("""COMPUTED_VALUE"""),2921.963)</f>
        <v>2921.963</v>
      </c>
    </row>
    <row r="3125">
      <c r="A3125" s="434">
        <f>IFERROR(__xludf.DUMMYFUNCTION("""COMPUTED_VALUE"""),45764.99861111111)</f>
        <v>45764.99861</v>
      </c>
      <c r="B3125" s="433">
        <f>IFERROR(__xludf.DUMMYFUNCTION("""COMPUTED_VALUE"""),84030.1)</f>
        <v>84030.1</v>
      </c>
      <c r="C3125" s="434">
        <f>IFERROR(__xludf.DUMMYFUNCTION("""COMPUTED_VALUE"""),45347.99861111111)</f>
        <v>45347.99861</v>
      </c>
      <c r="D3125" s="433">
        <f>IFERROR(__xludf.DUMMYFUNCTION("""COMPUTED_VALUE"""),2992.3667)</f>
        <v>2992.3667</v>
      </c>
    </row>
    <row r="3126">
      <c r="A3126" s="434">
        <f>IFERROR(__xludf.DUMMYFUNCTION("""COMPUTED_VALUE"""),45765.99861111111)</f>
        <v>45765.99861</v>
      </c>
      <c r="B3126" s="433">
        <f>IFERROR(__xludf.DUMMYFUNCTION("""COMPUTED_VALUE"""),84815.62)</f>
        <v>84815.62</v>
      </c>
      <c r="C3126" s="434">
        <f>IFERROR(__xludf.DUMMYFUNCTION("""COMPUTED_VALUE"""),45348.99861111111)</f>
        <v>45348.99861</v>
      </c>
      <c r="D3126" s="433">
        <f>IFERROR(__xludf.DUMMYFUNCTION("""COMPUTED_VALUE"""),3112.529)</f>
        <v>3112.529</v>
      </c>
    </row>
    <row r="3127">
      <c r="A3127" s="434">
        <f>IFERROR(__xludf.DUMMYFUNCTION("""COMPUTED_VALUE"""),45766.99861111111)</f>
        <v>45766.99861</v>
      </c>
      <c r="B3127" s="433">
        <f>IFERROR(__xludf.DUMMYFUNCTION("""COMPUTED_VALUE"""),84841.2)</f>
        <v>84841.2</v>
      </c>
      <c r="C3127" s="434">
        <f>IFERROR(__xludf.DUMMYFUNCTION("""COMPUTED_VALUE"""),45349.99861111111)</f>
        <v>45349.99861</v>
      </c>
      <c r="D3127" s="433">
        <f>IFERROR(__xludf.DUMMYFUNCTION("""COMPUTED_VALUE"""),3178.405)</f>
        <v>3178.405</v>
      </c>
    </row>
    <row r="3128">
      <c r="A3128" s="434">
        <f>IFERROR(__xludf.DUMMYFUNCTION("""COMPUTED_VALUE"""),45767.99861111111)</f>
        <v>45767.99861</v>
      </c>
      <c r="B3128" s="433">
        <f>IFERROR(__xludf.DUMMYFUNCTION("""COMPUTED_VALUE"""),85115.07)</f>
        <v>85115.07</v>
      </c>
      <c r="C3128" s="434">
        <f>IFERROR(__xludf.DUMMYFUNCTION("""COMPUTED_VALUE"""),45350.99861111111)</f>
        <v>45350.99861</v>
      </c>
      <c r="D3128" s="433">
        <f>IFERROR(__xludf.DUMMYFUNCTION("""COMPUTED_VALUE"""),3243.8932)</f>
        <v>3243.8932</v>
      </c>
    </row>
    <row r="3129">
      <c r="A3129" s="434">
        <f>IFERROR(__xludf.DUMMYFUNCTION("""COMPUTED_VALUE"""),45768.99861111111)</f>
        <v>45768.99861</v>
      </c>
      <c r="B3129" s="433">
        <f>IFERROR(__xludf.DUMMYFUNCTION("""COMPUTED_VALUE"""),87152.38)</f>
        <v>87152.38</v>
      </c>
      <c r="C3129" s="434">
        <f>IFERROR(__xludf.DUMMYFUNCTION("""COMPUTED_VALUE"""),45351.99861111111)</f>
        <v>45351.99861</v>
      </c>
      <c r="D3129" s="433">
        <f>IFERROR(__xludf.DUMMYFUNCTION("""COMPUTED_VALUE"""),3386.8027)</f>
        <v>3386.8027</v>
      </c>
    </row>
    <row r="3130">
      <c r="A3130" s="434">
        <f>IFERROR(__xludf.DUMMYFUNCTION("""COMPUTED_VALUE"""),45769.99861111111)</f>
        <v>45769.99861</v>
      </c>
      <c r="B3130" s="433">
        <f>IFERROR(__xludf.DUMMYFUNCTION("""COMPUTED_VALUE"""),88107.6)</f>
        <v>88107.6</v>
      </c>
      <c r="C3130" s="434">
        <f>IFERROR(__xludf.DUMMYFUNCTION("""COMPUTED_VALUE"""),45352.99861111111)</f>
        <v>45352.99861</v>
      </c>
      <c r="D3130" s="433">
        <f>IFERROR(__xludf.DUMMYFUNCTION("""COMPUTED_VALUE"""),3341.9658)</f>
        <v>3341.9658</v>
      </c>
    </row>
    <row r="3131">
      <c r="A3131" s="434">
        <f>IFERROR(__xludf.DUMMYFUNCTION("""COMPUTED_VALUE"""),45770.99861111111)</f>
        <v>45770.99861</v>
      </c>
      <c r="B3131" s="433">
        <f>IFERROR(__xludf.DUMMYFUNCTION("""COMPUTED_VALUE"""),93210.55)</f>
        <v>93210.55</v>
      </c>
      <c r="C3131" s="434">
        <f>IFERROR(__xludf.DUMMYFUNCTION("""COMPUTED_VALUE"""),45353.99861111111)</f>
        <v>45353.99861</v>
      </c>
      <c r="D3131" s="433">
        <f>IFERROR(__xludf.DUMMYFUNCTION("""COMPUTED_VALUE"""),3436.1591)</f>
        <v>3436.1591</v>
      </c>
    </row>
    <row r="3132">
      <c r="A3132" s="434">
        <f>IFERROR(__xludf.DUMMYFUNCTION("""COMPUTED_VALUE"""),45771.99861111111)</f>
        <v>45771.99861</v>
      </c>
      <c r="B3132" s="433">
        <f>IFERROR(__xludf.DUMMYFUNCTION("""COMPUTED_VALUE"""),92733.36)</f>
        <v>92733.36</v>
      </c>
      <c r="C3132" s="434">
        <f>IFERROR(__xludf.DUMMYFUNCTION("""COMPUTED_VALUE"""),45354.99861111111)</f>
        <v>45354.99861</v>
      </c>
      <c r="D3132" s="433">
        <f>IFERROR(__xludf.DUMMYFUNCTION("""COMPUTED_VALUE"""),3422.8752)</f>
        <v>3422.8752</v>
      </c>
    </row>
    <row r="3133">
      <c r="A3133" s="434">
        <f>IFERROR(__xludf.DUMMYFUNCTION("""COMPUTED_VALUE"""),45772.99861111111)</f>
        <v>45772.99861</v>
      </c>
      <c r="B3133" s="433">
        <f>IFERROR(__xludf.DUMMYFUNCTION("""COMPUTED_VALUE"""),93348.03)</f>
        <v>93348.03</v>
      </c>
      <c r="C3133" s="434">
        <f>IFERROR(__xludf.DUMMYFUNCTION("""COMPUTED_VALUE"""),45355.99861111111)</f>
        <v>45355.99861</v>
      </c>
      <c r="D3133" s="433">
        <f>IFERROR(__xludf.DUMMYFUNCTION("""COMPUTED_VALUE"""),3489.3401)</f>
        <v>3489.3401</v>
      </c>
    </row>
    <row r="3134">
      <c r="A3134" s="434">
        <f>IFERROR(__xludf.DUMMYFUNCTION("""COMPUTED_VALUE"""),45773.99861111111)</f>
        <v>45773.99861</v>
      </c>
      <c r="B3134" s="433">
        <f>IFERROR(__xludf.DUMMYFUNCTION("""COMPUTED_VALUE"""),94847.29)</f>
        <v>94847.29</v>
      </c>
      <c r="C3134" s="434">
        <f>IFERROR(__xludf.DUMMYFUNCTION("""COMPUTED_VALUE"""),45356.99861111111)</f>
        <v>45356.99861</v>
      </c>
      <c r="D3134" s="433">
        <f>IFERROR(__xludf.DUMMYFUNCTION("""COMPUTED_VALUE"""),3631.9289)</f>
        <v>3631.9289</v>
      </c>
    </row>
    <row r="3135">
      <c r="A3135" s="434">
        <f>IFERROR(__xludf.DUMMYFUNCTION("""COMPUTED_VALUE"""),45774.99861111111)</f>
        <v>45774.99861</v>
      </c>
      <c r="B3135" s="433">
        <f>IFERROR(__xludf.DUMMYFUNCTION("""COMPUTED_VALUE"""),94225.3)</f>
        <v>94225.3</v>
      </c>
      <c r="C3135" s="434">
        <f>IFERROR(__xludf.DUMMYFUNCTION("""COMPUTED_VALUE"""),45357.99861111111)</f>
        <v>45357.99861</v>
      </c>
      <c r="D3135" s="433">
        <f>IFERROR(__xludf.DUMMYFUNCTION("""COMPUTED_VALUE"""),3558.4552)</f>
        <v>3558.4552</v>
      </c>
    </row>
    <row r="3136">
      <c r="A3136" s="434">
        <f>IFERROR(__xludf.DUMMYFUNCTION("""COMPUTED_VALUE"""),45775.99861111111)</f>
        <v>45775.99861</v>
      </c>
      <c r="B3136" s="433">
        <f>IFERROR(__xludf.DUMMYFUNCTION("""COMPUTED_VALUE"""),93911.89)</f>
        <v>93911.89</v>
      </c>
      <c r="C3136" s="434">
        <f>IFERROR(__xludf.DUMMYFUNCTION("""COMPUTED_VALUE"""),45358.99861111111)</f>
        <v>45358.99861</v>
      </c>
      <c r="D3136" s="433">
        <f>IFERROR(__xludf.DUMMYFUNCTION("""COMPUTED_VALUE"""),3819.4352)</f>
        <v>3819.4352</v>
      </c>
    </row>
    <row r="3137">
      <c r="A3137" s="434">
        <f>IFERROR(__xludf.DUMMYFUNCTION("""COMPUTED_VALUE"""),45776.99861111111)</f>
        <v>45776.99861</v>
      </c>
      <c r="B3137" s="433">
        <f>IFERROR(__xludf.DUMMYFUNCTION("""COMPUTED_VALUE"""),94717.11)</f>
        <v>94717.11</v>
      </c>
      <c r="C3137" s="434">
        <f>IFERROR(__xludf.DUMMYFUNCTION("""COMPUTED_VALUE"""),45359.99861111111)</f>
        <v>45359.99861</v>
      </c>
      <c r="D3137" s="433">
        <f>IFERROR(__xludf.DUMMYFUNCTION("""COMPUTED_VALUE"""),3875.0786)</f>
        <v>3875.0786</v>
      </c>
    </row>
    <row r="3138">
      <c r="A3138" s="434">
        <f>IFERROR(__xludf.DUMMYFUNCTION("""COMPUTED_VALUE"""),45777.99861111111)</f>
        <v>45777.99861</v>
      </c>
      <c r="B3138" s="433">
        <f>IFERROR(__xludf.DUMMYFUNCTION("""COMPUTED_VALUE"""),95041.93)</f>
        <v>95041.93</v>
      </c>
      <c r="C3138" s="434">
        <f>IFERROR(__xludf.DUMMYFUNCTION("""COMPUTED_VALUE"""),45360.99861111111)</f>
        <v>45360.99861</v>
      </c>
      <c r="D3138" s="433">
        <f>IFERROR(__xludf.DUMMYFUNCTION("""COMPUTED_VALUE"""),3891.9782)</f>
        <v>3891.9782</v>
      </c>
    </row>
    <row r="3139">
      <c r="A3139" s="434">
        <f>IFERROR(__xludf.DUMMYFUNCTION("""COMPUTED_VALUE"""),45778.99861111111)</f>
        <v>45778.99861</v>
      </c>
      <c r="B3139" s="433">
        <f>IFERROR(__xludf.DUMMYFUNCTION("""COMPUTED_VALUE"""),94808.49)</f>
        <v>94808.49</v>
      </c>
      <c r="C3139" s="434">
        <f>IFERROR(__xludf.DUMMYFUNCTION("""COMPUTED_VALUE"""),45361.99861111111)</f>
        <v>45361.99861</v>
      </c>
      <c r="D3139" s="433">
        <f>IFERROR(__xludf.DUMMYFUNCTION("""COMPUTED_VALUE"""),3913.7166)</f>
        <v>3913.7166</v>
      </c>
    </row>
    <row r="3140">
      <c r="A3140" s="434">
        <f>IFERROR(__xludf.DUMMYFUNCTION("""COMPUTED_VALUE"""),45779.99861111111)</f>
        <v>45779.99861</v>
      </c>
      <c r="B3140" s="433">
        <f>IFERROR(__xludf.DUMMYFUNCTION("""COMPUTED_VALUE"""),97111.77)</f>
        <v>97111.77</v>
      </c>
      <c r="C3140" s="434">
        <f>IFERROR(__xludf.DUMMYFUNCTION("""COMPUTED_VALUE"""),45362.99861111111)</f>
        <v>45362.99861</v>
      </c>
      <c r="D3140" s="433">
        <f>IFERROR(__xludf.DUMMYFUNCTION("""COMPUTED_VALUE"""),3882.1181)</f>
        <v>3882.1181</v>
      </c>
    </row>
    <row r="3141">
      <c r="A3141" s="434">
        <f>IFERROR(__xludf.DUMMYFUNCTION("""COMPUTED_VALUE"""),45780.99861111111)</f>
        <v>45780.99861</v>
      </c>
      <c r="B3141" s="433">
        <f>IFERROR(__xludf.DUMMYFUNCTION("""COMPUTED_VALUE"""),96432.45)</f>
        <v>96432.45</v>
      </c>
      <c r="C3141" s="434">
        <f>IFERROR(__xludf.DUMMYFUNCTION("""COMPUTED_VALUE"""),45363.99861111111)</f>
        <v>45363.99861</v>
      </c>
      <c r="D3141" s="433">
        <f>IFERROR(__xludf.DUMMYFUNCTION("""COMPUTED_VALUE"""),4066.0375)</f>
        <v>4066.0375</v>
      </c>
    </row>
    <row r="3142">
      <c r="A3142" s="434">
        <f>IFERROR(__xludf.DUMMYFUNCTION("""COMPUTED_VALUE"""),45781.99861111111)</f>
        <v>45781.99861</v>
      </c>
      <c r="B3142" s="433">
        <f>IFERROR(__xludf.DUMMYFUNCTION("""COMPUTED_VALUE"""),95856.14)</f>
        <v>95856.14</v>
      </c>
      <c r="C3142" s="434">
        <f>IFERROR(__xludf.DUMMYFUNCTION("""COMPUTED_VALUE"""),45364.99861111111)</f>
        <v>45364.99861</v>
      </c>
      <c r="D3142" s="433">
        <f>IFERROR(__xludf.DUMMYFUNCTION("""COMPUTED_VALUE"""),3980.0814)</f>
        <v>3980.0814</v>
      </c>
    </row>
    <row r="3143">
      <c r="A3143" s="434">
        <f>IFERROR(__xludf.DUMMYFUNCTION("""COMPUTED_VALUE"""),45782.99861111111)</f>
        <v>45782.99861</v>
      </c>
      <c r="B3143" s="433">
        <f>IFERROR(__xludf.DUMMYFUNCTION("""COMPUTED_VALUE"""),94255.16)</f>
        <v>94255.16</v>
      </c>
      <c r="C3143" s="434">
        <f>IFERROR(__xludf.DUMMYFUNCTION("""COMPUTED_VALUE"""),45365.99861111111)</f>
        <v>45365.99861</v>
      </c>
      <c r="D3143" s="433">
        <f>IFERROR(__xludf.DUMMYFUNCTION("""COMPUTED_VALUE"""),4006.6884)</f>
        <v>4006.6884</v>
      </c>
    </row>
    <row r="3144">
      <c r="A3144" s="434">
        <f>IFERROR(__xludf.DUMMYFUNCTION("""COMPUTED_VALUE"""),45783.99861111111)</f>
        <v>45783.99861</v>
      </c>
      <c r="B3144" s="433">
        <f>IFERROR(__xludf.DUMMYFUNCTION("""COMPUTED_VALUE"""),94489.1)</f>
        <v>94489.1</v>
      </c>
      <c r="C3144" s="434">
        <f>IFERROR(__xludf.DUMMYFUNCTION("""COMPUTED_VALUE"""),45366.99861111111)</f>
        <v>45366.99861</v>
      </c>
      <c r="D3144" s="433">
        <f>IFERROR(__xludf.DUMMYFUNCTION("""COMPUTED_VALUE"""),3880.2239)</f>
        <v>3880.2239</v>
      </c>
    </row>
    <row r="3145">
      <c r="A3145" s="434">
        <f>IFERROR(__xludf.DUMMYFUNCTION("""COMPUTED_VALUE"""),45784.99861111111)</f>
        <v>45784.99861</v>
      </c>
      <c r="B3145" s="433">
        <f>IFERROR(__xludf.DUMMYFUNCTION("""COMPUTED_VALUE"""),96515.11)</f>
        <v>96515.11</v>
      </c>
      <c r="C3145" s="434">
        <f>IFERROR(__xludf.DUMMYFUNCTION("""COMPUTED_VALUE"""),45367.99861111111)</f>
        <v>45367.99861</v>
      </c>
      <c r="D3145" s="433">
        <f>IFERROR(__xludf.DUMMYFUNCTION("""COMPUTED_VALUE"""),3742.1979)</f>
        <v>3742.1979</v>
      </c>
    </row>
    <row r="3146">
      <c r="A3146" s="434">
        <f>IFERROR(__xludf.DUMMYFUNCTION("""COMPUTED_VALUE"""),45785.99861111111)</f>
        <v>45785.99861</v>
      </c>
      <c r="B3146" s="433">
        <f>IFERROR(__xludf.DUMMYFUNCTION("""COMPUTED_VALUE"""),99109.44)</f>
        <v>99109.44</v>
      </c>
      <c r="C3146" s="434">
        <f>IFERROR(__xludf.DUMMYFUNCTION("""COMPUTED_VALUE"""),45368.99861111111)</f>
        <v>45368.99861</v>
      </c>
      <c r="D3146" s="433">
        <f>IFERROR(__xludf.DUMMYFUNCTION("""COMPUTED_VALUE"""),3520.284)</f>
        <v>3520.284</v>
      </c>
    </row>
    <row r="3147">
      <c r="A3147" s="434">
        <f>IFERROR(__xludf.DUMMYFUNCTION("""COMPUTED_VALUE"""),45786.99861111111)</f>
        <v>45786.99861</v>
      </c>
      <c r="B3147" s="433">
        <f>IFERROR(__xludf.DUMMYFUNCTION("""COMPUTED_VALUE"""),102384.2)</f>
        <v>102384.2</v>
      </c>
      <c r="C3147" s="434">
        <f>IFERROR(__xludf.DUMMYFUNCTION("""COMPUTED_VALUE"""),45369.99861111111)</f>
        <v>45369.99861</v>
      </c>
      <c r="D3147" s="433">
        <f>IFERROR(__xludf.DUMMYFUNCTION("""COMPUTED_VALUE"""),3642.1852)</f>
        <v>3642.1852</v>
      </c>
    </row>
    <row r="3148">
      <c r="A3148" s="434">
        <f>IFERROR(__xludf.DUMMYFUNCTION("""COMPUTED_VALUE"""),45787.99861111111)</f>
        <v>45787.99861</v>
      </c>
      <c r="B3148" s="433">
        <f>IFERROR(__xludf.DUMMYFUNCTION("""COMPUTED_VALUE"""),103161.7)</f>
        <v>103161.7</v>
      </c>
      <c r="C3148" s="434">
        <f>IFERROR(__xludf.DUMMYFUNCTION("""COMPUTED_VALUE"""),45370.99861111111)</f>
        <v>45370.99861</v>
      </c>
      <c r="D3148" s="433">
        <f>IFERROR(__xludf.DUMMYFUNCTION("""COMPUTED_VALUE"""),3519.9801)</f>
        <v>3519.9801</v>
      </c>
    </row>
    <row r="3149">
      <c r="A3149" s="434">
        <f>IFERROR(__xludf.DUMMYFUNCTION("""COMPUTED_VALUE"""),45788.99861111111)</f>
        <v>45788.99861</v>
      </c>
      <c r="B3149" s="433">
        <f>IFERROR(__xludf.DUMMYFUNCTION("""COMPUTED_VALUE"""),103995.7)</f>
        <v>103995.7</v>
      </c>
      <c r="C3149" s="434">
        <f>IFERROR(__xludf.DUMMYFUNCTION("""COMPUTED_VALUE"""),45371.99861111111)</f>
        <v>45371.99861</v>
      </c>
      <c r="D3149" s="433">
        <f>IFERROR(__xludf.DUMMYFUNCTION("""COMPUTED_VALUE"""),3158.4657)</f>
        <v>3158.4657</v>
      </c>
    </row>
    <row r="3150">
      <c r="A3150" s="434">
        <f>IFERROR(__xludf.DUMMYFUNCTION("""COMPUTED_VALUE"""),45789.99861111111)</f>
        <v>45789.99861</v>
      </c>
      <c r="B3150" s="433">
        <f>IFERROR(__xludf.DUMMYFUNCTION("""COMPUTED_VALUE"""),104013.1)</f>
        <v>104013.1</v>
      </c>
      <c r="C3150" s="434">
        <f>IFERROR(__xludf.DUMMYFUNCTION("""COMPUTED_VALUE"""),45372.99861111111)</f>
        <v>45372.99861</v>
      </c>
      <c r="D3150" s="433">
        <f>IFERROR(__xludf.DUMMYFUNCTION("""COMPUTED_VALUE"""),3516.4046)</f>
        <v>3516.4046</v>
      </c>
    </row>
    <row r="3151">
      <c r="A3151" s="434">
        <f>IFERROR(__xludf.DUMMYFUNCTION("""COMPUTED_VALUE"""),45790.99861111111)</f>
        <v>45790.99861</v>
      </c>
      <c r="B3151" s="433">
        <f>IFERROR(__xludf.DUMMYFUNCTION("""COMPUTED_VALUE"""),101727.0)</f>
        <v>101727</v>
      </c>
      <c r="C3151" s="434">
        <f>IFERROR(__xludf.DUMMYFUNCTION("""COMPUTED_VALUE"""),45373.99861111111)</f>
        <v>45373.99861</v>
      </c>
      <c r="D3151" s="433">
        <f>IFERROR(__xludf.DUMMYFUNCTION("""COMPUTED_VALUE"""),3492.004)</f>
        <v>3492.004</v>
      </c>
    </row>
    <row r="3152">
      <c r="A3152" s="434">
        <f>IFERROR(__xludf.DUMMYFUNCTION("""COMPUTED_VALUE"""),45791.99861111111)</f>
        <v>45791.99861</v>
      </c>
      <c r="B3152" s="433">
        <f>IFERROR(__xludf.DUMMYFUNCTION("""COMPUTED_VALUE"""),103560.3)</f>
        <v>103560.3</v>
      </c>
      <c r="C3152" s="434">
        <f>IFERROR(__xludf.DUMMYFUNCTION("""COMPUTED_VALUE"""),45374.99861111111)</f>
        <v>45374.99861</v>
      </c>
      <c r="D3152" s="433">
        <f>IFERROR(__xludf.DUMMYFUNCTION("""COMPUTED_VALUE"""),3336.0716)</f>
        <v>3336.0716</v>
      </c>
    </row>
    <row r="3153">
      <c r="A3153" s="434">
        <f>IFERROR(__xludf.DUMMYFUNCTION("""COMPUTED_VALUE"""),45792.99861111111)</f>
        <v>45792.99861</v>
      </c>
      <c r="B3153" s="433">
        <f>IFERROR(__xludf.DUMMYFUNCTION("""COMPUTED_VALUE"""),102821.2)</f>
        <v>102821.2</v>
      </c>
      <c r="C3153" s="434">
        <f>IFERROR(__xludf.DUMMYFUNCTION("""COMPUTED_VALUE"""),45375.99861111111)</f>
        <v>45375.99861</v>
      </c>
      <c r="D3153" s="433">
        <f>IFERROR(__xludf.DUMMYFUNCTION("""COMPUTED_VALUE"""),3332.3782)</f>
        <v>3332.3782</v>
      </c>
    </row>
    <row r="3154">
      <c r="A3154" s="434">
        <f>IFERROR(__xludf.DUMMYFUNCTION("""COMPUTED_VALUE"""),45793.99861111111)</f>
        <v>45793.99861</v>
      </c>
      <c r="B3154" s="433">
        <f>IFERROR(__xludf.DUMMYFUNCTION("""COMPUTED_VALUE"""),104050.1)</f>
        <v>104050.1</v>
      </c>
      <c r="C3154" s="434">
        <f>IFERROR(__xludf.DUMMYFUNCTION("""COMPUTED_VALUE"""),45376.99861111111)</f>
        <v>45376.99861</v>
      </c>
      <c r="D3154" s="433">
        <f>IFERROR(__xludf.DUMMYFUNCTION("""COMPUTED_VALUE"""),3453.6938)</f>
        <v>3453.6938</v>
      </c>
    </row>
    <row r="3155">
      <c r="A3155" s="434">
        <f>IFERROR(__xludf.DUMMYFUNCTION("""COMPUTED_VALUE"""),45794.99861111111)</f>
        <v>45794.99861</v>
      </c>
      <c r="B3155" s="433">
        <f>IFERROR(__xludf.DUMMYFUNCTION("""COMPUTED_VALUE"""),103536.5)</f>
        <v>103536.5</v>
      </c>
      <c r="C3155" s="434">
        <f>IFERROR(__xludf.DUMMYFUNCTION("""COMPUTED_VALUE"""),45377.99861111111)</f>
        <v>45377.99861</v>
      </c>
      <c r="D3155" s="433">
        <f>IFERROR(__xludf.DUMMYFUNCTION("""COMPUTED_VALUE"""),3590.941)</f>
        <v>3590.941</v>
      </c>
    </row>
    <row r="3156">
      <c r="A3156" s="434">
        <f>IFERROR(__xludf.DUMMYFUNCTION("""COMPUTED_VALUE"""),45795.99861111111)</f>
        <v>45795.99861</v>
      </c>
      <c r="B3156" s="433">
        <f>IFERROR(__xludf.DUMMYFUNCTION("""COMPUTED_VALUE"""),103298.0)</f>
        <v>103298</v>
      </c>
      <c r="C3156" s="434">
        <f>IFERROR(__xludf.DUMMYFUNCTION("""COMPUTED_VALUE"""),45378.99861111111)</f>
        <v>45378.99861</v>
      </c>
      <c r="D3156" s="433">
        <f>IFERROR(__xludf.DUMMYFUNCTION("""COMPUTED_VALUE"""),3587.5291)</f>
        <v>3587.5291</v>
      </c>
    </row>
    <row r="3157">
      <c r="A3157" s="434">
        <f>IFERROR(__xludf.DUMMYFUNCTION("""COMPUTED_VALUE"""),45796.99861111111)</f>
        <v>45796.99861</v>
      </c>
      <c r="B3157" s="433">
        <f>IFERROR(__xludf.DUMMYFUNCTION("""COMPUTED_VALUE"""),103640.2)</f>
        <v>103640.2</v>
      </c>
      <c r="C3157" s="434">
        <f>IFERROR(__xludf.DUMMYFUNCTION("""COMPUTED_VALUE"""),45379.99861111111)</f>
        <v>45379.99861</v>
      </c>
      <c r="D3157" s="433">
        <f>IFERROR(__xludf.DUMMYFUNCTION("""COMPUTED_VALUE"""),3500.0163)</f>
        <v>3500.0163</v>
      </c>
    </row>
    <row r="3158">
      <c r="A3158" s="434">
        <f>IFERROR(__xludf.DUMMYFUNCTION("""COMPUTED_VALUE"""),45797.99861111111)</f>
        <v>45797.99861</v>
      </c>
      <c r="B3158" s="433">
        <f>IFERROR(__xludf.DUMMYFUNCTION("""COMPUTED_VALUE"""),105707.1)</f>
        <v>105707.1</v>
      </c>
      <c r="C3158" s="434">
        <f>IFERROR(__xludf.DUMMYFUNCTION("""COMPUTED_VALUE"""),45380.99861111111)</f>
        <v>45380.99861</v>
      </c>
      <c r="D3158" s="433">
        <f>IFERROR(__xludf.DUMMYFUNCTION("""COMPUTED_VALUE"""),3561.4234)</f>
        <v>3561.4234</v>
      </c>
    </row>
    <row r="3159">
      <c r="A3159" s="434">
        <f>IFERROR(__xludf.DUMMYFUNCTION("""COMPUTED_VALUE"""),45798.99861111111)</f>
        <v>45798.99861</v>
      </c>
      <c r="B3159" s="433">
        <f>IFERROR(__xludf.DUMMYFUNCTION("""COMPUTED_VALUE"""),106859.6)</f>
        <v>106859.6</v>
      </c>
      <c r="C3159" s="434">
        <f>IFERROR(__xludf.DUMMYFUNCTION("""COMPUTED_VALUE"""),45381.99861111111)</f>
        <v>45381.99861</v>
      </c>
      <c r="D3159" s="433">
        <f>IFERROR(__xludf.DUMMYFUNCTION("""COMPUTED_VALUE"""),3511.3431)</f>
        <v>3511.3431</v>
      </c>
    </row>
    <row r="3160">
      <c r="A3160" s="434">
        <f>IFERROR(__xludf.DUMMYFUNCTION("""COMPUTED_VALUE"""),45799.99861111111)</f>
        <v>45799.99861</v>
      </c>
      <c r="B3160" s="433">
        <f>IFERROR(__xludf.DUMMYFUNCTION("""COMPUTED_VALUE"""),111681.7)</f>
        <v>111681.7</v>
      </c>
      <c r="C3160" s="434">
        <f>IFERROR(__xludf.DUMMYFUNCTION("""COMPUTED_VALUE"""),45382.99861111111)</f>
        <v>45382.99861</v>
      </c>
      <c r="D3160" s="433">
        <f>IFERROR(__xludf.DUMMYFUNCTION("""COMPUTED_VALUE"""),3508.179)</f>
        <v>3508.179</v>
      </c>
    </row>
    <row r="3161">
      <c r="A3161" s="434">
        <f>IFERROR(__xludf.DUMMYFUNCTION("""COMPUTED_VALUE"""),45800.99861111111)</f>
        <v>45800.99861</v>
      </c>
      <c r="B3161" s="433">
        <f>IFERROR(__xludf.DUMMYFUNCTION("""COMPUTED_VALUE"""),111088.5)</f>
        <v>111088.5</v>
      </c>
      <c r="C3161" s="434">
        <f>IFERROR(__xludf.DUMMYFUNCTION("""COMPUTED_VALUE"""),45383.99861111111)</f>
        <v>45383.99861</v>
      </c>
      <c r="D3161" s="433">
        <f>IFERROR(__xludf.DUMMYFUNCTION("""COMPUTED_VALUE"""),3646.2803)</f>
        <v>3646.2803</v>
      </c>
    </row>
    <row r="3162">
      <c r="A3162" s="434">
        <f>IFERROR(__xludf.DUMMYFUNCTION("""COMPUTED_VALUE"""),45801.99861111111)</f>
        <v>45801.99861</v>
      </c>
      <c r="B3162" s="433">
        <f>IFERROR(__xludf.DUMMYFUNCTION("""COMPUTED_VALUE"""),108333.4)</f>
        <v>108333.4</v>
      </c>
      <c r="C3162" s="434">
        <f>IFERROR(__xludf.DUMMYFUNCTION("""COMPUTED_VALUE"""),45384.99861111111)</f>
        <v>45384.99861</v>
      </c>
      <c r="D3162" s="433">
        <f>IFERROR(__xludf.DUMMYFUNCTION("""COMPUTED_VALUE"""),3505.4748)</f>
        <v>3505.4748</v>
      </c>
    </row>
    <row r="3163">
      <c r="A3163" s="434">
        <f>IFERROR(__xludf.DUMMYFUNCTION("""COMPUTED_VALUE"""),45802.99861111111)</f>
        <v>45802.99861</v>
      </c>
      <c r="B3163" s="433">
        <f>IFERROR(__xludf.DUMMYFUNCTION("""COMPUTED_VALUE"""),108096.5)</f>
        <v>108096.5</v>
      </c>
      <c r="C3163" s="434">
        <f>IFERROR(__xludf.DUMMYFUNCTION("""COMPUTED_VALUE"""),45385.99861111111)</f>
        <v>45385.99861</v>
      </c>
      <c r="D3163" s="433">
        <f>IFERROR(__xludf.DUMMYFUNCTION("""COMPUTED_VALUE"""),3278.3454)</f>
        <v>3278.3454</v>
      </c>
    </row>
    <row r="3164">
      <c r="A3164" s="434">
        <f>IFERROR(__xludf.DUMMYFUNCTION("""COMPUTED_VALUE"""),45803.99861111111)</f>
        <v>45803.99861</v>
      </c>
      <c r="B3164" s="433">
        <f>IFERROR(__xludf.DUMMYFUNCTION("""COMPUTED_VALUE"""),109641.5)</f>
        <v>109641.5</v>
      </c>
      <c r="C3164" s="434">
        <f>IFERROR(__xludf.DUMMYFUNCTION("""COMPUTED_VALUE"""),45386.99861111111)</f>
        <v>45386.99861</v>
      </c>
      <c r="D3164" s="433">
        <f>IFERROR(__xludf.DUMMYFUNCTION("""COMPUTED_VALUE"""),3311.9862)</f>
        <v>3311.9862</v>
      </c>
    </row>
    <row r="3165">
      <c r="A3165" s="434">
        <f>IFERROR(__xludf.DUMMYFUNCTION("""COMPUTED_VALUE"""),45804.99861111111)</f>
        <v>45804.99861</v>
      </c>
      <c r="B3165" s="433">
        <f>IFERROR(__xludf.DUMMYFUNCTION("""COMPUTED_VALUE"""),108927.6)</f>
        <v>108927.6</v>
      </c>
      <c r="C3165" s="434">
        <f>IFERROR(__xludf.DUMMYFUNCTION("""COMPUTED_VALUE"""),45387.99861111111)</f>
        <v>45387.99861</v>
      </c>
      <c r="D3165" s="433">
        <f>IFERROR(__xludf.DUMMYFUNCTION("""COMPUTED_VALUE"""),3329.5221)</f>
        <v>3329.5221</v>
      </c>
    </row>
    <row r="3166">
      <c r="A3166" s="434">
        <f>IFERROR(__xludf.DUMMYFUNCTION("""COMPUTED_VALUE"""),45805.99861111111)</f>
        <v>45805.99861</v>
      </c>
      <c r="B3166" s="433">
        <f>IFERROR(__xludf.DUMMYFUNCTION("""COMPUTED_VALUE"""),108877.1)</f>
        <v>108877.1</v>
      </c>
      <c r="C3166" s="434">
        <f>IFERROR(__xludf.DUMMYFUNCTION("""COMPUTED_VALUE"""),45388.99861111111)</f>
        <v>45388.99861</v>
      </c>
      <c r="D3166" s="433">
        <f>IFERROR(__xludf.DUMMYFUNCTION("""COMPUTED_VALUE"""),3319.0546)</f>
        <v>3319.0546</v>
      </c>
    </row>
    <row r="3167">
      <c r="A3167" s="434">
        <f>IFERROR(__xludf.DUMMYFUNCTION("""COMPUTED_VALUE"""),45806.99861111111)</f>
        <v>45806.99861</v>
      </c>
      <c r="B3167" s="433">
        <f>IFERROR(__xludf.DUMMYFUNCTION("""COMPUTED_VALUE"""),108043.4)</f>
        <v>108043.4</v>
      </c>
      <c r="C3167" s="434">
        <f>IFERROR(__xludf.DUMMYFUNCTION("""COMPUTED_VALUE"""),45389.99861111111)</f>
        <v>45389.99861</v>
      </c>
      <c r="D3167" s="433">
        <f>IFERROR(__xludf.DUMMYFUNCTION("""COMPUTED_VALUE"""),3353.7635)</f>
        <v>3353.7635</v>
      </c>
    </row>
    <row r="3168">
      <c r="A3168" s="434">
        <f>IFERROR(__xludf.DUMMYFUNCTION("""COMPUTED_VALUE"""),45807.99861111111)</f>
        <v>45807.99861</v>
      </c>
      <c r="B3168" s="433">
        <f>IFERROR(__xludf.DUMMYFUNCTION("""COMPUTED_VALUE"""),106021.6)</f>
        <v>106021.6</v>
      </c>
      <c r="C3168" s="434">
        <f>IFERROR(__xludf.DUMMYFUNCTION("""COMPUTED_VALUE"""),45390.99861111111)</f>
        <v>45390.99861</v>
      </c>
      <c r="D3168" s="433">
        <f>IFERROR(__xludf.DUMMYFUNCTION("""COMPUTED_VALUE"""),3453.9621)</f>
        <v>3453.9621</v>
      </c>
    </row>
    <row r="3169">
      <c r="A3169" s="434">
        <f>IFERROR(__xludf.DUMMYFUNCTION("""COMPUTED_VALUE"""),45808.99861111111)</f>
        <v>45808.99861</v>
      </c>
      <c r="B3169" s="433">
        <f>IFERROR(__xludf.DUMMYFUNCTION("""COMPUTED_VALUE"""),103735.2)</f>
        <v>103735.2</v>
      </c>
      <c r="C3169" s="434">
        <f>IFERROR(__xludf.DUMMYFUNCTION("""COMPUTED_VALUE"""),45391.99861111111)</f>
        <v>45391.99861</v>
      </c>
      <c r="D3169" s="433">
        <f>IFERROR(__xludf.DUMMYFUNCTION("""COMPUTED_VALUE"""),3695.206)</f>
        <v>3695.206</v>
      </c>
    </row>
    <row r="3170">
      <c r="A3170" s="434">
        <f>IFERROR(__xludf.DUMMYFUNCTION("""COMPUTED_VALUE"""),45809.99861111111)</f>
        <v>45809.99861</v>
      </c>
      <c r="B3170" s="433">
        <f>IFERROR(__xludf.DUMMYFUNCTION("""COMPUTED_VALUE"""),104494.5)</f>
        <v>104494.5</v>
      </c>
      <c r="C3170" s="434">
        <f>IFERROR(__xludf.DUMMYFUNCTION("""COMPUTED_VALUE"""),45392.99861111111)</f>
        <v>45392.99861</v>
      </c>
      <c r="D3170" s="433">
        <f>IFERROR(__xludf.DUMMYFUNCTION("""COMPUTED_VALUE"""),3505.2583)</f>
        <v>3505.2583</v>
      </c>
    </row>
    <row r="3171">
      <c r="A3171" s="434">
        <f>IFERROR(__xludf.DUMMYFUNCTION("""COMPUTED_VALUE"""),45810.99861111111)</f>
        <v>45810.99861</v>
      </c>
      <c r="B3171" s="433">
        <f>IFERROR(__xludf.DUMMYFUNCTION("""COMPUTED_VALUE"""),104914.5)</f>
        <v>104914.5</v>
      </c>
      <c r="C3171" s="434">
        <f>IFERROR(__xludf.DUMMYFUNCTION("""COMPUTED_VALUE"""),45393.99861111111)</f>
        <v>45393.99861</v>
      </c>
      <c r="D3171" s="433">
        <f>IFERROR(__xludf.DUMMYFUNCTION("""COMPUTED_VALUE"""),3545.3481)</f>
        <v>3545.3481</v>
      </c>
    </row>
    <row r="3172">
      <c r="A3172" s="434">
        <f>IFERROR(__xludf.DUMMYFUNCTION("""COMPUTED_VALUE"""),45811.99861111111)</f>
        <v>45811.99861</v>
      </c>
      <c r="B3172" s="433">
        <f>IFERROR(__xludf.DUMMYFUNCTION("""COMPUTED_VALUE"""),105551.6)</f>
        <v>105551.6</v>
      </c>
      <c r="C3172" s="434">
        <f>IFERROR(__xludf.DUMMYFUNCTION("""COMPUTED_VALUE"""),45394.99861111111)</f>
        <v>45394.99861</v>
      </c>
      <c r="D3172" s="433">
        <f>IFERROR(__xludf.DUMMYFUNCTION("""COMPUTED_VALUE"""),3503.8341)</f>
        <v>3503.8341</v>
      </c>
    </row>
    <row r="3173">
      <c r="A3173" s="434">
        <f>IFERROR(__xludf.DUMMYFUNCTION("""COMPUTED_VALUE"""),45812.99861111111)</f>
        <v>45812.99861</v>
      </c>
      <c r="B3173" s="433">
        <f>IFERROR(__xludf.DUMMYFUNCTION("""COMPUTED_VALUE"""),105625.9)</f>
        <v>105625.9</v>
      </c>
      <c r="C3173" s="434">
        <f>IFERROR(__xludf.DUMMYFUNCTION("""COMPUTED_VALUE"""),45395.99861111111)</f>
        <v>45395.99861</v>
      </c>
      <c r="D3173" s="433">
        <f>IFERROR(__xludf.DUMMYFUNCTION("""COMPUTED_VALUE"""),3239.3603)</f>
        <v>3239.3603</v>
      </c>
    </row>
    <row r="3174">
      <c r="A3174" s="434">
        <f>IFERROR(__xludf.DUMMYFUNCTION("""COMPUTED_VALUE"""),45813.99861111111)</f>
        <v>45813.99861</v>
      </c>
      <c r="B3174" s="433">
        <f>IFERROR(__xludf.DUMMYFUNCTION("""COMPUTED_VALUE"""),105084.4)</f>
        <v>105084.4</v>
      </c>
      <c r="C3174" s="434">
        <f>IFERROR(__xludf.DUMMYFUNCTION("""COMPUTED_VALUE"""),45396.99861111111)</f>
        <v>45396.99861</v>
      </c>
      <c r="D3174" s="433">
        <f>IFERROR(__xludf.DUMMYFUNCTION("""COMPUTED_VALUE"""),3012.0561)</f>
        <v>3012.0561</v>
      </c>
    </row>
    <row r="3175">
      <c r="A3175" s="434">
        <f>IFERROR(__xludf.DUMMYFUNCTION("""COMPUTED_VALUE"""),45814.99861111111)</f>
        <v>45814.99861</v>
      </c>
      <c r="B3175" s="433">
        <f>IFERROR(__xludf.DUMMYFUNCTION("""COMPUTED_VALUE"""),102549.2)</f>
        <v>102549.2</v>
      </c>
      <c r="C3175" s="434">
        <f>IFERROR(__xludf.DUMMYFUNCTION("""COMPUTED_VALUE"""),45397.99861111111)</f>
        <v>45397.99861</v>
      </c>
      <c r="D3175" s="433">
        <f>IFERROR(__xludf.DUMMYFUNCTION("""COMPUTED_VALUE"""),3158.9907)</f>
        <v>3158.9907</v>
      </c>
    </row>
    <row r="3176">
      <c r="A3176" s="434">
        <f>IFERROR(__xludf.DUMMYFUNCTION("""COMPUTED_VALUE"""),45815.99861111111)</f>
        <v>45815.99861</v>
      </c>
      <c r="B3176" s="433">
        <f>IFERROR(__xludf.DUMMYFUNCTION("""COMPUTED_VALUE"""),104951.3)</f>
        <v>104951.3</v>
      </c>
      <c r="C3176" s="434">
        <f>IFERROR(__xludf.DUMMYFUNCTION("""COMPUTED_VALUE"""),45398.99861111111)</f>
        <v>45398.99861</v>
      </c>
      <c r="D3176" s="433">
        <f>IFERROR(__xludf.DUMMYFUNCTION("""COMPUTED_VALUE"""),3102.1527)</f>
        <v>3102.1527</v>
      </c>
    </row>
    <row r="3177">
      <c r="A3177" s="434">
        <f>IFERROR(__xludf.DUMMYFUNCTION("""COMPUTED_VALUE"""),45816.99861111111)</f>
        <v>45816.99861</v>
      </c>
      <c r="B3177" s="433">
        <f>IFERROR(__xludf.DUMMYFUNCTION("""COMPUTED_VALUE"""),105525.3)</f>
        <v>105525.3</v>
      </c>
      <c r="C3177" s="434">
        <f>IFERROR(__xludf.DUMMYFUNCTION("""COMPUTED_VALUE"""),45399.99861111111)</f>
        <v>45399.99861</v>
      </c>
      <c r="D3177" s="433">
        <f>IFERROR(__xludf.DUMMYFUNCTION("""COMPUTED_VALUE"""),3085.4712)</f>
        <v>3085.4712</v>
      </c>
    </row>
    <row r="3178">
      <c r="A3178" s="434">
        <f>IFERROR(__xludf.DUMMYFUNCTION("""COMPUTED_VALUE"""),45817.99861111111)</f>
        <v>45817.99861</v>
      </c>
      <c r="B3178" s="433">
        <f>IFERROR(__xludf.DUMMYFUNCTION("""COMPUTED_VALUE"""),105687.6)</f>
        <v>105687.6</v>
      </c>
      <c r="C3178" s="434">
        <f>IFERROR(__xludf.DUMMYFUNCTION("""COMPUTED_VALUE"""),45400.99861111111)</f>
        <v>45400.99861</v>
      </c>
      <c r="D3178" s="433">
        <f>IFERROR(__xludf.DUMMYFUNCTION("""COMPUTED_VALUE"""),2985.4325)</f>
        <v>2985.4325</v>
      </c>
    </row>
    <row r="3179">
      <c r="A3179" s="434">
        <f>IFERROR(__xludf.DUMMYFUNCTION("""COMPUTED_VALUE"""),45818.99861111111)</f>
        <v>45818.99861</v>
      </c>
      <c r="B3179" s="433">
        <f>IFERROR(__xludf.DUMMYFUNCTION("""COMPUTED_VALUE"""),109549.0)</f>
        <v>109549</v>
      </c>
      <c r="C3179" s="434">
        <f>IFERROR(__xludf.DUMMYFUNCTION("""COMPUTED_VALUE"""),45401.99861111111)</f>
        <v>45401.99861</v>
      </c>
      <c r="D3179" s="433">
        <f>IFERROR(__xludf.DUMMYFUNCTION("""COMPUTED_VALUE"""),3066.0287)</f>
        <v>3066.0287</v>
      </c>
    </row>
    <row r="3180">
      <c r="A3180" s="434">
        <f>IFERROR(__xludf.DUMMYFUNCTION("""COMPUTED_VALUE"""),45819.99861111111)</f>
        <v>45819.99861</v>
      </c>
      <c r="B3180" s="433">
        <f>IFERROR(__xludf.DUMMYFUNCTION("""COMPUTED_VALUE"""),109722.3)</f>
        <v>109722.3</v>
      </c>
      <c r="C3180" s="434">
        <f>IFERROR(__xludf.DUMMYFUNCTION("""COMPUTED_VALUE"""),45402.99861111111)</f>
        <v>45402.99861</v>
      </c>
      <c r="D3180" s="433">
        <f>IFERROR(__xludf.DUMMYFUNCTION("""COMPUTED_VALUE"""),3058.7674)</f>
        <v>3058.7674</v>
      </c>
    </row>
    <row r="3181">
      <c r="A3181" s="434">
        <f>IFERROR(__xludf.DUMMYFUNCTION("""COMPUTED_VALUE"""),45820.99861111111)</f>
        <v>45820.99861</v>
      </c>
      <c r="B3181" s="433">
        <f>IFERROR(__xludf.DUMMYFUNCTION("""COMPUTED_VALUE"""),107845.6)</f>
        <v>107845.6</v>
      </c>
      <c r="C3181" s="434">
        <f>IFERROR(__xludf.DUMMYFUNCTION("""COMPUTED_VALUE"""),45403.99861111111)</f>
        <v>45403.99861</v>
      </c>
      <c r="D3181" s="433">
        <f>IFERROR(__xludf.DUMMYFUNCTION("""COMPUTED_VALUE"""),3157.4529)</f>
        <v>3157.4529</v>
      </c>
    </row>
    <row r="3182">
      <c r="A3182" s="434">
        <f>IFERROR(__xludf.DUMMYFUNCTION("""COMPUTED_VALUE"""),45821.99861111111)</f>
        <v>45821.99861</v>
      </c>
      <c r="B3182" s="433">
        <f>IFERROR(__xludf.DUMMYFUNCTION("""COMPUTED_VALUE"""),104498.1)</f>
        <v>104498.1</v>
      </c>
      <c r="C3182" s="434">
        <f>IFERROR(__xludf.DUMMYFUNCTION("""COMPUTED_VALUE"""),45404.99861111111)</f>
        <v>45404.99861</v>
      </c>
      <c r="D3182" s="433">
        <f>IFERROR(__xludf.DUMMYFUNCTION("""COMPUTED_VALUE"""),3148.1222)</f>
        <v>3148.1222</v>
      </c>
    </row>
    <row r="3183">
      <c r="A3183" s="434">
        <f>IFERROR(__xludf.DUMMYFUNCTION("""COMPUTED_VALUE"""),45822.99861111111)</f>
        <v>45822.99861</v>
      </c>
      <c r="B3183" s="433">
        <f>IFERROR(__xludf.DUMMYFUNCTION("""COMPUTED_VALUE"""),105312.9)</f>
        <v>105312.9</v>
      </c>
      <c r="C3183" s="434">
        <f>IFERROR(__xludf.DUMMYFUNCTION("""COMPUTED_VALUE"""),45405.99861111111)</f>
        <v>45405.99861</v>
      </c>
      <c r="D3183" s="433">
        <f>IFERROR(__xludf.DUMMYFUNCTION("""COMPUTED_VALUE"""),3201.6548)</f>
        <v>3201.6548</v>
      </c>
    </row>
    <row r="3184">
      <c r="A3184" s="434">
        <f>IFERROR(__xludf.DUMMYFUNCTION("""COMPUTED_VALUE"""),45823.99861111111)</f>
        <v>45823.99861</v>
      </c>
      <c r="B3184" s="433">
        <f>IFERROR(__xludf.DUMMYFUNCTION("""COMPUTED_VALUE"""),105562.5)</f>
        <v>105562.5</v>
      </c>
      <c r="C3184" s="434">
        <f>IFERROR(__xludf.DUMMYFUNCTION("""COMPUTED_VALUE"""),45406.99861111111)</f>
        <v>45406.99861</v>
      </c>
      <c r="D3184" s="433">
        <f>IFERROR(__xludf.DUMMYFUNCTION("""COMPUTED_VALUE"""),3219.7123)</f>
        <v>3219.7123</v>
      </c>
    </row>
    <row r="3185">
      <c r="A3185" s="434">
        <f>IFERROR(__xludf.DUMMYFUNCTION("""COMPUTED_VALUE"""),45824.99861111111)</f>
        <v>45824.99861</v>
      </c>
      <c r="B3185" s="433">
        <f>IFERROR(__xludf.DUMMYFUNCTION("""COMPUTED_VALUE"""),105950.6)</f>
        <v>105950.6</v>
      </c>
      <c r="C3185" s="434">
        <f>IFERROR(__xludf.DUMMYFUNCTION("""COMPUTED_VALUE"""),45407.99861111111)</f>
        <v>45407.99861</v>
      </c>
      <c r="D3185" s="433">
        <f>IFERROR(__xludf.DUMMYFUNCTION("""COMPUTED_VALUE"""),3139.6273)</f>
        <v>3139.6273</v>
      </c>
    </row>
    <row r="3186">
      <c r="A3186" s="434">
        <f>IFERROR(__xludf.DUMMYFUNCTION("""COMPUTED_VALUE"""),45825.99861111111)</f>
        <v>45825.99861</v>
      </c>
      <c r="B3186" s="433">
        <f>IFERROR(__xludf.DUMMYFUNCTION("""COMPUTED_VALUE"""),107598.5)</f>
        <v>107598.5</v>
      </c>
      <c r="C3186" s="434">
        <f>IFERROR(__xludf.DUMMYFUNCTION("""COMPUTED_VALUE"""),45408.99861111111)</f>
        <v>45408.99861</v>
      </c>
      <c r="D3186" s="433">
        <f>IFERROR(__xludf.DUMMYFUNCTION("""COMPUTED_VALUE"""),3155.9337)</f>
        <v>3155.9337</v>
      </c>
    </row>
    <row r="3187">
      <c r="A3187" s="434">
        <f>IFERROR(__xludf.DUMMYFUNCTION("""COMPUTED_VALUE"""),45826.99861111111)</f>
        <v>45826.99861</v>
      </c>
      <c r="B3187" s="433">
        <f>IFERROR(__xludf.DUMMYFUNCTION("""COMPUTED_VALUE"""),105191.3)</f>
        <v>105191.3</v>
      </c>
      <c r="C3187" s="434">
        <f>IFERROR(__xludf.DUMMYFUNCTION("""COMPUTED_VALUE"""),45409.99861111111)</f>
        <v>45409.99861</v>
      </c>
      <c r="D3187" s="433">
        <f>IFERROR(__xludf.DUMMYFUNCTION("""COMPUTED_VALUE"""),3129.9816)</f>
        <v>3129.9816</v>
      </c>
    </row>
    <row r="3188">
      <c r="A3188" s="434">
        <f>IFERROR(__xludf.DUMMYFUNCTION("""COMPUTED_VALUE"""),45827.99861111111)</f>
        <v>45827.99861</v>
      </c>
      <c r="B3188" s="433">
        <f>IFERROR(__xludf.DUMMYFUNCTION("""COMPUTED_VALUE"""),105075.2)</f>
        <v>105075.2</v>
      </c>
      <c r="C3188" s="434">
        <f>IFERROR(__xludf.DUMMYFUNCTION("""COMPUTED_VALUE"""),45410.99861111111)</f>
        <v>45410.99861</v>
      </c>
      <c r="D3188" s="433">
        <f>IFERROR(__xludf.DUMMYFUNCTION("""COMPUTED_VALUE"""),3252.9324)</f>
        <v>3252.9324</v>
      </c>
    </row>
    <row r="3189">
      <c r="A3189" s="434">
        <f>IFERROR(__xludf.DUMMYFUNCTION("""COMPUTED_VALUE"""),45828.99861111111)</f>
        <v>45828.99861</v>
      </c>
      <c r="B3189" s="433">
        <f>IFERROR(__xludf.DUMMYFUNCTION("""COMPUTED_VALUE"""),104637.0)</f>
        <v>104637</v>
      </c>
      <c r="C3189" s="434">
        <f>IFERROR(__xludf.DUMMYFUNCTION("""COMPUTED_VALUE"""),45411.99861111111)</f>
        <v>45411.99861</v>
      </c>
      <c r="D3189" s="433">
        <f>IFERROR(__xludf.DUMMYFUNCTION("""COMPUTED_VALUE"""),3262.4635)</f>
        <v>3262.4635</v>
      </c>
    </row>
    <row r="3190">
      <c r="A3190" s="434">
        <f>IFERROR(__xludf.DUMMYFUNCTION("""COMPUTED_VALUE"""),45829.99861111111)</f>
        <v>45829.99861</v>
      </c>
      <c r="B3190" s="433">
        <f>IFERROR(__xludf.DUMMYFUNCTION("""COMPUTED_VALUE"""),103589.5)</f>
        <v>103589.5</v>
      </c>
      <c r="C3190" s="434">
        <f>IFERROR(__xludf.DUMMYFUNCTION("""COMPUTED_VALUE"""),45412.99861111111)</f>
        <v>45412.99861</v>
      </c>
      <c r="D3190" s="433">
        <f>IFERROR(__xludf.DUMMYFUNCTION("""COMPUTED_VALUE"""),3215.3173)</f>
        <v>3215.3173</v>
      </c>
    </row>
    <row r="3191">
      <c r="A3191" s="434">
        <f>IFERROR(__xludf.DUMMYFUNCTION("""COMPUTED_VALUE"""),45830.99861111111)</f>
        <v>45830.99861</v>
      </c>
      <c r="B3191" s="433">
        <f>IFERROR(__xludf.DUMMYFUNCTION("""COMPUTED_VALUE"""),102394.4)</f>
        <v>102394.4</v>
      </c>
      <c r="C3191" s="434">
        <f>IFERROR(__xludf.DUMMYFUNCTION("""COMPUTED_VALUE"""),45413.99861111111)</f>
        <v>45413.99861</v>
      </c>
      <c r="D3191" s="433">
        <f>IFERROR(__xludf.DUMMYFUNCTION("""COMPUTED_VALUE"""),3011.2922)</f>
        <v>3011.2922</v>
      </c>
    </row>
    <row r="3192">
      <c r="A3192" s="434">
        <f>IFERROR(__xludf.DUMMYFUNCTION("""COMPUTED_VALUE"""),45831.99861111111)</f>
        <v>45831.99861</v>
      </c>
      <c r="B3192" s="433">
        <f>IFERROR(__xludf.DUMMYFUNCTION("""COMPUTED_VALUE"""),101220.0)</f>
        <v>101220</v>
      </c>
      <c r="C3192" s="434">
        <f>IFERROR(__xludf.DUMMYFUNCTION("""COMPUTED_VALUE"""),45414.99861111111)</f>
        <v>45414.99861</v>
      </c>
      <c r="D3192" s="433">
        <f>IFERROR(__xludf.DUMMYFUNCTION("""COMPUTED_VALUE"""),2968.9366)</f>
        <v>2968.9366</v>
      </c>
    </row>
    <row r="3193">
      <c r="A3193" s="434">
        <f>IFERROR(__xludf.DUMMYFUNCTION("""COMPUTED_VALUE"""),45832.99861111111)</f>
        <v>45832.99861</v>
      </c>
      <c r="B3193" s="433">
        <f>IFERROR(__xludf.DUMMYFUNCTION("""COMPUTED_VALUE"""),105019.0)</f>
        <v>105019</v>
      </c>
      <c r="C3193" s="434">
        <f>IFERROR(__xludf.DUMMYFUNCTION("""COMPUTED_VALUE"""),45415.99861111111)</f>
        <v>45415.99861</v>
      </c>
      <c r="D3193" s="433">
        <f>IFERROR(__xludf.DUMMYFUNCTION("""COMPUTED_VALUE"""),2987.1464)</f>
        <v>2987.1464</v>
      </c>
    </row>
    <row r="3194">
      <c r="A3194" s="434">
        <f>IFERROR(__xludf.DUMMYFUNCTION("""COMPUTED_VALUE"""),45833.99861111111)</f>
        <v>45833.99861</v>
      </c>
      <c r="B3194" s="433">
        <f>IFERROR(__xludf.DUMMYFUNCTION("""COMPUTED_VALUE"""),106311.5)</f>
        <v>106311.5</v>
      </c>
      <c r="C3194" s="434">
        <f>IFERROR(__xludf.DUMMYFUNCTION("""COMPUTED_VALUE"""),45416.99861111111)</f>
        <v>45416.99861</v>
      </c>
      <c r="D3194" s="433">
        <f>IFERROR(__xludf.DUMMYFUNCTION("""COMPUTED_VALUE"""),3104.5155)</f>
        <v>3104.5155</v>
      </c>
    </row>
    <row r="3195">
      <c r="A3195" s="434">
        <f>IFERROR(__xludf.DUMMYFUNCTION("""COMPUTED_VALUE"""),45834.99861111111)</f>
        <v>45834.99861</v>
      </c>
      <c r="B3195" s="433">
        <f>IFERROR(__xludf.DUMMYFUNCTION("""COMPUTED_VALUE"""),107899.3)</f>
        <v>107899.3</v>
      </c>
      <c r="C3195" s="434">
        <f>IFERROR(__xludf.DUMMYFUNCTION("""COMPUTED_VALUE"""),45417.99861111111)</f>
        <v>45417.99861</v>
      </c>
      <c r="D3195" s="433">
        <f>IFERROR(__xludf.DUMMYFUNCTION("""COMPUTED_VALUE"""),3117.5411)</f>
        <v>3117.5411</v>
      </c>
    </row>
    <row r="3196">
      <c r="A3196" s="434">
        <f>IFERROR(__xludf.DUMMYFUNCTION("""COMPUTED_VALUE"""),45835.99861111111)</f>
        <v>45835.99861</v>
      </c>
      <c r="B3196" s="433">
        <f>IFERROR(__xludf.DUMMYFUNCTION("""COMPUTED_VALUE"""),107523.7)</f>
        <v>107523.7</v>
      </c>
      <c r="C3196" s="434">
        <f>IFERROR(__xludf.DUMMYFUNCTION("""COMPUTED_VALUE"""),45418.99861111111)</f>
        <v>45418.99861</v>
      </c>
      <c r="D3196" s="433">
        <f>IFERROR(__xludf.DUMMYFUNCTION("""COMPUTED_VALUE"""),3137.3617)</f>
        <v>3137.3617</v>
      </c>
    </row>
    <row r="3197">
      <c r="A3197" s="434">
        <f>IFERROR(__xludf.DUMMYFUNCTION("""COMPUTED_VALUE"""),45836.99861111111)</f>
        <v>45836.99861</v>
      </c>
      <c r="B3197" s="433">
        <f>IFERROR(__xludf.DUMMYFUNCTION("""COMPUTED_VALUE"""),107342.2)</f>
        <v>107342.2</v>
      </c>
      <c r="C3197" s="434">
        <f>IFERROR(__xludf.DUMMYFUNCTION("""COMPUTED_VALUE"""),45419.99861111111)</f>
        <v>45419.99861</v>
      </c>
      <c r="D3197" s="433">
        <f>IFERROR(__xludf.DUMMYFUNCTION("""COMPUTED_VALUE"""),3062.584)</f>
        <v>3062.584</v>
      </c>
    </row>
    <row r="3198">
      <c r="A3198" s="434">
        <f>IFERROR(__xludf.DUMMYFUNCTION("""COMPUTED_VALUE"""),45837.99861111111)</f>
        <v>45837.99861</v>
      </c>
      <c r="B3198" s="433">
        <f>IFERROR(__xludf.DUMMYFUNCTION("""COMPUTED_VALUE"""),107249.3)</f>
        <v>107249.3</v>
      </c>
      <c r="C3198" s="434">
        <f>IFERROR(__xludf.DUMMYFUNCTION("""COMPUTED_VALUE"""),45420.99861111111)</f>
        <v>45420.99861</v>
      </c>
      <c r="D3198" s="433">
        <f>IFERROR(__xludf.DUMMYFUNCTION("""COMPUTED_VALUE"""),3005.8389)</f>
        <v>3005.8389</v>
      </c>
    </row>
    <row r="3199">
      <c r="A3199" s="434">
        <f>IFERROR(__xludf.DUMMYFUNCTION("""COMPUTED_VALUE"""),45838.99861111111)</f>
        <v>45838.99861</v>
      </c>
      <c r="B3199" s="433">
        <f>IFERROR(__xludf.DUMMYFUNCTION("""COMPUTED_VALUE"""),108527.5)</f>
        <v>108527.5</v>
      </c>
      <c r="C3199" s="434">
        <f>IFERROR(__xludf.DUMMYFUNCTION("""COMPUTED_VALUE"""),45421.99861111111)</f>
        <v>45421.99861</v>
      </c>
      <c r="D3199" s="433">
        <f>IFERROR(__xludf.DUMMYFUNCTION("""COMPUTED_VALUE"""),2972.9654)</f>
        <v>2972.9654</v>
      </c>
    </row>
    <row r="3200">
      <c r="A3200" s="434">
        <f>IFERROR(__xludf.DUMMYFUNCTION("""COMPUTED_VALUE"""),45839.99861111111)</f>
        <v>45839.99861</v>
      </c>
      <c r="B3200" s="433">
        <f>IFERROR(__xludf.DUMMYFUNCTION("""COMPUTED_VALUE"""),107217.4)</f>
        <v>107217.4</v>
      </c>
      <c r="C3200" s="434">
        <f>IFERROR(__xludf.DUMMYFUNCTION("""COMPUTED_VALUE"""),45422.99861111111)</f>
        <v>45422.99861</v>
      </c>
      <c r="D3200" s="433">
        <f>IFERROR(__xludf.DUMMYFUNCTION("""COMPUTED_VALUE"""),3035.8416)</f>
        <v>3035.8416</v>
      </c>
    </row>
    <row r="3201">
      <c r="A3201" s="434">
        <f>IFERROR(__xludf.DUMMYFUNCTION("""COMPUTED_VALUE"""),45840.99861111111)</f>
        <v>45840.99861</v>
      </c>
      <c r="B3201" s="433">
        <f>IFERROR(__xludf.DUMMYFUNCTION("""COMPUTED_VALUE"""),106255.1)</f>
        <v>106255.1</v>
      </c>
      <c r="C3201" s="434">
        <f>IFERROR(__xludf.DUMMYFUNCTION("""COMPUTED_VALUE"""),45423.99861111111)</f>
        <v>45423.99861</v>
      </c>
      <c r="D3201" s="433">
        <f>IFERROR(__xludf.DUMMYFUNCTION("""COMPUTED_VALUE"""),2909.6147)</f>
        <v>2909.6147</v>
      </c>
    </row>
    <row r="3202">
      <c r="A3202" s="434">
        <f>IFERROR(__xludf.DUMMYFUNCTION("""COMPUTED_VALUE"""),45841.99861111111)</f>
        <v>45841.99861</v>
      </c>
      <c r="B3202" s="433">
        <f>IFERROR(__xludf.DUMMYFUNCTION("""COMPUTED_VALUE"""),108696.5)</f>
        <v>108696.5</v>
      </c>
      <c r="C3202" s="434">
        <f>IFERROR(__xludf.DUMMYFUNCTION("""COMPUTED_VALUE"""),45424.99861111111)</f>
        <v>45424.99861</v>
      </c>
      <c r="D3202" s="433">
        <f>IFERROR(__xludf.DUMMYFUNCTION("""COMPUTED_VALUE"""),2911.7218)</f>
        <v>2911.7218</v>
      </c>
    </row>
    <row r="3203">
      <c r="A3203" s="434">
        <f>IFERROR(__xludf.DUMMYFUNCTION("""COMPUTED_VALUE"""),45842.99861111111)</f>
        <v>45842.99861</v>
      </c>
      <c r="B3203" s="433">
        <f>IFERROR(__xludf.DUMMYFUNCTION("""COMPUTED_VALUE"""),109273.1)</f>
        <v>109273.1</v>
      </c>
      <c r="C3203" s="434">
        <f>IFERROR(__xludf.DUMMYFUNCTION("""COMPUTED_VALUE"""),45425.99861111111)</f>
        <v>45425.99861</v>
      </c>
      <c r="D3203" s="433">
        <f>IFERROR(__xludf.DUMMYFUNCTION("""COMPUTED_VALUE"""),2928.413)</f>
        <v>2928.413</v>
      </c>
    </row>
    <row r="3204">
      <c r="A3204" s="434">
        <f>IFERROR(__xludf.DUMMYFUNCTION("""COMPUTED_VALUE"""),45843.99861111111)</f>
        <v>45843.99861</v>
      </c>
      <c r="B3204" s="433">
        <f>IFERROR(__xludf.DUMMYFUNCTION("""COMPUTED_VALUE"""),108230.0)</f>
        <v>108230</v>
      </c>
      <c r="C3204" s="434">
        <f>IFERROR(__xludf.DUMMYFUNCTION("""COMPUTED_VALUE"""),45426.99861111111)</f>
        <v>45426.99861</v>
      </c>
      <c r="D3204" s="433">
        <f>IFERROR(__xludf.DUMMYFUNCTION("""COMPUTED_VALUE"""),2950.2969)</f>
        <v>2950.2969</v>
      </c>
    </row>
    <row r="3205">
      <c r="A3205" s="434">
        <f>IFERROR(__xludf.DUMMYFUNCTION("""COMPUTED_VALUE"""),45844.99861111111)</f>
        <v>45844.99861</v>
      </c>
      <c r="B3205" s="433">
        <f>IFERROR(__xludf.DUMMYFUNCTION("""COMPUTED_VALUE"""),108114.0)</f>
        <v>108114</v>
      </c>
      <c r="C3205" s="434">
        <f>IFERROR(__xludf.DUMMYFUNCTION("""COMPUTED_VALUE"""),45427.99861111111)</f>
        <v>45427.99861</v>
      </c>
      <c r="D3205" s="433">
        <f>IFERROR(__xludf.DUMMYFUNCTION("""COMPUTED_VALUE"""),2881.0143)</f>
        <v>2881.0143</v>
      </c>
    </row>
    <row r="3206">
      <c r="A3206" s="434">
        <f>IFERROR(__xludf.DUMMYFUNCTION("""COMPUTED_VALUE"""),45845.99861111111)</f>
        <v>45845.99861</v>
      </c>
      <c r="B3206" s="433">
        <f>IFERROR(__xludf.DUMMYFUNCTION("""COMPUTED_VALUE"""),109395.1)</f>
        <v>109395.1</v>
      </c>
      <c r="C3206" s="434">
        <f>IFERROR(__xludf.DUMMYFUNCTION("""COMPUTED_VALUE"""),45428.99861111111)</f>
        <v>45428.99861</v>
      </c>
      <c r="D3206" s="433">
        <f>IFERROR(__xludf.DUMMYFUNCTION("""COMPUTED_VALUE"""),3035.4736)</f>
        <v>3035.4736</v>
      </c>
    </row>
    <row r="3207">
      <c r="A3207" s="434">
        <f>IFERROR(__xludf.DUMMYFUNCTION("""COMPUTED_VALUE"""),45846.99861111111)</f>
        <v>45846.99861</v>
      </c>
      <c r="B3207" s="433">
        <f>IFERROR(__xludf.DUMMYFUNCTION("""COMPUTED_VALUE"""),107904.3)</f>
        <v>107904.3</v>
      </c>
      <c r="C3207" s="434">
        <f>IFERROR(__xludf.DUMMYFUNCTION("""COMPUTED_VALUE"""),45429.99861111111)</f>
        <v>45429.99861</v>
      </c>
      <c r="D3207" s="433">
        <f>IFERROR(__xludf.DUMMYFUNCTION("""COMPUTED_VALUE"""),2944.9908)</f>
        <v>2944.9908</v>
      </c>
    </row>
    <row r="3208">
      <c r="A3208" s="434">
        <f>IFERROR(__xludf.DUMMYFUNCTION("""COMPUTED_VALUE"""),45847.99861111111)</f>
        <v>45847.99861</v>
      </c>
      <c r="B3208" s="433">
        <f>IFERROR(__xludf.DUMMYFUNCTION("""COMPUTED_VALUE"""),108395.8)</f>
        <v>108395.8</v>
      </c>
      <c r="C3208" s="434">
        <f>IFERROR(__xludf.DUMMYFUNCTION("""COMPUTED_VALUE"""),45430.99861111111)</f>
        <v>45430.99861</v>
      </c>
      <c r="D3208" s="433">
        <f>IFERROR(__xludf.DUMMYFUNCTION("""COMPUTED_VALUE"""),3093.712)</f>
        <v>3093.712</v>
      </c>
    </row>
    <row r="3209">
      <c r="A3209" s="434">
        <f>IFERROR(__xludf.DUMMYFUNCTION("""COMPUTED_VALUE"""),45848.99861111111)</f>
        <v>45848.99861</v>
      </c>
      <c r="B3209" s="433">
        <f>IFERROR(__xludf.DUMMYFUNCTION("""COMPUTED_VALUE"""),111090.1)</f>
        <v>111090.1</v>
      </c>
      <c r="C3209" s="434">
        <f>IFERROR(__xludf.DUMMYFUNCTION("""COMPUTED_VALUE"""),45431.99861111111)</f>
        <v>45431.99861</v>
      </c>
      <c r="D3209" s="433">
        <f>IFERROR(__xludf.DUMMYFUNCTION("""COMPUTED_VALUE"""),3123.2781)</f>
        <v>3123.2781</v>
      </c>
    </row>
    <row r="3210">
      <c r="A3210" s="434">
        <f>IFERROR(__xludf.DUMMYFUNCTION("""COMPUTED_VALUE"""),45849.99861111111)</f>
        <v>45849.99861</v>
      </c>
      <c r="B3210" s="433">
        <f>IFERROR(__xludf.DUMMYFUNCTION("""COMPUTED_VALUE"""),116768.2)</f>
        <v>116768.2</v>
      </c>
      <c r="C3210" s="434">
        <f>IFERROR(__xludf.DUMMYFUNCTION("""COMPUTED_VALUE"""),45432.99861111111)</f>
        <v>45432.99861</v>
      </c>
      <c r="D3210" s="433">
        <f>IFERROR(__xludf.DUMMYFUNCTION("""COMPUTED_VALUE"""),3071.0783)</f>
        <v>3071.0783</v>
      </c>
    </row>
    <row r="3211">
      <c r="A3211" s="434">
        <f>IFERROR(__xludf.DUMMYFUNCTION("""COMPUTED_VALUE"""),45850.99861111111)</f>
        <v>45850.99861</v>
      </c>
      <c r="B3211" s="433">
        <f>IFERROR(__xludf.DUMMYFUNCTION("""COMPUTED_VALUE"""),117568.8)</f>
        <v>117568.8</v>
      </c>
      <c r="C3211" s="434">
        <f>IFERROR(__xludf.DUMMYFUNCTION("""COMPUTED_VALUE"""),45433.99861111111)</f>
        <v>45433.99861</v>
      </c>
      <c r="D3211" s="433">
        <f>IFERROR(__xludf.DUMMYFUNCTION("""COMPUTED_VALUE"""),3661.6125)</f>
        <v>3661.6125</v>
      </c>
    </row>
    <row r="3212">
      <c r="A3212" s="434">
        <f>IFERROR(__xludf.DUMMYFUNCTION("""COMPUTED_VALUE"""),45851.99861111111)</f>
        <v>45851.99861</v>
      </c>
      <c r="B3212" s="433">
        <f>IFERROR(__xludf.DUMMYFUNCTION("""COMPUTED_VALUE"""),117603.5)</f>
        <v>117603.5</v>
      </c>
      <c r="C3212" s="434">
        <f>IFERROR(__xludf.DUMMYFUNCTION("""COMPUTED_VALUE"""),45434.99861111111)</f>
        <v>45434.99861</v>
      </c>
      <c r="D3212" s="433">
        <f>IFERROR(__xludf.DUMMYFUNCTION("""COMPUTED_VALUE"""),3789.3347)</f>
        <v>3789.3347</v>
      </c>
    </row>
    <row r="3213">
      <c r="A3213" s="434">
        <f>IFERROR(__xludf.DUMMYFUNCTION("""COMPUTED_VALUE"""),45852.99861111111)</f>
        <v>45852.99861</v>
      </c>
      <c r="B3213" s="433">
        <f>IFERROR(__xludf.DUMMYFUNCTION("""COMPUTED_VALUE"""),120551.9)</f>
        <v>120551.9</v>
      </c>
      <c r="C3213" s="434">
        <f>IFERROR(__xludf.DUMMYFUNCTION("""COMPUTED_VALUE"""),45435.99861111111)</f>
        <v>45435.99861</v>
      </c>
      <c r="D3213" s="433">
        <f>IFERROR(__xludf.DUMMYFUNCTION("""COMPUTED_VALUE"""),3736.8933)</f>
        <v>3736.8933</v>
      </c>
    </row>
    <row r="3214">
      <c r="A3214" s="434">
        <f>IFERROR(__xludf.DUMMYFUNCTION("""COMPUTED_VALUE"""),45853.99861111111)</f>
        <v>45853.99861</v>
      </c>
      <c r="B3214" s="433">
        <f>IFERROR(__xludf.DUMMYFUNCTION("""COMPUTED_VALUE"""),117226.1)</f>
        <v>117226.1</v>
      </c>
      <c r="C3214" s="434">
        <f>IFERROR(__xludf.DUMMYFUNCTION("""COMPUTED_VALUE"""),45436.99861111111)</f>
        <v>45436.99861</v>
      </c>
      <c r="D3214" s="433">
        <f>IFERROR(__xludf.DUMMYFUNCTION("""COMPUTED_VALUE"""),3782.6663)</f>
        <v>3782.6663</v>
      </c>
    </row>
    <row r="3215">
      <c r="A3215" s="434">
        <f>IFERROR(__xludf.DUMMYFUNCTION("""COMPUTED_VALUE"""),45854.99861111111)</f>
        <v>45854.99861</v>
      </c>
      <c r="B3215" s="433">
        <f>IFERROR(__xludf.DUMMYFUNCTION("""COMPUTED_VALUE"""),117489.6)</f>
        <v>117489.6</v>
      </c>
      <c r="C3215" s="434">
        <f>IFERROR(__xludf.DUMMYFUNCTION("""COMPUTED_VALUE"""),45437.99861111111)</f>
        <v>45437.99861</v>
      </c>
      <c r="D3215" s="433">
        <f>IFERROR(__xludf.DUMMYFUNCTION("""COMPUTED_VALUE"""),3726.9975)</f>
        <v>3726.9975</v>
      </c>
    </row>
    <row r="3216">
      <c r="A3216" s="434">
        <f>IFERROR(__xludf.DUMMYFUNCTION("""COMPUTED_VALUE"""),45855.99861111111)</f>
        <v>45855.99861</v>
      </c>
      <c r="B3216" s="433">
        <f>IFERROR(__xludf.DUMMYFUNCTION("""COMPUTED_VALUE"""),118070.4)</f>
        <v>118070.4</v>
      </c>
      <c r="C3216" s="434">
        <f>IFERROR(__xludf.DUMMYFUNCTION("""COMPUTED_VALUE"""),45438.99861111111)</f>
        <v>45438.99861</v>
      </c>
      <c r="D3216" s="433">
        <f>IFERROR(__xludf.DUMMYFUNCTION("""COMPUTED_VALUE"""),3749.2711)</f>
        <v>3749.2711</v>
      </c>
    </row>
    <row r="3217">
      <c r="A3217" s="434">
        <f>IFERROR(__xludf.DUMMYFUNCTION("""COMPUTED_VALUE"""),45856.99861111111)</f>
        <v>45856.99861</v>
      </c>
      <c r="B3217" s="433">
        <f>IFERROR(__xludf.DUMMYFUNCTION("""COMPUTED_VALUE"""),120280.7)</f>
        <v>120280.7</v>
      </c>
      <c r="C3217" s="434">
        <f>IFERROR(__xludf.DUMMYFUNCTION("""COMPUTED_VALUE"""),45439.99861111111)</f>
        <v>45439.99861</v>
      </c>
      <c r="D3217" s="433">
        <f>IFERROR(__xludf.DUMMYFUNCTION("""COMPUTED_VALUE"""),3824.4652)</f>
        <v>3824.4652</v>
      </c>
    </row>
    <row r="3218">
      <c r="A3218" s="434">
        <f>IFERROR(__xludf.DUMMYFUNCTION("""COMPUTED_VALUE"""),45857.99861111111)</f>
        <v>45857.99861</v>
      </c>
      <c r="B3218" s="433">
        <f>IFERROR(__xludf.DUMMYFUNCTION("""COMPUTED_VALUE"""),118353.3)</f>
        <v>118353.3</v>
      </c>
      <c r="C3218" s="434">
        <f>IFERROR(__xludf.DUMMYFUNCTION("""COMPUTED_VALUE"""),45440.99861111111)</f>
        <v>45440.99861</v>
      </c>
      <c r="D3218" s="433">
        <f>IFERROR(__xludf.DUMMYFUNCTION("""COMPUTED_VALUE"""),3891.4692)</f>
        <v>3891.4692</v>
      </c>
    </row>
    <row r="3219">
      <c r="A3219" s="434">
        <f>IFERROR(__xludf.DUMMYFUNCTION("""COMPUTED_VALUE"""),45858.99861111111)</f>
        <v>45858.99861</v>
      </c>
      <c r="B3219" s="433">
        <f>IFERROR(__xludf.DUMMYFUNCTION("""COMPUTED_VALUE"""),117985.7)</f>
        <v>117985.7</v>
      </c>
      <c r="C3219" s="434">
        <f>IFERROR(__xludf.DUMMYFUNCTION("""COMPUTED_VALUE"""),45441.99861111111)</f>
        <v>45441.99861</v>
      </c>
      <c r="D3219" s="433">
        <f>IFERROR(__xludf.DUMMYFUNCTION("""COMPUTED_VALUE"""),3840.3211)</f>
        <v>3840.3211</v>
      </c>
    </row>
    <row r="3220">
      <c r="A3220" s="434">
        <f>IFERROR(__xludf.DUMMYFUNCTION("""COMPUTED_VALUE"""),45859.99861111111)</f>
        <v>45859.99861</v>
      </c>
      <c r="B3220" s="433">
        <f>IFERROR(__xludf.DUMMYFUNCTION("""COMPUTED_VALUE"""),118429.2)</f>
        <v>118429.2</v>
      </c>
      <c r="C3220" s="434">
        <f>IFERROR(__xludf.DUMMYFUNCTION("""COMPUTED_VALUE"""),45442.99861111111)</f>
        <v>45442.99861</v>
      </c>
      <c r="D3220" s="433">
        <f>IFERROR(__xludf.DUMMYFUNCTION("""COMPUTED_VALUE"""),3762.9554)</f>
        <v>3762.9554</v>
      </c>
    </row>
    <row r="3221">
      <c r="A3221" s="434">
        <f>IFERROR(__xludf.DUMMYFUNCTION("""COMPUTED_VALUE"""),45860.99861111111)</f>
        <v>45860.99861</v>
      </c>
      <c r="B3221" s="433">
        <f>IFERROR(__xludf.DUMMYFUNCTION("""COMPUTED_VALUE"""),117213.8)</f>
        <v>117213.8</v>
      </c>
      <c r="C3221" s="434">
        <f>IFERROR(__xludf.DUMMYFUNCTION("""COMPUTED_VALUE"""),45443.99861111111)</f>
        <v>45443.99861</v>
      </c>
      <c r="D3221" s="433">
        <f>IFERROR(__xludf.DUMMYFUNCTION("""COMPUTED_VALUE"""),3746.7648)</f>
        <v>3746.7648</v>
      </c>
    </row>
    <row r="3222">
      <c r="A3222" s="434">
        <f>IFERROR(__xludf.DUMMYFUNCTION("""COMPUTED_VALUE"""),45861.99861111111)</f>
        <v>45861.99861</v>
      </c>
      <c r="B3222" s="433">
        <f>IFERROR(__xludf.DUMMYFUNCTION("""COMPUTED_VALUE"""),118637.6)</f>
        <v>118637.6</v>
      </c>
      <c r="C3222" s="434">
        <f>IFERROR(__xludf.DUMMYFUNCTION("""COMPUTED_VALUE"""),45444.99861111111)</f>
        <v>45444.99861</v>
      </c>
      <c r="D3222" s="433">
        <f>IFERROR(__xludf.DUMMYFUNCTION("""COMPUTED_VALUE"""),3759.1812)</f>
        <v>3759.1812</v>
      </c>
    </row>
    <row r="3223">
      <c r="A3223" s="434">
        <f>IFERROR(__xludf.DUMMYFUNCTION("""COMPUTED_VALUE"""),45862.99861111111)</f>
        <v>45862.99861</v>
      </c>
      <c r="B3223" s="433">
        <f>IFERROR(__xludf.DUMMYFUNCTION("""COMPUTED_VALUE"""),118580.6)</f>
        <v>118580.6</v>
      </c>
      <c r="C3223" s="434">
        <f>IFERROR(__xludf.DUMMYFUNCTION("""COMPUTED_VALUE"""),45445.99861111111)</f>
        <v>45445.99861</v>
      </c>
      <c r="D3223" s="433">
        <f>IFERROR(__xludf.DUMMYFUNCTION("""COMPUTED_VALUE"""),3813.3147)</f>
        <v>3813.3147</v>
      </c>
    </row>
    <row r="3224">
      <c r="A3224" s="434">
        <f>IFERROR(__xludf.DUMMYFUNCTION("""COMPUTED_VALUE"""),45863.99861111111)</f>
        <v>45863.99861</v>
      </c>
      <c r="B3224" s="433">
        <f>IFERROR(__xludf.DUMMYFUNCTION("""COMPUTED_VALUE"""),115420.2)</f>
        <v>115420.2</v>
      </c>
      <c r="C3224" s="434">
        <f>IFERROR(__xludf.DUMMYFUNCTION("""COMPUTED_VALUE"""),45446.99861111111)</f>
        <v>45446.99861</v>
      </c>
      <c r="D3224" s="433">
        <f>IFERROR(__xludf.DUMMYFUNCTION("""COMPUTED_VALUE"""),3779.2961)</f>
        <v>3779.2961</v>
      </c>
    </row>
    <row r="3225">
      <c r="A3225" s="434">
        <f>IFERROR(__xludf.DUMMYFUNCTION("""COMPUTED_VALUE"""),45864.99861111111)</f>
        <v>45864.99861</v>
      </c>
      <c r="B3225" s="433">
        <f>IFERROR(__xludf.DUMMYFUNCTION("""COMPUTED_VALUE"""),117570.6)</f>
        <v>117570.6</v>
      </c>
      <c r="C3225" s="434">
        <f>IFERROR(__xludf.DUMMYFUNCTION("""COMPUTED_VALUE"""),45447.99861111111)</f>
        <v>45447.99861</v>
      </c>
      <c r="D3225" s="433">
        <f>IFERROR(__xludf.DUMMYFUNCTION("""COMPUTED_VALUE"""),3766.2462)</f>
        <v>3766.2462</v>
      </c>
    </row>
    <row r="3226">
      <c r="A3226" s="434">
        <f>IFERROR(__xludf.DUMMYFUNCTION("""COMPUTED_VALUE"""),45865.99861111111)</f>
        <v>45865.99861</v>
      </c>
      <c r="B3226" s="433">
        <f>IFERROR(__xludf.DUMMYFUNCTION("""COMPUTED_VALUE"""),118208.3)</f>
        <v>118208.3</v>
      </c>
      <c r="C3226" s="434">
        <f>IFERROR(__xludf.DUMMYFUNCTION("""COMPUTED_VALUE"""),45448.99861111111)</f>
        <v>45448.99861</v>
      </c>
      <c r="D3226" s="433">
        <f>IFERROR(__xludf.DUMMYFUNCTION("""COMPUTED_VALUE"""),3811.5379)</f>
        <v>3811.5379</v>
      </c>
    </row>
    <row r="3227">
      <c r="A3227" s="434">
        <f>IFERROR(__xludf.DUMMYFUNCTION("""COMPUTED_VALUE"""),45866.99861111111)</f>
        <v>45866.99861</v>
      </c>
      <c r="B3227" s="433">
        <f>IFERROR(__xludf.DUMMYFUNCTION("""COMPUTED_VALUE"""),119283.7)</f>
        <v>119283.7</v>
      </c>
      <c r="C3227" s="434">
        <f>IFERROR(__xludf.DUMMYFUNCTION("""COMPUTED_VALUE"""),45449.99861111111)</f>
        <v>45449.99861</v>
      </c>
      <c r="D3227" s="433">
        <f>IFERROR(__xludf.DUMMYFUNCTION("""COMPUTED_VALUE"""),3865.7226)</f>
        <v>3865.7226</v>
      </c>
    </row>
    <row r="3228">
      <c r="A3228" s="434">
        <f>IFERROR(__xludf.DUMMYFUNCTION("""COMPUTED_VALUE"""),45867.99861111111)</f>
        <v>45867.99861</v>
      </c>
      <c r="B3228" s="433">
        <f>IFERROR(__xludf.DUMMYFUNCTION("""COMPUTED_VALUE"""),118757.1)</f>
        <v>118757.1</v>
      </c>
      <c r="C3228" s="434">
        <f>IFERROR(__xludf.DUMMYFUNCTION("""COMPUTED_VALUE"""),45450.99861111111)</f>
        <v>45450.99861</v>
      </c>
      <c r="D3228" s="433">
        <f>IFERROR(__xludf.DUMMYFUNCTION("""COMPUTED_VALUE"""),3812.0931)</f>
        <v>3812.0931</v>
      </c>
    </row>
    <row r="3229">
      <c r="A3229" s="434">
        <f>IFERROR(__xludf.DUMMYFUNCTION("""COMPUTED_VALUE"""),45868.99861111111)</f>
        <v>45868.99861</v>
      </c>
      <c r="B3229" s="433">
        <f>IFERROR(__xludf.DUMMYFUNCTION("""COMPUTED_VALUE"""),118176.2)</f>
        <v>118176.2</v>
      </c>
      <c r="C3229" s="434">
        <f>IFERROR(__xludf.DUMMYFUNCTION("""COMPUTED_VALUE"""),45451.99861111111)</f>
        <v>45451.99861</v>
      </c>
      <c r="D3229" s="433">
        <f>IFERROR(__xludf.DUMMYFUNCTION("""COMPUTED_VALUE"""),3677.4003)</f>
        <v>3677.4003</v>
      </c>
    </row>
    <row r="3230">
      <c r="A3230" s="434">
        <f>IFERROR(__xludf.DUMMYFUNCTION("""COMPUTED_VALUE"""),45869.99861111111)</f>
        <v>45869.99861</v>
      </c>
      <c r="B3230" s="433">
        <f>IFERROR(__xludf.DUMMYFUNCTION("""COMPUTED_VALUE"""),118454.4)</f>
        <v>118454.4</v>
      </c>
      <c r="C3230" s="434">
        <f>IFERROR(__xludf.DUMMYFUNCTION("""COMPUTED_VALUE"""),45452.99861111111)</f>
        <v>45452.99861</v>
      </c>
      <c r="D3230" s="433">
        <f>IFERROR(__xludf.DUMMYFUNCTION("""COMPUTED_VALUE"""),3680.936)</f>
        <v>3680.936</v>
      </c>
    </row>
    <row r="3231">
      <c r="A3231" s="434">
        <f>IFERROR(__xludf.DUMMYFUNCTION("""COMPUTED_VALUE"""),45870.99861111111)</f>
        <v>45870.99861</v>
      </c>
      <c r="B3231" s="433">
        <f>IFERROR(__xludf.DUMMYFUNCTION("""COMPUTED_VALUE"""),115672.4)</f>
        <v>115672.4</v>
      </c>
      <c r="C3231" s="434">
        <f>IFERROR(__xludf.DUMMYFUNCTION("""COMPUTED_VALUE"""),45453.99861111111)</f>
        <v>45453.99861</v>
      </c>
      <c r="D3231" s="433">
        <f>IFERROR(__xludf.DUMMYFUNCTION("""COMPUTED_VALUE"""),3705.8773)</f>
        <v>3705.8773</v>
      </c>
    </row>
    <row r="3232">
      <c r="A3232" s="434">
        <f>IFERROR(__xludf.DUMMYFUNCTION("""COMPUTED_VALUE"""),45871.99861111111)</f>
        <v>45871.99861</v>
      </c>
      <c r="B3232" s="433">
        <f>IFERROR(__xludf.DUMMYFUNCTION("""COMPUTED_VALUE"""),113941.1)</f>
        <v>113941.1</v>
      </c>
      <c r="C3232" s="434">
        <f>IFERROR(__xludf.DUMMYFUNCTION("""COMPUTED_VALUE"""),45454.99861111111)</f>
        <v>45454.99861</v>
      </c>
      <c r="D3232" s="433">
        <f>IFERROR(__xludf.DUMMYFUNCTION("""COMPUTED_VALUE"""),3666.3588)</f>
        <v>3666.3588</v>
      </c>
    </row>
    <row r="3233">
      <c r="A3233" s="434">
        <f>IFERROR(__xludf.DUMMYFUNCTION("""COMPUTED_VALUE"""),45872.99861111111)</f>
        <v>45872.99861</v>
      </c>
      <c r="B3233" s="433">
        <f>IFERROR(__xludf.DUMMYFUNCTION("""COMPUTED_VALUE"""),113730.6)</f>
        <v>113730.6</v>
      </c>
      <c r="C3233" s="434">
        <f>IFERROR(__xludf.DUMMYFUNCTION("""COMPUTED_VALUE"""),45455.99861111111)</f>
        <v>45455.99861</v>
      </c>
      <c r="D3233" s="433">
        <f>IFERROR(__xludf.DUMMYFUNCTION("""COMPUTED_VALUE"""),3497.8969)</f>
        <v>3497.8969</v>
      </c>
    </row>
    <row r="3234">
      <c r="A3234" s="434">
        <f>IFERROR(__xludf.DUMMYFUNCTION("""COMPUTED_VALUE"""),45873.99861111111)</f>
        <v>45873.99861</v>
      </c>
      <c r="B3234" s="433">
        <f>IFERROR(__xludf.DUMMYFUNCTION("""COMPUTED_VALUE"""),114696.1)</f>
        <v>114696.1</v>
      </c>
      <c r="C3234" s="434">
        <f>IFERROR(__xludf.DUMMYFUNCTION("""COMPUTED_VALUE"""),45456.99861111111)</f>
        <v>45456.99861</v>
      </c>
      <c r="D3234" s="433">
        <f>IFERROR(__xludf.DUMMYFUNCTION("""COMPUTED_VALUE"""),3559.7253)</f>
        <v>3559.7253</v>
      </c>
    </row>
    <row r="3235">
      <c r="A3235" s="434">
        <f>IFERROR(__xludf.DUMMYFUNCTION("""COMPUTED_VALUE"""),45874.99861111111)</f>
        <v>45874.99861</v>
      </c>
      <c r="B3235" s="433">
        <f>IFERROR(__xludf.DUMMYFUNCTION("""COMPUTED_VALUE"""),114348.2)</f>
        <v>114348.2</v>
      </c>
      <c r="C3235" s="434">
        <f>IFERROR(__xludf.DUMMYFUNCTION("""COMPUTED_VALUE"""),45457.99861111111)</f>
        <v>45457.99861</v>
      </c>
      <c r="D3235" s="433">
        <f>IFERROR(__xludf.DUMMYFUNCTION("""COMPUTED_VALUE"""),3467.9701)</f>
        <v>3467.9701</v>
      </c>
    </row>
    <row r="3236">
      <c r="A3236" s="434">
        <f>IFERROR(__xludf.DUMMYFUNCTION("""COMPUTED_VALUE"""),45875.99861111111)</f>
        <v>45875.99861</v>
      </c>
      <c r="B3236" s="433">
        <f>IFERROR(__xludf.DUMMYFUNCTION("""COMPUTED_VALUE"""),113574.9)</f>
        <v>113574.9</v>
      </c>
      <c r="C3236" s="434">
        <f>IFERROR(__xludf.DUMMYFUNCTION("""COMPUTED_VALUE"""),45458.99861111111)</f>
        <v>45458.99861</v>
      </c>
      <c r="D3236" s="433">
        <f>IFERROR(__xludf.DUMMYFUNCTION("""COMPUTED_VALUE"""),3479.7856)</f>
        <v>3479.7856</v>
      </c>
    </row>
    <row r="3237">
      <c r="A3237" s="434">
        <f>IFERROR(__xludf.DUMMYFUNCTION("""COMPUTED_VALUE"""),45876.99861111111)</f>
        <v>45876.99861</v>
      </c>
      <c r="B3237" s="433">
        <f>IFERROR(__xludf.DUMMYFUNCTION("""COMPUTED_VALUE"""),114485.2)</f>
        <v>114485.2</v>
      </c>
      <c r="C3237" s="434">
        <f>IFERROR(__xludf.DUMMYFUNCTION("""COMPUTED_VALUE"""),45459.99861111111)</f>
        <v>45459.99861</v>
      </c>
      <c r="D3237" s="433">
        <f>IFERROR(__xludf.DUMMYFUNCTION("""COMPUTED_VALUE"""),3566.7619)</f>
        <v>3566.7619</v>
      </c>
    </row>
    <row r="3238">
      <c r="A3238" s="434">
        <f>IFERROR(__xludf.DUMMYFUNCTION("""COMPUTED_VALUE"""),45877.99861111111)</f>
        <v>45877.99861</v>
      </c>
      <c r="B3238" s="433">
        <f>IFERROR(__xludf.DUMMYFUNCTION("""COMPUTED_VALUE"""),116770.3)</f>
        <v>116770.3</v>
      </c>
      <c r="C3238" s="434">
        <f>IFERROR(__xludf.DUMMYFUNCTION("""COMPUTED_VALUE"""),45460.99861111111)</f>
        <v>45460.99861</v>
      </c>
      <c r="D3238" s="433">
        <f>IFERROR(__xludf.DUMMYFUNCTION("""COMPUTED_VALUE"""),3622.3836)</f>
        <v>3622.3836</v>
      </c>
    </row>
    <row r="3239">
      <c r="A3239" s="434">
        <f>IFERROR(__xludf.DUMMYFUNCTION("""COMPUTED_VALUE"""),45878.99861111111)</f>
        <v>45878.99861</v>
      </c>
      <c r="B3239" s="433">
        <f>IFERROR(__xludf.DUMMYFUNCTION("""COMPUTED_VALUE"""),116364.7)</f>
        <v>116364.7</v>
      </c>
      <c r="C3239" s="434">
        <f>IFERROR(__xludf.DUMMYFUNCTION("""COMPUTED_VALUE"""),45461.99861111111)</f>
        <v>45461.99861</v>
      </c>
      <c r="D3239" s="433">
        <f>IFERROR(__xludf.DUMMYFUNCTION("""COMPUTED_VALUE"""),3510.5652)</f>
        <v>3510.5652</v>
      </c>
    </row>
    <row r="3240">
      <c r="A3240" s="434">
        <f>IFERROR(__xludf.DUMMYFUNCTION("""COMPUTED_VALUE"""),45879.99861111111)</f>
        <v>45879.99861</v>
      </c>
      <c r="B3240" s="433">
        <f>IFERROR(__xludf.DUMMYFUNCTION("""COMPUTED_VALUE"""),118231.9)</f>
        <v>118231.9</v>
      </c>
      <c r="C3240" s="434">
        <f>IFERROR(__xludf.DUMMYFUNCTION("""COMPUTED_VALUE"""),45462.99861111111)</f>
        <v>45462.99861</v>
      </c>
      <c r="D3240" s="433">
        <f>IFERROR(__xludf.DUMMYFUNCTION("""COMPUTED_VALUE"""),3482.3507)</f>
        <v>3482.3507</v>
      </c>
    </row>
    <row r="3241">
      <c r="A3241" s="434">
        <f>IFERROR(__xludf.DUMMYFUNCTION("""COMPUTED_VALUE"""),45880.99861111111)</f>
        <v>45880.99861</v>
      </c>
      <c r="B3241" s="433">
        <f>IFERROR(__xludf.DUMMYFUNCTION("""COMPUTED_VALUE"""),121660.9)</f>
        <v>121660.9</v>
      </c>
      <c r="C3241" s="434">
        <f>IFERROR(__xludf.DUMMYFUNCTION("""COMPUTED_VALUE"""),45463.99861111111)</f>
        <v>45463.99861</v>
      </c>
      <c r="D3241" s="433">
        <f>IFERROR(__xludf.DUMMYFUNCTION("""COMPUTED_VALUE"""),3559.3473)</f>
        <v>3559.3473</v>
      </c>
    </row>
    <row r="3242">
      <c r="A3242" s="434">
        <f>IFERROR(__xludf.DUMMYFUNCTION("""COMPUTED_VALUE"""),45881.99861111111)</f>
        <v>45881.99861</v>
      </c>
      <c r="B3242" s="433">
        <f>IFERROR(__xludf.DUMMYFUNCTION("""COMPUTED_VALUE"""),118849.0)</f>
        <v>118849</v>
      </c>
      <c r="C3242" s="434">
        <f>IFERROR(__xludf.DUMMYFUNCTION("""COMPUTED_VALUE"""),45464.99861111111)</f>
        <v>45464.99861</v>
      </c>
      <c r="D3242" s="433">
        <f>IFERROR(__xludf.DUMMYFUNCTION("""COMPUTED_VALUE"""),3511.2684)</f>
        <v>3511.2684</v>
      </c>
    </row>
    <row r="3243">
      <c r="A3243" s="434">
        <f>IFERROR(__xludf.DUMMYFUNCTION("""COMPUTED_VALUE"""),45882.99861111111)</f>
        <v>45882.99861</v>
      </c>
      <c r="B3243" s="433">
        <f>IFERROR(__xludf.DUMMYFUNCTION("""COMPUTED_VALUE"""),119442.5)</f>
        <v>119442.5</v>
      </c>
      <c r="C3243" s="434">
        <f>IFERROR(__xludf.DUMMYFUNCTION("""COMPUTED_VALUE"""),45465.99861111111)</f>
        <v>45465.99861</v>
      </c>
      <c r="D3243" s="433">
        <f>IFERROR(__xludf.DUMMYFUNCTION("""COMPUTED_VALUE"""),3516.5512)</f>
        <v>3516.5512</v>
      </c>
    </row>
    <row r="3244">
      <c r="A3244" s="434">
        <f>IFERROR(__xludf.DUMMYFUNCTION("""COMPUTED_VALUE"""),45883.99861111111)</f>
        <v>45883.99861</v>
      </c>
      <c r="B3244" s="433">
        <f>IFERROR(__xludf.DUMMYFUNCTION("""COMPUTED_VALUE"""),123332.0)</f>
        <v>123332</v>
      </c>
      <c r="C3244" s="434">
        <f>IFERROR(__xludf.DUMMYFUNCTION("""COMPUTED_VALUE"""),45466.99861111111)</f>
        <v>45466.99861</v>
      </c>
      <c r="D3244" s="433">
        <f>IFERROR(__xludf.DUMMYFUNCTION("""COMPUTED_VALUE"""),3494.9539)</f>
        <v>3494.9539</v>
      </c>
    </row>
    <row r="3245">
      <c r="A3245" s="434">
        <f>IFERROR(__xludf.DUMMYFUNCTION("""COMPUTED_VALUE"""),45884.99861111111)</f>
        <v>45884.99861</v>
      </c>
      <c r="B3245" s="433">
        <f>IFERROR(__xludf.DUMMYFUNCTION("""COMPUTED_VALUE"""),119074.5)</f>
        <v>119074.5</v>
      </c>
      <c r="C3245" s="434">
        <f>IFERROR(__xludf.DUMMYFUNCTION("""COMPUTED_VALUE"""),45467.99861111111)</f>
        <v>45467.99861</v>
      </c>
      <c r="D3245" s="433">
        <f>IFERROR(__xludf.DUMMYFUNCTION("""COMPUTED_VALUE"""),3418.7831)</f>
        <v>3418.7831</v>
      </c>
    </row>
    <row r="3246">
      <c r="A3246" s="434">
        <f>IFERROR(__xludf.DUMMYFUNCTION("""COMPUTED_VALUE"""),45885.99861111111)</f>
        <v>45885.99861</v>
      </c>
      <c r="B3246" s="433">
        <f>IFERROR(__xludf.DUMMYFUNCTION("""COMPUTED_VALUE"""),117555.5)</f>
        <v>117555.5</v>
      </c>
      <c r="C3246" s="434">
        <f>IFERROR(__xludf.DUMMYFUNCTION("""COMPUTED_VALUE"""),45468.99861111111)</f>
        <v>45468.99861</v>
      </c>
      <c r="D3246" s="433">
        <f>IFERROR(__xludf.DUMMYFUNCTION("""COMPUTED_VALUE"""),3350.5556)</f>
        <v>3350.5556</v>
      </c>
    </row>
    <row r="3247">
      <c r="A3247" s="434">
        <f>IFERROR(__xludf.DUMMYFUNCTION("""COMPUTED_VALUE"""),45886.99861111111)</f>
        <v>45886.99861</v>
      </c>
      <c r="B3247" s="433">
        <f>IFERROR(__xludf.DUMMYFUNCTION("""COMPUTED_VALUE"""),117792.9)</f>
        <v>117792.9</v>
      </c>
      <c r="C3247" s="434">
        <f>IFERROR(__xludf.DUMMYFUNCTION("""COMPUTED_VALUE"""),45469.99861111111)</f>
        <v>45469.99861</v>
      </c>
      <c r="D3247" s="433">
        <f>IFERROR(__xludf.DUMMYFUNCTION("""COMPUTED_VALUE"""),3394.3734)</f>
        <v>3394.3734</v>
      </c>
    </row>
    <row r="3248">
      <c r="A3248" s="434">
        <f>IFERROR(__xludf.DUMMYFUNCTION("""COMPUTED_VALUE"""),45887.99861111111)</f>
        <v>45887.99861</v>
      </c>
      <c r="B3248" s="433">
        <f>IFERROR(__xludf.DUMMYFUNCTION("""COMPUTED_VALUE"""),115416.2)</f>
        <v>115416.2</v>
      </c>
      <c r="C3248" s="434">
        <f>IFERROR(__xludf.DUMMYFUNCTION("""COMPUTED_VALUE"""),45470.99861111111)</f>
        <v>45470.99861</v>
      </c>
      <c r="D3248" s="433">
        <f>IFERROR(__xludf.DUMMYFUNCTION("""COMPUTED_VALUE"""),3368.8861)</f>
        <v>3368.8861</v>
      </c>
    </row>
    <row r="3249">
      <c r="A3249" s="434">
        <f>IFERROR(__xludf.DUMMYFUNCTION("""COMPUTED_VALUE"""),45888.99861111111)</f>
        <v>45888.99861</v>
      </c>
      <c r="B3249" s="433">
        <f>IFERROR(__xludf.DUMMYFUNCTION("""COMPUTED_VALUE"""),114931.1)</f>
        <v>114931.1</v>
      </c>
      <c r="C3249" s="434">
        <f>IFERROR(__xludf.DUMMYFUNCTION("""COMPUTED_VALUE"""),45471.99861111111)</f>
        <v>45471.99861</v>
      </c>
      <c r="D3249" s="433">
        <f>IFERROR(__xludf.DUMMYFUNCTION("""COMPUTED_VALUE"""),3445.4988)</f>
        <v>3445.4988</v>
      </c>
    </row>
    <row r="3250">
      <c r="A3250" s="434">
        <f>IFERROR(__xludf.DUMMYFUNCTION("""COMPUTED_VALUE"""),45889.99861111111)</f>
        <v>45889.99861</v>
      </c>
      <c r="B3250" s="433">
        <f>IFERROR(__xludf.DUMMYFUNCTION("""COMPUTED_VALUE"""),113569.7)</f>
        <v>113569.7</v>
      </c>
      <c r="C3250" s="434">
        <f>IFERROR(__xludf.DUMMYFUNCTION("""COMPUTED_VALUE"""),45472.99861111111)</f>
        <v>45472.99861</v>
      </c>
      <c r="D3250" s="433">
        <f>IFERROR(__xludf.DUMMYFUNCTION("""COMPUTED_VALUE"""),3373.69)</f>
        <v>3373.69</v>
      </c>
    </row>
    <row r="3251">
      <c r="A3251" s="434">
        <f>IFERROR(__xludf.DUMMYFUNCTION("""COMPUTED_VALUE"""),45890.99861111111)</f>
        <v>45890.99861</v>
      </c>
      <c r="B3251" s="433">
        <f>IFERROR(__xludf.DUMMYFUNCTION("""COMPUTED_VALUE"""),114004.5)</f>
        <v>114004.5</v>
      </c>
      <c r="C3251" s="434">
        <f>IFERROR(__xludf.DUMMYFUNCTION("""COMPUTED_VALUE"""),45473.99861111111)</f>
        <v>45473.99861</v>
      </c>
      <c r="D3251" s="433">
        <f>IFERROR(__xludf.DUMMYFUNCTION("""COMPUTED_VALUE"""),3373.0756)</f>
        <v>3373.0756</v>
      </c>
    </row>
    <row r="3252">
      <c r="A3252" s="434">
        <f>IFERROR(__xludf.DUMMYFUNCTION("""COMPUTED_VALUE"""),45891.99861111111)</f>
        <v>45891.99861</v>
      </c>
      <c r="B3252" s="433">
        <f>IFERROR(__xludf.DUMMYFUNCTION("""COMPUTED_VALUE"""),112946.4)</f>
        <v>112946.4</v>
      </c>
      <c r="C3252" s="434">
        <f>IFERROR(__xludf.DUMMYFUNCTION("""COMPUTED_VALUE"""),45474.99861111111)</f>
        <v>45474.99861</v>
      </c>
      <c r="D3252" s="433">
        <f>IFERROR(__xludf.DUMMYFUNCTION("""COMPUTED_VALUE"""),3432.6075)</f>
        <v>3432.6075</v>
      </c>
    </row>
    <row r="3253">
      <c r="A3253" s="434">
        <f>IFERROR(__xludf.DUMMYFUNCTION("""COMPUTED_VALUE"""),45892.99861111111)</f>
        <v>45892.99861</v>
      </c>
      <c r="B3253" s="433">
        <f>IFERROR(__xludf.DUMMYFUNCTION("""COMPUTED_VALUE"""),115468.4)</f>
        <v>115468.4</v>
      </c>
      <c r="C3253" s="434">
        <f>IFERROR(__xludf.DUMMYFUNCTION("""COMPUTED_VALUE"""),45475.99861111111)</f>
        <v>45475.99861</v>
      </c>
      <c r="D3253" s="433">
        <f>IFERROR(__xludf.DUMMYFUNCTION("""COMPUTED_VALUE"""),3439.3814)</f>
        <v>3439.3814</v>
      </c>
    </row>
    <row r="3254">
      <c r="A3254" s="434">
        <f>IFERROR(__xludf.DUMMYFUNCTION("""COMPUTED_VALUE"""),45893.99861111111)</f>
        <v>45893.99861</v>
      </c>
      <c r="B3254" s="433">
        <f>IFERROR(__xludf.DUMMYFUNCTION("""COMPUTED_VALUE"""),114920.5)</f>
        <v>114920.5</v>
      </c>
      <c r="C3254" s="434">
        <f>IFERROR(__xludf.DUMMYFUNCTION("""COMPUTED_VALUE"""),45476.99861111111)</f>
        <v>45476.99861</v>
      </c>
      <c r="D3254" s="433">
        <f>IFERROR(__xludf.DUMMYFUNCTION("""COMPUTED_VALUE"""),3416.2549)</f>
        <v>3416.2549</v>
      </c>
    </row>
    <row r="3255">
      <c r="A3255" s="434">
        <f>IFERROR(__xludf.DUMMYFUNCTION("""COMPUTED_VALUE"""),45894.99861111111)</f>
        <v>45894.99861</v>
      </c>
      <c r="B3255" s="433">
        <f>IFERROR(__xludf.DUMMYFUNCTION("""COMPUTED_VALUE"""),113044.1)</f>
        <v>113044.1</v>
      </c>
      <c r="C3255" s="434">
        <f>IFERROR(__xludf.DUMMYFUNCTION("""COMPUTED_VALUE"""),45477.99861111111)</f>
        <v>45477.99861</v>
      </c>
      <c r="D3255" s="433">
        <f>IFERROR(__xludf.DUMMYFUNCTION("""COMPUTED_VALUE"""),3291.8178)</f>
        <v>3291.8178</v>
      </c>
    </row>
    <row r="3256">
      <c r="A3256" s="434">
        <f>IFERROR(__xludf.DUMMYFUNCTION("""COMPUTED_VALUE"""),45895.99861111111)</f>
        <v>45895.99861</v>
      </c>
      <c r="B3256" s="433">
        <f>IFERROR(__xludf.DUMMYFUNCTION("""COMPUTED_VALUE"""),109923.5)</f>
        <v>109923.5</v>
      </c>
      <c r="C3256" s="434">
        <f>IFERROR(__xludf.DUMMYFUNCTION("""COMPUTED_VALUE"""),45478.99861111111)</f>
        <v>45478.99861</v>
      </c>
      <c r="D3256" s="433">
        <f>IFERROR(__xludf.DUMMYFUNCTION("""COMPUTED_VALUE"""),3057.8332)</f>
        <v>3057.8332</v>
      </c>
    </row>
    <row r="3257">
      <c r="A3257" s="434">
        <f>IFERROR(__xludf.DUMMYFUNCTION("""COMPUTED_VALUE"""),45896.99861111111)</f>
        <v>45896.99861</v>
      </c>
      <c r="B3257" s="433">
        <f>IFERROR(__xludf.DUMMYFUNCTION("""COMPUTED_VALUE"""),111478.5)</f>
        <v>111478.5</v>
      </c>
      <c r="C3257" s="434">
        <f>IFERROR(__xludf.DUMMYFUNCTION("""COMPUTED_VALUE"""),45479.99861111111)</f>
        <v>45479.99861</v>
      </c>
      <c r="D3257" s="433">
        <f>IFERROR(__xludf.DUMMYFUNCTION("""COMPUTED_VALUE"""),2981.9881)</f>
        <v>2981.9881</v>
      </c>
    </row>
    <row r="3258">
      <c r="A3258" s="434">
        <f>IFERROR(__xludf.DUMMYFUNCTION("""COMPUTED_VALUE"""),45897.99861111111)</f>
        <v>45897.99861</v>
      </c>
      <c r="B3258" s="433">
        <f>IFERROR(__xludf.DUMMYFUNCTION("""COMPUTED_VALUE"""),112032.0)</f>
        <v>112032</v>
      </c>
      <c r="C3258" s="434">
        <f>IFERROR(__xludf.DUMMYFUNCTION("""COMPUTED_VALUE"""),45480.99861111111)</f>
        <v>45480.99861</v>
      </c>
      <c r="D3258" s="433">
        <f>IFERROR(__xludf.DUMMYFUNCTION("""COMPUTED_VALUE"""),3067.4051)</f>
        <v>3067.4051</v>
      </c>
    </row>
    <row r="3259">
      <c r="A3259" s="434">
        <f>IFERROR(__xludf.DUMMYFUNCTION("""COMPUTED_VALUE"""),45898.99861111111)</f>
        <v>45898.99861</v>
      </c>
      <c r="B3259" s="433">
        <f>IFERROR(__xludf.DUMMYFUNCTION("""COMPUTED_VALUE"""),111769.5)</f>
        <v>111769.5</v>
      </c>
      <c r="C3259" s="434">
        <f>IFERROR(__xludf.DUMMYFUNCTION("""COMPUTED_VALUE"""),45481.99861111111)</f>
        <v>45481.99861</v>
      </c>
      <c r="D3259" s="433">
        <f>IFERROR(__xludf.DUMMYFUNCTION("""COMPUTED_VALUE"""),2929.8616)</f>
        <v>2929.8616</v>
      </c>
    </row>
    <row r="3260">
      <c r="A3260" s="434">
        <f>IFERROR(__xludf.DUMMYFUNCTION("""COMPUTED_VALUE"""),45899.99861111111)</f>
        <v>45899.99861</v>
      </c>
      <c r="B3260" s="433">
        <f>IFERROR(__xludf.DUMMYFUNCTION("""COMPUTED_VALUE"""),108454.4)</f>
        <v>108454.4</v>
      </c>
      <c r="C3260" s="434">
        <f>IFERROR(__xludf.DUMMYFUNCTION("""COMPUTED_VALUE"""),45482.99861111111)</f>
        <v>45482.99861</v>
      </c>
      <c r="D3260" s="433">
        <f>IFERROR(__xludf.DUMMYFUNCTION("""COMPUTED_VALUE"""),3018.8033)</f>
        <v>3018.8033</v>
      </c>
    </row>
    <row r="3261">
      <c r="A3261" s="434">
        <f>IFERROR(__xludf.DUMMYFUNCTION("""COMPUTED_VALUE"""),45900.99861111111)</f>
        <v>45900.99861</v>
      </c>
      <c r="B3261" s="433">
        <f>IFERROR(__xludf.DUMMYFUNCTION("""COMPUTED_VALUE"""),109251.6)</f>
        <v>109251.6</v>
      </c>
      <c r="C3261" s="434">
        <f>IFERROR(__xludf.DUMMYFUNCTION("""COMPUTED_VALUE"""),45483.99861111111)</f>
        <v>45483.99861</v>
      </c>
      <c r="D3261" s="433">
        <f>IFERROR(__xludf.DUMMYFUNCTION("""COMPUTED_VALUE"""),3066.1373)</f>
        <v>3066.1373</v>
      </c>
    </row>
    <row r="3262">
      <c r="A3262" s="434">
        <f>IFERROR(__xludf.DUMMYFUNCTION("""COMPUTED_VALUE"""),45901.99861111111)</f>
        <v>45901.99861</v>
      </c>
      <c r="B3262" s="433">
        <f>IFERROR(__xludf.DUMMYFUNCTION("""COMPUTED_VALUE"""),107694.3)</f>
        <v>107694.3</v>
      </c>
      <c r="C3262" s="434">
        <f>IFERROR(__xludf.DUMMYFUNCTION("""COMPUTED_VALUE"""),45484.99861111111)</f>
        <v>45484.99861</v>
      </c>
      <c r="D3262" s="433">
        <f>IFERROR(__xludf.DUMMYFUNCTION("""COMPUTED_VALUE"""),3101.3353)</f>
        <v>3101.3353</v>
      </c>
    </row>
    <row r="3263">
      <c r="A3263" s="434">
        <f>IFERROR(__xludf.DUMMYFUNCTION("""COMPUTED_VALUE"""),45902.99861111111)</f>
        <v>45902.99861</v>
      </c>
      <c r="B3263" s="433">
        <f>IFERROR(__xludf.DUMMYFUNCTION("""COMPUTED_VALUE"""),110374.9)</f>
        <v>110374.9</v>
      </c>
      <c r="C3263" s="434">
        <f>IFERROR(__xludf.DUMMYFUNCTION("""COMPUTED_VALUE"""),45485.99861111111)</f>
        <v>45485.99861</v>
      </c>
      <c r="D3263" s="433">
        <f>IFERROR(__xludf.DUMMYFUNCTION("""COMPUTED_VALUE"""),3099.99)</f>
        <v>3099.99</v>
      </c>
    </row>
    <row r="3264">
      <c r="A3264" s="434">
        <f>IFERROR(__xludf.DUMMYFUNCTION("""COMPUTED_VALUE"""),45903.99861111111)</f>
        <v>45903.99861</v>
      </c>
      <c r="B3264" s="433">
        <f>IFERROR(__xludf.DUMMYFUNCTION("""COMPUTED_VALUE"""),111092.6)</f>
        <v>111092.6</v>
      </c>
      <c r="C3264" s="434">
        <f>IFERROR(__xludf.DUMMYFUNCTION("""COMPUTED_VALUE"""),45486.99861111111)</f>
        <v>45486.99861</v>
      </c>
      <c r="D3264" s="433">
        <f>IFERROR(__xludf.DUMMYFUNCTION("""COMPUTED_VALUE"""),3134.5506)</f>
        <v>3134.5506</v>
      </c>
    </row>
    <row r="3265">
      <c r="A3265" s="434">
        <f>IFERROR(__xludf.DUMMYFUNCTION("""COMPUTED_VALUE"""),45904.99861111111)</f>
        <v>45904.99861</v>
      </c>
      <c r="B3265" s="433">
        <f>IFERROR(__xludf.DUMMYFUNCTION("""COMPUTED_VALUE"""),111195.7)</f>
        <v>111195.7</v>
      </c>
      <c r="C3265" s="434">
        <f>IFERROR(__xludf.DUMMYFUNCTION("""COMPUTED_VALUE"""),45487.99861111111)</f>
        <v>45487.99861</v>
      </c>
      <c r="D3265" s="433">
        <f>IFERROR(__xludf.DUMMYFUNCTION("""COMPUTED_VALUE"""),3176.7415)</f>
        <v>3176.7415</v>
      </c>
    </row>
    <row r="3266">
      <c r="A3266" s="434">
        <f>IFERROR(__xludf.DUMMYFUNCTION("""COMPUTED_VALUE"""),45905.99861111111)</f>
        <v>45905.99861</v>
      </c>
      <c r="B3266" s="433">
        <f>IFERROR(__xludf.DUMMYFUNCTION("""COMPUTED_VALUE"""),111318.7)</f>
        <v>111318.7</v>
      </c>
      <c r="C3266" s="434">
        <f>IFERROR(__xludf.DUMMYFUNCTION("""COMPUTED_VALUE"""),45488.99861111111)</f>
        <v>45488.99861</v>
      </c>
      <c r="D3266" s="433">
        <f>IFERROR(__xludf.DUMMYFUNCTION("""COMPUTED_VALUE"""),3246.1317)</f>
        <v>3246.1317</v>
      </c>
    </row>
    <row r="3267">
      <c r="A3267" s="434">
        <f>IFERROR(__xludf.DUMMYFUNCTION("""COMPUTED_VALUE"""),45906.99861111111)</f>
        <v>45906.99861</v>
      </c>
      <c r="B3267" s="433">
        <f>IFERROR(__xludf.DUMMYFUNCTION("""COMPUTED_VALUE"""),111097.1)</f>
        <v>111097.1</v>
      </c>
      <c r="C3267" s="434">
        <f>IFERROR(__xludf.DUMMYFUNCTION("""COMPUTED_VALUE"""),45489.99861111111)</f>
        <v>45489.99861</v>
      </c>
      <c r="D3267" s="433">
        <f>IFERROR(__xludf.DUMMYFUNCTION("""COMPUTED_VALUE"""),3486.1441)</f>
        <v>3486.1441</v>
      </c>
    </row>
    <row r="3268">
      <c r="A3268" s="434">
        <f>IFERROR(__xludf.DUMMYFUNCTION("""COMPUTED_VALUE"""),45907.99861111111)</f>
        <v>45907.99861</v>
      </c>
      <c r="B3268" s="433">
        <f>IFERROR(__xludf.DUMMYFUNCTION("""COMPUTED_VALUE"""),110679.5)</f>
        <v>110679.5</v>
      </c>
      <c r="C3268" s="434">
        <f>IFERROR(__xludf.DUMMYFUNCTION("""COMPUTED_VALUE"""),45490.99861111111)</f>
        <v>45490.99861</v>
      </c>
      <c r="D3268" s="433">
        <f>IFERROR(__xludf.DUMMYFUNCTION("""COMPUTED_VALUE"""),3446.7367)</f>
        <v>3446.7367</v>
      </c>
    </row>
    <row r="3269">
      <c r="A3269" s="434">
        <f>IFERROR(__xludf.DUMMYFUNCTION("""COMPUTED_VALUE"""),45908.99861111111)</f>
        <v>45908.99861</v>
      </c>
      <c r="B3269" s="433">
        <f>IFERROR(__xludf.DUMMYFUNCTION("""COMPUTED_VALUE"""),111083.6)</f>
        <v>111083.6</v>
      </c>
      <c r="C3269" s="434">
        <f>IFERROR(__xludf.DUMMYFUNCTION("""COMPUTED_VALUE"""),45491.99861111111)</f>
        <v>45491.99861</v>
      </c>
      <c r="D3269" s="433">
        <f>IFERROR(__xludf.DUMMYFUNCTION("""COMPUTED_VALUE"""),3388.0301)</f>
        <v>3388.0301</v>
      </c>
    </row>
    <row r="3270">
      <c r="A3270" s="434">
        <f>IFERROR(__xludf.DUMMYFUNCTION("""COMPUTED_VALUE"""),45909.99861111111)</f>
        <v>45909.99861</v>
      </c>
      <c r="B3270" s="433">
        <f>IFERROR(__xludf.DUMMYFUNCTION("""COMPUTED_VALUE"""),111718.2)</f>
        <v>111718.2</v>
      </c>
      <c r="C3270" s="434">
        <f>IFERROR(__xludf.DUMMYFUNCTION("""COMPUTED_VALUE"""),45492.99861111111)</f>
        <v>45492.99861</v>
      </c>
      <c r="D3270" s="433">
        <f>IFERROR(__xludf.DUMMYFUNCTION("""COMPUTED_VALUE"""),3425.9088)</f>
        <v>3425.9088</v>
      </c>
    </row>
    <row r="3271">
      <c r="A3271" s="434">
        <f>IFERROR(__xludf.DUMMYFUNCTION("""COMPUTED_VALUE"""),45910.99861111111)</f>
        <v>45910.99861</v>
      </c>
      <c r="B3271" s="433">
        <f>IFERROR(__xludf.DUMMYFUNCTION("""COMPUTED_VALUE"""),111504.8)</f>
        <v>111504.8</v>
      </c>
      <c r="C3271" s="434">
        <f>IFERROR(__xludf.DUMMYFUNCTION("""COMPUTED_VALUE"""),45493.99861111111)</f>
        <v>45493.99861</v>
      </c>
      <c r="D3271" s="433">
        <f>IFERROR(__xludf.DUMMYFUNCTION("""COMPUTED_VALUE"""),3505.6558)</f>
        <v>3505.6558</v>
      </c>
    </row>
    <row r="3272">
      <c r="A3272" s="434">
        <f>IFERROR(__xludf.DUMMYFUNCTION("""COMPUTED_VALUE"""),45911.99861111111)</f>
        <v>45911.99861</v>
      </c>
      <c r="B3272" s="433">
        <f>IFERROR(__xludf.DUMMYFUNCTION("""COMPUTED_VALUE"""),114409.8)</f>
        <v>114409.8</v>
      </c>
      <c r="C3272" s="434">
        <f>IFERROR(__xludf.DUMMYFUNCTION("""COMPUTED_VALUE"""),45494.99861111111)</f>
        <v>45494.99861</v>
      </c>
      <c r="D3272" s="433">
        <f>IFERROR(__xludf.DUMMYFUNCTION("""COMPUTED_VALUE"""),3518.92)</f>
        <v>3518.92</v>
      </c>
    </row>
    <row r="3273">
      <c r="A3273" s="434">
        <f>IFERROR(__xludf.DUMMYFUNCTION("""COMPUTED_VALUE"""),45912.99861111111)</f>
        <v>45912.99861</v>
      </c>
      <c r="B3273" s="433">
        <f>IFERROR(__xludf.DUMMYFUNCTION("""COMPUTED_VALUE"""),115269.0)</f>
        <v>115269</v>
      </c>
      <c r="C3273" s="434">
        <f>IFERROR(__xludf.DUMMYFUNCTION("""COMPUTED_VALUE"""),45495.99861111111)</f>
        <v>45495.99861</v>
      </c>
      <c r="D3273" s="433">
        <f>IFERROR(__xludf.DUMMYFUNCTION("""COMPUTED_VALUE"""),3536.0123)</f>
        <v>3536.0123</v>
      </c>
    </row>
    <row r="3274">
      <c r="A3274" s="434">
        <f>IFERROR(__xludf.DUMMYFUNCTION("""COMPUTED_VALUE"""),45913.99861111111)</f>
        <v>45913.99861</v>
      </c>
      <c r="B3274" s="433">
        <f>IFERROR(__xludf.DUMMYFUNCTION("""COMPUTED_VALUE"""),115966.3)</f>
        <v>115966.3</v>
      </c>
      <c r="C3274" s="434">
        <f>IFERROR(__xludf.DUMMYFUNCTION("""COMPUTED_VALUE"""),45496.99861111111)</f>
        <v>45496.99861</v>
      </c>
      <c r="D3274" s="433">
        <f>IFERROR(__xludf.DUMMYFUNCTION("""COMPUTED_VALUE"""),3440.708)</f>
        <v>3440.708</v>
      </c>
    </row>
    <row r="3275">
      <c r="A3275" s="434">
        <f>IFERROR(__xludf.DUMMYFUNCTION("""COMPUTED_VALUE"""),45914.99861111111)</f>
        <v>45914.99861</v>
      </c>
      <c r="B3275" s="433">
        <f>IFERROR(__xludf.DUMMYFUNCTION("""COMPUTED_VALUE"""),115717.9)</f>
        <v>115717.9</v>
      </c>
      <c r="C3275" s="434">
        <f>IFERROR(__xludf.DUMMYFUNCTION("""COMPUTED_VALUE"""),45497.99861111111)</f>
        <v>45497.99861</v>
      </c>
      <c r="D3275" s="433">
        <f>IFERROR(__xludf.DUMMYFUNCTION("""COMPUTED_VALUE"""),3483.1921)</f>
        <v>3483.1921</v>
      </c>
    </row>
    <row r="3276">
      <c r="A3276" s="434">
        <f>IFERROR(__xludf.DUMMYFUNCTION("""COMPUTED_VALUE"""),45915.99861111111)</f>
        <v>45915.99861</v>
      </c>
      <c r="B3276" s="433">
        <f>IFERROR(__xludf.DUMMYFUNCTION("""COMPUTED_VALUE"""),115537.4)</f>
        <v>115537.4</v>
      </c>
      <c r="C3276" s="434">
        <f>IFERROR(__xludf.DUMMYFUNCTION("""COMPUTED_VALUE"""),45498.99861111111)</f>
        <v>45498.99861</v>
      </c>
      <c r="D3276" s="433">
        <f>IFERROR(__xludf.DUMMYFUNCTION("""COMPUTED_VALUE"""),3335.4218)</f>
        <v>3335.4218</v>
      </c>
    </row>
    <row r="3277">
      <c r="A3277" s="434">
        <f>IFERROR(__xludf.DUMMYFUNCTION("""COMPUTED_VALUE"""),45916.99861111111)</f>
        <v>45916.99861</v>
      </c>
      <c r="B3277" s="433">
        <f>IFERROR(__xludf.DUMMYFUNCTION("""COMPUTED_VALUE"""),115383.4)</f>
        <v>115383.4</v>
      </c>
      <c r="C3277" s="434">
        <f>IFERROR(__xludf.DUMMYFUNCTION("""COMPUTED_VALUE"""),45499.99861111111)</f>
        <v>45499.99861</v>
      </c>
      <c r="D3277" s="433">
        <f>IFERROR(__xludf.DUMMYFUNCTION("""COMPUTED_VALUE"""),3174.4928)</f>
        <v>3174.4928</v>
      </c>
    </row>
    <row r="3278">
      <c r="A3278" s="434">
        <f>IFERROR(__xludf.DUMMYFUNCTION("""COMPUTED_VALUE"""),45917.99861111111)</f>
        <v>45917.99861</v>
      </c>
      <c r="B3278" s="433">
        <f>IFERROR(__xludf.DUMMYFUNCTION("""COMPUTED_VALUE"""),116474.5)</f>
        <v>116474.5</v>
      </c>
      <c r="C3278" s="434">
        <f>IFERROR(__xludf.DUMMYFUNCTION("""COMPUTED_VALUE"""),45500.99861111111)</f>
        <v>45500.99861</v>
      </c>
      <c r="D3278" s="433">
        <f>IFERROR(__xludf.DUMMYFUNCTION("""COMPUTED_VALUE"""),3275.6951)</f>
        <v>3275.6951</v>
      </c>
    </row>
    <row r="3279">
      <c r="A3279" s="434">
        <f>IFERROR(__xludf.DUMMYFUNCTION("""COMPUTED_VALUE"""),45918.99861111111)</f>
        <v>45918.99861</v>
      </c>
      <c r="B3279" s="433">
        <f>IFERROR(__xludf.DUMMYFUNCTION("""COMPUTED_VALUE"""),117656.3)</f>
        <v>117656.3</v>
      </c>
      <c r="C3279" s="434">
        <f>IFERROR(__xludf.DUMMYFUNCTION("""COMPUTED_VALUE"""),45501.99861111111)</f>
        <v>45501.99861</v>
      </c>
      <c r="D3279" s="433">
        <f>IFERROR(__xludf.DUMMYFUNCTION("""COMPUTED_VALUE"""),3249.0919)</f>
        <v>3249.0919</v>
      </c>
    </row>
    <row r="3280">
      <c r="A3280" s="434">
        <f>IFERROR(__xludf.DUMMYFUNCTION("""COMPUTED_VALUE"""),45919.99861111111)</f>
        <v>45919.99861</v>
      </c>
      <c r="B3280" s="433">
        <f>IFERROR(__xludf.DUMMYFUNCTION("""COMPUTED_VALUE"""),117005.3)</f>
        <v>117005.3</v>
      </c>
      <c r="C3280" s="434">
        <f>IFERROR(__xludf.DUMMYFUNCTION("""COMPUTED_VALUE"""),45502.99861111111)</f>
        <v>45502.99861</v>
      </c>
      <c r="D3280" s="433">
        <f>IFERROR(__xludf.DUMMYFUNCTION("""COMPUTED_VALUE"""),3270.6515)</f>
        <v>3270.6515</v>
      </c>
    </row>
    <row r="3281">
      <c r="A3281" s="434">
        <f>IFERROR(__xludf.DUMMYFUNCTION("""COMPUTED_VALUE"""),45920.99861111111)</f>
        <v>45920.99861</v>
      </c>
      <c r="B3281" s="433">
        <f>IFERROR(__xludf.DUMMYFUNCTION("""COMPUTED_VALUE"""),115543.5)</f>
        <v>115543.5</v>
      </c>
      <c r="C3281" s="434">
        <f>IFERROR(__xludf.DUMMYFUNCTION("""COMPUTED_VALUE"""),45503.99861111111)</f>
        <v>45503.99861</v>
      </c>
      <c r="D3281" s="433">
        <f>IFERROR(__xludf.DUMMYFUNCTION("""COMPUTED_VALUE"""),3318.239)</f>
        <v>3318.239</v>
      </c>
    </row>
    <row r="3282">
      <c r="A3282" s="434">
        <f>IFERROR(__xludf.DUMMYFUNCTION("""COMPUTED_VALUE"""),45921.99861111111)</f>
        <v>45921.99861</v>
      </c>
      <c r="B3282" s="433">
        <f>IFERROR(__xludf.DUMMYFUNCTION("""COMPUTED_VALUE"""),115706.1)</f>
        <v>115706.1</v>
      </c>
      <c r="C3282" s="434">
        <f>IFERROR(__xludf.DUMMYFUNCTION("""COMPUTED_VALUE"""),45504.99861111111)</f>
        <v>45504.99861</v>
      </c>
      <c r="D3282" s="433">
        <f>IFERROR(__xludf.DUMMYFUNCTION("""COMPUTED_VALUE"""),3278.0418)</f>
        <v>3278.0418</v>
      </c>
    </row>
    <row r="3283">
      <c r="A3283" s="434">
        <f>IFERROR(__xludf.DUMMYFUNCTION("""COMPUTED_VALUE"""),45922.99861111111)</f>
        <v>45922.99861</v>
      </c>
      <c r="B3283" s="433">
        <f>IFERROR(__xludf.DUMMYFUNCTION("""COMPUTED_VALUE"""),114688.9)</f>
        <v>114688.9</v>
      </c>
      <c r="C3283" s="434">
        <f>IFERROR(__xludf.DUMMYFUNCTION("""COMPUTED_VALUE"""),45505.99861111111)</f>
        <v>45505.99861</v>
      </c>
      <c r="D3283" s="433">
        <f>IFERROR(__xludf.DUMMYFUNCTION("""COMPUTED_VALUE"""),3231.9719)</f>
        <v>3231.9719</v>
      </c>
    </row>
    <row r="3284">
      <c r="A3284" s="434">
        <f>IFERROR(__xludf.DUMMYFUNCTION("""COMPUTED_VALUE"""),45923.99861111111)</f>
        <v>45923.99861</v>
      </c>
      <c r="B3284" s="433">
        <f>IFERROR(__xludf.DUMMYFUNCTION("""COMPUTED_VALUE"""),112387.7)</f>
        <v>112387.7</v>
      </c>
      <c r="C3284" s="434">
        <f>IFERROR(__xludf.DUMMYFUNCTION("""COMPUTED_VALUE"""),45506.99861111111)</f>
        <v>45506.99861</v>
      </c>
      <c r="D3284" s="433">
        <f>IFERROR(__xludf.DUMMYFUNCTION("""COMPUTED_VALUE"""),3201.3592)</f>
        <v>3201.3592</v>
      </c>
    </row>
    <row r="3285">
      <c r="A3285" s="434">
        <f>IFERROR(__xludf.DUMMYFUNCTION("""COMPUTED_VALUE"""),45924.99861111111)</f>
        <v>45924.99861</v>
      </c>
      <c r="B3285" s="433">
        <f>IFERROR(__xludf.DUMMYFUNCTION("""COMPUTED_VALUE"""),111792.0)</f>
        <v>111792</v>
      </c>
      <c r="C3285" s="434">
        <f>IFERROR(__xludf.DUMMYFUNCTION("""COMPUTED_VALUE"""),45507.99861111111)</f>
        <v>45507.99861</v>
      </c>
      <c r="D3285" s="433">
        <f>IFERROR(__xludf.DUMMYFUNCTION("""COMPUTED_VALUE"""),2985.9395)</f>
        <v>2985.9395</v>
      </c>
    </row>
    <row r="3286">
      <c r="A3286" s="434">
        <f>IFERROR(__xludf.DUMMYFUNCTION("""COMPUTED_VALUE"""),45925.99861111111)</f>
        <v>45925.99861</v>
      </c>
      <c r="B3286" s="433">
        <f>IFERROR(__xludf.DUMMYFUNCTION("""COMPUTED_VALUE"""),112605.5)</f>
        <v>112605.5</v>
      </c>
      <c r="C3286" s="434">
        <f>IFERROR(__xludf.DUMMYFUNCTION("""COMPUTED_VALUE"""),45508.99861111111)</f>
        <v>45508.99861</v>
      </c>
      <c r="D3286" s="433">
        <f>IFERROR(__xludf.DUMMYFUNCTION("""COMPUTED_VALUE"""),2902.1078)</f>
        <v>2902.1078</v>
      </c>
    </row>
    <row r="3287">
      <c r="A3287" s="434">
        <f>IFERROR(__xludf.DUMMYFUNCTION("""COMPUTED_VALUE"""),45926.99861111111)</f>
        <v>45926.99861</v>
      </c>
      <c r="B3287" s="433">
        <f>IFERROR(__xludf.DUMMYFUNCTION("""COMPUTED_VALUE"""),109653.5)</f>
        <v>109653.5</v>
      </c>
      <c r="C3287" s="434">
        <f>IFERROR(__xludf.DUMMYFUNCTION("""COMPUTED_VALUE"""),45509.99861111111)</f>
        <v>45509.99861</v>
      </c>
      <c r="D3287" s="433">
        <f>IFERROR(__xludf.DUMMYFUNCTION("""COMPUTED_VALUE"""),2688.0363)</f>
        <v>2688.0363</v>
      </c>
    </row>
    <row r="3288">
      <c r="A3288" s="434">
        <f>IFERROR(__xludf.DUMMYFUNCTION("""COMPUTED_VALUE"""),45927.99861111111)</f>
        <v>45927.99861</v>
      </c>
      <c r="B3288" s="433">
        <f>IFERROR(__xludf.DUMMYFUNCTION("""COMPUTED_VALUE"""),109648.7)</f>
        <v>109648.7</v>
      </c>
      <c r="C3288" s="434">
        <f>IFERROR(__xludf.DUMMYFUNCTION("""COMPUTED_VALUE"""),45510.99861111111)</f>
        <v>45510.99861</v>
      </c>
      <c r="D3288" s="433">
        <f>IFERROR(__xludf.DUMMYFUNCTION("""COMPUTED_VALUE"""),2418.8706)</f>
        <v>2418.8706</v>
      </c>
    </row>
    <row r="3289">
      <c r="A3289" s="434">
        <f>IFERROR(__xludf.DUMMYFUNCTION("""COMPUTED_VALUE"""),45928.99861111111)</f>
        <v>45928.99861</v>
      </c>
      <c r="B3289" s="433">
        <f>IFERROR(__xludf.DUMMYFUNCTION("""COMPUTED_VALUE"""),109587.9)</f>
        <v>109587.9</v>
      </c>
      <c r="C3289" s="434">
        <f>IFERROR(__xludf.DUMMYFUNCTION("""COMPUTED_VALUE"""),45511.99861111111)</f>
        <v>45511.99861</v>
      </c>
      <c r="D3289" s="433">
        <f>IFERROR(__xludf.DUMMYFUNCTION("""COMPUTED_VALUE"""),2462.6498)</f>
        <v>2462.6498</v>
      </c>
    </row>
    <row r="3290">
      <c r="A3290" s="434">
        <f>IFERROR(__xludf.DUMMYFUNCTION("""COMPUTED_VALUE"""),45929.99861111111)</f>
        <v>45929.99861</v>
      </c>
      <c r="B3290" s="433">
        <f>IFERROR(__xludf.DUMMYFUNCTION("""COMPUTED_VALUE"""),111908.8)</f>
        <v>111908.8</v>
      </c>
      <c r="C3290" s="434">
        <f>IFERROR(__xludf.DUMMYFUNCTION("""COMPUTED_VALUE"""),45512.99861111111)</f>
        <v>45512.99861</v>
      </c>
      <c r="D3290" s="433">
        <f>IFERROR(__xludf.DUMMYFUNCTION("""COMPUTED_VALUE"""),2343.3149)</f>
        <v>2343.3149</v>
      </c>
    </row>
    <row r="3291">
      <c r="A3291" s="434">
        <f>IFERROR(__xludf.DUMMYFUNCTION("""COMPUTED_VALUE"""),45930.99861111111)</f>
        <v>45930.99861</v>
      </c>
      <c r="B3291" s="433">
        <f>IFERROR(__xludf.DUMMYFUNCTION("""COMPUTED_VALUE"""),114433.1)</f>
        <v>114433.1</v>
      </c>
      <c r="C3291" s="434">
        <f>IFERROR(__xludf.DUMMYFUNCTION("""COMPUTED_VALUE"""),45513.99861111111)</f>
        <v>45513.99861</v>
      </c>
      <c r="D3291" s="433">
        <f>IFERROR(__xludf.DUMMYFUNCTION("""COMPUTED_VALUE"""),2684.593)</f>
        <v>2684.593</v>
      </c>
    </row>
    <row r="3292">
      <c r="A3292" s="434">
        <f>IFERROR(__xludf.DUMMYFUNCTION("""COMPUTED_VALUE"""),45931.99861111111)</f>
        <v>45931.99861</v>
      </c>
      <c r="B3292" s="433">
        <f>IFERROR(__xludf.DUMMYFUNCTION("""COMPUTED_VALUE"""),114193.7)</f>
        <v>114193.7</v>
      </c>
      <c r="C3292" s="434">
        <f>IFERROR(__xludf.DUMMYFUNCTION("""COMPUTED_VALUE"""),45514.99861111111)</f>
        <v>45514.99861</v>
      </c>
      <c r="D3292" s="433">
        <f>IFERROR(__xludf.DUMMYFUNCTION("""COMPUTED_VALUE"""),2599.7805)</f>
        <v>2599.7805</v>
      </c>
    </row>
    <row r="3293">
      <c r="A3293" s="434">
        <f>IFERROR(__xludf.DUMMYFUNCTION("""COMPUTED_VALUE"""),45932.99861111111)</f>
        <v>45932.99861</v>
      </c>
      <c r="B3293" s="433">
        <f>IFERROR(__xludf.DUMMYFUNCTION("""COMPUTED_VALUE"""),118786.4)</f>
        <v>118786.4</v>
      </c>
      <c r="C3293" s="434">
        <f>IFERROR(__xludf.DUMMYFUNCTION("""COMPUTED_VALUE"""),45515.99861111111)</f>
        <v>45515.99861</v>
      </c>
      <c r="D3293" s="433">
        <f>IFERROR(__xludf.DUMMYFUNCTION("""COMPUTED_VALUE"""),2610.394)</f>
        <v>2610.394</v>
      </c>
    </row>
    <row r="3294">
      <c r="A3294" s="434">
        <f>IFERROR(__xludf.DUMMYFUNCTION("""COMPUTED_VALUE"""),45933.99861111111)</f>
        <v>45933.99861</v>
      </c>
      <c r="B3294" s="433">
        <f>IFERROR(__xludf.DUMMYFUNCTION("""COMPUTED_VALUE"""),120281.6)</f>
        <v>120281.6</v>
      </c>
      <c r="C3294" s="434">
        <f>IFERROR(__xludf.DUMMYFUNCTION("""COMPUTED_VALUE"""),45516.99861111111)</f>
        <v>45516.99861</v>
      </c>
      <c r="D3294" s="433">
        <f>IFERROR(__xludf.DUMMYFUNCTION("""COMPUTED_VALUE"""),2555.1791)</f>
        <v>2555.1791</v>
      </c>
    </row>
    <row r="3295">
      <c r="A3295" s="434">
        <f>IFERROR(__xludf.DUMMYFUNCTION("""COMPUTED_VALUE"""),45934.99861111111)</f>
        <v>45934.99861</v>
      </c>
      <c r="B3295" s="433">
        <f>IFERROR(__xludf.DUMMYFUNCTION("""COMPUTED_VALUE"""),122260.8)</f>
        <v>122260.8</v>
      </c>
      <c r="C3295" s="434">
        <f>IFERROR(__xludf.DUMMYFUNCTION("""COMPUTED_VALUE"""),45517.99861111111)</f>
        <v>45517.99861</v>
      </c>
      <c r="D3295" s="433">
        <f>IFERROR(__xludf.DUMMYFUNCTION("""COMPUTED_VALUE"""),2723.5757)</f>
        <v>2723.5757</v>
      </c>
    </row>
    <row r="3296">
      <c r="A3296" s="434">
        <f>IFERROR(__xludf.DUMMYFUNCTION("""COMPUTED_VALUE"""),45935.99861111111)</f>
        <v>45935.99861</v>
      </c>
      <c r="B3296" s="433">
        <f>IFERROR(__xludf.DUMMYFUNCTION("""COMPUTED_VALUE"""),123742.9)</f>
        <v>123742.9</v>
      </c>
      <c r="C3296" s="434">
        <f>IFERROR(__xludf.DUMMYFUNCTION("""COMPUTED_VALUE"""),45518.99861111111)</f>
        <v>45518.99861</v>
      </c>
      <c r="D3296" s="433">
        <f>IFERROR(__xludf.DUMMYFUNCTION("""COMPUTED_VALUE"""),2703.2071)</f>
        <v>2703.2071</v>
      </c>
    </row>
    <row r="3297">
      <c r="A3297" s="434">
        <f>IFERROR(__xludf.DUMMYFUNCTION("""COMPUTED_VALUE"""),45936.99861111111)</f>
        <v>45936.99861</v>
      </c>
      <c r="B3297" s="433">
        <f>IFERROR(__xludf.DUMMYFUNCTION("""COMPUTED_VALUE"""),123857.1)</f>
        <v>123857.1</v>
      </c>
      <c r="C3297" s="434">
        <f>IFERROR(__xludf.DUMMYFUNCTION("""COMPUTED_VALUE"""),45519.99861111111)</f>
        <v>45519.99861</v>
      </c>
      <c r="D3297" s="433">
        <f>IFERROR(__xludf.DUMMYFUNCTION("""COMPUTED_VALUE"""),2662.8264)</f>
        <v>2662.8264</v>
      </c>
    </row>
    <row r="3298">
      <c r="A3298" s="434">
        <f>IFERROR(__xludf.DUMMYFUNCTION("""COMPUTED_VALUE"""),45937.99861111111)</f>
        <v>45937.99861</v>
      </c>
      <c r="B3298" s="433">
        <f>IFERROR(__xludf.DUMMYFUNCTION("""COMPUTED_VALUE"""),124310.6)</f>
        <v>124310.6</v>
      </c>
      <c r="C3298" s="434">
        <f>IFERROR(__xludf.DUMMYFUNCTION("""COMPUTED_VALUE"""),45520.99861111111)</f>
        <v>45520.99861</v>
      </c>
      <c r="D3298" s="433">
        <f>IFERROR(__xludf.DUMMYFUNCTION("""COMPUTED_VALUE"""),2570.0959)</f>
        <v>2570.0959</v>
      </c>
    </row>
    <row r="3299">
      <c r="A3299" s="434">
        <f>IFERROR(__xludf.DUMMYFUNCTION("""COMPUTED_VALUE"""),45938.99861111111)</f>
        <v>45938.99861</v>
      </c>
      <c r="B3299" s="433">
        <f>IFERROR(__xludf.DUMMYFUNCTION("""COMPUTED_VALUE"""),121424.4)</f>
        <v>121424.4</v>
      </c>
      <c r="C3299" s="434">
        <f>IFERROR(__xludf.DUMMYFUNCTION("""COMPUTED_VALUE"""),45521.99861111111)</f>
        <v>45521.99861</v>
      </c>
      <c r="D3299" s="433">
        <f>IFERROR(__xludf.DUMMYFUNCTION("""COMPUTED_VALUE"""),2593.3166)</f>
        <v>2593.3166</v>
      </c>
    </row>
    <row r="3300">
      <c r="A3300" s="434">
        <f>IFERROR(__xludf.DUMMYFUNCTION("""COMPUTED_VALUE"""),45939.99861111111)</f>
        <v>45939.99861</v>
      </c>
      <c r="B3300" s="433">
        <f>IFERROR(__xludf.DUMMYFUNCTION("""COMPUTED_VALUE"""),122059.6)</f>
        <v>122059.6</v>
      </c>
      <c r="C3300" s="434">
        <f>IFERROR(__xludf.DUMMYFUNCTION("""COMPUTED_VALUE"""),45522.99861111111)</f>
        <v>45522.99861</v>
      </c>
      <c r="D3300" s="433">
        <f>IFERROR(__xludf.DUMMYFUNCTION("""COMPUTED_VALUE"""),2614.4815)</f>
        <v>2614.4815</v>
      </c>
    </row>
    <row r="3301">
      <c r="A3301" s="434">
        <f>IFERROR(__xludf.DUMMYFUNCTION("""COMPUTED_VALUE"""),45940.99861111111)</f>
        <v>45940.99861</v>
      </c>
      <c r="B3301" s="433">
        <f>IFERROR(__xludf.DUMMYFUNCTION("""COMPUTED_VALUE"""),121146.0)</f>
        <v>121146</v>
      </c>
      <c r="C3301" s="434">
        <f>IFERROR(__xludf.DUMMYFUNCTION("""COMPUTED_VALUE"""),45523.99861111111)</f>
        <v>45523.99861</v>
      </c>
      <c r="D3301" s="433">
        <f>IFERROR(__xludf.DUMMYFUNCTION("""COMPUTED_VALUE"""),2612.8511)</f>
        <v>2612.8511</v>
      </c>
    </row>
    <row r="3302">
      <c r="A3302" s="434">
        <f>IFERROR(__xludf.DUMMYFUNCTION("""COMPUTED_VALUE"""),45941.99861111111)</f>
        <v>45941.99861</v>
      </c>
      <c r="B3302" s="433">
        <f>IFERROR(__xludf.DUMMYFUNCTION("""COMPUTED_VALUE"""),112580.3)</f>
        <v>112580.3</v>
      </c>
      <c r="C3302" s="434">
        <f>IFERROR(__xludf.DUMMYFUNCTION("""COMPUTED_VALUE"""),45524.99861111111)</f>
        <v>45524.99861</v>
      </c>
      <c r="D3302" s="433">
        <f>IFERROR(__xludf.DUMMYFUNCTION("""COMPUTED_VALUE"""),2637.4154)</f>
        <v>2637.4154</v>
      </c>
    </row>
    <row r="3303">
      <c r="A3303" s="434">
        <f>IFERROR(__xludf.DUMMYFUNCTION("""COMPUTED_VALUE"""),45942.99861111111)</f>
        <v>45942.99861</v>
      </c>
      <c r="B3303" s="433">
        <f>IFERROR(__xludf.DUMMYFUNCTION("""COMPUTED_VALUE"""),111039.5)</f>
        <v>111039.5</v>
      </c>
      <c r="C3303" s="434">
        <f>IFERROR(__xludf.DUMMYFUNCTION("""COMPUTED_VALUE"""),45525.99861111111)</f>
        <v>45525.99861</v>
      </c>
      <c r="D3303" s="433">
        <f>IFERROR(__xludf.DUMMYFUNCTION("""COMPUTED_VALUE"""),2573.3144)</f>
        <v>2573.3144</v>
      </c>
    </row>
    <row r="3304">
      <c r="A3304" s="434">
        <f>IFERROR(__xludf.DUMMYFUNCTION("""COMPUTED_VALUE"""),45943.99861111111)</f>
        <v>45943.99861</v>
      </c>
      <c r="B3304" s="433">
        <f>IFERROR(__xludf.DUMMYFUNCTION("""COMPUTED_VALUE"""),114934.2)</f>
        <v>114934.2</v>
      </c>
      <c r="C3304" s="434">
        <f>IFERROR(__xludf.DUMMYFUNCTION("""COMPUTED_VALUE"""),45526.99861111111)</f>
        <v>45526.99861</v>
      </c>
      <c r="D3304" s="433">
        <f>IFERROR(__xludf.DUMMYFUNCTION("""COMPUTED_VALUE"""),2631.1528)</f>
        <v>2631.1528</v>
      </c>
    </row>
    <row r="3305">
      <c r="A3305" s="434">
        <f>IFERROR(__xludf.DUMMYFUNCTION("""COMPUTED_VALUE"""),45944.99861111111)</f>
        <v>45944.99861</v>
      </c>
      <c r="B3305" s="433">
        <f>IFERROR(__xludf.DUMMYFUNCTION("""COMPUTED_VALUE"""),113612.7)</f>
        <v>113612.7</v>
      </c>
      <c r="C3305" s="434">
        <f>IFERROR(__xludf.DUMMYFUNCTION("""COMPUTED_VALUE"""),45527.99861111111)</f>
        <v>45527.99861</v>
      </c>
      <c r="D3305" s="433">
        <f>IFERROR(__xludf.DUMMYFUNCTION("""COMPUTED_VALUE"""),2623.2467)</f>
        <v>2623.2467</v>
      </c>
    </row>
    <row r="3306">
      <c r="A3306" s="434">
        <f>IFERROR(__xludf.DUMMYFUNCTION("""COMPUTED_VALUE"""),45945.99861111111)</f>
        <v>45945.99861</v>
      </c>
      <c r="B3306" s="433">
        <f>IFERROR(__xludf.DUMMYFUNCTION("""COMPUTED_VALUE"""),112138.6)</f>
        <v>112138.6</v>
      </c>
      <c r="C3306" s="434">
        <f>IFERROR(__xludf.DUMMYFUNCTION("""COMPUTED_VALUE"""),45528.99861111111)</f>
        <v>45528.99861</v>
      </c>
      <c r="D3306" s="433">
        <f>IFERROR(__xludf.DUMMYFUNCTION("""COMPUTED_VALUE"""),2764.4867)</f>
        <v>2764.4867</v>
      </c>
    </row>
    <row r="3307">
      <c r="A3307" s="434">
        <f>IFERROR(__xludf.DUMMYFUNCTION("""COMPUTED_VALUE"""),45946.99861111111)</f>
        <v>45946.99861</v>
      </c>
      <c r="B3307" s="433">
        <f>IFERROR(__xludf.DUMMYFUNCTION("""COMPUTED_VALUE"""),111449.5)</f>
        <v>111449.5</v>
      </c>
      <c r="C3307" s="434">
        <f>IFERROR(__xludf.DUMMYFUNCTION("""COMPUTED_VALUE"""),45529.99861111111)</f>
        <v>45529.99861</v>
      </c>
      <c r="D3307" s="433">
        <f>IFERROR(__xludf.DUMMYFUNCTION("""COMPUTED_VALUE"""),2769.9179)</f>
        <v>2769.9179</v>
      </c>
    </row>
    <row r="3308">
      <c r="A3308" s="434">
        <f>IFERROR(__xludf.DUMMYFUNCTION("""COMPUTED_VALUE"""),45947.99861111111)</f>
        <v>45947.99861</v>
      </c>
      <c r="B3308" s="433">
        <f>IFERROR(__xludf.DUMMYFUNCTION("""COMPUTED_VALUE"""),109176.5)</f>
        <v>109176.5</v>
      </c>
      <c r="C3308" s="434">
        <f>IFERROR(__xludf.DUMMYFUNCTION("""COMPUTED_VALUE"""),45530.99861111111)</f>
        <v>45530.99861</v>
      </c>
      <c r="D3308" s="433">
        <f>IFERROR(__xludf.DUMMYFUNCTION("""COMPUTED_VALUE"""),2748.2981)</f>
        <v>2748.2981</v>
      </c>
    </row>
    <row r="3309">
      <c r="A3309" s="434">
        <f>IFERROR(__xludf.DUMMYFUNCTION("""COMPUTED_VALUE"""),45948.99861111111)</f>
        <v>45948.99861</v>
      </c>
      <c r="B3309" s="433">
        <f>IFERROR(__xludf.DUMMYFUNCTION("""COMPUTED_VALUE"""),107158.5)</f>
        <v>107158.5</v>
      </c>
      <c r="C3309" s="434">
        <f>IFERROR(__xludf.DUMMYFUNCTION("""COMPUTED_VALUE"""),45531.99861111111)</f>
        <v>45531.99861</v>
      </c>
      <c r="D3309" s="433">
        <f>IFERROR(__xludf.DUMMYFUNCTION("""COMPUTED_VALUE"""),2681.0339)</f>
        <v>2681.0339</v>
      </c>
    </row>
    <row r="3310">
      <c r="A3310" s="434">
        <f>IFERROR(__xludf.DUMMYFUNCTION("""COMPUTED_VALUE"""),45949.99861111111)</f>
        <v>45949.99861</v>
      </c>
      <c r="B3310" s="433">
        <f>IFERROR(__xludf.DUMMYFUNCTION("""COMPUTED_VALUE"""),107365.6)</f>
        <v>107365.6</v>
      </c>
      <c r="C3310" s="434">
        <f>IFERROR(__xludf.DUMMYFUNCTION("""COMPUTED_VALUE"""),45532.99861111111)</f>
        <v>45532.99861</v>
      </c>
      <c r="D3310" s="433">
        <f>IFERROR(__xludf.DUMMYFUNCTION("""COMPUTED_VALUE"""),2458.806)</f>
        <v>2458.806</v>
      </c>
    </row>
    <row r="3311">
      <c r="A3311" s="434">
        <f>IFERROR(__xludf.DUMMYFUNCTION("""COMPUTED_VALUE"""),45950.99861111111)</f>
        <v>45950.99861</v>
      </c>
      <c r="B3311" s="433">
        <f>IFERROR(__xludf.DUMMYFUNCTION("""COMPUTED_VALUE"""),110245.1)</f>
        <v>110245.1</v>
      </c>
      <c r="C3311" s="434">
        <f>IFERROR(__xludf.DUMMYFUNCTION("""COMPUTED_VALUE"""),45533.99861111111)</f>
        <v>45533.99861</v>
      </c>
      <c r="D3311" s="433">
        <f>IFERROR(__xludf.DUMMYFUNCTION("""COMPUTED_VALUE"""),2528.3738)</f>
        <v>2528.3738</v>
      </c>
    </row>
    <row r="3312">
      <c r="A3312" s="434">
        <f>IFERROR(__xludf.DUMMYFUNCTION("""COMPUTED_VALUE"""),45951.99861111111)</f>
        <v>45951.99861</v>
      </c>
      <c r="B3312" s="433">
        <f>IFERROR(__xludf.DUMMYFUNCTION("""COMPUTED_VALUE"""),109157.9)</f>
        <v>109157.9</v>
      </c>
      <c r="C3312" s="434">
        <f>IFERROR(__xludf.DUMMYFUNCTION("""COMPUTED_VALUE"""),45534.99861111111)</f>
        <v>45534.99861</v>
      </c>
      <c r="D3312" s="433">
        <f>IFERROR(__xludf.DUMMYFUNCTION("""COMPUTED_VALUE"""),2528.3425)</f>
        <v>2528.3425</v>
      </c>
    </row>
    <row r="3313">
      <c r="A3313" s="434">
        <f>IFERROR(__xludf.DUMMYFUNCTION("""COMPUTED_VALUE"""),45952.99861111111)</f>
        <v>45952.99861</v>
      </c>
      <c r="B3313" s="433">
        <f>IFERROR(__xludf.DUMMYFUNCTION("""COMPUTED_VALUE"""),108213.7)</f>
        <v>108213.7</v>
      </c>
      <c r="C3313" s="434">
        <f>IFERROR(__xludf.DUMMYFUNCTION("""COMPUTED_VALUE"""),45535.99861111111)</f>
        <v>45535.99861</v>
      </c>
      <c r="D3313" s="433">
        <f>IFERROR(__xludf.DUMMYFUNCTION("""COMPUTED_VALUE"""),2526.0084)</f>
        <v>2526.0084</v>
      </c>
    </row>
    <row r="3314">
      <c r="A3314" s="434">
        <f>IFERROR(__xludf.DUMMYFUNCTION("""COMPUTED_VALUE"""),45953.99861111111)</f>
        <v>45953.99861</v>
      </c>
      <c r="B3314" s="433">
        <f>IFERROR(__xludf.DUMMYFUNCTION("""COMPUTED_VALUE"""),108418.6)</f>
        <v>108418.6</v>
      </c>
      <c r="C3314" s="434">
        <f>IFERROR(__xludf.DUMMYFUNCTION("""COMPUTED_VALUE"""),45536.99861111111)</f>
        <v>45536.99861</v>
      </c>
      <c r="D3314" s="433">
        <f>IFERROR(__xludf.DUMMYFUNCTION("""COMPUTED_VALUE"""),2513.0728)</f>
        <v>2513.0728</v>
      </c>
    </row>
    <row r="3315">
      <c r="A3315" s="434">
        <f>IFERROR(__xludf.DUMMYFUNCTION("""COMPUTED_VALUE"""),45954.99861111111)</f>
        <v>45954.99861</v>
      </c>
      <c r="B3315" s="433">
        <f>IFERROR(__xludf.DUMMYFUNCTION("""COMPUTED_VALUE"""),110466.5)</f>
        <v>110466.5</v>
      </c>
      <c r="C3315" s="434">
        <f>IFERROR(__xludf.DUMMYFUNCTION("""COMPUTED_VALUE"""),45537.99861111111)</f>
        <v>45537.99861</v>
      </c>
      <c r="D3315" s="433">
        <f>IFERROR(__xludf.DUMMYFUNCTION("""COMPUTED_VALUE"""),2427.2151)</f>
        <v>2427.2151</v>
      </c>
    </row>
    <row r="3316">
      <c r="A3316" s="434">
        <f>IFERROR(__xludf.DUMMYFUNCTION("""COMPUTED_VALUE"""),45955.99861111111)</f>
        <v>45955.99861</v>
      </c>
      <c r="B3316" s="433">
        <f>IFERROR(__xludf.DUMMYFUNCTION("""COMPUTED_VALUE"""),111077.3)</f>
        <v>111077.3</v>
      </c>
      <c r="C3316" s="434">
        <f>IFERROR(__xludf.DUMMYFUNCTION("""COMPUTED_VALUE"""),45538.99861111111)</f>
        <v>45538.99861</v>
      </c>
      <c r="D3316" s="433">
        <f>IFERROR(__xludf.DUMMYFUNCTION("""COMPUTED_VALUE"""),2538.3102)</f>
        <v>2538.3102</v>
      </c>
    </row>
    <row r="3317">
      <c r="A3317" s="434">
        <f>IFERROR(__xludf.DUMMYFUNCTION("""COMPUTED_VALUE"""),45956.99861111111)</f>
        <v>45956.99861</v>
      </c>
      <c r="B3317" s="433">
        <f>IFERROR(__xludf.DUMMYFUNCTION("""COMPUTED_VALUE"""),111284.2)</f>
        <v>111284.2</v>
      </c>
      <c r="C3317" s="434">
        <f>IFERROR(__xludf.DUMMYFUNCTION("""COMPUTED_VALUE"""),45539.99861111111)</f>
        <v>45539.99861</v>
      </c>
      <c r="D3317" s="433">
        <f>IFERROR(__xludf.DUMMYFUNCTION("""COMPUTED_VALUE"""),2424.6162)</f>
        <v>2424.6162</v>
      </c>
    </row>
    <row r="3318">
      <c r="A3318" s="434">
        <f>IFERROR(__xludf.DUMMYFUNCTION("""COMPUTED_VALUE"""),45957.99861111111)</f>
        <v>45957.99861</v>
      </c>
      <c r="B3318" s="433">
        <f>IFERROR(__xludf.DUMMYFUNCTION("""COMPUTED_VALUE"""),114960.8)</f>
        <v>114960.8</v>
      </c>
      <c r="C3318" s="434">
        <f>IFERROR(__xludf.DUMMYFUNCTION("""COMPUTED_VALUE"""),45540.99861111111)</f>
        <v>45540.99861</v>
      </c>
      <c r="D3318" s="433">
        <f>IFERROR(__xludf.DUMMYFUNCTION("""COMPUTED_VALUE"""),2450.2081)</f>
        <v>2450.2081</v>
      </c>
    </row>
    <row r="3319">
      <c r="A3319" s="434">
        <f>IFERROR(__xludf.DUMMYFUNCTION("""COMPUTED_VALUE"""),45958.99861111111)</f>
        <v>45958.99861</v>
      </c>
      <c r="B3319" s="433">
        <f>IFERROR(__xludf.DUMMYFUNCTION("""COMPUTED_VALUE"""),113911.0)</f>
        <v>113911</v>
      </c>
      <c r="C3319" s="434">
        <f>IFERROR(__xludf.DUMMYFUNCTION("""COMPUTED_VALUE"""),45541.99861111111)</f>
        <v>45541.99861</v>
      </c>
      <c r="D3319" s="433">
        <f>IFERROR(__xludf.DUMMYFUNCTION("""COMPUTED_VALUE"""),2367.7747)</f>
        <v>2367.7747</v>
      </c>
    </row>
    <row r="3320">
      <c r="A3320" s="434">
        <f>IFERROR(__xludf.DUMMYFUNCTION("""COMPUTED_VALUE"""),45959.99861111111)</f>
        <v>45959.99861</v>
      </c>
      <c r="B3320" s="433">
        <f>IFERROR(__xludf.DUMMYFUNCTION("""COMPUTED_VALUE"""),112562.7)</f>
        <v>112562.7</v>
      </c>
      <c r="C3320" s="434">
        <f>IFERROR(__xludf.DUMMYFUNCTION("""COMPUTED_VALUE"""),45542.99861111111)</f>
        <v>45542.99861</v>
      </c>
      <c r="D3320" s="433">
        <f>IFERROR(__xludf.DUMMYFUNCTION("""COMPUTED_VALUE"""),2224.5687)</f>
        <v>2224.5687</v>
      </c>
    </row>
    <row r="3321">
      <c r="A3321" s="434">
        <f>IFERROR(__xludf.DUMMYFUNCTION("""COMPUTED_VALUE"""),45960.99861111111)</f>
        <v>45960.99861</v>
      </c>
      <c r="B3321" s="433">
        <f>IFERROR(__xludf.DUMMYFUNCTION("""COMPUTED_VALUE"""),110670.7)</f>
        <v>110670.7</v>
      </c>
      <c r="C3321" s="434">
        <f>IFERROR(__xludf.DUMMYFUNCTION("""COMPUTED_VALUE"""),45543.99861111111)</f>
        <v>45543.99861</v>
      </c>
      <c r="D3321" s="433">
        <f>IFERROR(__xludf.DUMMYFUNCTION("""COMPUTED_VALUE"""),2273.6698)</f>
        <v>2273.6698</v>
      </c>
    </row>
    <row r="3322">
      <c r="A3322" s="434">
        <f>IFERROR(__xludf.DUMMYFUNCTION("""COMPUTED_VALUE"""),45961.99861111111)</f>
        <v>45961.99861</v>
      </c>
      <c r="B3322" s="433">
        <f>IFERROR(__xludf.DUMMYFUNCTION("""COMPUTED_VALUE"""),109243.2)</f>
        <v>109243.2</v>
      </c>
      <c r="C3322" s="434">
        <f>IFERROR(__xludf.DUMMYFUNCTION("""COMPUTED_VALUE"""),45544.99861111111)</f>
        <v>45544.99861</v>
      </c>
      <c r="D3322" s="433">
        <f>IFERROR(__xludf.DUMMYFUNCTION("""COMPUTED_VALUE"""),2297.2448)</f>
        <v>2297.2448</v>
      </c>
    </row>
    <row r="3323">
      <c r="A3323" s="434">
        <f>IFERROR(__xludf.DUMMYFUNCTION("""COMPUTED_VALUE"""),45962.99861111111)</f>
        <v>45962.99861</v>
      </c>
      <c r="B3323" s="433">
        <f>IFERROR(__xludf.DUMMYFUNCTION("""COMPUTED_VALUE"""),110267.2)</f>
        <v>110267.2</v>
      </c>
      <c r="C3323" s="434">
        <f>IFERROR(__xludf.DUMMYFUNCTION("""COMPUTED_VALUE"""),45545.99861111111)</f>
        <v>45545.99861</v>
      </c>
      <c r="D3323" s="433">
        <f>IFERROR(__xludf.DUMMYFUNCTION("""COMPUTED_VALUE"""),2359.8337)</f>
        <v>2359.8337</v>
      </c>
    </row>
    <row r="3324">
      <c r="A3324" s="434">
        <f>IFERROR(__xludf.DUMMYFUNCTION("""COMPUTED_VALUE"""),45963.99861111111)</f>
        <v>45963.99861</v>
      </c>
      <c r="B3324" s="433">
        <f>IFERROR(__xludf.DUMMYFUNCTION("""COMPUTED_VALUE"""),110087.4)</f>
        <v>110087.4</v>
      </c>
      <c r="C3324" s="434">
        <f>IFERROR(__xludf.DUMMYFUNCTION("""COMPUTED_VALUE"""),45546.99861111111)</f>
        <v>45546.99861</v>
      </c>
      <c r="D3324" s="433">
        <f>IFERROR(__xludf.DUMMYFUNCTION("""COMPUTED_VALUE"""),2388.4566)</f>
        <v>2388.4566</v>
      </c>
    </row>
    <row r="3325">
      <c r="A3325" s="434">
        <f>IFERROR(__xludf.DUMMYFUNCTION("""COMPUTED_VALUE"""),45964.99861111111)</f>
        <v>45964.99861</v>
      </c>
      <c r="B3325" s="433">
        <f>IFERROR(__xludf.DUMMYFUNCTION("""COMPUTED_VALUE"""),107870.7)</f>
        <v>107870.7</v>
      </c>
      <c r="C3325" s="434">
        <f>IFERROR(__xludf.DUMMYFUNCTION("""COMPUTED_VALUE"""),45547.99861111111)</f>
        <v>45547.99861</v>
      </c>
      <c r="D3325" s="433">
        <f>IFERROR(__xludf.DUMMYFUNCTION("""COMPUTED_VALUE"""),2340.7501)</f>
        <v>2340.7501</v>
      </c>
    </row>
    <row r="3326">
      <c r="A3326" s="434">
        <f>IFERROR(__xludf.DUMMYFUNCTION("""COMPUTED_VALUE"""),45965.99861111111)</f>
        <v>45965.99861</v>
      </c>
      <c r="B3326" s="433">
        <f>IFERROR(__xludf.DUMMYFUNCTION("""COMPUTED_VALUE"""),106774.8)</f>
        <v>106774.8</v>
      </c>
      <c r="C3326" s="434">
        <f>IFERROR(__xludf.DUMMYFUNCTION("""COMPUTED_VALUE"""),45548.99861111111)</f>
        <v>45548.99861</v>
      </c>
      <c r="D3326" s="433">
        <f>IFERROR(__xludf.DUMMYFUNCTION("""COMPUTED_VALUE"""),2361.7359)</f>
        <v>2361.7359</v>
      </c>
    </row>
    <row r="3327">
      <c r="A3327" s="434">
        <f>IFERROR(__xludf.DUMMYFUNCTION("""COMPUTED_VALUE"""),45966.99861111111)</f>
        <v>45966.99861</v>
      </c>
      <c r="B3327" s="433">
        <f>IFERROR(__xludf.DUMMYFUNCTION("""COMPUTED_VALUE"""),101937.4)</f>
        <v>101937.4</v>
      </c>
      <c r="C3327" s="434">
        <f>IFERROR(__xludf.DUMMYFUNCTION("""COMPUTED_VALUE"""),45549.99861111111)</f>
        <v>45549.99861</v>
      </c>
      <c r="D3327" s="433">
        <f>IFERROR(__xludf.DUMMYFUNCTION("""COMPUTED_VALUE"""),2441.1237)</f>
        <v>2441.1237</v>
      </c>
    </row>
    <row r="3328">
      <c r="A3328" s="434">
        <f>IFERROR(__xludf.DUMMYFUNCTION("""COMPUTED_VALUE"""),45967.99861111111)</f>
        <v>45967.99861</v>
      </c>
      <c r="B3328" s="433">
        <f>IFERROR(__xludf.DUMMYFUNCTION("""COMPUTED_VALUE"""),103976.1)</f>
        <v>103976.1</v>
      </c>
      <c r="C3328" s="434">
        <f>IFERROR(__xludf.DUMMYFUNCTION("""COMPUTED_VALUE"""),45550.99861111111)</f>
        <v>45550.99861</v>
      </c>
      <c r="D3328" s="433">
        <f>IFERROR(__xludf.DUMMYFUNCTION("""COMPUTED_VALUE"""),2418.4503)</f>
        <v>2418.4503</v>
      </c>
    </row>
    <row r="3329">
      <c r="A3329" s="434">
        <f>IFERROR(__xludf.DUMMYFUNCTION("""COMPUTED_VALUE"""),45968.99861111111)</f>
        <v>45968.99861</v>
      </c>
      <c r="B3329" s="433">
        <f>IFERROR(__xludf.DUMMYFUNCTION("""COMPUTED_VALUE"""),101913.8)</f>
        <v>101913.8</v>
      </c>
      <c r="C3329" s="434">
        <f>IFERROR(__xludf.DUMMYFUNCTION("""COMPUTED_VALUE"""),45551.99861111111)</f>
        <v>45551.99861</v>
      </c>
      <c r="D3329" s="433">
        <f>IFERROR(__xludf.DUMMYFUNCTION("""COMPUTED_VALUE"""),2317.0989)</f>
        <v>2317.0989</v>
      </c>
    </row>
    <row r="3330">
      <c r="A3330" s="434">
        <f>IFERROR(__xludf.DUMMYFUNCTION("""COMPUTED_VALUE"""),45969.99861111111)</f>
        <v>45969.99861</v>
      </c>
      <c r="B3330" s="433">
        <f>IFERROR(__xludf.DUMMYFUNCTION("""COMPUTED_VALUE"""),102535.7)</f>
        <v>102535.7</v>
      </c>
      <c r="C3330" s="434">
        <f>IFERROR(__xludf.DUMMYFUNCTION("""COMPUTED_VALUE"""),45552.99861111111)</f>
        <v>45552.99861</v>
      </c>
      <c r="D3330" s="433">
        <f>IFERROR(__xludf.DUMMYFUNCTION("""COMPUTED_VALUE"""),2295.2957)</f>
        <v>2295.2957</v>
      </c>
    </row>
    <row r="3331">
      <c r="A3331" s="434">
        <f>IFERROR(__xludf.DUMMYFUNCTION("""COMPUTED_VALUE"""),45970.99861111111)</f>
        <v>45970.99861</v>
      </c>
      <c r="B3331" s="433">
        <f>IFERROR(__xludf.DUMMYFUNCTION("""COMPUTED_VALUE"""),101740.2)</f>
        <v>101740.2</v>
      </c>
      <c r="C3331" s="434">
        <f>IFERROR(__xludf.DUMMYFUNCTION("""COMPUTED_VALUE"""),45553.99861111111)</f>
        <v>45553.99861</v>
      </c>
      <c r="D3331" s="433">
        <f>IFERROR(__xludf.DUMMYFUNCTION("""COMPUTED_VALUE"""),2341.9032)</f>
        <v>2341.9032</v>
      </c>
    </row>
    <row r="3332">
      <c r="A3332" s="434">
        <f>IFERROR(__xludf.DUMMYFUNCTION("""COMPUTED_VALUE"""),45971.99861111111)</f>
        <v>45971.99861</v>
      </c>
      <c r="B3332" s="433">
        <f>IFERROR(__xludf.DUMMYFUNCTION("""COMPUTED_VALUE"""),106164.8)</f>
        <v>106164.8</v>
      </c>
      <c r="C3332" s="434">
        <f>IFERROR(__xludf.DUMMYFUNCTION("""COMPUTED_VALUE"""),45554.99861111111)</f>
        <v>45554.99861</v>
      </c>
      <c r="D3332" s="433">
        <f>IFERROR(__xludf.DUMMYFUNCTION("""COMPUTED_VALUE"""),2374.578)</f>
        <v>2374.578</v>
      </c>
    </row>
    <row r="3333">
      <c r="A3333" s="434">
        <f>IFERROR(__xludf.DUMMYFUNCTION("""COMPUTED_VALUE"""),45972.99861111111)</f>
        <v>45972.99861</v>
      </c>
      <c r="B3333" s="433">
        <f>IFERROR(__xludf.DUMMYFUNCTION("""COMPUTED_VALUE"""),105733.0)</f>
        <v>105733</v>
      </c>
      <c r="C3333" s="434">
        <f>IFERROR(__xludf.DUMMYFUNCTION("""COMPUTED_VALUE"""),45555.99861111111)</f>
        <v>45555.99861</v>
      </c>
      <c r="D3333" s="433">
        <f>IFERROR(__xludf.DUMMYFUNCTION("""COMPUTED_VALUE"""),2465.7371)</f>
        <v>2465.7371</v>
      </c>
    </row>
    <row r="3334">
      <c r="A3334" s="434">
        <f>IFERROR(__xludf.DUMMYFUNCTION("""COMPUTED_VALUE"""),45973.99861111111)</f>
        <v>45973.99861</v>
      </c>
      <c r="B3334" s="433">
        <f>IFERROR(__xludf.DUMMYFUNCTION("""COMPUTED_VALUE"""),103227.0)</f>
        <v>103227</v>
      </c>
      <c r="C3334" s="434">
        <f>IFERROR(__xludf.DUMMYFUNCTION("""COMPUTED_VALUE"""),45556.99861111111)</f>
        <v>45556.99861</v>
      </c>
      <c r="D3334" s="433">
        <f>IFERROR(__xludf.DUMMYFUNCTION("""COMPUTED_VALUE"""),2561.1957)</f>
        <v>2561.1957</v>
      </c>
    </row>
    <row r="3335">
      <c r="A3335" s="434">
        <f>IFERROR(__xludf.DUMMYFUNCTION("""COMPUTED_VALUE"""),45974.99861111111)</f>
        <v>45974.99861</v>
      </c>
      <c r="B3335" s="433">
        <f>IFERROR(__xludf.DUMMYFUNCTION("""COMPUTED_VALUE"""),102177.3)</f>
        <v>102177.3</v>
      </c>
      <c r="C3335" s="434">
        <f>IFERROR(__xludf.DUMMYFUNCTION("""COMPUTED_VALUE"""),45557.99861111111)</f>
        <v>45557.99861</v>
      </c>
      <c r="D3335" s="433">
        <f>IFERROR(__xludf.DUMMYFUNCTION("""COMPUTED_VALUE"""),2614.2467)</f>
        <v>2614.2467</v>
      </c>
    </row>
    <row r="3336">
      <c r="A3336" s="434">
        <f>IFERROR(__xludf.DUMMYFUNCTION("""COMPUTED_VALUE"""),45975.99861111111)</f>
        <v>45975.99861</v>
      </c>
      <c r="B3336" s="433">
        <f>IFERROR(__xludf.DUMMYFUNCTION("""COMPUTED_VALUE"""),97826.84)</f>
        <v>97826.84</v>
      </c>
      <c r="C3336" s="434">
        <f>IFERROR(__xludf.DUMMYFUNCTION("""COMPUTED_VALUE"""),45558.99861111111)</f>
        <v>45558.99861</v>
      </c>
      <c r="D3336" s="433">
        <f>IFERROR(__xludf.DUMMYFUNCTION("""COMPUTED_VALUE"""),2582.1808)</f>
        <v>2582.1808</v>
      </c>
    </row>
    <row r="3337">
      <c r="A3337" s="434">
        <f>IFERROR(__xludf.DUMMYFUNCTION("""COMPUTED_VALUE"""),45976.99861111111)</f>
        <v>45976.99861</v>
      </c>
      <c r="B3337" s="433">
        <f>IFERROR(__xludf.DUMMYFUNCTION("""COMPUTED_VALUE"""),96129.48)</f>
        <v>96129.48</v>
      </c>
      <c r="C3337" s="434">
        <f>IFERROR(__xludf.DUMMYFUNCTION("""COMPUTED_VALUE"""),45559.99861111111)</f>
        <v>45559.99861</v>
      </c>
      <c r="D3337" s="433">
        <f>IFERROR(__xludf.DUMMYFUNCTION("""COMPUTED_VALUE"""),2647.9102)</f>
        <v>2647.9102</v>
      </c>
    </row>
    <row r="3338">
      <c r="A3338" s="434">
        <f>IFERROR(__xludf.DUMMYFUNCTION("""COMPUTED_VALUE"""),45977.99861111111)</f>
        <v>45977.99861</v>
      </c>
      <c r="B3338" s="433">
        <f>IFERROR(__xludf.DUMMYFUNCTION("""COMPUTED_VALUE"""),95801.09)</f>
        <v>95801.09</v>
      </c>
      <c r="C3338" s="434">
        <f>IFERROR(__xludf.DUMMYFUNCTION("""COMPUTED_VALUE"""),45560.99861111111)</f>
        <v>45560.99861</v>
      </c>
      <c r="D3338" s="433">
        <f>IFERROR(__xludf.DUMMYFUNCTION("""COMPUTED_VALUE"""),2653.4733)</f>
        <v>2653.4733</v>
      </c>
    </row>
    <row r="3339">
      <c r="A3339" s="434">
        <f>IFERROR(__xludf.DUMMYFUNCTION("""COMPUTED_VALUE"""),45978.99861111111)</f>
        <v>45978.99861</v>
      </c>
      <c r="B3339" s="433">
        <f>IFERROR(__xludf.DUMMYFUNCTION("""COMPUTED_VALUE"""),95168.88)</f>
        <v>95168.88</v>
      </c>
      <c r="C3339" s="434">
        <f>IFERROR(__xludf.DUMMYFUNCTION("""COMPUTED_VALUE"""),45561.99861111111)</f>
        <v>45561.99861</v>
      </c>
      <c r="D3339" s="433">
        <f>IFERROR(__xludf.DUMMYFUNCTION("""COMPUTED_VALUE"""),2579.4156)</f>
        <v>2579.4156</v>
      </c>
    </row>
    <row r="3340">
      <c r="A3340" s="434">
        <f>IFERROR(__xludf.DUMMYFUNCTION("""COMPUTED_VALUE"""),45979.99861111111)</f>
        <v>45979.99861</v>
      </c>
      <c r="B3340" s="433">
        <f>IFERROR(__xludf.DUMMYFUNCTION("""COMPUTED_VALUE"""),90089.49)</f>
        <v>90089.49</v>
      </c>
      <c r="C3340" s="434">
        <f>IFERROR(__xludf.DUMMYFUNCTION("""COMPUTED_VALUE"""),45562.99861111111)</f>
        <v>45562.99861</v>
      </c>
      <c r="D3340" s="433">
        <f>IFERROR(__xludf.DUMMYFUNCTION("""COMPUTED_VALUE"""),2632.4732)</f>
        <v>2632.4732</v>
      </c>
    </row>
    <row r="3341">
      <c r="A3341" s="434">
        <f>IFERROR(__xludf.DUMMYFUNCTION("""COMPUTED_VALUE"""),45980.99861111111)</f>
        <v>45980.99861</v>
      </c>
      <c r="B3341" s="433">
        <f>IFERROR(__xludf.DUMMYFUNCTION("""COMPUTED_VALUE"""),91386.52)</f>
        <v>91386.52</v>
      </c>
      <c r="C3341" s="434">
        <f>IFERROR(__xludf.DUMMYFUNCTION("""COMPUTED_VALUE"""),45563.99861111111)</f>
        <v>45563.99861</v>
      </c>
      <c r="D3341" s="433">
        <f>IFERROR(__xludf.DUMMYFUNCTION("""COMPUTED_VALUE"""),2695.3744)</f>
        <v>2695.3744</v>
      </c>
    </row>
    <row r="3342">
      <c r="A3342" s="434">
        <f>IFERROR(__xludf.DUMMYFUNCTION("""COMPUTED_VALUE"""),45981.99861111111)</f>
        <v>45981.99861</v>
      </c>
      <c r="B3342" s="433">
        <f>IFERROR(__xludf.DUMMYFUNCTION("""COMPUTED_VALUE"""),92760.46)</f>
        <v>92760.46</v>
      </c>
      <c r="C3342" s="434">
        <f>IFERROR(__xludf.DUMMYFUNCTION("""COMPUTED_VALUE"""),45564.99861111111)</f>
        <v>45564.99861</v>
      </c>
      <c r="D3342" s="433">
        <f>IFERROR(__xludf.DUMMYFUNCTION("""COMPUTED_VALUE"""),2676.939)</f>
        <v>2676.939</v>
      </c>
    </row>
    <row r="3343">
      <c r="A3343" s="434">
        <f>IFERROR(__xludf.DUMMYFUNCTION("""COMPUTED_VALUE"""),45982.99861111111)</f>
        <v>45982.99861</v>
      </c>
      <c r="B3343" s="433">
        <f>IFERROR(__xludf.DUMMYFUNCTION("""COMPUTED_VALUE"""),85973.09)</f>
        <v>85973.09</v>
      </c>
      <c r="C3343" s="434">
        <f>IFERROR(__xludf.DUMMYFUNCTION("""COMPUTED_VALUE"""),45565.99861111111)</f>
        <v>45565.99861</v>
      </c>
      <c r="D3343" s="433">
        <f>IFERROR(__xludf.DUMMYFUNCTION("""COMPUTED_VALUE"""),2658.1855)</f>
        <v>2658.1855</v>
      </c>
    </row>
    <row r="3344">
      <c r="A3344" s="434">
        <f>IFERROR(__xludf.DUMMYFUNCTION("""COMPUTED_VALUE"""),45983.99861111111)</f>
        <v>45983.99861</v>
      </c>
      <c r="B3344" s="433">
        <f>IFERROR(__xludf.DUMMYFUNCTION("""COMPUTED_VALUE"""),84209.42)</f>
        <v>84209.42</v>
      </c>
      <c r="C3344" s="434">
        <f>IFERROR(__xludf.DUMMYFUNCTION("""COMPUTED_VALUE"""),45566.99861111111)</f>
        <v>45566.99861</v>
      </c>
      <c r="D3344" s="433">
        <f>IFERROR(__xludf.DUMMYFUNCTION("""COMPUTED_VALUE"""),2602.0305)</f>
        <v>2602.0305</v>
      </c>
    </row>
    <row r="3345">
      <c r="A3345" s="434">
        <f>IFERROR(__xludf.DUMMYFUNCTION("""COMPUTED_VALUE"""),45984.99861111111)</f>
        <v>45984.99861</v>
      </c>
      <c r="B3345" s="433">
        <f>IFERROR(__xludf.DUMMYFUNCTION("""COMPUTED_VALUE"""),86540.84)</f>
        <v>86540.84</v>
      </c>
      <c r="C3345" s="434">
        <f>IFERROR(__xludf.DUMMYFUNCTION("""COMPUTED_VALUE"""),45567.99861111111)</f>
        <v>45567.99861</v>
      </c>
      <c r="D3345" s="433">
        <f>IFERROR(__xludf.DUMMYFUNCTION("""COMPUTED_VALUE"""),2448.5495)</f>
        <v>2448.5495</v>
      </c>
    </row>
    <row r="3346">
      <c r="A3346" s="434">
        <f>IFERROR(__xludf.DUMMYFUNCTION("""COMPUTED_VALUE"""),45985.99861111111)</f>
        <v>45985.99861</v>
      </c>
      <c r="B3346" s="433">
        <f>IFERROR(__xludf.DUMMYFUNCTION("""COMPUTED_VALUE"""),86719.09)</f>
        <v>86719.09</v>
      </c>
      <c r="C3346" s="434">
        <f>IFERROR(__xludf.DUMMYFUNCTION("""COMPUTED_VALUE"""),45568.99861111111)</f>
        <v>45568.99861</v>
      </c>
      <c r="D3346" s="433">
        <f>IFERROR(__xludf.DUMMYFUNCTION("""COMPUTED_VALUE"""),2363.9549)</f>
        <v>2363.9549</v>
      </c>
    </row>
    <row r="3347">
      <c r="A3347" s="434">
        <f>IFERROR(__xludf.DUMMYFUNCTION("""COMPUTED_VALUE"""),45986.99861111111)</f>
        <v>45986.99861</v>
      </c>
      <c r="B3347" s="433">
        <f>IFERROR(__xludf.DUMMYFUNCTION("""COMPUTED_VALUE"""),88321.3)</f>
        <v>88321.3</v>
      </c>
      <c r="C3347" s="434">
        <f>IFERROR(__xludf.DUMMYFUNCTION("""COMPUTED_VALUE"""),45569.99861111111)</f>
        <v>45569.99861</v>
      </c>
      <c r="D3347" s="433">
        <f>IFERROR(__xludf.DUMMYFUNCTION("""COMPUTED_VALUE"""),2349.5753)</f>
        <v>2349.5753</v>
      </c>
    </row>
    <row r="3348">
      <c r="A3348" s="434">
        <f>IFERROR(__xludf.DUMMYFUNCTION("""COMPUTED_VALUE"""),45987.99861111111)</f>
        <v>45987.99861</v>
      </c>
      <c r="B3348" s="433">
        <f>IFERROR(__xludf.DUMMYFUNCTION("""COMPUTED_VALUE"""),87244.85)</f>
        <v>87244.85</v>
      </c>
      <c r="C3348" s="434">
        <f>IFERROR(__xludf.DUMMYFUNCTION("""COMPUTED_VALUE"""),45570.99861111111)</f>
        <v>45570.99861</v>
      </c>
      <c r="D3348" s="433">
        <f>IFERROR(__xludf.DUMMYFUNCTION("""COMPUTED_VALUE"""),2414.4668)</f>
        <v>2414.4668</v>
      </c>
    </row>
    <row r="3349">
      <c r="A3349" s="434">
        <f>IFERROR(__xludf.DUMMYFUNCTION("""COMPUTED_VALUE"""),45988.99861111111)</f>
        <v>45988.99861</v>
      </c>
      <c r="B3349" s="433">
        <f>IFERROR(__xludf.DUMMYFUNCTION("""COMPUTED_VALUE"""),91284.55)</f>
        <v>91284.55</v>
      </c>
      <c r="C3349" s="434">
        <f>IFERROR(__xludf.DUMMYFUNCTION("""COMPUTED_VALUE"""),45571.99861111111)</f>
        <v>45571.99861</v>
      </c>
      <c r="D3349" s="433">
        <f>IFERROR(__xludf.DUMMYFUNCTION("""COMPUTED_VALUE"""),2414.7628)</f>
        <v>2414.7628</v>
      </c>
    </row>
    <row r="3350">
      <c r="A3350" s="434">
        <f>IFERROR(__xludf.DUMMYFUNCTION("""COMPUTED_VALUE"""),45989.99861111111)</f>
        <v>45989.99861</v>
      </c>
      <c r="B3350" s="433">
        <f>IFERROR(__xludf.DUMMYFUNCTION("""COMPUTED_VALUE"""),91452.75)</f>
        <v>91452.75</v>
      </c>
      <c r="C3350" s="434">
        <f>IFERROR(__xludf.DUMMYFUNCTION("""COMPUTED_VALUE"""),45572.99861111111)</f>
        <v>45572.99861</v>
      </c>
      <c r="D3350" s="433">
        <f>IFERROR(__xludf.DUMMYFUNCTION("""COMPUTED_VALUE"""),2439.8231)</f>
        <v>2439.8231</v>
      </c>
    </row>
    <row r="3351">
      <c r="A3351" s="434">
        <f>IFERROR(__xludf.DUMMYFUNCTION("""COMPUTED_VALUE"""),45990.99861111111)</f>
        <v>45990.99861</v>
      </c>
      <c r="B3351" s="433">
        <f>IFERROR(__xludf.DUMMYFUNCTION("""COMPUTED_VALUE"""),90869.59)</f>
        <v>90869.59</v>
      </c>
      <c r="C3351" s="434">
        <f>IFERROR(__xludf.DUMMYFUNCTION("""COMPUTED_VALUE"""),45573.99861111111)</f>
        <v>45573.99861</v>
      </c>
      <c r="D3351" s="433">
        <f>IFERROR(__xludf.DUMMYFUNCTION("""COMPUTED_VALUE"""),2422.3408)</f>
        <v>2422.3408</v>
      </c>
    </row>
    <row r="3352">
      <c r="A3352" s="434">
        <f>IFERROR(__xludf.DUMMYFUNCTION("""COMPUTED_VALUE"""),45991.99861111111)</f>
        <v>45991.99861</v>
      </c>
      <c r="B3352" s="433">
        <f>IFERROR(__xludf.DUMMYFUNCTION("""COMPUTED_VALUE"""),90899.38)</f>
        <v>90899.38</v>
      </c>
      <c r="C3352" s="434">
        <f>IFERROR(__xludf.DUMMYFUNCTION("""COMPUTED_VALUE"""),45574.99861111111)</f>
        <v>45574.99861</v>
      </c>
      <c r="D3352" s="433">
        <f>IFERROR(__xludf.DUMMYFUNCTION("""COMPUTED_VALUE"""),2439.5758)</f>
        <v>2439.5758</v>
      </c>
    </row>
    <row r="3353">
      <c r="A3353" s="434">
        <f>IFERROR(__xludf.DUMMYFUNCTION("""COMPUTED_VALUE"""),45992.99861111111)</f>
        <v>45992.99861</v>
      </c>
      <c r="B3353" s="433">
        <f>IFERROR(__xludf.DUMMYFUNCTION("""COMPUTED_VALUE"""),85807.97)</f>
        <v>85807.97</v>
      </c>
      <c r="C3353" s="434">
        <f>IFERROR(__xludf.DUMMYFUNCTION("""COMPUTED_VALUE"""),45575.99861111111)</f>
        <v>45575.99861</v>
      </c>
      <c r="D3353" s="433">
        <f>IFERROR(__xludf.DUMMYFUNCTION("""COMPUTED_VALUE"""),2368.0631)</f>
        <v>2368.0631</v>
      </c>
    </row>
    <row r="3354">
      <c r="A3354" s="434">
        <f>IFERROR(__xludf.DUMMYFUNCTION("""COMPUTED_VALUE"""),45993.99861111111)</f>
        <v>45993.99861</v>
      </c>
      <c r="B3354" s="433">
        <f>IFERROR(__xludf.DUMMYFUNCTION("""COMPUTED_VALUE"""),86966.17)</f>
        <v>86966.17</v>
      </c>
      <c r="C3354" s="434">
        <f>IFERROR(__xludf.DUMMYFUNCTION("""COMPUTED_VALUE"""),45576.99861111111)</f>
        <v>45576.99861</v>
      </c>
      <c r="D3354" s="433">
        <f>IFERROR(__xludf.DUMMYFUNCTION("""COMPUTED_VALUE"""),2384.107)</f>
        <v>2384.107</v>
      </c>
    </row>
    <row r="3355">
      <c r="A3355" s="434">
        <f>IFERROR(__xludf.DUMMYFUNCTION("""COMPUTED_VALUE"""),45994.99861111111)</f>
        <v>45994.99861</v>
      </c>
      <c r="B3355" s="433">
        <f>IFERROR(__xludf.DUMMYFUNCTION("""COMPUTED_VALUE"""),93258.06)</f>
        <v>93258.06</v>
      </c>
      <c r="C3355" s="434">
        <f>IFERROR(__xludf.DUMMYFUNCTION("""COMPUTED_VALUE"""),45577.99861111111)</f>
        <v>45577.99861</v>
      </c>
      <c r="D3355" s="433">
        <f>IFERROR(__xludf.DUMMYFUNCTION("""COMPUTED_VALUE"""),2438.4465)</f>
        <v>2438.4465</v>
      </c>
    </row>
    <row r="3356">
      <c r="A3356" s="434">
        <f>IFERROR(__xludf.DUMMYFUNCTION("""COMPUTED_VALUE"""),45995.99861111111)</f>
        <v>45995.99861</v>
      </c>
      <c r="B3356" s="433">
        <f>IFERROR(__xludf.DUMMYFUNCTION("""COMPUTED_VALUE"""),93346.89)</f>
        <v>93346.89</v>
      </c>
      <c r="C3356" s="434">
        <f>IFERROR(__xludf.DUMMYFUNCTION("""COMPUTED_VALUE"""),45578.99861111111)</f>
        <v>45578.99861</v>
      </c>
      <c r="D3356" s="433">
        <f>IFERROR(__xludf.DUMMYFUNCTION("""COMPUTED_VALUE"""),2475.97)</f>
        <v>2475.97</v>
      </c>
    </row>
    <row r="3357">
      <c r="A3357" s="434">
        <f>IFERROR(__xludf.DUMMYFUNCTION("""COMPUTED_VALUE"""),45996.99861111111)</f>
        <v>45996.99861</v>
      </c>
      <c r="B3357" s="433">
        <f>IFERROR(__xludf.DUMMYFUNCTION("""COMPUTED_VALUE"""),92027.11)</f>
        <v>92027.11</v>
      </c>
      <c r="C3357" s="434">
        <f>IFERROR(__xludf.DUMMYFUNCTION("""COMPUTED_VALUE"""),45579.99861111111)</f>
        <v>45579.99861</v>
      </c>
      <c r="D3357" s="433">
        <f>IFERROR(__xludf.DUMMYFUNCTION("""COMPUTED_VALUE"""),2467.3639)</f>
        <v>2467.3639</v>
      </c>
    </row>
    <row r="3358">
      <c r="A3358" s="434">
        <f>IFERROR(__xludf.DUMMYFUNCTION("""COMPUTED_VALUE"""),45997.99861111111)</f>
        <v>45997.99861</v>
      </c>
      <c r="B3358" s="433">
        <f>IFERROR(__xludf.DUMMYFUNCTION("""COMPUTED_VALUE"""),89708.7)</f>
        <v>89708.7</v>
      </c>
      <c r="C3358" s="434">
        <f>IFERROR(__xludf.DUMMYFUNCTION("""COMPUTED_VALUE"""),45580.99861111111)</f>
        <v>45580.99861</v>
      </c>
      <c r="D3358" s="433">
        <f>IFERROR(__xludf.DUMMYFUNCTION("""COMPUTED_VALUE"""),2629.2153)</f>
        <v>2629.2153</v>
      </c>
    </row>
    <row r="3359">
      <c r="A3359" s="434">
        <f>IFERROR(__xludf.DUMMYFUNCTION("""COMPUTED_VALUE"""),45998.99861111111)</f>
        <v>45998.99861</v>
      </c>
      <c r="B3359" s="433">
        <f>IFERROR(__xludf.DUMMYFUNCTION("""COMPUTED_VALUE"""),89579.54)</f>
        <v>89579.54</v>
      </c>
      <c r="C3359" s="434">
        <f>IFERROR(__xludf.DUMMYFUNCTION("""COMPUTED_VALUE"""),45581.99861111111)</f>
        <v>45581.99861</v>
      </c>
      <c r="D3359" s="433">
        <f>IFERROR(__xludf.DUMMYFUNCTION("""COMPUTED_VALUE"""),2606.9622)</f>
        <v>2606.9622</v>
      </c>
    </row>
    <row r="3360">
      <c r="A3360" s="434">
        <f>IFERROR(__xludf.DUMMYFUNCTION("""COMPUTED_VALUE"""),45999.99861111111)</f>
        <v>45999.99861</v>
      </c>
      <c r="B3360" s="433">
        <f>IFERROR(__xludf.DUMMYFUNCTION("""COMPUTED_VALUE"""),91282.38)</f>
        <v>91282.38</v>
      </c>
      <c r="C3360" s="434">
        <f>IFERROR(__xludf.DUMMYFUNCTION("""COMPUTED_VALUE"""),45582.99861111111)</f>
        <v>45582.99861</v>
      </c>
      <c r="D3360" s="433">
        <f>IFERROR(__xludf.DUMMYFUNCTION("""COMPUTED_VALUE"""),2610.7418)</f>
        <v>2610.7418</v>
      </c>
    </row>
    <row r="3361">
      <c r="A3361" s="434">
        <f>IFERROR(__xludf.DUMMYFUNCTION("""COMPUTED_VALUE"""),46000.99861111111)</f>
        <v>46000.99861</v>
      </c>
      <c r="B3361" s="433">
        <f>IFERROR(__xludf.DUMMYFUNCTION("""COMPUTED_VALUE"""),89955.87)</f>
        <v>89955.87</v>
      </c>
      <c r="C3361" s="434">
        <f>IFERROR(__xludf.DUMMYFUNCTION("""COMPUTED_VALUE"""),45583.99861111111)</f>
        <v>45583.99861</v>
      </c>
      <c r="D3361" s="433">
        <f>IFERROR(__xludf.DUMMYFUNCTION("""COMPUTED_VALUE"""),2605.2321)</f>
        <v>2605.2321</v>
      </c>
    </row>
    <row r="3362">
      <c r="A3362" s="434">
        <f>IFERROR(__xludf.DUMMYFUNCTION("""COMPUTED_VALUE"""),46001.99861111111)</f>
        <v>46001.99861</v>
      </c>
      <c r="B3362" s="433">
        <f>IFERROR(__xludf.DUMMYFUNCTION("""COMPUTED_VALUE"""),92571.52)</f>
        <v>92571.52</v>
      </c>
      <c r="C3362" s="434">
        <f>IFERROR(__xludf.DUMMYFUNCTION("""COMPUTED_VALUE"""),45584.99861111111)</f>
        <v>45584.99861</v>
      </c>
      <c r="D3362" s="433">
        <f>IFERROR(__xludf.DUMMYFUNCTION("""COMPUTED_VALUE"""),2641.7632)</f>
        <v>2641.7632</v>
      </c>
    </row>
    <row r="3363">
      <c r="A3363" s="434">
        <f>IFERROR(__xludf.DUMMYFUNCTION("""COMPUTED_VALUE"""),46002.99861111111)</f>
        <v>46002.99861</v>
      </c>
      <c r="B3363" s="433">
        <f>IFERROR(__xludf.DUMMYFUNCTION("""COMPUTED_VALUE"""),90467.98)</f>
        <v>90467.98</v>
      </c>
      <c r="C3363" s="434">
        <f>IFERROR(__xludf.DUMMYFUNCTION("""COMPUTED_VALUE"""),45585.99861111111)</f>
        <v>45585.99861</v>
      </c>
      <c r="D3363" s="433">
        <f>IFERROR(__xludf.DUMMYFUNCTION("""COMPUTED_VALUE"""),2648.7812)</f>
        <v>2648.7812</v>
      </c>
    </row>
    <row r="3364">
      <c r="A3364" s="434">
        <f>IFERROR(__xludf.DUMMYFUNCTION("""COMPUTED_VALUE"""),46003.99861111111)</f>
        <v>46003.99861</v>
      </c>
      <c r="B3364" s="433">
        <f>IFERROR(__xludf.DUMMYFUNCTION("""COMPUTED_VALUE"""),92399.02)</f>
        <v>92399.02</v>
      </c>
      <c r="C3364" s="434">
        <f>IFERROR(__xludf.DUMMYFUNCTION("""COMPUTED_VALUE"""),45586.99861111111)</f>
        <v>45586.99861</v>
      </c>
      <c r="D3364" s="433">
        <f>IFERROR(__xludf.DUMMYFUNCTION("""COMPUTED_VALUE"""),2746.2156)</f>
        <v>2746.2156</v>
      </c>
    </row>
    <row r="3365">
      <c r="A3365" s="434">
        <f>IFERROR(__xludf.DUMMYFUNCTION("""COMPUTED_VALUE"""),46004.99861111111)</f>
        <v>46004.99861</v>
      </c>
      <c r="B3365" s="433">
        <f>IFERROR(__xludf.DUMMYFUNCTION("""COMPUTED_VALUE"""),90401.97)</f>
        <v>90401.97</v>
      </c>
      <c r="C3365" s="434">
        <f>IFERROR(__xludf.DUMMYFUNCTION("""COMPUTED_VALUE"""),45587.99861111111)</f>
        <v>45587.99861</v>
      </c>
      <c r="D3365" s="433">
        <f>IFERROR(__xludf.DUMMYFUNCTION("""COMPUTED_VALUE"""),2665.6262)</f>
        <v>2665.6262</v>
      </c>
    </row>
    <row r="3366">
      <c r="A3366" s="434">
        <f>IFERROR(__xludf.DUMMYFUNCTION("""COMPUTED_VALUE"""),46005.99861111111)</f>
        <v>46005.99861</v>
      </c>
      <c r="B3366" s="433">
        <f>IFERROR(__xludf.DUMMYFUNCTION("""COMPUTED_VALUE"""),90207.59)</f>
        <v>90207.59</v>
      </c>
      <c r="C3366" s="434">
        <f>IFERROR(__xludf.DUMMYFUNCTION("""COMPUTED_VALUE"""),45588.99861111111)</f>
        <v>45588.99861</v>
      </c>
      <c r="D3366" s="433">
        <f>IFERROR(__xludf.DUMMYFUNCTION("""COMPUTED_VALUE"""),2620.6179)</f>
        <v>2620.6179</v>
      </c>
    </row>
    <row r="3367">
      <c r="A3367" s="434">
        <f>IFERROR(__xludf.DUMMYFUNCTION("""COMPUTED_VALUE"""),46006.99861111111)</f>
        <v>46006.99861</v>
      </c>
      <c r="B3367" s="433">
        <f>IFERROR(__xludf.DUMMYFUNCTION("""COMPUTED_VALUE"""),89679.57)</f>
        <v>89679.57</v>
      </c>
      <c r="C3367" s="434">
        <f>IFERROR(__xludf.DUMMYFUNCTION("""COMPUTED_VALUE"""),45589.99861111111)</f>
        <v>45589.99861</v>
      </c>
      <c r="D3367" s="433">
        <f>IFERROR(__xludf.DUMMYFUNCTION("""COMPUTED_VALUE"""),2523.2496)</f>
        <v>2523.2496</v>
      </c>
    </row>
    <row r="3368">
      <c r="A3368" s="434">
        <f>IFERROR(__xludf.DUMMYFUNCTION("""COMPUTED_VALUE"""),46007.99861111111)</f>
        <v>46007.99861</v>
      </c>
      <c r="B3368" s="433">
        <f>IFERROR(__xludf.DUMMYFUNCTION("""COMPUTED_VALUE"""),85827.9)</f>
        <v>85827.9</v>
      </c>
      <c r="C3368" s="434">
        <f>IFERROR(__xludf.DUMMYFUNCTION("""COMPUTED_VALUE"""),45590.99861111111)</f>
        <v>45590.99861</v>
      </c>
      <c r="D3368" s="433">
        <f>IFERROR(__xludf.DUMMYFUNCTION("""COMPUTED_VALUE"""),2534.5444)</f>
        <v>2534.5444</v>
      </c>
    </row>
    <row r="3369">
      <c r="A3369" s="434">
        <f>IFERROR(__xludf.DUMMYFUNCTION("""COMPUTED_VALUE"""),46008.99861111111)</f>
        <v>46008.99861</v>
      </c>
      <c r="B3369" s="433">
        <f>IFERROR(__xludf.DUMMYFUNCTION("""COMPUTED_VALUE"""),86794.84)</f>
        <v>86794.84</v>
      </c>
      <c r="C3369" s="434">
        <f>IFERROR(__xludf.DUMMYFUNCTION("""COMPUTED_VALUE"""),45591.99861111111)</f>
        <v>45591.99861</v>
      </c>
      <c r="D3369" s="433">
        <f>IFERROR(__xludf.DUMMYFUNCTION("""COMPUTED_VALUE"""),2435.9329)</f>
        <v>2435.9329</v>
      </c>
    </row>
    <row r="3370">
      <c r="A3370" s="434">
        <f>IFERROR(__xludf.DUMMYFUNCTION("""COMPUTED_VALUE"""),46009.99861111111)</f>
        <v>46009.99861</v>
      </c>
      <c r="B3370" s="433">
        <f>IFERROR(__xludf.DUMMYFUNCTION("""COMPUTED_VALUE"""),86757.41)</f>
        <v>86757.41</v>
      </c>
      <c r="C3370" s="434">
        <f>IFERROR(__xludf.DUMMYFUNCTION("""COMPUTED_VALUE"""),45592.99861111111)</f>
        <v>45592.99861</v>
      </c>
      <c r="D3370" s="433">
        <f>IFERROR(__xludf.DUMMYFUNCTION("""COMPUTED_VALUE"""),2479.9491)</f>
        <v>2479.9491</v>
      </c>
    </row>
    <row r="3371">
      <c r="A3371" s="434">
        <f>IFERROR(__xludf.DUMMYFUNCTION("""COMPUTED_VALUE"""),46010.99861111111)</f>
        <v>46010.99861</v>
      </c>
      <c r="B3371" s="433">
        <f>IFERROR(__xludf.DUMMYFUNCTION("""COMPUTED_VALUE"""),87073.13)</f>
        <v>87073.13</v>
      </c>
      <c r="C3371" s="434">
        <f>IFERROR(__xludf.DUMMYFUNCTION("""COMPUTED_VALUE"""),45593.99861111111)</f>
        <v>45593.99861</v>
      </c>
      <c r="D3371" s="433">
        <f>IFERROR(__xludf.DUMMYFUNCTION("""COMPUTED_VALUE"""),2505.7075)</f>
        <v>2505.7075</v>
      </c>
    </row>
    <row r="3372">
      <c r="A3372" s="434">
        <f>IFERROR(__xludf.DUMMYFUNCTION("""COMPUTED_VALUE"""),46011.99861111111)</f>
        <v>46011.99861</v>
      </c>
      <c r="B3372" s="433">
        <f>IFERROR(__xludf.DUMMYFUNCTION("""COMPUTED_VALUE"""),88252.01)</f>
        <v>88252.01</v>
      </c>
      <c r="C3372" s="434">
        <f>IFERROR(__xludf.DUMMYFUNCTION("""COMPUTED_VALUE"""),45594.99861111111)</f>
        <v>45594.99861</v>
      </c>
      <c r="D3372" s="433">
        <f>IFERROR(__xludf.DUMMYFUNCTION("""COMPUTED_VALUE"""),2565.7321)</f>
        <v>2565.7321</v>
      </c>
    </row>
    <row r="3373">
      <c r="A3373" s="434">
        <f>IFERROR(__xludf.DUMMYFUNCTION("""COMPUTED_VALUE"""),46012.99861111111)</f>
        <v>46012.99861</v>
      </c>
      <c r="B3373" s="433">
        <f>IFERROR(__xludf.DUMMYFUNCTION("""COMPUTED_VALUE"""),88081.58)</f>
        <v>88081.58</v>
      </c>
      <c r="C3373" s="434">
        <f>IFERROR(__xludf.DUMMYFUNCTION("""COMPUTED_VALUE"""),45595.99861111111)</f>
        <v>45595.99861</v>
      </c>
      <c r="D3373" s="433">
        <f>IFERROR(__xludf.DUMMYFUNCTION("""COMPUTED_VALUE"""),2637.7712)</f>
        <v>2637.7712</v>
      </c>
    </row>
    <row r="3374">
      <c r="A3374" s="434">
        <f>IFERROR(__xludf.DUMMYFUNCTION("""COMPUTED_VALUE"""),46013.99861111111)</f>
        <v>46013.99861</v>
      </c>
      <c r="B3374" s="433">
        <f>IFERROR(__xludf.DUMMYFUNCTION("""COMPUTED_VALUE"""),88877.88)</f>
        <v>88877.88</v>
      </c>
      <c r="C3374" s="434">
        <f>IFERROR(__xludf.DUMMYFUNCTION("""COMPUTED_VALUE"""),45596.99861111111)</f>
        <v>45596.99861</v>
      </c>
      <c r="D3374" s="433">
        <f>IFERROR(__xludf.DUMMYFUNCTION("""COMPUTED_VALUE"""),2658.2655)</f>
        <v>2658.2655</v>
      </c>
    </row>
    <row r="3375">
      <c r="A3375" s="434">
        <f>IFERROR(__xludf.DUMMYFUNCTION("""COMPUTED_VALUE"""),46014.99861111111)</f>
        <v>46014.99861</v>
      </c>
      <c r="B3375" s="433">
        <f>IFERROR(__xludf.DUMMYFUNCTION("""COMPUTED_VALUE"""),87973.69)</f>
        <v>87973.69</v>
      </c>
      <c r="C3375" s="434">
        <f>IFERROR(__xludf.DUMMYFUNCTION("""COMPUTED_VALUE"""),45597.99861111111)</f>
        <v>45597.99861</v>
      </c>
      <c r="D3375" s="433">
        <f>IFERROR(__xludf.DUMMYFUNCTION("""COMPUTED_VALUE"""),2515.4143)</f>
        <v>2515.4143</v>
      </c>
    </row>
    <row r="3376">
      <c r="A3376" s="434">
        <f>IFERROR(__xludf.DUMMYFUNCTION("""COMPUTED_VALUE"""),46015.99861111111)</f>
        <v>46015.99861</v>
      </c>
      <c r="B3376" s="433">
        <f>IFERROR(__xludf.DUMMYFUNCTION("""COMPUTED_VALUE"""),87095.54)</f>
        <v>87095.54</v>
      </c>
      <c r="C3376" s="434">
        <f>IFERROR(__xludf.DUMMYFUNCTION("""COMPUTED_VALUE"""),45598.99861111111)</f>
        <v>45598.99861</v>
      </c>
      <c r="D3376" s="433">
        <f>IFERROR(__xludf.DUMMYFUNCTION("""COMPUTED_VALUE"""),2511.5717)</f>
        <v>2511.5717</v>
      </c>
    </row>
    <row r="3377">
      <c r="A3377" s="434">
        <f>IFERROR(__xludf.DUMMYFUNCTION("""COMPUTED_VALUE"""),46016.99861111111)</f>
        <v>46016.99861</v>
      </c>
      <c r="B3377" s="433">
        <f>IFERROR(__xludf.DUMMYFUNCTION("""COMPUTED_VALUE"""),87768.72)</f>
        <v>87768.72</v>
      </c>
      <c r="C3377" s="434">
        <f>IFERROR(__xludf.DUMMYFUNCTION("""COMPUTED_VALUE"""),45599.99861111111)</f>
        <v>45599.99861</v>
      </c>
      <c r="D3377" s="433">
        <f>IFERROR(__xludf.DUMMYFUNCTION("""COMPUTED_VALUE"""),2492.7536)</f>
        <v>2492.7536</v>
      </c>
    </row>
    <row r="3378">
      <c r="A3378" s="434">
        <f>IFERROR(__xludf.DUMMYFUNCTION("""COMPUTED_VALUE"""),46017.99861111111)</f>
        <v>46017.99861</v>
      </c>
      <c r="B3378" s="433">
        <f>IFERROR(__xludf.DUMMYFUNCTION("""COMPUTED_VALUE"""),88915.34)</f>
        <v>88915.34</v>
      </c>
      <c r="C3378" s="434">
        <f>IFERROR(__xludf.DUMMYFUNCTION("""COMPUTED_VALUE"""),45600.99861111111)</f>
        <v>45600.99861</v>
      </c>
      <c r="D3378" s="433">
        <f>IFERROR(__xludf.DUMMYFUNCTION("""COMPUTED_VALUE"""),2456.5264)</f>
        <v>2456.5264</v>
      </c>
    </row>
    <row r="3379">
      <c r="A3379" s="434">
        <f>IFERROR(__xludf.DUMMYFUNCTION("""COMPUTED_VALUE"""),46018.99861111111)</f>
        <v>46018.99861</v>
      </c>
      <c r="B3379" s="433">
        <f>IFERROR(__xludf.DUMMYFUNCTION("""COMPUTED_VALUE"""),87459.36)</f>
        <v>87459.36</v>
      </c>
      <c r="C3379" s="434">
        <f>IFERROR(__xludf.DUMMYFUNCTION("""COMPUTED_VALUE"""),45601.99861111111)</f>
        <v>45601.99861</v>
      </c>
      <c r="D3379" s="433">
        <f>IFERROR(__xludf.DUMMYFUNCTION("""COMPUTED_VALUE"""),2396.2073)</f>
        <v>2396.2073</v>
      </c>
    </row>
    <row r="3380">
      <c r="A3380" s="434">
        <f>IFERROR(__xludf.DUMMYFUNCTION("""COMPUTED_VALUE"""),46019.99861111111)</f>
        <v>46019.99861</v>
      </c>
      <c r="B3380" s="433">
        <f>IFERROR(__xludf.DUMMYFUNCTION("""COMPUTED_VALUE"""),87687.36)</f>
        <v>87687.36</v>
      </c>
      <c r="C3380" s="434">
        <f>IFERROR(__xludf.DUMMYFUNCTION("""COMPUTED_VALUE"""),45602.99861111111)</f>
        <v>45602.99861</v>
      </c>
      <c r="D3380" s="433">
        <f>IFERROR(__xludf.DUMMYFUNCTION("""COMPUTED_VALUE"""),2422.5128)</f>
        <v>2422.5128</v>
      </c>
    </row>
    <row r="3381">
      <c r="A3381" s="434">
        <f>IFERROR(__xludf.DUMMYFUNCTION("""COMPUTED_VALUE"""),46020.99861111111)</f>
        <v>46020.99861</v>
      </c>
      <c r="B3381" s="433">
        <f>IFERROR(__xludf.DUMMYFUNCTION("""COMPUTED_VALUE"""),90085.48)</f>
        <v>90085.48</v>
      </c>
      <c r="C3381" s="434">
        <f>IFERROR(__xludf.DUMMYFUNCTION("""COMPUTED_VALUE"""),45603.99861111111)</f>
        <v>45603.99861</v>
      </c>
      <c r="D3381" s="433">
        <f>IFERROR(__xludf.DUMMYFUNCTION("""COMPUTED_VALUE"""),2724.4221)</f>
        <v>2724.4221</v>
      </c>
    </row>
    <row r="3382">
      <c r="A3382" s="434">
        <f>IFERROR(__xludf.DUMMYFUNCTION("""COMPUTED_VALUE"""),46021.99861111111)</f>
        <v>46021.99861</v>
      </c>
      <c r="B3382" s="433">
        <f>IFERROR(__xludf.DUMMYFUNCTION("""COMPUTED_VALUE"""),87222.09)</f>
        <v>87222.09</v>
      </c>
      <c r="C3382" s="434">
        <f>IFERROR(__xludf.DUMMYFUNCTION("""COMPUTED_VALUE"""),45604.99861111111)</f>
        <v>45604.99861</v>
      </c>
      <c r="D3382" s="433">
        <f>IFERROR(__xludf.DUMMYFUNCTION("""COMPUTED_VALUE"""),2896.0758)</f>
        <v>2896.0758</v>
      </c>
    </row>
    <row r="3383">
      <c r="A3383" s="434">
        <f>IFERROR(__xludf.DUMMYFUNCTION("""COMPUTED_VALUE"""),46022.99861111111)</f>
        <v>46022.99861</v>
      </c>
      <c r="B3383" s="433">
        <f>IFERROR(__xludf.DUMMYFUNCTION("""COMPUTED_VALUE"""),88262.84)</f>
        <v>88262.84</v>
      </c>
      <c r="C3383" s="434">
        <f>IFERROR(__xludf.DUMMYFUNCTION("""COMPUTED_VALUE"""),45605.99861111111)</f>
        <v>45605.99861</v>
      </c>
      <c r="D3383" s="433">
        <f>IFERROR(__xludf.DUMMYFUNCTION("""COMPUTED_VALUE"""),2963.1075)</f>
        <v>2963.1075</v>
      </c>
    </row>
    <row r="3384">
      <c r="A3384" s="434">
        <f>IFERROR(__xludf.DUMMYFUNCTION("""COMPUTED_VALUE"""),46023.99861111111)</f>
        <v>46023.99861</v>
      </c>
      <c r="B3384" s="433">
        <f>IFERROR(__xludf.DUMMYFUNCTION("""COMPUTED_VALUE"""),87412.91)</f>
        <v>87412.91</v>
      </c>
      <c r="C3384" s="434">
        <f>IFERROR(__xludf.DUMMYFUNCTION("""COMPUTED_VALUE"""),45606.99861111111)</f>
        <v>45606.99861</v>
      </c>
      <c r="D3384" s="433">
        <f>IFERROR(__xludf.DUMMYFUNCTION("""COMPUTED_VALUE"""),3128.8593)</f>
        <v>3128.8593</v>
      </c>
    </row>
    <row r="3385">
      <c r="A3385" s="434">
        <f>IFERROR(__xludf.DUMMYFUNCTION("""COMPUTED_VALUE"""),46024.99861111111)</f>
        <v>46024.99861</v>
      </c>
      <c r="B3385" s="433">
        <f>IFERROR(__xludf.DUMMYFUNCTION("""COMPUTED_VALUE"""),88546.95)</f>
        <v>88546.95</v>
      </c>
      <c r="C3385" s="434">
        <f>IFERROR(__xludf.DUMMYFUNCTION("""COMPUTED_VALUE"""),45607.99861111111)</f>
        <v>45607.99861</v>
      </c>
      <c r="D3385" s="433">
        <f>IFERROR(__xludf.DUMMYFUNCTION("""COMPUTED_VALUE"""),3187.5813)</f>
        <v>3187.5813</v>
      </c>
    </row>
    <row r="3386">
      <c r="A3386" s="434">
        <f>IFERROR(__xludf.DUMMYFUNCTION("""COMPUTED_VALUE"""),46025.99861111111)</f>
        <v>46025.99861</v>
      </c>
      <c r="B3386" s="433">
        <f>IFERROR(__xludf.DUMMYFUNCTION("""COMPUTED_VALUE"""),90135.61)</f>
        <v>90135.61</v>
      </c>
      <c r="C3386" s="434">
        <f>IFERROR(__xludf.DUMMYFUNCTION("""COMPUTED_VALUE"""),45608.99861111111)</f>
        <v>45608.99861</v>
      </c>
      <c r="D3386" s="433">
        <f>IFERROR(__xludf.DUMMYFUNCTION("""COMPUTED_VALUE"""),3376.0885)</f>
        <v>3376.0885</v>
      </c>
    </row>
    <row r="3387">
      <c r="A3387" s="434">
        <f>IFERROR(__xludf.DUMMYFUNCTION("""COMPUTED_VALUE"""),46026.99861111111)</f>
        <v>46026.99861</v>
      </c>
      <c r="B3387" s="433">
        <f>IFERROR(__xludf.DUMMYFUNCTION("""COMPUTED_VALUE"""),91374.73)</f>
        <v>91374.73</v>
      </c>
      <c r="C3387" s="434">
        <f>IFERROR(__xludf.DUMMYFUNCTION("""COMPUTED_VALUE"""),45609.99861111111)</f>
        <v>45609.99861</v>
      </c>
      <c r="D3387" s="433">
        <f>IFERROR(__xludf.DUMMYFUNCTION("""COMPUTED_VALUE"""),3246.9755)</f>
        <v>3246.9755</v>
      </c>
    </row>
    <row r="3388">
      <c r="A3388" s="434">
        <f>IFERROR(__xludf.DUMMYFUNCTION("""COMPUTED_VALUE"""),46027.99861111111)</f>
        <v>46027.99861</v>
      </c>
      <c r="B3388" s="433">
        <f>IFERROR(__xludf.DUMMYFUNCTION("""COMPUTED_VALUE"""),92558.38)</f>
        <v>92558.38</v>
      </c>
      <c r="C3388" s="434">
        <f>IFERROR(__xludf.DUMMYFUNCTION("""COMPUTED_VALUE"""),45610.99861111111)</f>
        <v>45610.99861</v>
      </c>
      <c r="D3388" s="433">
        <f>IFERROR(__xludf.DUMMYFUNCTION("""COMPUTED_VALUE"""),3191.1648)</f>
        <v>3191.1648</v>
      </c>
    </row>
    <row r="3389">
      <c r="A3389" s="434">
        <f>IFERROR(__xludf.DUMMYFUNCTION("""COMPUTED_VALUE"""),46028.99861111111)</f>
        <v>46028.99861</v>
      </c>
      <c r="B3389" s="433">
        <f>IFERROR(__xludf.DUMMYFUNCTION("""COMPUTED_VALUE"""),93811.61)</f>
        <v>93811.61</v>
      </c>
      <c r="C3389" s="434">
        <f>IFERROR(__xludf.DUMMYFUNCTION("""COMPUTED_VALUE"""),45611.99861111111)</f>
        <v>45611.99861</v>
      </c>
      <c r="D3389" s="433">
        <f>IFERROR(__xludf.DUMMYFUNCTION("""COMPUTED_VALUE"""),3058.1918)</f>
        <v>3058.1918</v>
      </c>
    </row>
    <row r="3390">
      <c r="A3390" s="434">
        <f>IFERROR(__xludf.DUMMYFUNCTION("""COMPUTED_VALUE"""),46029.99861111111)</f>
        <v>46029.99861</v>
      </c>
      <c r="B3390" s="433">
        <f>IFERROR(__xludf.DUMMYFUNCTION("""COMPUTED_VALUE"""),92624.93)</f>
        <v>92624.93</v>
      </c>
      <c r="C3390" s="434">
        <f>IFERROR(__xludf.DUMMYFUNCTION("""COMPUTED_VALUE"""),45612.99861111111)</f>
        <v>45612.99861</v>
      </c>
      <c r="D3390" s="433">
        <f>IFERROR(__xludf.DUMMYFUNCTION("""COMPUTED_VALUE"""),3089.5861)</f>
        <v>3089.5861</v>
      </c>
    </row>
    <row r="3391">
      <c r="A3391" s="434">
        <f>IFERROR(__xludf.DUMMYFUNCTION("""COMPUTED_VALUE"""),46030.99861111111)</f>
        <v>46030.99861</v>
      </c>
      <c r="B3391" s="433">
        <f>IFERROR(__xludf.DUMMYFUNCTION("""COMPUTED_VALUE"""),90943.31)</f>
        <v>90943.31</v>
      </c>
      <c r="C3391" s="434">
        <f>IFERROR(__xludf.DUMMYFUNCTION("""COMPUTED_VALUE"""),45613.99861111111)</f>
        <v>45613.99861</v>
      </c>
      <c r="D3391" s="433">
        <f>IFERROR(__xludf.DUMMYFUNCTION("""COMPUTED_VALUE"""),3133.3708)</f>
        <v>3133.3708</v>
      </c>
    </row>
    <row r="3392">
      <c r="A3392" s="434">
        <f>IFERROR(__xludf.DUMMYFUNCTION("""COMPUTED_VALUE"""),46031.99861111111)</f>
        <v>46031.99861</v>
      </c>
      <c r="B3392" s="433">
        <f>IFERROR(__xludf.DUMMYFUNCTION("""COMPUTED_VALUE"""),90943.1)</f>
        <v>90943.1</v>
      </c>
      <c r="C3392" s="434">
        <f>IFERROR(__xludf.DUMMYFUNCTION("""COMPUTED_VALUE"""),45614.99861111111)</f>
        <v>45614.99861</v>
      </c>
      <c r="D3392" s="433">
        <f>IFERROR(__xludf.DUMMYFUNCTION("""COMPUTED_VALUE"""),3075.5863)</f>
        <v>3075.5863</v>
      </c>
    </row>
    <row r="3393">
      <c r="A3393" s="434">
        <f>IFERROR(__xludf.DUMMYFUNCTION("""COMPUTED_VALUE"""),46032.99861111111)</f>
        <v>46032.99861</v>
      </c>
      <c r="B3393" s="433">
        <f>IFERROR(__xludf.DUMMYFUNCTION("""COMPUTED_VALUE"""),90363.65)</f>
        <v>90363.65</v>
      </c>
      <c r="C3393" s="434">
        <f>IFERROR(__xludf.DUMMYFUNCTION("""COMPUTED_VALUE"""),45615.99861111111)</f>
        <v>45615.99861</v>
      </c>
      <c r="D3393" s="433">
        <f>IFERROR(__xludf.DUMMYFUNCTION("""COMPUTED_VALUE"""),3208.2545)</f>
        <v>3208.2545</v>
      </c>
    </row>
    <row r="3394">
      <c r="A3394" s="434">
        <f>IFERROR(__xludf.DUMMYFUNCTION("""COMPUTED_VALUE"""),46033.99861111111)</f>
        <v>46033.99861</v>
      </c>
      <c r="B3394" s="433">
        <f>IFERROR(__xludf.DUMMYFUNCTION("""COMPUTED_VALUE"""),90709.49)</f>
        <v>90709.49</v>
      </c>
      <c r="C3394" s="434">
        <f>IFERROR(__xludf.DUMMYFUNCTION("""COMPUTED_VALUE"""),45616.99861111111)</f>
        <v>45616.99861</v>
      </c>
      <c r="D3394" s="433">
        <f>IFERROR(__xludf.DUMMYFUNCTION("""COMPUTED_VALUE"""),3111.2992)</f>
        <v>3111.2992</v>
      </c>
    </row>
    <row r="3395">
      <c r="A3395" s="434">
        <f>IFERROR(__xludf.DUMMYFUNCTION("""COMPUTED_VALUE"""),46034.99861111111)</f>
        <v>46034.99861</v>
      </c>
      <c r="B3395" s="433">
        <f>IFERROR(__xludf.DUMMYFUNCTION("""COMPUTED_VALUE"""),92059.3)</f>
        <v>92059.3</v>
      </c>
      <c r="C3395" s="434">
        <f>IFERROR(__xludf.DUMMYFUNCTION("""COMPUTED_VALUE"""),45617.99861111111)</f>
        <v>45617.99861</v>
      </c>
      <c r="D3395" s="433">
        <f>IFERROR(__xludf.DUMMYFUNCTION("""COMPUTED_VALUE"""),3071.8721)</f>
        <v>3071.8721</v>
      </c>
    </row>
    <row r="3396">
      <c r="A3396" s="434">
        <f>IFERROR(__xludf.DUMMYFUNCTION("""COMPUTED_VALUE"""),46035.99861111111)</f>
        <v>46035.99861</v>
      </c>
      <c r="B3396" s="433">
        <f>IFERROR(__xludf.DUMMYFUNCTION("""COMPUTED_VALUE"""),91418.2)</f>
        <v>91418.2</v>
      </c>
      <c r="C3396" s="434">
        <f>IFERROR(__xludf.DUMMYFUNCTION("""COMPUTED_VALUE"""),45618.99861111111)</f>
        <v>45618.99861</v>
      </c>
      <c r="D3396" s="433">
        <f>IFERROR(__xludf.DUMMYFUNCTION("""COMPUTED_VALUE"""),3359.4108)</f>
        <v>3359.4108</v>
      </c>
    </row>
    <row r="3397">
      <c r="A3397" s="434">
        <f>IFERROR(__xludf.DUMMYFUNCTION("""COMPUTED_VALUE"""),46036.99861111111)</f>
        <v>46036.99861</v>
      </c>
      <c r="B3397" s="433">
        <f>IFERROR(__xludf.DUMMYFUNCTION("""COMPUTED_VALUE"""),95200.37)</f>
        <v>95200.37</v>
      </c>
      <c r="C3397" s="434">
        <f>IFERROR(__xludf.DUMMYFUNCTION("""COMPUTED_VALUE"""),45619.99861111111)</f>
        <v>45619.99861</v>
      </c>
      <c r="D3397" s="433">
        <f>IFERROR(__xludf.DUMMYFUNCTION("""COMPUTED_VALUE"""),3331.6148)</f>
        <v>3331.6148</v>
      </c>
    </row>
    <row r="3398">
      <c r="A3398" s="434">
        <f>IFERROR(__xludf.DUMMYFUNCTION("""COMPUTED_VALUE"""),46037.99861111111)</f>
        <v>46037.99861</v>
      </c>
      <c r="B3398" s="433">
        <f>IFERROR(__xludf.DUMMYFUNCTION("""COMPUTED_VALUE"""),96151.22)</f>
        <v>96151.22</v>
      </c>
      <c r="C3398" s="434">
        <f>IFERROR(__xludf.DUMMYFUNCTION("""COMPUTED_VALUE"""),45620.99861111111)</f>
        <v>45620.99861</v>
      </c>
      <c r="D3398" s="433">
        <f>IFERROR(__xludf.DUMMYFUNCTION("""COMPUTED_VALUE"""),3397.0864)</f>
        <v>3397.0864</v>
      </c>
    </row>
    <row r="3399">
      <c r="A3399" s="434">
        <f>IFERROR(__xludf.DUMMYFUNCTION("""COMPUTED_VALUE"""),46038.99861111111)</f>
        <v>46038.99861</v>
      </c>
      <c r="B3399" s="433">
        <f>IFERROR(__xludf.DUMMYFUNCTION("""COMPUTED_VALUE"""),95175.93)</f>
        <v>95175.93</v>
      </c>
      <c r="C3399" s="434">
        <f>IFERROR(__xludf.DUMMYFUNCTION("""COMPUTED_VALUE"""),45621.99861111111)</f>
        <v>45621.99861</v>
      </c>
      <c r="D3399" s="433">
        <f>IFERROR(__xludf.DUMMYFUNCTION("""COMPUTED_VALUE"""),3363.3149)</f>
        <v>3363.3149</v>
      </c>
    </row>
    <row r="3400">
      <c r="A3400" s="434">
        <f>IFERROR(__xludf.DUMMYFUNCTION("""COMPUTED_VALUE"""),46039.99861111111)</f>
        <v>46039.99861</v>
      </c>
      <c r="B3400" s="433">
        <f>IFERROR(__xludf.DUMMYFUNCTION("""COMPUTED_VALUE"""),95310.19)</f>
        <v>95310.19</v>
      </c>
      <c r="C3400" s="434">
        <f>IFERROR(__xludf.DUMMYFUNCTION("""COMPUTED_VALUE"""),45622.99861111111)</f>
        <v>45622.99861</v>
      </c>
      <c r="D3400" s="433">
        <f>IFERROR(__xludf.DUMMYFUNCTION("""COMPUTED_VALUE"""),3414.083)</f>
        <v>3414.083</v>
      </c>
    </row>
    <row r="3401">
      <c r="A3401" s="434">
        <f>IFERROR(__xludf.DUMMYFUNCTION("""COMPUTED_VALUE"""),46040.99861111111)</f>
        <v>46040.99861</v>
      </c>
      <c r="B3401" s="433">
        <f>IFERROR(__xludf.DUMMYFUNCTION("""COMPUTED_VALUE"""),95063.91)</f>
        <v>95063.91</v>
      </c>
      <c r="C3401" s="434">
        <f>IFERROR(__xludf.DUMMYFUNCTION("""COMPUTED_VALUE"""),45623.99861111111)</f>
        <v>45623.99861</v>
      </c>
      <c r="D3401" s="433">
        <f>IFERROR(__xludf.DUMMYFUNCTION("""COMPUTED_VALUE"""),3325.0338)</f>
        <v>3325.0338</v>
      </c>
    </row>
    <row r="3402">
      <c r="A3402" s="434">
        <f>IFERROR(__xludf.DUMMYFUNCTION("""COMPUTED_VALUE"""),46041.99861111111)</f>
        <v>46041.99861</v>
      </c>
      <c r="B3402" s="433">
        <f>IFERROR(__xludf.DUMMYFUNCTION("""COMPUTED_VALUE"""),92683.0)</f>
        <v>92683</v>
      </c>
      <c r="C3402" s="434">
        <f>IFERROR(__xludf.DUMMYFUNCTION("""COMPUTED_VALUE"""),45624.99861111111)</f>
        <v>45624.99861</v>
      </c>
      <c r="D3402" s="433">
        <f>IFERROR(__xludf.DUMMYFUNCTION("""COMPUTED_VALUE"""),3657.1303)</f>
        <v>3657.1303</v>
      </c>
    </row>
    <row r="3403">
      <c r="A3403" s="434">
        <f>IFERROR(__xludf.DUMMYFUNCTION("""COMPUTED_VALUE"""),46042.99861111111)</f>
        <v>46042.99861</v>
      </c>
      <c r="B3403" s="433">
        <f>IFERROR(__xludf.DUMMYFUNCTION("""COMPUTED_VALUE"""),92019.8)</f>
        <v>92019.8</v>
      </c>
      <c r="C3403" s="434">
        <f>IFERROR(__xludf.DUMMYFUNCTION("""COMPUTED_VALUE"""),45625.99861111111)</f>
        <v>45625.99861</v>
      </c>
      <c r="D3403" s="433">
        <f>IFERROR(__xludf.DUMMYFUNCTION("""COMPUTED_VALUE"""),3579.5484)</f>
        <v>3579.5484</v>
      </c>
    </row>
    <row r="3404">
      <c r="A3404" s="434">
        <f>IFERROR(__xludf.DUMMYFUNCTION("""COMPUTED_VALUE"""),46043.99861111111)</f>
        <v>46043.99861</v>
      </c>
      <c r="B3404" s="433">
        <f>IFERROR(__xludf.DUMMYFUNCTION("""COMPUTED_VALUE"""),89371.68)</f>
        <v>89371.68</v>
      </c>
      <c r="C3404" s="434">
        <f>IFERROR(__xludf.DUMMYFUNCTION("""COMPUTED_VALUE"""),45626.99861111111)</f>
        <v>45626.99861</v>
      </c>
      <c r="D3404" s="433">
        <f>IFERROR(__xludf.DUMMYFUNCTION("""COMPUTED_VALUE"""),3593.658)</f>
        <v>3593.658</v>
      </c>
    </row>
    <row r="3405">
      <c r="A3405" s="434">
        <f>IFERROR(__xludf.DUMMYFUNCTION("""COMPUTED_VALUE"""),46044.99861111111)</f>
        <v>46044.99861</v>
      </c>
      <c r="B3405" s="433">
        <f>IFERROR(__xludf.DUMMYFUNCTION("""COMPUTED_VALUE"""),89965.64)</f>
        <v>89965.64</v>
      </c>
      <c r="C3405" s="434">
        <f>IFERROR(__xludf.DUMMYFUNCTION("""COMPUTED_VALUE"""),45627.99861111111)</f>
        <v>45627.99861</v>
      </c>
      <c r="D3405" s="433">
        <f>IFERROR(__xludf.DUMMYFUNCTION("""COMPUTED_VALUE"""),3705.9706)</f>
        <v>3705.9706</v>
      </c>
    </row>
    <row r="3406">
      <c r="A3406" s="434">
        <f>IFERROR(__xludf.DUMMYFUNCTION("""COMPUTED_VALUE"""),46045.99861111111)</f>
        <v>46045.99861</v>
      </c>
      <c r="B3406" s="433">
        <f>IFERROR(__xludf.DUMMYFUNCTION("""COMPUTED_VALUE"""),89911.09)</f>
        <v>89911.09</v>
      </c>
      <c r="C3406" s="434">
        <f>IFERROR(__xludf.DUMMYFUNCTION("""COMPUTED_VALUE"""),45628.99861111111)</f>
        <v>45628.99861</v>
      </c>
      <c r="D3406" s="433">
        <f>IFERROR(__xludf.DUMMYFUNCTION("""COMPUTED_VALUE"""),3711.1897)</f>
        <v>3711.1897</v>
      </c>
    </row>
    <row r="3407">
      <c r="A3407" s="434">
        <f>IFERROR(__xludf.DUMMYFUNCTION("""COMPUTED_VALUE"""),46046.99861111111)</f>
        <v>46046.99861</v>
      </c>
      <c r="B3407" s="433">
        <f>IFERROR(__xludf.DUMMYFUNCTION("""COMPUTED_VALUE"""),89764.01)</f>
        <v>89764.01</v>
      </c>
      <c r="C3407" s="434">
        <f>IFERROR(__xludf.DUMMYFUNCTION("""COMPUTED_VALUE"""),45629.99861111111)</f>
        <v>45629.99861</v>
      </c>
      <c r="D3407" s="433">
        <f>IFERROR(__xludf.DUMMYFUNCTION("""COMPUTED_VALUE"""),3644.4668)</f>
        <v>3644.4668</v>
      </c>
    </row>
    <row r="3408">
      <c r="A3408" s="434">
        <f>IFERROR(__xludf.DUMMYFUNCTION("""COMPUTED_VALUE"""),46047.99861111111)</f>
        <v>46047.99861</v>
      </c>
      <c r="B3408" s="433">
        <f>IFERROR(__xludf.DUMMYFUNCTION("""COMPUTED_VALUE"""),88937.02)</f>
        <v>88937.02</v>
      </c>
      <c r="C3408" s="434">
        <f>IFERROR(__xludf.DUMMYFUNCTION("""COMPUTED_VALUE"""),45630.99861111111)</f>
        <v>45630.99861</v>
      </c>
      <c r="D3408" s="433">
        <f>IFERROR(__xludf.DUMMYFUNCTION("""COMPUTED_VALUE"""),3617.7987)</f>
        <v>3617.7987</v>
      </c>
    </row>
    <row r="3409">
      <c r="A3409" s="434">
        <f>IFERROR(__xludf.DUMMYFUNCTION("""COMPUTED_VALUE"""),46048.99861111111)</f>
        <v>46048.99861</v>
      </c>
      <c r="B3409" s="433">
        <f>IFERROR(__xludf.DUMMYFUNCTION("""COMPUTED_VALUE"""),87654.15)</f>
        <v>87654.15</v>
      </c>
      <c r="C3409" s="434">
        <f>IFERROR(__xludf.DUMMYFUNCTION("""COMPUTED_VALUE"""),45631.99861111111)</f>
        <v>45631.99861</v>
      </c>
      <c r="D3409" s="433">
        <f>IFERROR(__xludf.DUMMYFUNCTION("""COMPUTED_VALUE"""),3843.6627)</f>
        <v>3843.6627</v>
      </c>
    </row>
    <row r="3410">
      <c r="A3410" s="434">
        <f>IFERROR(__xludf.DUMMYFUNCTION("""COMPUTED_VALUE"""),46049.99861111111)</f>
        <v>46049.99861</v>
      </c>
      <c r="B3410" s="433">
        <f>IFERROR(__xludf.DUMMYFUNCTION("""COMPUTED_VALUE"""),88536.09)</f>
        <v>88536.09</v>
      </c>
      <c r="C3410" s="434">
        <f>IFERROR(__xludf.DUMMYFUNCTION("""COMPUTED_VALUE"""),45632.99861111111)</f>
        <v>45632.99861</v>
      </c>
      <c r="D3410" s="433">
        <f>IFERROR(__xludf.DUMMYFUNCTION("""COMPUTED_VALUE"""),3790.0962)</f>
        <v>3790.0962</v>
      </c>
    </row>
    <row r="3411">
      <c r="A3411" s="434">
        <f>IFERROR(__xludf.DUMMYFUNCTION("""COMPUTED_VALUE"""),46050.99861111111)</f>
        <v>46050.99861</v>
      </c>
      <c r="B3411" s="433">
        <f>IFERROR(__xludf.DUMMYFUNCTION("""COMPUTED_VALUE"""),88897.0)</f>
        <v>88897</v>
      </c>
      <c r="C3411" s="434">
        <f>IFERROR(__xludf.DUMMYFUNCTION("""COMPUTED_VALUE"""),45633.99861111111)</f>
        <v>45633.99861</v>
      </c>
      <c r="D3411" s="433">
        <f>IFERROR(__xludf.DUMMYFUNCTION("""COMPUTED_VALUE"""),4005.5017)</f>
        <v>4005.5017</v>
      </c>
    </row>
    <row r="3412">
      <c r="A3412" s="434">
        <f>IFERROR(__xludf.DUMMYFUNCTION("""COMPUTED_VALUE"""),46051.99861111111)</f>
        <v>46051.99861</v>
      </c>
      <c r="B3412" s="433">
        <f>IFERROR(__xludf.DUMMYFUNCTION("""COMPUTED_VALUE"""),88228.84)</f>
        <v>88228.84</v>
      </c>
      <c r="C3412" s="434">
        <f>IFERROR(__xludf.DUMMYFUNCTION("""COMPUTED_VALUE"""),45634.99861111111)</f>
        <v>45634.99861</v>
      </c>
      <c r="D3412" s="433">
        <f>IFERROR(__xludf.DUMMYFUNCTION("""COMPUTED_VALUE"""),3999.676)</f>
        <v>3999.676</v>
      </c>
    </row>
    <row r="3413">
      <c r="A3413" s="434">
        <f>IFERROR(__xludf.DUMMYFUNCTION("""COMPUTED_VALUE"""),46052.99861111111)</f>
        <v>46052.99861</v>
      </c>
      <c r="B3413" s="433">
        <f>IFERROR(__xludf.DUMMYFUNCTION("""COMPUTED_VALUE"""),82837.99)</f>
        <v>82837.99</v>
      </c>
      <c r="C3413" s="434">
        <f>IFERROR(__xludf.DUMMYFUNCTION("""COMPUTED_VALUE"""),45635.99861111111)</f>
        <v>45635.99861</v>
      </c>
      <c r="D3413" s="433">
        <f>IFERROR(__xludf.DUMMYFUNCTION("""COMPUTED_VALUE"""),4007.8671)</f>
        <v>4007.8671</v>
      </c>
    </row>
    <row r="3414">
      <c r="A3414" s="434">
        <f>IFERROR(__xludf.DUMMYFUNCTION("""COMPUTED_VALUE"""),46053.99861111111)</f>
        <v>46053.99861</v>
      </c>
      <c r="B3414" s="433">
        <f>IFERROR(__xludf.DUMMYFUNCTION("""COMPUTED_VALUE"""),83894.56)</f>
        <v>83894.56</v>
      </c>
      <c r="C3414" s="434">
        <f>IFERROR(__xludf.DUMMYFUNCTION("""COMPUTED_VALUE"""),45636.99861111111)</f>
        <v>45636.99861</v>
      </c>
      <c r="D3414" s="433">
        <f>IFERROR(__xludf.DUMMYFUNCTION("""COMPUTED_VALUE"""),3717.0934)</f>
        <v>3717.0934</v>
      </c>
    </row>
    <row r="3415">
      <c r="A3415" s="434">
        <f>IFERROR(__xludf.DUMMYFUNCTION("""COMPUTED_VALUE"""),46054.99861111111)</f>
        <v>46054.99861</v>
      </c>
      <c r="B3415" s="433">
        <f>IFERROR(__xludf.DUMMYFUNCTION("""COMPUTED_VALUE"""),79017.39)</f>
        <v>79017.39</v>
      </c>
      <c r="C3415" s="434">
        <f>IFERROR(__xludf.DUMMYFUNCTION("""COMPUTED_VALUE"""),45637.99861111111)</f>
        <v>45637.99861</v>
      </c>
      <c r="D3415" s="433">
        <f>IFERROR(__xludf.DUMMYFUNCTION("""COMPUTED_VALUE"""),3631.2351)</f>
        <v>3631.2351</v>
      </c>
    </row>
    <row r="3416">
      <c r="A3416" s="434">
        <f>IFERROR(__xludf.DUMMYFUNCTION("""COMPUTED_VALUE"""),46055.99861111111)</f>
        <v>46055.99861</v>
      </c>
      <c r="B3416" s="433">
        <f>IFERROR(__xludf.DUMMYFUNCTION("""COMPUTED_VALUE"""),75874.71)</f>
        <v>75874.71</v>
      </c>
      <c r="C3416" s="434">
        <f>IFERROR(__xludf.DUMMYFUNCTION("""COMPUTED_VALUE"""),45638.99861111111)</f>
        <v>45638.99861</v>
      </c>
      <c r="D3416" s="433">
        <f>IFERROR(__xludf.DUMMYFUNCTION("""COMPUTED_VALUE"""),3834.0435)</f>
        <v>3834.0435</v>
      </c>
    </row>
    <row r="3417">
      <c r="A3417" s="434">
        <f>IFERROR(__xludf.DUMMYFUNCTION("""COMPUTED_VALUE"""),46056.99861111111)</f>
        <v>46056.99861</v>
      </c>
      <c r="B3417" s="433">
        <f>IFERROR(__xludf.DUMMYFUNCTION("""COMPUTED_VALUE"""),78766.83)</f>
        <v>78766.83</v>
      </c>
      <c r="C3417" s="434">
        <f>IFERROR(__xludf.DUMMYFUNCTION("""COMPUTED_VALUE"""),45639.99861111111)</f>
        <v>45639.99861</v>
      </c>
      <c r="D3417" s="433">
        <f>IFERROR(__xludf.DUMMYFUNCTION("""COMPUTED_VALUE"""),3882.3281)</f>
        <v>3882.3281</v>
      </c>
    </row>
    <row r="3418">
      <c r="A3418" s="434">
        <f>IFERROR(__xludf.DUMMYFUNCTION("""COMPUTED_VALUE"""),46057.99861111111)</f>
        <v>46057.99861</v>
      </c>
      <c r="B3418" s="433">
        <f>IFERROR(__xludf.DUMMYFUNCTION("""COMPUTED_VALUE"""),76405.83)</f>
        <v>76405.83</v>
      </c>
      <c r="C3418" s="434">
        <f>IFERROR(__xludf.DUMMYFUNCTION("""COMPUTED_VALUE"""),45640.99861111111)</f>
        <v>45640.99861</v>
      </c>
      <c r="D3418" s="433">
        <f>IFERROR(__xludf.DUMMYFUNCTION("""COMPUTED_VALUE"""),3906.9642)</f>
        <v>3906.9642</v>
      </c>
    </row>
    <row r="3419">
      <c r="A3419" s="434">
        <f>IFERROR(__xludf.DUMMYFUNCTION("""COMPUTED_VALUE"""),46058.99861111111)</f>
        <v>46058.99861</v>
      </c>
      <c r="B3419" s="433">
        <f>IFERROR(__xludf.DUMMYFUNCTION("""COMPUTED_VALUE"""),70770.99)</f>
        <v>70770.99</v>
      </c>
      <c r="C3419" s="434">
        <f>IFERROR(__xludf.DUMMYFUNCTION("""COMPUTED_VALUE"""),45641.99861111111)</f>
        <v>45641.99861</v>
      </c>
      <c r="D3419" s="433">
        <f>IFERROR(__xludf.DUMMYFUNCTION("""COMPUTED_VALUE"""),3869.1787)</f>
        <v>3869.1787</v>
      </c>
    </row>
    <row r="3420">
      <c r="A3420" s="434">
        <f>IFERROR(__xludf.DUMMYFUNCTION("""COMPUTED_VALUE"""),46059.99861111111)</f>
        <v>46059.99861</v>
      </c>
      <c r="B3420" s="433">
        <f>IFERROR(__xludf.DUMMYFUNCTION("""COMPUTED_VALUE"""),64856.11)</f>
        <v>64856.11</v>
      </c>
      <c r="C3420" s="434">
        <f>IFERROR(__xludf.DUMMYFUNCTION("""COMPUTED_VALUE"""),45642.99861111111)</f>
        <v>45642.99861</v>
      </c>
      <c r="D3420" s="433">
        <f>IFERROR(__xludf.DUMMYFUNCTION("""COMPUTED_VALUE"""),3957.4526)</f>
        <v>3957.4526</v>
      </c>
    </row>
    <row r="3421">
      <c r="A3421" s="434">
        <f>IFERROR(__xludf.DUMMYFUNCTION("""COMPUTED_VALUE"""),46060.99861111111)</f>
        <v>46060.99861</v>
      </c>
      <c r="B3421" s="433">
        <f>IFERROR(__xludf.DUMMYFUNCTION("""COMPUTED_VALUE"""),70748.48)</f>
        <v>70748.48</v>
      </c>
      <c r="C3421" s="434">
        <f>IFERROR(__xludf.DUMMYFUNCTION("""COMPUTED_VALUE"""),45643.99861111111)</f>
        <v>45643.99861</v>
      </c>
      <c r="D3421" s="433">
        <f>IFERROR(__xludf.DUMMYFUNCTION("""COMPUTED_VALUE"""),3986.8679)</f>
        <v>3986.8679</v>
      </c>
    </row>
    <row r="3422">
      <c r="A3422" s="434">
        <f>IFERROR(__xludf.DUMMYFUNCTION("""COMPUTED_VALUE"""),46061.99861111111)</f>
        <v>46061.99861</v>
      </c>
      <c r="B3422" s="433">
        <f>IFERROR(__xludf.DUMMYFUNCTION("""COMPUTED_VALUE"""),69290.04)</f>
        <v>69290.04</v>
      </c>
      <c r="C3422" s="434">
        <f>IFERROR(__xludf.DUMMYFUNCTION("""COMPUTED_VALUE"""),45644.99861111111)</f>
        <v>45644.99861</v>
      </c>
      <c r="D3422" s="433">
        <f>IFERROR(__xludf.DUMMYFUNCTION("""COMPUTED_VALUE"""),3893.4315)</f>
        <v>3893.4315</v>
      </c>
    </row>
    <row r="3423">
      <c r="A3423" s="434">
        <f>IFERROR(__xludf.DUMMYFUNCTION("""COMPUTED_VALUE"""),46062.99861111111)</f>
        <v>46062.99861</v>
      </c>
      <c r="B3423" s="433">
        <f>IFERROR(__xludf.DUMMYFUNCTION("""COMPUTED_VALUE"""),71006.41)</f>
        <v>71006.41</v>
      </c>
      <c r="C3423" s="434">
        <f>IFERROR(__xludf.DUMMYFUNCTION("""COMPUTED_VALUE"""),45645.99861111111)</f>
        <v>45645.99861</v>
      </c>
      <c r="D3423" s="433">
        <f>IFERROR(__xludf.DUMMYFUNCTION("""COMPUTED_VALUE"""),3625.532)</f>
        <v>3625.532</v>
      </c>
    </row>
    <row r="3424">
      <c r="A3424" s="434">
        <f>IFERROR(__xludf.DUMMYFUNCTION("""COMPUTED_VALUE"""),46063.99861111111)</f>
        <v>46063.99861</v>
      </c>
      <c r="B3424" s="433">
        <f>IFERROR(__xludf.DUMMYFUNCTION("""COMPUTED_VALUE"""),69832.38)</f>
        <v>69832.38</v>
      </c>
      <c r="C3424" s="434">
        <f>IFERROR(__xludf.DUMMYFUNCTION("""COMPUTED_VALUE"""),45646.99861111111)</f>
        <v>45646.99861</v>
      </c>
      <c r="D3424" s="433">
        <f>IFERROR(__xludf.DUMMYFUNCTION("""COMPUTED_VALUE"""),3415.0099)</f>
        <v>3415.0099</v>
      </c>
    </row>
    <row r="3425">
      <c r="A3425" s="434">
        <f>IFERROR(__xludf.DUMMYFUNCTION("""COMPUTED_VALUE"""),46064.99861111111)</f>
        <v>46064.99861</v>
      </c>
      <c r="B3425" s="433">
        <f>IFERROR(__xludf.DUMMYFUNCTION("""COMPUTED_VALUE"""),67542.55)</f>
        <v>67542.55</v>
      </c>
      <c r="C3425" s="434">
        <f>IFERROR(__xludf.DUMMYFUNCTION("""COMPUTED_VALUE"""),45647.99861111111)</f>
        <v>45647.99861</v>
      </c>
      <c r="D3425" s="433">
        <f>IFERROR(__xludf.DUMMYFUNCTION("""COMPUTED_VALUE"""),3471.8505)</f>
        <v>3471.8505</v>
      </c>
    </row>
    <row r="3426">
      <c r="A3426" s="434">
        <f>IFERROR(__xludf.DUMMYFUNCTION("""COMPUTED_VALUE"""),46065.99861111111)</f>
        <v>46065.99861</v>
      </c>
      <c r="B3426" s="433">
        <f>IFERROR(__xludf.DUMMYFUNCTION("""COMPUTED_VALUE"""),67033.27)</f>
        <v>67033.27</v>
      </c>
      <c r="C3426" s="434">
        <f>IFERROR(__xludf.DUMMYFUNCTION("""COMPUTED_VALUE"""),45648.99861111111)</f>
        <v>45648.99861</v>
      </c>
      <c r="D3426" s="433">
        <f>IFERROR(__xludf.DUMMYFUNCTION("""COMPUTED_VALUE"""),3336.5769)</f>
        <v>3336.5769</v>
      </c>
    </row>
    <row r="3427">
      <c r="A3427" s="434">
        <f>IFERROR(__xludf.DUMMYFUNCTION("""COMPUTED_VALUE"""),46066.99861111111)</f>
        <v>46066.99861</v>
      </c>
      <c r="B3427" s="433">
        <f>IFERROR(__xludf.DUMMYFUNCTION("""COMPUTED_VALUE"""),66371.5)</f>
        <v>66371.5</v>
      </c>
      <c r="C3427" s="434">
        <f>IFERROR(__xludf.DUMMYFUNCTION("""COMPUTED_VALUE"""),45649.99861111111)</f>
        <v>45649.99861</v>
      </c>
      <c r="D3427" s="433">
        <f>IFERROR(__xludf.DUMMYFUNCTION("""COMPUTED_VALUE"""),3277.9072)</f>
        <v>3277.9072</v>
      </c>
    </row>
    <row r="3428">
      <c r="A3428" s="434">
        <f>IFERROR(__xludf.DUMMYFUNCTION("""COMPUTED_VALUE"""),46067.99861111111)</f>
        <v>46067.99861</v>
      </c>
      <c r="B3428" s="433">
        <f>IFERROR(__xludf.DUMMYFUNCTION("""COMPUTED_VALUE"""),68814.16)</f>
        <v>68814.16</v>
      </c>
      <c r="C3428" s="434">
        <f>IFERROR(__xludf.DUMMYFUNCTION("""COMPUTED_VALUE"""),45650.99861111111)</f>
        <v>45650.99861</v>
      </c>
      <c r="D3428" s="433">
        <f>IFERROR(__xludf.DUMMYFUNCTION("""COMPUTED_VALUE"""),3418.1919)</f>
        <v>3418.1919</v>
      </c>
    </row>
    <row r="3429">
      <c r="A3429" s="434">
        <f>IFERROR(__xludf.DUMMYFUNCTION("""COMPUTED_VALUE"""),46068.99861111111)</f>
        <v>46068.99861</v>
      </c>
      <c r="B3429" s="433">
        <f>IFERROR(__xludf.DUMMYFUNCTION("""COMPUTED_VALUE"""),70184.87)</f>
        <v>70184.87</v>
      </c>
      <c r="C3429" s="434">
        <f>IFERROR(__xludf.DUMMYFUNCTION("""COMPUTED_VALUE"""),45651.99861111111)</f>
        <v>45651.99861</v>
      </c>
      <c r="D3429" s="433">
        <f>IFERROR(__xludf.DUMMYFUNCTION("""COMPUTED_VALUE"""),3491.3052)</f>
        <v>3491.3052</v>
      </c>
    </row>
    <row r="3430">
      <c r="A3430" s="434">
        <f>IFERROR(__xludf.DUMMYFUNCTION("""COMPUTED_VALUE"""),46069.99861111111)</f>
        <v>46069.99861</v>
      </c>
      <c r="B3430" s="433">
        <f>IFERROR(__xludf.DUMMYFUNCTION("""COMPUTED_VALUE"""),68865.44)</f>
        <v>68865.44</v>
      </c>
      <c r="C3430" s="434">
        <f>IFERROR(__xludf.DUMMYFUNCTION("""COMPUTED_VALUE"""),45652.99861111111)</f>
        <v>45652.99861</v>
      </c>
      <c r="D3430" s="433">
        <f>IFERROR(__xludf.DUMMYFUNCTION("""COMPUTED_VALUE"""),3494.5891)</f>
        <v>3494.5891</v>
      </c>
    </row>
    <row r="3431">
      <c r="A3431" s="434">
        <f>IFERROR(__xludf.DUMMYFUNCTION("""COMPUTED_VALUE"""),46070.99861111111)</f>
        <v>46070.99861</v>
      </c>
      <c r="B3431" s="433">
        <f>IFERROR(__xludf.DUMMYFUNCTION("""COMPUTED_VALUE"""),68441.63)</f>
        <v>68441.63</v>
      </c>
      <c r="C3431" s="434">
        <f>IFERROR(__xludf.DUMMYFUNCTION("""COMPUTED_VALUE"""),45653.99861111111)</f>
        <v>45653.99861</v>
      </c>
      <c r="D3431" s="433">
        <f>IFERROR(__xludf.DUMMYFUNCTION("""COMPUTED_VALUE"""),3330.8168)</f>
        <v>3330.8168</v>
      </c>
    </row>
    <row r="3432">
      <c r="A3432" s="434">
        <f>IFERROR(__xludf.DUMMYFUNCTION("""COMPUTED_VALUE"""),46071.99861111111)</f>
        <v>46071.99861</v>
      </c>
      <c r="B3432" s="433">
        <f>IFERROR(__xludf.DUMMYFUNCTION("""COMPUTED_VALUE"""),67804.04)</f>
        <v>67804.04</v>
      </c>
      <c r="C3432" s="434">
        <f>IFERROR(__xludf.DUMMYFUNCTION("""COMPUTED_VALUE"""),45654.99861111111)</f>
        <v>45654.99861</v>
      </c>
      <c r="D3432" s="433">
        <f>IFERROR(__xludf.DUMMYFUNCTION("""COMPUTED_VALUE"""),3328.3151)</f>
        <v>3328.3151</v>
      </c>
    </row>
    <row r="3433">
      <c r="A3433" s="434">
        <f>IFERROR(__xludf.DUMMYFUNCTION("""COMPUTED_VALUE"""),46072.99861111111)</f>
        <v>46072.99861</v>
      </c>
      <c r="B3433" s="433">
        <f>IFERROR(__xludf.DUMMYFUNCTION("""COMPUTED_VALUE"""),66838.42)</f>
        <v>66838.42</v>
      </c>
      <c r="C3433" s="434">
        <f>IFERROR(__xludf.DUMMYFUNCTION("""COMPUTED_VALUE"""),45655.99861111111)</f>
        <v>45655.99861</v>
      </c>
      <c r="D3433" s="433">
        <f>IFERROR(__xludf.DUMMYFUNCTION("""COMPUTED_VALUE"""),3398.4462)</f>
        <v>3398.4462</v>
      </c>
    </row>
    <row r="3434">
      <c r="A3434" s="434">
        <f>IFERROR(__xludf.DUMMYFUNCTION("""COMPUTED_VALUE"""),46073.99861111111)</f>
        <v>46073.99861</v>
      </c>
      <c r="B3434" s="433">
        <f>IFERROR(__xludf.DUMMYFUNCTION("""COMPUTED_VALUE"""),67278.25)</f>
        <v>67278.25</v>
      </c>
      <c r="C3434" s="434">
        <f>IFERROR(__xludf.DUMMYFUNCTION("""COMPUTED_VALUE"""),45656.99861111111)</f>
        <v>45656.99861</v>
      </c>
      <c r="D3434" s="433">
        <f>IFERROR(__xludf.DUMMYFUNCTION("""COMPUTED_VALUE"""),3349.8189)</f>
        <v>3349.8189</v>
      </c>
    </row>
    <row r="3435">
      <c r="A3435" s="434">
        <f>IFERROR(__xludf.DUMMYFUNCTION("""COMPUTED_VALUE"""),46074.99861111111)</f>
        <v>46074.99861</v>
      </c>
      <c r="B3435" s="433">
        <f>IFERROR(__xludf.DUMMYFUNCTION("""COMPUTED_VALUE"""),67823.55)</f>
        <v>67823.55</v>
      </c>
      <c r="C3435" s="434">
        <f>IFERROR(__xludf.DUMMYFUNCTION("""COMPUTED_VALUE"""),45657.99861111111)</f>
        <v>45657.99861</v>
      </c>
      <c r="D3435" s="433">
        <f>IFERROR(__xludf.DUMMYFUNCTION("""COMPUTED_VALUE"""),3355.6767)</f>
        <v>3355.6767</v>
      </c>
    </row>
    <row r="3436">
      <c r="A3436" s="434">
        <f>IFERROR(__xludf.DUMMYFUNCTION("""COMPUTED_VALUE"""),46075.99861111111)</f>
        <v>46075.99861</v>
      </c>
      <c r="B3436" s="433">
        <f>IFERROR(__xludf.DUMMYFUNCTION("""COMPUTED_VALUE"""),67988.04)</f>
        <v>67988.04</v>
      </c>
      <c r="C3436" s="434">
        <f>IFERROR(__xludf.DUMMYFUNCTION("""COMPUTED_VALUE"""),45658.99861111111)</f>
        <v>45658.99861</v>
      </c>
      <c r="D3436" s="433">
        <f>IFERROR(__xludf.DUMMYFUNCTION("""COMPUTED_VALUE"""),3331.2798)</f>
        <v>3331.2798</v>
      </c>
    </row>
    <row r="3437">
      <c r="A3437" s="434">
        <f>IFERROR(__xludf.DUMMYFUNCTION("""COMPUTED_VALUE"""),46076.99861111111)</f>
        <v>46076.99861</v>
      </c>
      <c r="B3437" s="433">
        <f>IFERROR(__xludf.DUMMYFUNCTION("""COMPUTED_VALUE"""),64845.25)</f>
        <v>64845.25</v>
      </c>
      <c r="C3437" s="434">
        <f>IFERROR(__xludf.DUMMYFUNCTION("""COMPUTED_VALUE"""),45659.99861111111)</f>
        <v>45659.99861</v>
      </c>
      <c r="D3437" s="433">
        <f>IFERROR(__xludf.DUMMYFUNCTION("""COMPUTED_VALUE"""),3353.1751)</f>
        <v>3353.1751</v>
      </c>
    </row>
    <row r="3438">
      <c r="A3438" s="434">
        <f>IFERROR(__xludf.DUMMYFUNCTION("""COMPUTED_VALUE"""),46077.99861111111)</f>
        <v>46077.99861</v>
      </c>
      <c r="B3438" s="433">
        <f>IFERROR(__xludf.DUMMYFUNCTION("""COMPUTED_VALUE"""),63326.75)</f>
        <v>63326.75</v>
      </c>
      <c r="C3438" s="434">
        <f>IFERROR(__xludf.DUMMYFUNCTION("""COMPUTED_VALUE"""),45660.99861111111)</f>
        <v>45660.99861</v>
      </c>
      <c r="D3438" s="433">
        <f>IFERROR(__xludf.DUMMYFUNCTION("""COMPUTED_VALUE"""),3451.7503)</f>
        <v>3451.7503</v>
      </c>
    </row>
    <row r="3439">
      <c r="A3439" s="434">
        <f>IFERROR(__xludf.DUMMYFUNCTION("""COMPUTED_VALUE"""),46078.99861111111)</f>
        <v>46078.99861</v>
      </c>
      <c r="B3439" s="433">
        <f>IFERROR(__xludf.DUMMYFUNCTION("""COMPUTED_VALUE"""),65449.49)</f>
        <v>65449.49</v>
      </c>
      <c r="C3439" s="434">
        <f>IFERROR(__xludf.DUMMYFUNCTION("""COMPUTED_VALUE"""),45661.99861111111)</f>
        <v>45661.99861</v>
      </c>
      <c r="D3439" s="433">
        <f>IFERROR(__xludf.DUMMYFUNCTION("""COMPUTED_VALUE"""),3607.4265)</f>
        <v>3607.4265</v>
      </c>
    </row>
    <row r="3440">
      <c r="A3440" s="434">
        <f>IFERROR(__xludf.DUMMYFUNCTION("""COMPUTED_VALUE"""),46079.99861111111)</f>
        <v>46079.99861</v>
      </c>
      <c r="B3440" s="433">
        <f>IFERROR(__xludf.DUMMYFUNCTION("""COMPUTED_VALUE"""),68623.96)</f>
        <v>68623.96</v>
      </c>
      <c r="C3440" s="434">
        <f>IFERROR(__xludf.DUMMYFUNCTION("""COMPUTED_VALUE"""),45662.99861111111)</f>
        <v>45662.99861</v>
      </c>
      <c r="D3440" s="433">
        <f>IFERROR(__xludf.DUMMYFUNCTION("""COMPUTED_VALUE"""),3656.4304)</f>
        <v>3656.4304</v>
      </c>
    </row>
    <row r="3441">
      <c r="A3441" s="434">
        <f>IFERROR(__xludf.DUMMYFUNCTION("""COMPUTED_VALUE"""),46080.99861111111)</f>
        <v>46080.99861</v>
      </c>
      <c r="B3441" s="433">
        <f>IFERROR(__xludf.DUMMYFUNCTION("""COMPUTED_VALUE"""),67762.96)</f>
        <v>67762.96</v>
      </c>
      <c r="C3441" s="434">
        <f>IFERROR(__xludf.DUMMYFUNCTION("""COMPUTED_VALUE"""),45663.99861111111)</f>
        <v>45663.99861</v>
      </c>
      <c r="D3441" s="433">
        <f>IFERROR(__xludf.DUMMYFUNCTION("""COMPUTED_VALUE"""),3634.9629)</f>
        <v>3634.9629</v>
      </c>
    </row>
    <row r="3442">
      <c r="A3442" s="434">
        <f>IFERROR(__xludf.DUMMYFUNCTION("""COMPUTED_VALUE"""),46081.99861111111)</f>
        <v>46081.99861</v>
      </c>
      <c r="B3442" s="433">
        <f>IFERROR(__xludf.DUMMYFUNCTION("""COMPUTED_VALUE"""),65696.42)</f>
        <v>65696.42</v>
      </c>
      <c r="C3442" s="434">
        <f>IFERROR(__xludf.DUMMYFUNCTION("""COMPUTED_VALUE"""),45664.99861111111)</f>
        <v>45664.99861</v>
      </c>
      <c r="D3442" s="433">
        <f>IFERROR(__xludf.DUMMYFUNCTION("""COMPUTED_VALUE"""),3689.1357)</f>
        <v>3689.1357</v>
      </c>
    </row>
    <row r="3443">
      <c r="A3443" s="434">
        <f>IFERROR(__xludf.DUMMYFUNCTION("""COMPUTED_VALUE"""),46082.99861111111)</f>
        <v>46082.99861</v>
      </c>
      <c r="B3443" s="433">
        <f>IFERROR(__xludf.DUMMYFUNCTION("""COMPUTED_VALUE"""),67356.82)</f>
        <v>67356.82</v>
      </c>
      <c r="C3443" s="434">
        <f>IFERROR(__xludf.DUMMYFUNCTION("""COMPUTED_VALUE"""),45665.99861111111)</f>
        <v>45665.99861</v>
      </c>
      <c r="D3443" s="433">
        <f>IFERROR(__xludf.DUMMYFUNCTION("""COMPUTED_VALUE"""),3380.7317)</f>
        <v>3380.7317</v>
      </c>
    </row>
    <row r="3444">
      <c r="A3444" s="434">
        <f>IFERROR(__xludf.DUMMYFUNCTION("""COMPUTED_VALUE"""),46083.99861111111)</f>
        <v>46083.99861</v>
      </c>
      <c r="B3444" s="433">
        <f>IFERROR(__xludf.DUMMYFUNCTION("""COMPUTED_VALUE"""),66798.54)</f>
        <v>66798.54</v>
      </c>
      <c r="C3444" s="434">
        <f>IFERROR(__xludf.DUMMYFUNCTION("""COMPUTED_VALUE"""),45666.99861111111)</f>
        <v>45666.99861</v>
      </c>
      <c r="D3444" s="433">
        <f>IFERROR(__xludf.DUMMYFUNCTION("""COMPUTED_VALUE"""),3326.6026)</f>
        <v>3326.6026</v>
      </c>
    </row>
    <row r="3445">
      <c r="A3445" s="434">
        <f>IFERROR(__xludf.DUMMYFUNCTION("""COMPUTED_VALUE"""),46084.99861111111)</f>
        <v>46084.99861</v>
      </c>
      <c r="B3445" s="433">
        <f>IFERROR(__xludf.DUMMYFUNCTION("""COMPUTED_VALUE"""),68141.81)</f>
        <v>68141.81</v>
      </c>
      <c r="C3445" s="434">
        <f>IFERROR(__xludf.DUMMYFUNCTION("""COMPUTED_VALUE"""),45667.99861111111)</f>
        <v>45667.99861</v>
      </c>
      <c r="D3445" s="433">
        <f>IFERROR(__xludf.DUMMYFUNCTION("""COMPUTED_VALUE"""),3219.1578)</f>
        <v>3219.1578</v>
      </c>
    </row>
    <row r="3446">
      <c r="A3446" s="434">
        <f>IFERROR(__xludf.DUMMYFUNCTION("""COMPUTED_VALUE"""),46085.99861111111)</f>
        <v>46085.99861</v>
      </c>
      <c r="B3446" s="433">
        <f>IFERROR(__xludf.DUMMYFUNCTION("""COMPUTED_VALUE"""),67842.73)</f>
        <v>67842.73</v>
      </c>
      <c r="C3446" s="434">
        <f>IFERROR(__xludf.DUMMYFUNCTION("""COMPUTED_VALUE"""),45668.99861111111)</f>
        <v>45668.99861</v>
      </c>
      <c r="D3446" s="433">
        <f>IFERROR(__xludf.DUMMYFUNCTION("""COMPUTED_VALUE"""),3266.3219)</f>
        <v>3266.3219</v>
      </c>
    </row>
    <row r="3447">
      <c r="A3447" s="434">
        <f>IFERROR(__xludf.DUMMYFUNCTION("""COMPUTED_VALUE"""),46086.99861111111)</f>
        <v>46086.99861</v>
      </c>
      <c r="B3447" s="433">
        <f>IFERROR(__xludf.DUMMYFUNCTION("""COMPUTED_VALUE"""),72847.58)</f>
        <v>72847.58</v>
      </c>
      <c r="C3447" s="434">
        <f>IFERROR(__xludf.DUMMYFUNCTION("""COMPUTED_VALUE"""),45669.99861111111)</f>
        <v>45669.99861</v>
      </c>
      <c r="D3447" s="433">
        <f>IFERROR(__xludf.DUMMYFUNCTION("""COMPUTED_VALUE"""),3281.9305)</f>
        <v>3281.9305</v>
      </c>
    </row>
    <row r="3448">
      <c r="A3448" s="434">
        <f>IFERROR(__xludf.DUMMYFUNCTION("""COMPUTED_VALUE"""),46087.99861111111)</f>
        <v>46087.99861</v>
      </c>
      <c r="B3448" s="433">
        <f>IFERROR(__xludf.DUMMYFUNCTION("""COMPUTED_VALUE"""),70602.13)</f>
        <v>70602.13</v>
      </c>
      <c r="C3448" s="434">
        <f>IFERROR(__xludf.DUMMYFUNCTION("""COMPUTED_VALUE"""),45670.99861111111)</f>
        <v>45670.99861</v>
      </c>
      <c r="D3448" s="433">
        <f>IFERROR(__xludf.DUMMYFUNCTION("""COMPUTED_VALUE"""),3265.5751)</f>
        <v>3265.5751</v>
      </c>
    </row>
    <row r="3449">
      <c r="A3449" s="434">
        <f>IFERROR(__xludf.DUMMYFUNCTION("""COMPUTED_VALUE"""),46088.99861111111)</f>
        <v>46088.99861</v>
      </c>
      <c r="B3449" s="433">
        <f>IFERROR(__xludf.DUMMYFUNCTION("""COMPUTED_VALUE"""),68099.83)</f>
        <v>68099.83</v>
      </c>
      <c r="C3449" s="434">
        <f>IFERROR(__xludf.DUMMYFUNCTION("""COMPUTED_VALUE"""),45671.99861111111)</f>
        <v>45671.99861</v>
      </c>
      <c r="D3449" s="433">
        <f>IFERROR(__xludf.DUMMYFUNCTION("""COMPUTED_VALUE"""),3136.445)</f>
        <v>3136.445</v>
      </c>
    </row>
    <row r="3450">
      <c r="A3450" s="434">
        <f>IFERROR(__xludf.DUMMYFUNCTION("""COMPUTED_VALUE"""),46089.99861111111)</f>
        <v>46089.99861</v>
      </c>
      <c r="B3450" s="433">
        <f>IFERROR(__xludf.DUMMYFUNCTION("""COMPUTED_VALUE"""),66641.69)</f>
        <v>66641.69</v>
      </c>
      <c r="C3450" s="434">
        <f>IFERROR(__xludf.DUMMYFUNCTION("""COMPUTED_VALUE"""),45672.99861111111)</f>
        <v>45672.99861</v>
      </c>
      <c r="D3450" s="433">
        <f>IFERROR(__xludf.DUMMYFUNCTION("""COMPUTED_VALUE"""),3223.8939)</f>
        <v>3223.8939</v>
      </c>
    </row>
    <row r="3451">
      <c r="A3451" s="434">
        <f>IFERROR(__xludf.DUMMYFUNCTION("""COMPUTED_VALUE"""),46090.99861111111)</f>
        <v>46090.99861</v>
      </c>
      <c r="B3451" s="433">
        <f>IFERROR(__xludf.DUMMYFUNCTION("""COMPUTED_VALUE"""),67219.71)</f>
        <v>67219.71</v>
      </c>
      <c r="C3451" s="434">
        <f>IFERROR(__xludf.DUMMYFUNCTION("""COMPUTED_VALUE"""),45673.99861111111)</f>
        <v>45673.99861</v>
      </c>
      <c r="D3451" s="433">
        <f>IFERROR(__xludf.DUMMYFUNCTION("""COMPUTED_VALUE"""),3450.5268)</f>
        <v>3450.5268</v>
      </c>
    </row>
    <row r="3452">
      <c r="A3452" s="434">
        <f>IFERROR(__xludf.DUMMYFUNCTION("""COMPUTED_VALUE"""),46091.99861111111)</f>
        <v>46091.99861</v>
      </c>
      <c r="B3452" s="433">
        <f>IFERROR(__xludf.DUMMYFUNCTION("""COMPUTED_VALUE"""),69446.6)</f>
        <v>69446.6</v>
      </c>
      <c r="C3452" s="434">
        <f>IFERROR(__xludf.DUMMYFUNCTION("""COMPUTED_VALUE"""),45674.99861111111)</f>
        <v>45674.99861</v>
      </c>
      <c r="D3452" s="433">
        <f>IFERROR(__xludf.DUMMYFUNCTION("""COMPUTED_VALUE"""),3307.6008)</f>
        <v>3307.6008</v>
      </c>
    </row>
    <row r="3453">
      <c r="A3453" s="434">
        <f>IFERROR(__xludf.DUMMYFUNCTION("""COMPUTED_VALUE"""),46092.99861111111)</f>
        <v>46092.99861</v>
      </c>
      <c r="B3453" s="433">
        <f>IFERROR(__xludf.DUMMYFUNCTION("""COMPUTED_VALUE"""),70211.68)</f>
        <v>70211.68</v>
      </c>
      <c r="C3453" s="434">
        <f>IFERROR(__xludf.DUMMYFUNCTION("""COMPUTED_VALUE"""),45675.99861111111)</f>
        <v>45675.99861</v>
      </c>
      <c r="D3453" s="433">
        <f>IFERROR(__xludf.DUMMYFUNCTION("""COMPUTED_VALUE"""),3474.0668)</f>
        <v>3474.0668</v>
      </c>
    </row>
    <row r="3454">
      <c r="A3454" s="434">
        <f>IFERROR(__xludf.DUMMYFUNCTION("""COMPUTED_VALUE"""),46093.99861111111)</f>
        <v>46093.99861</v>
      </c>
      <c r="B3454" s="433">
        <f>IFERROR(__xludf.DUMMYFUNCTION("""COMPUTED_VALUE"""),70495.54)</f>
        <v>70495.54</v>
      </c>
      <c r="C3454" s="434">
        <f>IFERROR(__xludf.DUMMYFUNCTION("""COMPUTED_VALUE"""),45676.99861111111)</f>
        <v>45676.99861</v>
      </c>
      <c r="D3454" s="433">
        <f>IFERROR(__xludf.DUMMYFUNCTION("""COMPUTED_VALUE"""),3305.1557)</f>
        <v>3305.1557</v>
      </c>
    </row>
    <row r="3455">
      <c r="A3455" s="434">
        <f>IFERROR(__xludf.DUMMYFUNCTION("""COMPUTED_VALUE"""),46094.99861111111)</f>
        <v>46094.99861</v>
      </c>
      <c r="B3455" s="433">
        <f>IFERROR(__xludf.DUMMYFUNCTION("""COMPUTED_VALUE"""),70965.379)</f>
        <v>70965.379</v>
      </c>
      <c r="C3455" s="434">
        <f>IFERROR(__xludf.DUMMYFUNCTION("""COMPUTED_VALUE"""),45677.99861111111)</f>
        <v>45677.99861</v>
      </c>
      <c r="D3455" s="433">
        <f>IFERROR(__xludf.DUMMYFUNCTION("""COMPUTED_VALUE"""),3212.8843)</f>
        <v>3212.8843</v>
      </c>
    </row>
    <row r="3456">
      <c r="C3456" s="434">
        <f>IFERROR(__xludf.DUMMYFUNCTION("""COMPUTED_VALUE"""),45678.99861111111)</f>
        <v>45678.99861</v>
      </c>
      <c r="D3456" s="433">
        <f>IFERROR(__xludf.DUMMYFUNCTION("""COMPUTED_VALUE"""),3280.3702)</f>
        <v>3280.3702</v>
      </c>
    </row>
    <row r="3457">
      <c r="C3457" s="434">
        <f>IFERROR(__xludf.DUMMYFUNCTION("""COMPUTED_VALUE"""),45679.99861111111)</f>
        <v>45679.99861</v>
      </c>
      <c r="D3457" s="433">
        <f>IFERROR(__xludf.DUMMYFUNCTION("""COMPUTED_VALUE"""),3327.8592)</f>
        <v>3327.8592</v>
      </c>
    </row>
    <row r="3458">
      <c r="C3458" s="434">
        <f>IFERROR(__xludf.DUMMYFUNCTION("""COMPUTED_VALUE"""),45680.99861111111)</f>
        <v>45680.99861</v>
      </c>
      <c r="D3458" s="433">
        <f>IFERROR(__xludf.DUMMYFUNCTION("""COMPUTED_VALUE"""),3241.2395)</f>
        <v>3241.2395</v>
      </c>
    </row>
    <row r="3459">
      <c r="C3459" s="434">
        <f>IFERROR(__xludf.DUMMYFUNCTION("""COMPUTED_VALUE"""),45681.99861111111)</f>
        <v>45681.99861</v>
      </c>
      <c r="D3459" s="433">
        <f>IFERROR(__xludf.DUMMYFUNCTION("""COMPUTED_VALUE"""),3338.5746)</f>
        <v>3338.5746</v>
      </c>
    </row>
    <row r="3460">
      <c r="C3460" s="434">
        <f>IFERROR(__xludf.DUMMYFUNCTION("""COMPUTED_VALUE"""),45682.99861111111)</f>
        <v>45682.99861</v>
      </c>
      <c r="D3460" s="433">
        <f>IFERROR(__xludf.DUMMYFUNCTION("""COMPUTED_VALUE"""),3309.7553)</f>
        <v>3309.7553</v>
      </c>
    </row>
    <row r="3461">
      <c r="C3461" s="434">
        <f>IFERROR(__xludf.DUMMYFUNCTION("""COMPUTED_VALUE"""),45683.99861111111)</f>
        <v>45683.99861</v>
      </c>
      <c r="D3461" s="433">
        <f>IFERROR(__xludf.DUMMYFUNCTION("""COMPUTED_VALUE"""),3317.2631)</f>
        <v>3317.2631</v>
      </c>
    </row>
    <row r="3462">
      <c r="C3462" s="434">
        <f>IFERROR(__xludf.DUMMYFUNCTION("""COMPUTED_VALUE"""),45684.99861111111)</f>
        <v>45684.99861</v>
      </c>
      <c r="D3462" s="433">
        <f>IFERROR(__xludf.DUMMYFUNCTION("""COMPUTED_VALUE"""),3233.391)</f>
        <v>3233.391</v>
      </c>
    </row>
    <row r="3463">
      <c r="C3463" s="434">
        <f>IFERROR(__xludf.DUMMYFUNCTION("""COMPUTED_VALUE"""),45685.99861111111)</f>
        <v>45685.99861</v>
      </c>
      <c r="D3463" s="433">
        <f>IFERROR(__xludf.DUMMYFUNCTION("""COMPUTED_VALUE"""),3181.6844)</f>
        <v>3181.6844</v>
      </c>
    </row>
    <row r="3464">
      <c r="C3464" s="434">
        <f>IFERROR(__xludf.DUMMYFUNCTION("""COMPUTED_VALUE"""),45686.99861111111)</f>
        <v>45686.99861</v>
      </c>
      <c r="D3464" s="433">
        <f>IFERROR(__xludf.DUMMYFUNCTION("""COMPUTED_VALUE"""),3075.7713)</f>
        <v>3075.7713</v>
      </c>
    </row>
    <row r="3465">
      <c r="C3465" s="434">
        <f>IFERROR(__xludf.DUMMYFUNCTION("""COMPUTED_VALUE"""),45687.99861111111)</f>
        <v>45687.99861</v>
      </c>
      <c r="D3465" s="433">
        <f>IFERROR(__xludf.DUMMYFUNCTION("""COMPUTED_VALUE"""),3114.3033)</f>
        <v>3114.3033</v>
      </c>
    </row>
    <row r="3466">
      <c r="C3466" s="434">
        <f>IFERROR(__xludf.DUMMYFUNCTION("""COMPUTED_VALUE"""),45688.99861111111)</f>
        <v>45688.99861</v>
      </c>
      <c r="D3466" s="433">
        <f>IFERROR(__xludf.DUMMYFUNCTION("""COMPUTED_VALUE"""),3247.7702)</f>
        <v>3247.7702</v>
      </c>
    </row>
    <row r="3467">
      <c r="C3467" s="434">
        <f>IFERROR(__xludf.DUMMYFUNCTION("""COMPUTED_VALUE"""),45689.99861111111)</f>
        <v>45689.99861</v>
      </c>
      <c r="D3467" s="433">
        <f>IFERROR(__xludf.DUMMYFUNCTION("""COMPUTED_VALUE"""),3298.9187)</f>
        <v>3298.9187</v>
      </c>
    </row>
    <row r="3468">
      <c r="C3468" s="434">
        <f>IFERROR(__xludf.DUMMYFUNCTION("""COMPUTED_VALUE"""),45690.99861111111)</f>
        <v>45690.99861</v>
      </c>
      <c r="D3468" s="433">
        <f>IFERROR(__xludf.DUMMYFUNCTION("""COMPUTED_VALUE"""),3116.8988)</f>
        <v>3116.8988</v>
      </c>
    </row>
    <row r="3469">
      <c r="C3469" s="434">
        <f>IFERROR(__xludf.DUMMYFUNCTION("""COMPUTED_VALUE"""),45691.99861111111)</f>
        <v>45691.99861</v>
      </c>
      <c r="D3469" s="433">
        <f>IFERROR(__xludf.DUMMYFUNCTION("""COMPUTED_VALUE"""),2869.2932)</f>
        <v>2869.2932</v>
      </c>
    </row>
    <row r="3470">
      <c r="C3470" s="434">
        <f>IFERROR(__xludf.DUMMYFUNCTION("""COMPUTED_VALUE"""),45692.99861111111)</f>
        <v>45692.99861</v>
      </c>
      <c r="D3470" s="433">
        <f>IFERROR(__xludf.DUMMYFUNCTION("""COMPUTED_VALUE"""),2883.2151)</f>
        <v>2883.2151</v>
      </c>
    </row>
    <row r="3471">
      <c r="C3471" s="434">
        <f>IFERROR(__xludf.DUMMYFUNCTION("""COMPUTED_VALUE"""),45693.99861111111)</f>
        <v>45693.99861</v>
      </c>
      <c r="D3471" s="433">
        <f>IFERROR(__xludf.DUMMYFUNCTION("""COMPUTED_VALUE"""),2732.0012)</f>
        <v>2732.0012</v>
      </c>
    </row>
    <row r="3472">
      <c r="C3472" s="434">
        <f>IFERROR(__xludf.DUMMYFUNCTION("""COMPUTED_VALUE"""),45694.99861111111)</f>
        <v>45694.99861</v>
      </c>
      <c r="D3472" s="433">
        <f>IFERROR(__xludf.DUMMYFUNCTION("""COMPUTED_VALUE"""),2788.2941)</f>
        <v>2788.2941</v>
      </c>
    </row>
    <row r="3473">
      <c r="C3473" s="434">
        <f>IFERROR(__xludf.DUMMYFUNCTION("""COMPUTED_VALUE"""),45695.99861111111)</f>
        <v>45695.99861</v>
      </c>
      <c r="D3473" s="433">
        <f>IFERROR(__xludf.DUMMYFUNCTION("""COMPUTED_VALUE"""),2688.0574)</f>
        <v>2688.0574</v>
      </c>
    </row>
    <row r="3474">
      <c r="C3474" s="434">
        <f>IFERROR(__xludf.DUMMYFUNCTION("""COMPUTED_VALUE"""),45696.99861111111)</f>
        <v>45696.99861</v>
      </c>
      <c r="D3474" s="433">
        <f>IFERROR(__xludf.DUMMYFUNCTION("""COMPUTED_VALUE"""),2623.0346)</f>
        <v>2623.0346</v>
      </c>
    </row>
    <row r="3475">
      <c r="C3475" s="434">
        <f>IFERROR(__xludf.DUMMYFUNCTION("""COMPUTED_VALUE"""),45697.99861111111)</f>
        <v>45697.99861</v>
      </c>
      <c r="D3475" s="433">
        <f>IFERROR(__xludf.DUMMYFUNCTION("""COMPUTED_VALUE"""),2632.9375)</f>
        <v>2632.9375</v>
      </c>
    </row>
    <row r="3476">
      <c r="C3476" s="434">
        <f>IFERROR(__xludf.DUMMYFUNCTION("""COMPUTED_VALUE"""),45698.99861111111)</f>
        <v>45698.99861</v>
      </c>
      <c r="D3476" s="433">
        <f>IFERROR(__xludf.DUMMYFUNCTION("""COMPUTED_VALUE"""),2628.011)</f>
        <v>2628.011</v>
      </c>
    </row>
    <row r="3477">
      <c r="C3477" s="434">
        <f>IFERROR(__xludf.DUMMYFUNCTION("""COMPUTED_VALUE"""),45699.99861111111)</f>
        <v>45699.99861</v>
      </c>
      <c r="D3477" s="433">
        <f>IFERROR(__xludf.DUMMYFUNCTION("""COMPUTED_VALUE"""),2661.4868)</f>
        <v>2661.4868</v>
      </c>
    </row>
    <row r="3478">
      <c r="C3478" s="434">
        <f>IFERROR(__xludf.DUMMYFUNCTION("""COMPUTED_VALUE"""),45700.99861111111)</f>
        <v>45700.99861</v>
      </c>
      <c r="D3478" s="433">
        <f>IFERROR(__xludf.DUMMYFUNCTION("""COMPUTED_VALUE"""),2602.6286)</f>
        <v>2602.6286</v>
      </c>
    </row>
    <row r="3479">
      <c r="C3479" s="434">
        <f>IFERROR(__xludf.DUMMYFUNCTION("""COMPUTED_VALUE"""),45701.99861111111)</f>
        <v>45701.99861</v>
      </c>
      <c r="D3479" s="433">
        <f>IFERROR(__xludf.DUMMYFUNCTION("""COMPUTED_VALUE"""),2737.7892)</f>
        <v>2737.7892</v>
      </c>
    </row>
    <row r="3480">
      <c r="C3480" s="434">
        <f>IFERROR(__xludf.DUMMYFUNCTION("""COMPUTED_VALUE"""),45702.99861111111)</f>
        <v>45702.99861</v>
      </c>
      <c r="D3480" s="433">
        <f>IFERROR(__xludf.DUMMYFUNCTION("""COMPUTED_VALUE"""),2676.2042)</f>
        <v>2676.2042</v>
      </c>
    </row>
    <row r="3481">
      <c r="C3481" s="434">
        <f>IFERROR(__xludf.DUMMYFUNCTION("""COMPUTED_VALUE"""),45703.99861111111)</f>
        <v>45703.99861</v>
      </c>
      <c r="D3481" s="433">
        <f>IFERROR(__xludf.DUMMYFUNCTION("""COMPUTED_VALUE"""),2725.7036)</f>
        <v>2725.7036</v>
      </c>
    </row>
    <row r="3482">
      <c r="C3482" s="434">
        <f>IFERROR(__xludf.DUMMYFUNCTION("""COMPUTED_VALUE"""),45704.99861111111)</f>
        <v>45704.99861</v>
      </c>
      <c r="D3482" s="433">
        <f>IFERROR(__xludf.DUMMYFUNCTION("""COMPUTED_VALUE"""),2693.5246)</f>
        <v>2693.5246</v>
      </c>
    </row>
    <row r="3483">
      <c r="C3483" s="434">
        <f>IFERROR(__xludf.DUMMYFUNCTION("""COMPUTED_VALUE"""),45705.99861111111)</f>
        <v>45705.99861</v>
      </c>
      <c r="D3483" s="433">
        <f>IFERROR(__xludf.DUMMYFUNCTION("""COMPUTED_VALUE"""),2662.2272)</f>
        <v>2662.2272</v>
      </c>
    </row>
    <row r="3484">
      <c r="C3484" s="434">
        <f>IFERROR(__xludf.DUMMYFUNCTION("""COMPUTED_VALUE"""),45706.99861111111)</f>
        <v>45706.99861</v>
      </c>
      <c r="D3484" s="433">
        <f>IFERROR(__xludf.DUMMYFUNCTION("""COMPUTED_VALUE"""),2743.7816)</f>
        <v>2743.7816</v>
      </c>
    </row>
    <row r="3485">
      <c r="C3485" s="434">
        <f>IFERROR(__xludf.DUMMYFUNCTION("""COMPUTED_VALUE"""),45707.99861111111)</f>
        <v>45707.99861</v>
      </c>
      <c r="D3485" s="433">
        <f>IFERROR(__xludf.DUMMYFUNCTION("""COMPUTED_VALUE"""),2669.9008)</f>
        <v>2669.9008</v>
      </c>
    </row>
    <row r="3486">
      <c r="C3486" s="434">
        <f>IFERROR(__xludf.DUMMYFUNCTION("""COMPUTED_VALUE"""),45708.99861111111)</f>
        <v>45708.99861</v>
      </c>
      <c r="D3486" s="433">
        <f>IFERROR(__xludf.DUMMYFUNCTION("""COMPUTED_VALUE"""),2715.3959)</f>
        <v>2715.3959</v>
      </c>
    </row>
    <row r="3487">
      <c r="C3487" s="434">
        <f>IFERROR(__xludf.DUMMYFUNCTION("""COMPUTED_VALUE"""),45709.99861111111)</f>
        <v>45709.99861</v>
      </c>
      <c r="D3487" s="433">
        <f>IFERROR(__xludf.DUMMYFUNCTION("""COMPUTED_VALUE"""),2739.468)</f>
        <v>2739.468</v>
      </c>
    </row>
    <row r="3488">
      <c r="C3488" s="434">
        <f>IFERROR(__xludf.DUMMYFUNCTION("""COMPUTED_VALUE"""),45710.99861111111)</f>
        <v>45710.99861</v>
      </c>
      <c r="D3488" s="433">
        <f>IFERROR(__xludf.DUMMYFUNCTION("""COMPUTED_VALUE"""),2660.6903)</f>
        <v>2660.6903</v>
      </c>
    </row>
    <row r="3489">
      <c r="C3489" s="434">
        <f>IFERROR(__xludf.DUMMYFUNCTION("""COMPUTED_VALUE"""),45711.99861111111)</f>
        <v>45711.99861</v>
      </c>
      <c r="D3489" s="433">
        <f>IFERROR(__xludf.DUMMYFUNCTION("""COMPUTED_VALUE"""),2763.9902)</f>
        <v>2763.9902</v>
      </c>
    </row>
    <row r="3490">
      <c r="C3490" s="434">
        <f>IFERROR(__xludf.DUMMYFUNCTION("""COMPUTED_VALUE"""),45712.99861111111)</f>
        <v>45712.99861</v>
      </c>
      <c r="D3490" s="433">
        <f>IFERROR(__xludf.DUMMYFUNCTION("""COMPUTED_VALUE"""),2819.8368)</f>
        <v>2819.8368</v>
      </c>
    </row>
    <row r="3491">
      <c r="C3491" s="434">
        <f>IFERROR(__xludf.DUMMYFUNCTION("""COMPUTED_VALUE"""),45713.99861111111)</f>
        <v>45713.99861</v>
      </c>
      <c r="D3491" s="433">
        <f>IFERROR(__xludf.DUMMYFUNCTION("""COMPUTED_VALUE"""),2513.9897)</f>
        <v>2513.9897</v>
      </c>
    </row>
    <row r="3492">
      <c r="C3492" s="434">
        <f>IFERROR(__xludf.DUMMYFUNCTION("""COMPUTED_VALUE"""),45714.99861111111)</f>
        <v>45714.99861</v>
      </c>
      <c r="D3492" s="433">
        <f>IFERROR(__xludf.DUMMYFUNCTION("""COMPUTED_VALUE"""),2492.342)</f>
        <v>2492.342</v>
      </c>
    </row>
    <row r="3493">
      <c r="C3493" s="434">
        <f>IFERROR(__xludf.DUMMYFUNCTION("""COMPUTED_VALUE"""),45715.99861111111)</f>
        <v>45715.99861</v>
      </c>
      <c r="D3493" s="433">
        <f>IFERROR(__xludf.DUMMYFUNCTION("""COMPUTED_VALUE"""),2332.5324)</f>
        <v>2332.5324</v>
      </c>
    </row>
    <row r="3494">
      <c r="C3494" s="434">
        <f>IFERROR(__xludf.DUMMYFUNCTION("""COMPUTED_VALUE"""),45716.99861111111)</f>
        <v>45716.99861</v>
      </c>
      <c r="D3494" s="433">
        <f>IFERROR(__xludf.DUMMYFUNCTION("""COMPUTED_VALUE"""),2305.5974)</f>
        <v>2305.5974</v>
      </c>
    </row>
    <row r="3495">
      <c r="C3495" s="434">
        <f>IFERROR(__xludf.DUMMYFUNCTION("""COMPUTED_VALUE"""),45717.99861111111)</f>
        <v>45717.99861</v>
      </c>
      <c r="D3495" s="433">
        <f>IFERROR(__xludf.DUMMYFUNCTION("""COMPUTED_VALUE"""),2235.8163)</f>
        <v>2235.8163</v>
      </c>
    </row>
    <row r="3496">
      <c r="C3496" s="434">
        <f>IFERROR(__xludf.DUMMYFUNCTION("""COMPUTED_VALUE"""),45718.99861111111)</f>
        <v>45718.99861</v>
      </c>
      <c r="D3496" s="433">
        <f>IFERROR(__xludf.DUMMYFUNCTION("""COMPUTED_VALUE"""),2216.2998)</f>
        <v>2216.2998</v>
      </c>
    </row>
    <row r="3497">
      <c r="C3497" s="434">
        <f>IFERROR(__xludf.DUMMYFUNCTION("""COMPUTED_VALUE"""),45719.99861111111)</f>
        <v>45719.99861</v>
      </c>
      <c r="D3497" s="433">
        <f>IFERROR(__xludf.DUMMYFUNCTION("""COMPUTED_VALUE"""),2519.0844)</f>
        <v>2519.0844</v>
      </c>
    </row>
    <row r="3498">
      <c r="C3498" s="434">
        <f>IFERROR(__xludf.DUMMYFUNCTION("""COMPUTED_VALUE"""),45720.99861111111)</f>
        <v>45720.99861</v>
      </c>
      <c r="D3498" s="433">
        <f>IFERROR(__xludf.DUMMYFUNCTION("""COMPUTED_VALUE"""),2147.7012)</f>
        <v>2147.7012</v>
      </c>
    </row>
    <row r="3499">
      <c r="C3499" s="434">
        <f>IFERROR(__xludf.DUMMYFUNCTION("""COMPUTED_VALUE"""),45721.99861111111)</f>
        <v>45721.99861</v>
      </c>
      <c r="D3499" s="433">
        <f>IFERROR(__xludf.DUMMYFUNCTION("""COMPUTED_VALUE"""),2170.7004)</f>
        <v>2170.7004</v>
      </c>
    </row>
    <row r="3500">
      <c r="C3500" s="434">
        <f>IFERROR(__xludf.DUMMYFUNCTION("""COMPUTED_VALUE"""),45722.99861111111)</f>
        <v>45722.99861</v>
      </c>
      <c r="D3500" s="433">
        <f>IFERROR(__xludf.DUMMYFUNCTION("""COMPUTED_VALUE"""),2241.9048)</f>
        <v>2241.9048</v>
      </c>
    </row>
    <row r="3501">
      <c r="C3501" s="434">
        <f>IFERROR(__xludf.DUMMYFUNCTION("""COMPUTED_VALUE"""),45723.99861111111)</f>
        <v>45723.99861</v>
      </c>
      <c r="D3501" s="433">
        <f>IFERROR(__xludf.DUMMYFUNCTION("""COMPUTED_VALUE"""),2202.2975)</f>
        <v>2202.2975</v>
      </c>
    </row>
    <row r="3502">
      <c r="C3502" s="434">
        <f>IFERROR(__xludf.DUMMYFUNCTION("""COMPUTED_VALUE"""),45724.99861111111)</f>
        <v>45724.99861</v>
      </c>
      <c r="D3502" s="433">
        <f>IFERROR(__xludf.DUMMYFUNCTION("""COMPUTED_VALUE"""),2140.2135)</f>
        <v>2140.2135</v>
      </c>
    </row>
    <row r="3503">
      <c r="C3503" s="434">
        <f>IFERROR(__xludf.DUMMYFUNCTION("""COMPUTED_VALUE"""),45725.99861111111)</f>
        <v>45725.99861</v>
      </c>
      <c r="D3503" s="433">
        <f>IFERROR(__xludf.DUMMYFUNCTION("""COMPUTED_VALUE"""),2202.7799)</f>
        <v>2202.7799</v>
      </c>
    </row>
    <row r="3504">
      <c r="C3504" s="434">
        <f>IFERROR(__xludf.DUMMYFUNCTION("""COMPUTED_VALUE"""),45726.99861111111)</f>
        <v>45726.99861</v>
      </c>
      <c r="D3504" s="433">
        <f>IFERROR(__xludf.DUMMYFUNCTION("""COMPUTED_VALUE"""),2018.3289)</f>
        <v>2018.3289</v>
      </c>
    </row>
    <row r="3505">
      <c r="C3505" s="434">
        <f>IFERROR(__xludf.DUMMYFUNCTION("""COMPUTED_VALUE"""),45727.99861111111)</f>
        <v>45727.99861</v>
      </c>
      <c r="D3505" s="433">
        <f>IFERROR(__xludf.DUMMYFUNCTION("""COMPUTED_VALUE"""),1863.7698)</f>
        <v>1863.7698</v>
      </c>
    </row>
    <row r="3506">
      <c r="C3506" s="434">
        <f>IFERROR(__xludf.DUMMYFUNCTION("""COMPUTED_VALUE"""),45728.99861111111)</f>
        <v>45728.99861</v>
      </c>
      <c r="D3506" s="433">
        <f>IFERROR(__xludf.DUMMYFUNCTION("""COMPUTED_VALUE"""),1921.8031)</f>
        <v>1921.8031</v>
      </c>
    </row>
    <row r="3507">
      <c r="C3507" s="434">
        <f>IFERROR(__xludf.DUMMYFUNCTION("""COMPUTED_VALUE"""),45729.99861111111)</f>
        <v>45729.99861</v>
      </c>
      <c r="D3507" s="433">
        <f>IFERROR(__xludf.DUMMYFUNCTION("""COMPUTED_VALUE"""),1908.0938)</f>
        <v>1908.0938</v>
      </c>
    </row>
    <row r="3508">
      <c r="C3508" s="434">
        <f>IFERROR(__xludf.DUMMYFUNCTION("""COMPUTED_VALUE"""),45730.99861111111)</f>
        <v>45730.99861</v>
      </c>
      <c r="D3508" s="433">
        <f>IFERROR(__xludf.DUMMYFUNCTION("""COMPUTED_VALUE"""),1863.4771)</f>
        <v>1863.4771</v>
      </c>
    </row>
    <row r="3509">
      <c r="C3509" s="434">
        <f>IFERROR(__xludf.DUMMYFUNCTION("""COMPUTED_VALUE"""),45731.99861111111)</f>
        <v>45731.99861</v>
      </c>
      <c r="D3509" s="433">
        <f>IFERROR(__xludf.DUMMYFUNCTION("""COMPUTED_VALUE"""),1910.8596)</f>
        <v>1910.8596</v>
      </c>
    </row>
    <row r="3510">
      <c r="C3510" s="434">
        <f>IFERROR(__xludf.DUMMYFUNCTION("""COMPUTED_VALUE"""),45732.99861111111)</f>
        <v>45732.99861</v>
      </c>
      <c r="D3510" s="433">
        <f>IFERROR(__xludf.DUMMYFUNCTION("""COMPUTED_VALUE"""),1937.0931)</f>
        <v>1937.0931</v>
      </c>
    </row>
    <row r="3511">
      <c r="C3511" s="434">
        <f>IFERROR(__xludf.DUMMYFUNCTION("""COMPUTED_VALUE"""),45733.99861111111)</f>
        <v>45733.99861</v>
      </c>
      <c r="D3511" s="433">
        <f>IFERROR(__xludf.DUMMYFUNCTION("""COMPUTED_VALUE"""),1887.202)</f>
        <v>1887.202</v>
      </c>
    </row>
    <row r="3512">
      <c r="C3512" s="434">
        <f>IFERROR(__xludf.DUMMYFUNCTION("""COMPUTED_VALUE"""),45734.99861111111)</f>
        <v>45734.99861</v>
      </c>
      <c r="D3512" s="433">
        <f>IFERROR(__xludf.DUMMYFUNCTION("""COMPUTED_VALUE"""),1926.5746)</f>
        <v>1926.5746</v>
      </c>
    </row>
    <row r="3513">
      <c r="C3513" s="434">
        <f>IFERROR(__xludf.DUMMYFUNCTION("""COMPUTED_VALUE"""),45735.99861111111)</f>
        <v>45735.99861</v>
      </c>
      <c r="D3513" s="433">
        <f>IFERROR(__xludf.DUMMYFUNCTION("""COMPUTED_VALUE"""),1931.7574)</f>
        <v>1931.7574</v>
      </c>
    </row>
    <row r="3514">
      <c r="C3514" s="434">
        <f>IFERROR(__xludf.DUMMYFUNCTION("""COMPUTED_VALUE"""),45736.99861111111)</f>
        <v>45736.99861</v>
      </c>
      <c r="D3514" s="433">
        <f>IFERROR(__xludf.DUMMYFUNCTION("""COMPUTED_VALUE"""),2057.6814)</f>
        <v>2057.6814</v>
      </c>
    </row>
    <row r="3515">
      <c r="C3515" s="434">
        <f>IFERROR(__xludf.DUMMYFUNCTION("""COMPUTED_VALUE"""),45737.99861111111)</f>
        <v>45737.99861</v>
      </c>
      <c r="D3515" s="433">
        <f>IFERROR(__xludf.DUMMYFUNCTION("""COMPUTED_VALUE"""),1982.3914)</f>
        <v>1982.3914</v>
      </c>
    </row>
    <row r="3516">
      <c r="C3516" s="434">
        <f>IFERROR(__xludf.DUMMYFUNCTION("""COMPUTED_VALUE"""),45738.99861111111)</f>
        <v>45738.99861</v>
      </c>
      <c r="D3516" s="433">
        <f>IFERROR(__xludf.DUMMYFUNCTION("""COMPUTED_VALUE"""),1965.2958)</f>
        <v>1965.2958</v>
      </c>
    </row>
    <row r="3517">
      <c r="C3517" s="434">
        <f>IFERROR(__xludf.DUMMYFUNCTION("""COMPUTED_VALUE"""),45739.99861111111)</f>
        <v>45739.99861</v>
      </c>
      <c r="D3517" s="433">
        <f>IFERROR(__xludf.DUMMYFUNCTION("""COMPUTED_VALUE"""),1980.1805)</f>
        <v>1980.1805</v>
      </c>
    </row>
    <row r="3518">
      <c r="C3518" s="434">
        <f>IFERROR(__xludf.DUMMYFUNCTION("""COMPUTED_VALUE"""),45740.99861111111)</f>
        <v>45740.99861</v>
      </c>
      <c r="D3518" s="433">
        <f>IFERROR(__xludf.DUMMYFUNCTION("""COMPUTED_VALUE"""),2006.0249)</f>
        <v>2006.0249</v>
      </c>
    </row>
    <row r="3519">
      <c r="C3519" s="434">
        <f>IFERROR(__xludf.DUMMYFUNCTION("""COMPUTED_VALUE"""),45741.99861111111)</f>
        <v>45741.99861</v>
      </c>
      <c r="D3519" s="433">
        <f>IFERROR(__xludf.DUMMYFUNCTION("""COMPUTED_VALUE"""),2081.8109)</f>
        <v>2081.8109</v>
      </c>
    </row>
    <row r="3520">
      <c r="C3520" s="434">
        <f>IFERROR(__xludf.DUMMYFUNCTION("""COMPUTED_VALUE"""),45742.99861111111)</f>
        <v>45742.99861</v>
      </c>
      <c r="D3520" s="433">
        <f>IFERROR(__xludf.DUMMYFUNCTION("""COMPUTED_VALUE"""),2067.1385)</f>
        <v>2067.1385</v>
      </c>
    </row>
    <row r="3521">
      <c r="C3521" s="434">
        <f>IFERROR(__xludf.DUMMYFUNCTION("""COMPUTED_VALUE"""),45743.99861111111)</f>
        <v>45743.99861</v>
      </c>
      <c r="D3521" s="433">
        <f>IFERROR(__xludf.DUMMYFUNCTION("""COMPUTED_VALUE"""),2009.4311)</f>
        <v>2009.4311</v>
      </c>
    </row>
    <row r="3522">
      <c r="C3522" s="434">
        <f>IFERROR(__xludf.DUMMYFUNCTION("""COMPUTED_VALUE"""),45744.99861111111)</f>
        <v>45744.99861</v>
      </c>
      <c r="D3522" s="433">
        <f>IFERROR(__xludf.DUMMYFUNCTION("""COMPUTED_VALUE"""),2002.647)</f>
        <v>2002.647</v>
      </c>
    </row>
    <row r="3523">
      <c r="C3523" s="434">
        <f>IFERROR(__xludf.DUMMYFUNCTION("""COMPUTED_VALUE"""),45745.99861111111)</f>
        <v>45745.99861</v>
      </c>
      <c r="D3523" s="433">
        <f>IFERROR(__xludf.DUMMYFUNCTION("""COMPUTED_VALUE"""),1895.8636)</f>
        <v>1895.8636</v>
      </c>
    </row>
    <row r="3524">
      <c r="C3524" s="434">
        <f>IFERROR(__xludf.DUMMYFUNCTION("""COMPUTED_VALUE"""),45746.99861111111)</f>
        <v>45746.99861</v>
      </c>
      <c r="D3524" s="433">
        <f>IFERROR(__xludf.DUMMYFUNCTION("""COMPUTED_VALUE"""),1827.4434)</f>
        <v>1827.4434</v>
      </c>
    </row>
    <row r="3525">
      <c r="C3525" s="434">
        <f>IFERROR(__xludf.DUMMYFUNCTION("""COMPUTED_VALUE"""),45747.99861111111)</f>
        <v>45747.99861</v>
      </c>
      <c r="D3525" s="433">
        <f>IFERROR(__xludf.DUMMYFUNCTION("""COMPUTED_VALUE"""),1806.7074)</f>
        <v>1806.7074</v>
      </c>
    </row>
    <row r="3526">
      <c r="C3526" s="434">
        <f>IFERROR(__xludf.DUMMYFUNCTION("""COMPUTED_VALUE"""),45748.99861111111)</f>
        <v>45748.99861</v>
      </c>
      <c r="D3526" s="433">
        <f>IFERROR(__xludf.DUMMYFUNCTION("""COMPUTED_VALUE"""),1822.3431)</f>
        <v>1822.3431</v>
      </c>
    </row>
    <row r="3527">
      <c r="C3527" s="434">
        <f>IFERROR(__xludf.DUMMYFUNCTION("""COMPUTED_VALUE"""),45749.99861111111)</f>
        <v>45749.99861</v>
      </c>
      <c r="D3527" s="433">
        <f>IFERROR(__xludf.DUMMYFUNCTION("""COMPUTED_VALUE"""),1905.3194)</f>
        <v>1905.3194</v>
      </c>
    </row>
    <row r="3528">
      <c r="C3528" s="434">
        <f>IFERROR(__xludf.DUMMYFUNCTION("""COMPUTED_VALUE"""),45750.99861111111)</f>
        <v>45750.99861</v>
      </c>
      <c r="D3528" s="433">
        <f>IFERROR(__xludf.DUMMYFUNCTION("""COMPUTED_VALUE"""),1794.8779)</f>
        <v>1794.8779</v>
      </c>
    </row>
    <row r="3529">
      <c r="C3529" s="434">
        <f>IFERROR(__xludf.DUMMYFUNCTION("""COMPUTED_VALUE"""),45751.99861111111)</f>
        <v>45751.99861</v>
      </c>
      <c r="D3529" s="433">
        <f>IFERROR(__xludf.DUMMYFUNCTION("""COMPUTED_VALUE"""),1816.4149)</f>
        <v>1816.4149</v>
      </c>
    </row>
    <row r="3530">
      <c r="C3530" s="434">
        <f>IFERROR(__xludf.DUMMYFUNCTION("""COMPUTED_VALUE"""),45752.99861111111)</f>
        <v>45752.99861</v>
      </c>
      <c r="D3530" s="433">
        <f>IFERROR(__xludf.DUMMYFUNCTION("""COMPUTED_VALUE"""),1815.4492)</f>
        <v>1815.4492</v>
      </c>
    </row>
    <row r="3531">
      <c r="C3531" s="434">
        <f>IFERROR(__xludf.DUMMYFUNCTION("""COMPUTED_VALUE"""),45753.99861111111)</f>
        <v>45753.99861</v>
      </c>
      <c r="D3531" s="433">
        <f>IFERROR(__xludf.DUMMYFUNCTION("""COMPUTED_VALUE"""),1806.0908)</f>
        <v>1806.0908</v>
      </c>
    </row>
    <row r="3532">
      <c r="C3532" s="434">
        <f>IFERROR(__xludf.DUMMYFUNCTION("""COMPUTED_VALUE"""),45754.99861111111)</f>
        <v>45754.99861</v>
      </c>
      <c r="D3532" s="433">
        <f>IFERROR(__xludf.DUMMYFUNCTION("""COMPUTED_VALUE"""),1579.0905)</f>
        <v>1579.0905</v>
      </c>
    </row>
    <row r="3533">
      <c r="C3533" s="434">
        <f>IFERROR(__xludf.DUMMYFUNCTION("""COMPUTED_VALUE"""),45755.99861111111)</f>
        <v>45755.99861</v>
      </c>
      <c r="D3533" s="433">
        <f>IFERROR(__xludf.DUMMYFUNCTION("""COMPUTED_VALUE"""),1552.0201)</f>
        <v>1552.0201</v>
      </c>
    </row>
    <row r="3534">
      <c r="C3534" s="434">
        <f>IFERROR(__xludf.DUMMYFUNCTION("""COMPUTED_VALUE"""),45756.99861111111)</f>
        <v>45756.99861</v>
      </c>
      <c r="D3534" s="433">
        <f>IFERROR(__xludf.DUMMYFUNCTION("""COMPUTED_VALUE"""),1471.9443)</f>
        <v>1471.9443</v>
      </c>
    </row>
    <row r="3535">
      <c r="C3535" s="434">
        <f>IFERROR(__xludf.DUMMYFUNCTION("""COMPUTED_VALUE"""),45757.99861111111)</f>
        <v>45757.99861</v>
      </c>
      <c r="D3535" s="433">
        <f>IFERROR(__xludf.DUMMYFUNCTION("""COMPUTED_VALUE"""),1668.859)</f>
        <v>1668.859</v>
      </c>
    </row>
    <row r="3536">
      <c r="C3536" s="434">
        <f>IFERROR(__xludf.DUMMYFUNCTION("""COMPUTED_VALUE"""),45758.99861111111)</f>
        <v>45758.99861</v>
      </c>
      <c r="D3536" s="433">
        <f>IFERROR(__xludf.DUMMYFUNCTION("""COMPUTED_VALUE"""),1521.4977)</f>
        <v>1521.4977</v>
      </c>
    </row>
    <row r="3537">
      <c r="C3537" s="434">
        <f>IFERROR(__xludf.DUMMYFUNCTION("""COMPUTED_VALUE"""),45759.99861111111)</f>
        <v>45759.99861</v>
      </c>
      <c r="D3537" s="433">
        <f>IFERROR(__xludf.DUMMYFUNCTION("""COMPUTED_VALUE"""),1566.1546)</f>
        <v>1566.1546</v>
      </c>
    </row>
    <row r="3538">
      <c r="C3538" s="434">
        <f>IFERROR(__xludf.DUMMYFUNCTION("""COMPUTED_VALUE"""),45760.99861111111)</f>
        <v>45760.99861</v>
      </c>
      <c r="D3538" s="433">
        <f>IFERROR(__xludf.DUMMYFUNCTION("""COMPUTED_VALUE"""),1643.7982)</f>
        <v>1643.7982</v>
      </c>
    </row>
    <row r="3539">
      <c r="C3539" s="434">
        <f>IFERROR(__xludf.DUMMYFUNCTION("""COMPUTED_VALUE"""),45761.99861111111)</f>
        <v>45761.99861</v>
      </c>
      <c r="D3539" s="433">
        <f>IFERROR(__xludf.DUMMYFUNCTION("""COMPUTED_VALUE"""),1596.8367)</f>
        <v>1596.8367</v>
      </c>
    </row>
    <row r="3540">
      <c r="C3540" s="434">
        <f>IFERROR(__xludf.DUMMYFUNCTION("""COMPUTED_VALUE"""),45762.99861111111)</f>
        <v>45762.99861</v>
      </c>
      <c r="D3540" s="433">
        <f>IFERROR(__xludf.DUMMYFUNCTION("""COMPUTED_VALUE"""),1623.1192)</f>
        <v>1623.1192</v>
      </c>
    </row>
    <row r="3541">
      <c r="C3541" s="434">
        <f>IFERROR(__xludf.DUMMYFUNCTION("""COMPUTED_VALUE"""),45763.99861111111)</f>
        <v>45763.99861</v>
      </c>
      <c r="D3541" s="433">
        <f>IFERROR(__xludf.DUMMYFUNCTION("""COMPUTED_VALUE"""),1588.8276)</f>
        <v>1588.8276</v>
      </c>
    </row>
    <row r="3542">
      <c r="C3542" s="434">
        <f>IFERROR(__xludf.DUMMYFUNCTION("""COMPUTED_VALUE"""),45764.99861111111)</f>
        <v>45764.99861</v>
      </c>
      <c r="D3542" s="433">
        <f>IFERROR(__xludf.DUMMYFUNCTION("""COMPUTED_VALUE"""),1577.2412)</f>
        <v>1577.2412</v>
      </c>
    </row>
    <row r="3543">
      <c r="C3543" s="434">
        <f>IFERROR(__xludf.DUMMYFUNCTION("""COMPUTED_VALUE"""),45765.99861111111)</f>
        <v>45765.99861</v>
      </c>
      <c r="D3543" s="433">
        <f>IFERROR(__xludf.DUMMYFUNCTION("""COMPUTED_VALUE"""),1582.98)</f>
        <v>1582.98</v>
      </c>
    </row>
    <row r="3544">
      <c r="C3544" s="434">
        <f>IFERROR(__xludf.DUMMYFUNCTION("""COMPUTED_VALUE"""),45766.99861111111)</f>
        <v>45766.99861</v>
      </c>
      <c r="D3544" s="433">
        <f>IFERROR(__xludf.DUMMYFUNCTION("""COMPUTED_VALUE"""),1588.7273)</f>
        <v>1588.7273</v>
      </c>
    </row>
    <row r="3545">
      <c r="C3545" s="434">
        <f>IFERROR(__xludf.DUMMYFUNCTION("""COMPUTED_VALUE"""),45767.99861111111)</f>
        <v>45767.99861</v>
      </c>
      <c r="D3545" s="433">
        <f>IFERROR(__xludf.DUMMYFUNCTION("""COMPUTED_VALUE"""),1613.1206)</f>
        <v>1613.1206</v>
      </c>
    </row>
    <row r="3546">
      <c r="C3546" s="434">
        <f>IFERROR(__xludf.DUMMYFUNCTION("""COMPUTED_VALUE"""),45768.99861111111)</f>
        <v>45768.99861</v>
      </c>
      <c r="D3546" s="433">
        <f>IFERROR(__xludf.DUMMYFUNCTION("""COMPUTED_VALUE"""),1587.3288)</f>
        <v>1587.3288</v>
      </c>
    </row>
    <row r="3547">
      <c r="C3547" s="434">
        <f>IFERROR(__xludf.DUMMYFUNCTION("""COMPUTED_VALUE"""),45769.99861111111)</f>
        <v>45769.99861</v>
      </c>
      <c r="D3547" s="433">
        <f>IFERROR(__xludf.DUMMYFUNCTION("""COMPUTED_VALUE"""),1579.4935)</f>
        <v>1579.4935</v>
      </c>
    </row>
    <row r="3548">
      <c r="C3548" s="434">
        <f>IFERROR(__xludf.DUMMYFUNCTION("""COMPUTED_VALUE"""),45770.99861111111)</f>
        <v>45770.99861</v>
      </c>
      <c r="D3548" s="433">
        <f>IFERROR(__xludf.DUMMYFUNCTION("""COMPUTED_VALUE"""),1756.9004)</f>
        <v>1756.9004</v>
      </c>
    </row>
    <row r="3549">
      <c r="C3549" s="434">
        <f>IFERROR(__xludf.DUMMYFUNCTION("""COMPUTED_VALUE"""),45771.99861111111)</f>
        <v>45771.99861</v>
      </c>
      <c r="D3549" s="433">
        <f>IFERROR(__xludf.DUMMYFUNCTION("""COMPUTED_VALUE"""),1796.0691)</f>
        <v>1796.0691</v>
      </c>
    </row>
    <row r="3550">
      <c r="C3550" s="434">
        <f>IFERROR(__xludf.DUMMYFUNCTION("""COMPUTED_VALUE"""),45772.99861111111)</f>
        <v>45772.99861</v>
      </c>
      <c r="D3550" s="433">
        <f>IFERROR(__xludf.DUMMYFUNCTION("""COMPUTED_VALUE"""),1770.0125)</f>
        <v>1770.0125</v>
      </c>
    </row>
    <row r="3551">
      <c r="C3551" s="434">
        <f>IFERROR(__xludf.DUMMYFUNCTION("""COMPUTED_VALUE"""),45773.99861111111)</f>
        <v>45773.99861</v>
      </c>
      <c r="D3551" s="433">
        <f>IFERROR(__xludf.DUMMYFUNCTION("""COMPUTED_VALUE"""),1786.1962)</f>
        <v>1786.1962</v>
      </c>
    </row>
    <row r="3552">
      <c r="C3552" s="434">
        <f>IFERROR(__xludf.DUMMYFUNCTION("""COMPUTED_VALUE"""),45774.99861111111)</f>
        <v>45774.99861</v>
      </c>
      <c r="D3552" s="433">
        <f>IFERROR(__xludf.DUMMYFUNCTION("""COMPUTED_VALUE"""),1821.7589)</f>
        <v>1821.7589</v>
      </c>
    </row>
    <row r="3553">
      <c r="C3553" s="434">
        <f>IFERROR(__xludf.DUMMYFUNCTION("""COMPUTED_VALUE"""),45775.99861111111)</f>
        <v>45775.99861</v>
      </c>
      <c r="D3553" s="433">
        <f>IFERROR(__xludf.DUMMYFUNCTION("""COMPUTED_VALUE"""),1791.9918)</f>
        <v>1791.9918</v>
      </c>
    </row>
    <row r="3554">
      <c r="C3554" s="434">
        <f>IFERROR(__xludf.DUMMYFUNCTION("""COMPUTED_VALUE"""),45776.99861111111)</f>
        <v>45776.99861</v>
      </c>
      <c r="D3554" s="433">
        <f>IFERROR(__xludf.DUMMYFUNCTION("""COMPUTED_VALUE"""),1800.1999)</f>
        <v>1800.1999</v>
      </c>
    </row>
    <row r="3555">
      <c r="C3555" s="434">
        <f>IFERROR(__xludf.DUMMYFUNCTION("""COMPUTED_VALUE"""),45777.99861111111)</f>
        <v>45777.99861</v>
      </c>
      <c r="D3555" s="433">
        <f>IFERROR(__xludf.DUMMYFUNCTION("""COMPUTED_VALUE"""),1798.653)</f>
        <v>1798.653</v>
      </c>
    </row>
    <row r="3556">
      <c r="C3556" s="434">
        <f>IFERROR(__xludf.DUMMYFUNCTION("""COMPUTED_VALUE"""),45778.99861111111)</f>
        <v>45778.99861</v>
      </c>
      <c r="D3556" s="433">
        <f>IFERROR(__xludf.DUMMYFUNCTION("""COMPUTED_VALUE"""),1794.0542)</f>
        <v>1794.0542</v>
      </c>
    </row>
    <row r="3557">
      <c r="C3557" s="434">
        <f>IFERROR(__xludf.DUMMYFUNCTION("""COMPUTED_VALUE"""),45779.99861111111)</f>
        <v>45779.99861</v>
      </c>
      <c r="D3557" s="433">
        <f>IFERROR(__xludf.DUMMYFUNCTION("""COMPUTED_VALUE"""),1838.7526)</f>
        <v>1838.7526</v>
      </c>
    </row>
    <row r="3558">
      <c r="C3558" s="434">
        <f>IFERROR(__xludf.DUMMYFUNCTION("""COMPUTED_VALUE"""),45780.99861111111)</f>
        <v>45780.99861</v>
      </c>
      <c r="D3558" s="433">
        <f>IFERROR(__xludf.DUMMYFUNCTION("""COMPUTED_VALUE"""),1842.6998)</f>
        <v>1842.6998</v>
      </c>
    </row>
    <row r="3559">
      <c r="C3559" s="434">
        <f>IFERROR(__xludf.DUMMYFUNCTION("""COMPUTED_VALUE"""),45781.99861111111)</f>
        <v>45781.99861</v>
      </c>
      <c r="D3559" s="433">
        <f>IFERROR(__xludf.DUMMYFUNCTION("""COMPUTED_VALUE"""),1833.8264)</f>
        <v>1833.8264</v>
      </c>
    </row>
    <row r="3560">
      <c r="C3560" s="434">
        <f>IFERROR(__xludf.DUMMYFUNCTION("""COMPUTED_VALUE"""),45782.99861111111)</f>
        <v>45782.99861</v>
      </c>
      <c r="D3560" s="433">
        <f>IFERROR(__xludf.DUMMYFUNCTION("""COMPUTED_VALUE"""),1808.7154)</f>
        <v>1808.7154</v>
      </c>
    </row>
    <row r="3561">
      <c r="C3561" s="434">
        <f>IFERROR(__xludf.DUMMYFUNCTION("""COMPUTED_VALUE"""),45783.99861111111)</f>
        <v>45783.99861</v>
      </c>
      <c r="D3561" s="433">
        <f>IFERROR(__xludf.DUMMYFUNCTION("""COMPUTED_VALUE"""),1819.938)</f>
        <v>1819.938</v>
      </c>
    </row>
    <row r="3562">
      <c r="C3562" s="434">
        <f>IFERROR(__xludf.DUMMYFUNCTION("""COMPUTED_VALUE"""),45784.99861111111)</f>
        <v>45784.99861</v>
      </c>
      <c r="D3562" s="433">
        <f>IFERROR(__xludf.DUMMYFUNCTION("""COMPUTED_VALUE"""),1816.7296)</f>
        <v>1816.7296</v>
      </c>
    </row>
    <row r="3563">
      <c r="C3563" s="434">
        <f>IFERROR(__xludf.DUMMYFUNCTION("""COMPUTED_VALUE"""),45785.99861111111)</f>
        <v>45785.99861</v>
      </c>
      <c r="D3563" s="433">
        <f>IFERROR(__xludf.DUMMYFUNCTION("""COMPUTED_VALUE"""),1811.557)</f>
        <v>1811.557</v>
      </c>
    </row>
    <row r="3564">
      <c r="C3564" s="434">
        <f>IFERROR(__xludf.DUMMYFUNCTION("""COMPUTED_VALUE"""),45786.99861111111)</f>
        <v>45786.99861</v>
      </c>
      <c r="D3564" s="433">
        <f>IFERROR(__xludf.DUMMYFUNCTION("""COMPUTED_VALUE"""),2207.2733)</f>
        <v>2207.2733</v>
      </c>
    </row>
    <row r="3565">
      <c r="C3565" s="434">
        <f>IFERROR(__xludf.DUMMYFUNCTION("""COMPUTED_VALUE"""),45787.99861111111)</f>
        <v>45787.99861</v>
      </c>
      <c r="D3565" s="433">
        <f>IFERROR(__xludf.DUMMYFUNCTION("""COMPUTED_VALUE"""),2345.3199)</f>
        <v>2345.3199</v>
      </c>
    </row>
    <row r="3566">
      <c r="C3566" s="434">
        <f>IFERROR(__xludf.DUMMYFUNCTION("""COMPUTED_VALUE"""),45788.99861111111)</f>
        <v>45788.99861</v>
      </c>
      <c r="D3566" s="433">
        <f>IFERROR(__xludf.DUMMYFUNCTION("""COMPUTED_VALUE"""),2583.4157)</f>
        <v>2583.4157</v>
      </c>
    </row>
    <row r="3567">
      <c r="C3567" s="434">
        <f>IFERROR(__xludf.DUMMYFUNCTION("""COMPUTED_VALUE"""),45789.99861111111)</f>
        <v>45789.99861</v>
      </c>
      <c r="D3567" s="433">
        <f>IFERROR(__xludf.DUMMYFUNCTION("""COMPUTED_VALUE"""),2514.736)</f>
        <v>2514.736</v>
      </c>
    </row>
    <row r="3568">
      <c r="C3568" s="434">
        <f>IFERROR(__xludf.DUMMYFUNCTION("""COMPUTED_VALUE"""),45790.99861111111)</f>
        <v>45790.99861</v>
      </c>
      <c r="D3568" s="433">
        <f>IFERROR(__xludf.DUMMYFUNCTION("""COMPUTED_VALUE"""),2496.0772)</f>
        <v>2496.0772</v>
      </c>
    </row>
    <row r="3569">
      <c r="C3569" s="434">
        <f>IFERROR(__xludf.DUMMYFUNCTION("""COMPUTED_VALUE"""),45791.99861111111)</f>
        <v>45791.99861</v>
      </c>
      <c r="D3569" s="433">
        <f>IFERROR(__xludf.DUMMYFUNCTION("""COMPUTED_VALUE"""),2680.2341)</f>
        <v>2680.2341</v>
      </c>
    </row>
    <row r="3570">
      <c r="C3570" s="434">
        <f>IFERROR(__xludf.DUMMYFUNCTION("""COMPUTED_VALUE"""),45792.99861111111)</f>
        <v>45792.99861</v>
      </c>
      <c r="D3570" s="433">
        <f>IFERROR(__xludf.DUMMYFUNCTION("""COMPUTED_VALUE"""),2610.0971)</f>
        <v>2610.0971</v>
      </c>
    </row>
    <row r="3571">
      <c r="C3571" s="434">
        <f>IFERROR(__xludf.DUMMYFUNCTION("""COMPUTED_VALUE"""),45793.99861111111)</f>
        <v>45793.99861</v>
      </c>
      <c r="D3571" s="433">
        <f>IFERROR(__xludf.DUMMYFUNCTION("""COMPUTED_VALUE"""),2548.0833)</f>
        <v>2548.0833</v>
      </c>
    </row>
    <row r="3572">
      <c r="C3572" s="434">
        <f>IFERROR(__xludf.DUMMYFUNCTION("""COMPUTED_VALUE"""),45794.99861111111)</f>
        <v>45794.99861</v>
      </c>
      <c r="D3572" s="433">
        <f>IFERROR(__xludf.DUMMYFUNCTION("""COMPUTED_VALUE"""),2537.7818)</f>
        <v>2537.7818</v>
      </c>
    </row>
    <row r="3573">
      <c r="C3573" s="434">
        <f>IFERROR(__xludf.DUMMYFUNCTION("""COMPUTED_VALUE"""),45795.99861111111)</f>
        <v>45795.99861</v>
      </c>
      <c r="D3573" s="433">
        <f>IFERROR(__xludf.DUMMYFUNCTION("""COMPUTED_VALUE"""),2475.7237)</f>
        <v>2475.7237</v>
      </c>
    </row>
    <row r="3574">
      <c r="C3574" s="434">
        <f>IFERROR(__xludf.DUMMYFUNCTION("""COMPUTED_VALUE"""),45796.99861111111)</f>
        <v>45796.99861</v>
      </c>
      <c r="D3574" s="433">
        <f>IFERROR(__xludf.DUMMYFUNCTION("""COMPUTED_VALUE"""),2499.6984)</f>
        <v>2499.6984</v>
      </c>
    </row>
    <row r="3575">
      <c r="C3575" s="434">
        <f>IFERROR(__xludf.DUMMYFUNCTION("""COMPUTED_VALUE"""),45797.99861111111)</f>
        <v>45797.99861</v>
      </c>
      <c r="D3575" s="433">
        <f>IFERROR(__xludf.DUMMYFUNCTION("""COMPUTED_VALUE"""),2528.6033)</f>
        <v>2528.6033</v>
      </c>
    </row>
    <row r="3576">
      <c r="C3576" s="434">
        <f>IFERROR(__xludf.DUMMYFUNCTION("""COMPUTED_VALUE"""),45798.99861111111)</f>
        <v>45798.99861</v>
      </c>
      <c r="D3576" s="433">
        <f>IFERROR(__xludf.DUMMYFUNCTION("""COMPUTED_VALUE"""),2524.7441)</f>
        <v>2524.7441</v>
      </c>
    </row>
    <row r="3577">
      <c r="C3577" s="434">
        <f>IFERROR(__xludf.DUMMYFUNCTION("""COMPUTED_VALUE"""),45799.99861111111)</f>
        <v>45799.99861</v>
      </c>
      <c r="D3577" s="433">
        <f>IFERROR(__xludf.DUMMYFUNCTION("""COMPUTED_VALUE"""),2551.8429)</f>
        <v>2551.8429</v>
      </c>
    </row>
    <row r="3578">
      <c r="C3578" s="434">
        <f>IFERROR(__xludf.DUMMYFUNCTION("""COMPUTED_VALUE"""),45800.99861111111)</f>
        <v>45800.99861</v>
      </c>
      <c r="D3578" s="433">
        <f>IFERROR(__xludf.DUMMYFUNCTION("""COMPUTED_VALUE"""),2664.7045)</f>
        <v>2664.7045</v>
      </c>
    </row>
    <row r="3579">
      <c r="C3579" s="434">
        <f>IFERROR(__xludf.DUMMYFUNCTION("""COMPUTED_VALUE"""),45801.99861111111)</f>
        <v>45801.99861</v>
      </c>
      <c r="D3579" s="433">
        <f>IFERROR(__xludf.DUMMYFUNCTION("""COMPUTED_VALUE"""),2526.5268)</f>
        <v>2526.5268</v>
      </c>
    </row>
    <row r="3580">
      <c r="C3580" s="434">
        <f>IFERROR(__xludf.DUMMYFUNCTION("""COMPUTED_VALUE"""),45802.99861111111)</f>
        <v>45802.99861</v>
      </c>
      <c r="D3580" s="433">
        <f>IFERROR(__xludf.DUMMYFUNCTION("""COMPUTED_VALUE"""),2530.1318)</f>
        <v>2530.1318</v>
      </c>
    </row>
    <row r="3581">
      <c r="C3581" s="434">
        <f>IFERROR(__xludf.DUMMYFUNCTION("""COMPUTED_VALUE"""),45803.99861111111)</f>
        <v>45803.99861</v>
      </c>
      <c r="D3581" s="433">
        <f>IFERROR(__xludf.DUMMYFUNCTION("""COMPUTED_VALUE"""),2551.9498)</f>
        <v>2551.9498</v>
      </c>
    </row>
    <row r="3582">
      <c r="C3582" s="434">
        <f>IFERROR(__xludf.DUMMYFUNCTION("""COMPUTED_VALUE"""),45804.99861111111)</f>
        <v>45804.99861</v>
      </c>
      <c r="D3582" s="433">
        <f>IFERROR(__xludf.DUMMYFUNCTION("""COMPUTED_VALUE"""),2564.5004)</f>
        <v>2564.5004</v>
      </c>
    </row>
    <row r="3583">
      <c r="C3583" s="434">
        <f>IFERROR(__xludf.DUMMYFUNCTION("""COMPUTED_VALUE"""),45805.99861111111)</f>
        <v>45805.99861</v>
      </c>
      <c r="D3583" s="433">
        <f>IFERROR(__xludf.DUMMYFUNCTION("""COMPUTED_VALUE"""),2662.1276)</f>
        <v>2662.1276</v>
      </c>
    </row>
    <row r="3584">
      <c r="C3584" s="434">
        <f>IFERROR(__xludf.DUMMYFUNCTION("""COMPUTED_VALUE"""),45806.99861111111)</f>
        <v>45806.99861</v>
      </c>
      <c r="D3584" s="433">
        <f>IFERROR(__xludf.DUMMYFUNCTION("""COMPUTED_VALUE"""),2681.9375)</f>
        <v>2681.9375</v>
      </c>
    </row>
    <row r="3585">
      <c r="C3585" s="434">
        <f>IFERROR(__xludf.DUMMYFUNCTION("""COMPUTED_VALUE"""),45807.99861111111)</f>
        <v>45807.99861</v>
      </c>
      <c r="D3585" s="433">
        <f>IFERROR(__xludf.DUMMYFUNCTION("""COMPUTED_VALUE"""),2631.6787)</f>
        <v>2631.6787</v>
      </c>
    </row>
    <row r="3586">
      <c r="C3586" s="434">
        <f>IFERROR(__xludf.DUMMYFUNCTION("""COMPUTED_VALUE"""),45808.99861111111)</f>
        <v>45808.99861</v>
      </c>
      <c r="D3586" s="433">
        <f>IFERROR(__xludf.DUMMYFUNCTION("""COMPUTED_VALUE"""),2531.0975)</f>
        <v>2531.0975</v>
      </c>
    </row>
    <row r="3587">
      <c r="C3587" s="434">
        <f>IFERROR(__xludf.DUMMYFUNCTION("""COMPUTED_VALUE"""),45809.99861111111)</f>
        <v>45809.99861</v>
      </c>
      <c r="D3587" s="433">
        <f>IFERROR(__xludf.DUMMYFUNCTION("""COMPUTED_VALUE"""),2529.1818)</f>
        <v>2529.1818</v>
      </c>
    </row>
    <row r="3588">
      <c r="C3588" s="434">
        <f>IFERROR(__xludf.DUMMYFUNCTION("""COMPUTED_VALUE"""),45810.99861111111)</f>
        <v>45810.99861</v>
      </c>
      <c r="D3588" s="433">
        <f>IFERROR(__xludf.DUMMYFUNCTION("""COMPUTED_VALUE"""),2538.9742)</f>
        <v>2538.9742</v>
      </c>
    </row>
    <row r="3589">
      <c r="C3589" s="434">
        <f>IFERROR(__xludf.DUMMYFUNCTION("""COMPUTED_VALUE"""),45811.99861111111)</f>
        <v>45811.99861</v>
      </c>
      <c r="D3589" s="433">
        <f>IFERROR(__xludf.DUMMYFUNCTION("""COMPUTED_VALUE"""),2607.6023)</f>
        <v>2607.6023</v>
      </c>
    </row>
    <row r="3590">
      <c r="C3590" s="434">
        <f>IFERROR(__xludf.DUMMYFUNCTION("""COMPUTED_VALUE"""),45812.99861111111)</f>
        <v>45812.99861</v>
      </c>
      <c r="D3590" s="433">
        <f>IFERROR(__xludf.DUMMYFUNCTION("""COMPUTED_VALUE"""),2594.478)</f>
        <v>2594.478</v>
      </c>
    </row>
    <row r="3591">
      <c r="C3591" s="434">
        <f>IFERROR(__xludf.DUMMYFUNCTION("""COMPUTED_VALUE"""),45813.99861111111)</f>
        <v>45813.99861</v>
      </c>
      <c r="D3591" s="433">
        <f>IFERROR(__xludf.DUMMYFUNCTION("""COMPUTED_VALUE"""),2608.6477)</f>
        <v>2608.6477</v>
      </c>
    </row>
    <row r="3592">
      <c r="C3592" s="434">
        <f>IFERROR(__xludf.DUMMYFUNCTION("""COMPUTED_VALUE"""),45814.99861111111)</f>
        <v>45814.99861</v>
      </c>
      <c r="D3592" s="433">
        <f>IFERROR(__xludf.DUMMYFUNCTION("""COMPUTED_VALUE"""),2416.2411)</f>
        <v>2416.2411</v>
      </c>
    </row>
    <row r="3593">
      <c r="C3593" s="434">
        <f>IFERROR(__xludf.DUMMYFUNCTION("""COMPUTED_VALUE"""),45815.99861111111)</f>
        <v>45815.99861</v>
      </c>
      <c r="D3593" s="433">
        <f>IFERROR(__xludf.DUMMYFUNCTION("""COMPUTED_VALUE"""),2478.0639)</f>
        <v>2478.0639</v>
      </c>
    </row>
    <row r="3594">
      <c r="C3594" s="434">
        <f>IFERROR(__xludf.DUMMYFUNCTION("""COMPUTED_VALUE"""),45816.99861111111)</f>
        <v>45816.99861</v>
      </c>
      <c r="D3594" s="433">
        <f>IFERROR(__xludf.DUMMYFUNCTION("""COMPUTED_VALUE"""),2526.2893)</f>
        <v>2526.2893</v>
      </c>
    </row>
    <row r="3595">
      <c r="C3595" s="434">
        <f>IFERROR(__xludf.DUMMYFUNCTION("""COMPUTED_VALUE"""),45817.99861111111)</f>
        <v>45817.99861</v>
      </c>
      <c r="D3595" s="433">
        <f>IFERROR(__xludf.DUMMYFUNCTION("""COMPUTED_VALUE"""),2510.9076)</f>
        <v>2510.9076</v>
      </c>
    </row>
    <row r="3596">
      <c r="C3596" s="434">
        <f>IFERROR(__xludf.DUMMYFUNCTION("""COMPUTED_VALUE"""),45818.99861111111)</f>
        <v>45818.99861</v>
      </c>
      <c r="D3596" s="433">
        <f>IFERROR(__xludf.DUMMYFUNCTION("""COMPUTED_VALUE"""),2681.2674)</f>
        <v>2681.2674</v>
      </c>
    </row>
    <row r="3597">
      <c r="C3597" s="434">
        <f>IFERROR(__xludf.DUMMYFUNCTION("""COMPUTED_VALUE"""),45819.99861111111)</f>
        <v>45819.99861</v>
      </c>
      <c r="D3597" s="433">
        <f>IFERROR(__xludf.DUMMYFUNCTION("""COMPUTED_VALUE"""),2814.8368)</f>
        <v>2814.8368</v>
      </c>
    </row>
    <row r="3598">
      <c r="C3598" s="434">
        <f>IFERROR(__xludf.DUMMYFUNCTION("""COMPUTED_VALUE"""),45820.99861111111)</f>
        <v>45820.99861</v>
      </c>
      <c r="D3598" s="433">
        <f>IFERROR(__xludf.DUMMYFUNCTION("""COMPUTED_VALUE"""),2772.8448)</f>
        <v>2772.8448</v>
      </c>
    </row>
    <row r="3599">
      <c r="C3599" s="434">
        <f>IFERROR(__xludf.DUMMYFUNCTION("""COMPUTED_VALUE"""),45821.99861111111)</f>
        <v>45821.99861</v>
      </c>
      <c r="D3599" s="433">
        <f>IFERROR(__xludf.DUMMYFUNCTION("""COMPUTED_VALUE"""),2643.7887)</f>
        <v>2643.7887</v>
      </c>
    </row>
    <row r="3600">
      <c r="C3600" s="434">
        <f>IFERROR(__xludf.DUMMYFUNCTION("""COMPUTED_VALUE"""),45822.99861111111)</f>
        <v>45822.99861</v>
      </c>
      <c r="D3600" s="433">
        <f>IFERROR(__xludf.DUMMYFUNCTION("""COMPUTED_VALUE"""),2579.7889)</f>
        <v>2579.7889</v>
      </c>
    </row>
    <row r="3601">
      <c r="C3601" s="434">
        <f>IFERROR(__xludf.DUMMYFUNCTION("""COMPUTED_VALUE"""),45823.99861111111)</f>
        <v>45823.99861</v>
      </c>
      <c r="D3601" s="433">
        <f>IFERROR(__xludf.DUMMYFUNCTION("""COMPUTED_VALUE"""),2532.764)</f>
        <v>2532.764</v>
      </c>
    </row>
    <row r="3602">
      <c r="C3602" s="434">
        <f>IFERROR(__xludf.DUMMYFUNCTION("""COMPUTED_VALUE"""),45824.99861111111)</f>
        <v>45824.99861</v>
      </c>
      <c r="D3602" s="433">
        <f>IFERROR(__xludf.DUMMYFUNCTION("""COMPUTED_VALUE"""),2547.7383)</f>
        <v>2547.7383</v>
      </c>
    </row>
    <row r="3603">
      <c r="C3603" s="434">
        <f>IFERROR(__xludf.DUMMYFUNCTION("""COMPUTED_VALUE"""),45825.99861111111)</f>
        <v>45825.99861</v>
      </c>
      <c r="D3603" s="433">
        <f>IFERROR(__xludf.DUMMYFUNCTION("""COMPUTED_VALUE"""),2542.6312)</f>
        <v>2542.6312</v>
      </c>
    </row>
    <row r="3604">
      <c r="C3604" s="434">
        <f>IFERROR(__xludf.DUMMYFUNCTION("""COMPUTED_VALUE"""),45826.99861111111)</f>
        <v>45826.99861</v>
      </c>
      <c r="D3604" s="433">
        <f>IFERROR(__xludf.DUMMYFUNCTION("""COMPUTED_VALUE"""),2510.1828)</f>
        <v>2510.1828</v>
      </c>
    </row>
    <row r="3605">
      <c r="C3605" s="434">
        <f>IFERROR(__xludf.DUMMYFUNCTION("""COMPUTED_VALUE"""),45827.99861111111)</f>
        <v>45827.99861</v>
      </c>
      <c r="D3605" s="433">
        <f>IFERROR(__xludf.DUMMYFUNCTION("""COMPUTED_VALUE"""),2525.1483)</f>
        <v>2525.1483</v>
      </c>
    </row>
    <row r="3606">
      <c r="C3606" s="434">
        <f>IFERROR(__xludf.DUMMYFUNCTION("""COMPUTED_VALUE"""),45828.99861111111)</f>
        <v>45828.99861</v>
      </c>
      <c r="D3606" s="433">
        <f>IFERROR(__xludf.DUMMYFUNCTION("""COMPUTED_VALUE"""),2521.5258)</f>
        <v>2521.5258</v>
      </c>
    </row>
    <row r="3607">
      <c r="C3607" s="434">
        <f>IFERROR(__xludf.DUMMYFUNCTION("""COMPUTED_VALUE"""),45829.99861111111)</f>
        <v>45829.99861</v>
      </c>
      <c r="D3607" s="433">
        <f>IFERROR(__xludf.DUMMYFUNCTION("""COMPUTED_VALUE"""),2406.7561)</f>
        <v>2406.7561</v>
      </c>
    </row>
    <row r="3608">
      <c r="C3608" s="434">
        <f>IFERROR(__xludf.DUMMYFUNCTION("""COMPUTED_VALUE"""),45830.99861111111)</f>
        <v>45830.99861</v>
      </c>
      <c r="D3608" s="433">
        <f>IFERROR(__xludf.DUMMYFUNCTION("""COMPUTED_VALUE"""),2296.6047)</f>
        <v>2296.6047</v>
      </c>
    </row>
    <row r="3609">
      <c r="C3609" s="434">
        <f>IFERROR(__xludf.DUMMYFUNCTION("""COMPUTED_VALUE"""),45831.99861111111)</f>
        <v>45831.99861</v>
      </c>
      <c r="D3609" s="433">
        <f>IFERROR(__xludf.DUMMYFUNCTION("""COMPUTED_VALUE"""),2228.1479)</f>
        <v>2228.1479</v>
      </c>
    </row>
    <row r="3610">
      <c r="C3610" s="434">
        <f>IFERROR(__xludf.DUMMYFUNCTION("""COMPUTED_VALUE"""),45832.99861111111)</f>
        <v>45832.99861</v>
      </c>
      <c r="D3610" s="433">
        <f>IFERROR(__xludf.DUMMYFUNCTION("""COMPUTED_VALUE"""),2412.7634)</f>
        <v>2412.7634</v>
      </c>
    </row>
    <row r="3611">
      <c r="C3611" s="434">
        <f>IFERROR(__xludf.DUMMYFUNCTION("""COMPUTED_VALUE"""),45833.99861111111)</f>
        <v>45833.99861</v>
      </c>
      <c r="D3611" s="433">
        <f>IFERROR(__xludf.DUMMYFUNCTION("""COMPUTED_VALUE"""),2449.7001)</f>
        <v>2449.7001</v>
      </c>
    </row>
    <row r="3612">
      <c r="C3612" s="434">
        <f>IFERROR(__xludf.DUMMYFUNCTION("""COMPUTED_VALUE"""),45834.99861111111)</f>
        <v>45834.99861</v>
      </c>
      <c r="D3612" s="433">
        <f>IFERROR(__xludf.DUMMYFUNCTION("""COMPUTED_VALUE"""),2419.3084)</f>
        <v>2419.3084</v>
      </c>
    </row>
    <row r="3613">
      <c r="C3613" s="434">
        <f>IFERROR(__xludf.DUMMYFUNCTION("""COMPUTED_VALUE"""),45835.99861111111)</f>
        <v>45835.99861</v>
      </c>
      <c r="D3613" s="433">
        <f>IFERROR(__xludf.DUMMYFUNCTION("""COMPUTED_VALUE"""),2416.3115)</f>
        <v>2416.3115</v>
      </c>
    </row>
    <row r="3614">
      <c r="C3614" s="434">
        <f>IFERROR(__xludf.DUMMYFUNCTION("""COMPUTED_VALUE"""),45836.99861111111)</f>
        <v>45836.99861</v>
      </c>
      <c r="D3614" s="433">
        <f>IFERROR(__xludf.DUMMYFUNCTION("""COMPUTED_VALUE"""),2423.8919)</f>
        <v>2423.8919</v>
      </c>
    </row>
    <row r="3615">
      <c r="C3615" s="434">
        <f>IFERROR(__xludf.DUMMYFUNCTION("""COMPUTED_VALUE"""),45837.99861111111)</f>
        <v>45837.99861</v>
      </c>
      <c r="D3615" s="433">
        <f>IFERROR(__xludf.DUMMYFUNCTION("""COMPUTED_VALUE"""),2436.9814)</f>
        <v>2436.9814</v>
      </c>
    </row>
    <row r="3616">
      <c r="C3616" s="434">
        <f>IFERROR(__xludf.DUMMYFUNCTION("""COMPUTED_VALUE"""),45838.99861111111)</f>
        <v>45838.99861</v>
      </c>
      <c r="D3616" s="433">
        <f>IFERROR(__xludf.DUMMYFUNCTION("""COMPUTED_VALUE"""),2500.5653)</f>
        <v>2500.5653</v>
      </c>
    </row>
    <row r="3617">
      <c r="C3617" s="434">
        <f>IFERROR(__xludf.DUMMYFUNCTION("""COMPUTED_VALUE"""),45839.99861111111)</f>
        <v>45839.99861</v>
      </c>
      <c r="D3617" s="433">
        <f>IFERROR(__xludf.DUMMYFUNCTION("""COMPUTED_VALUE"""),2487.1913)</f>
        <v>2487.1913</v>
      </c>
    </row>
    <row r="3618">
      <c r="C3618" s="434">
        <f>IFERROR(__xludf.DUMMYFUNCTION("""COMPUTED_VALUE"""),45840.99861111111)</f>
        <v>45840.99861</v>
      </c>
      <c r="D3618" s="433">
        <f>IFERROR(__xludf.DUMMYFUNCTION("""COMPUTED_VALUE"""),2405.5849)</f>
        <v>2405.5849</v>
      </c>
    </row>
    <row r="3619">
      <c r="C3619" s="434">
        <f>IFERROR(__xludf.DUMMYFUNCTION("""COMPUTED_VALUE"""),45841.99861111111)</f>
        <v>45841.99861</v>
      </c>
      <c r="D3619" s="433">
        <f>IFERROR(__xludf.DUMMYFUNCTION("""COMPUTED_VALUE"""),2570.6842)</f>
        <v>2570.6842</v>
      </c>
    </row>
    <row r="3620">
      <c r="C3620" s="434">
        <f>IFERROR(__xludf.DUMMYFUNCTION("""COMPUTED_VALUE"""),45842.99861111111)</f>
        <v>45842.99861</v>
      </c>
      <c r="D3620" s="433">
        <f>IFERROR(__xludf.DUMMYFUNCTION("""COMPUTED_VALUE"""),2591.2846)</f>
        <v>2591.2846</v>
      </c>
    </row>
    <row r="3621">
      <c r="C3621" s="434">
        <f>IFERROR(__xludf.DUMMYFUNCTION("""COMPUTED_VALUE"""),45843.99861111111)</f>
        <v>45843.99861</v>
      </c>
      <c r="D3621" s="433">
        <f>IFERROR(__xludf.DUMMYFUNCTION("""COMPUTED_VALUE"""),2508.4357)</f>
        <v>2508.4357</v>
      </c>
    </row>
    <row r="3622">
      <c r="C3622" s="434">
        <f>IFERROR(__xludf.DUMMYFUNCTION("""COMPUTED_VALUE"""),45844.99861111111)</f>
        <v>45844.99861</v>
      </c>
      <c r="D3622" s="433">
        <f>IFERROR(__xludf.DUMMYFUNCTION("""COMPUTED_VALUE"""),2517.2448)</f>
        <v>2517.2448</v>
      </c>
    </row>
    <row r="3623">
      <c r="C3623" s="434">
        <f>IFERROR(__xludf.DUMMYFUNCTION("""COMPUTED_VALUE"""),45845.99861111111)</f>
        <v>45845.99861</v>
      </c>
      <c r="D3623" s="433">
        <f>IFERROR(__xludf.DUMMYFUNCTION("""COMPUTED_VALUE"""),2571.0602)</f>
        <v>2571.0602</v>
      </c>
    </row>
    <row r="3624">
      <c r="C3624" s="434">
        <f>IFERROR(__xludf.DUMMYFUNCTION("""COMPUTED_VALUE"""),45846.99861111111)</f>
        <v>45846.99861</v>
      </c>
      <c r="D3624" s="433">
        <f>IFERROR(__xludf.DUMMYFUNCTION("""COMPUTED_VALUE"""),2542.6005)</f>
        <v>2542.6005</v>
      </c>
    </row>
    <row r="3625">
      <c r="C3625" s="434">
        <f>IFERROR(__xludf.DUMMYFUNCTION("""COMPUTED_VALUE"""),45847.99861111111)</f>
        <v>45847.99861</v>
      </c>
      <c r="D3625" s="433">
        <f>IFERROR(__xludf.DUMMYFUNCTION("""COMPUTED_VALUE"""),2615.5927)</f>
        <v>2615.5927</v>
      </c>
    </row>
    <row r="3626">
      <c r="C3626" s="434">
        <f>IFERROR(__xludf.DUMMYFUNCTION("""COMPUTED_VALUE"""),45848.99861111111)</f>
        <v>45848.99861</v>
      </c>
      <c r="D3626" s="433">
        <f>IFERROR(__xludf.DUMMYFUNCTION("""COMPUTED_VALUE"""),2770.3779)</f>
        <v>2770.3779</v>
      </c>
    </row>
    <row r="3627">
      <c r="C3627" s="434">
        <f>IFERROR(__xludf.DUMMYFUNCTION("""COMPUTED_VALUE"""),45849.99861111111)</f>
        <v>45849.99861</v>
      </c>
      <c r="D3627" s="433">
        <f>IFERROR(__xludf.DUMMYFUNCTION("""COMPUTED_VALUE"""),2950.6692)</f>
        <v>2950.6692</v>
      </c>
    </row>
    <row r="3628">
      <c r="C3628" s="434">
        <f>IFERROR(__xludf.DUMMYFUNCTION("""COMPUTED_VALUE"""),45850.99861111111)</f>
        <v>45850.99861</v>
      </c>
      <c r="D3628" s="433">
        <f>IFERROR(__xludf.DUMMYFUNCTION("""COMPUTED_VALUE"""),2958.0417)</f>
        <v>2958.0417</v>
      </c>
    </row>
    <row r="3629">
      <c r="C3629" s="434">
        <f>IFERROR(__xludf.DUMMYFUNCTION("""COMPUTED_VALUE"""),45851.99861111111)</f>
        <v>45851.99861</v>
      </c>
      <c r="D3629" s="433">
        <f>IFERROR(__xludf.DUMMYFUNCTION("""COMPUTED_VALUE"""),2943.3603)</f>
        <v>2943.3603</v>
      </c>
    </row>
    <row r="3630">
      <c r="C3630" s="434">
        <f>IFERROR(__xludf.DUMMYFUNCTION("""COMPUTED_VALUE"""),45852.99861111111)</f>
        <v>45852.99861</v>
      </c>
      <c r="D3630" s="433">
        <f>IFERROR(__xludf.DUMMYFUNCTION("""COMPUTED_VALUE"""),2973.0976)</f>
        <v>2973.0976</v>
      </c>
    </row>
    <row r="3631">
      <c r="C3631" s="434">
        <f>IFERROR(__xludf.DUMMYFUNCTION("""COMPUTED_VALUE"""),45853.99861111111)</f>
        <v>45853.99861</v>
      </c>
      <c r="D3631" s="433">
        <f>IFERROR(__xludf.DUMMYFUNCTION("""COMPUTED_VALUE"""),3014.076)</f>
        <v>3014.076</v>
      </c>
    </row>
    <row r="3632">
      <c r="C3632" s="434">
        <f>IFERROR(__xludf.DUMMYFUNCTION("""COMPUTED_VALUE"""),45854.99861111111)</f>
        <v>45854.99861</v>
      </c>
      <c r="D3632" s="433">
        <f>IFERROR(__xludf.DUMMYFUNCTION("""COMPUTED_VALUE"""),3139.9861)</f>
        <v>3139.9861</v>
      </c>
    </row>
    <row r="3633">
      <c r="C3633" s="434">
        <f>IFERROR(__xludf.DUMMYFUNCTION("""COMPUTED_VALUE"""),45855.99861111111)</f>
        <v>45855.99861</v>
      </c>
      <c r="D3633" s="433">
        <f>IFERROR(__xludf.DUMMYFUNCTION("""COMPUTED_VALUE"""),3372.7927)</f>
        <v>3372.7927</v>
      </c>
    </row>
    <row r="3634">
      <c r="C3634" s="434">
        <f>IFERROR(__xludf.DUMMYFUNCTION("""COMPUTED_VALUE"""),45856.99861111111)</f>
        <v>45856.99861</v>
      </c>
      <c r="D3634" s="433">
        <f>IFERROR(__xludf.DUMMYFUNCTION("""COMPUTED_VALUE"""),3477.2607)</f>
        <v>3477.2607</v>
      </c>
    </row>
    <row r="3635">
      <c r="C3635" s="434">
        <f>IFERROR(__xludf.DUMMYFUNCTION("""COMPUTED_VALUE"""),45857.99861111111)</f>
        <v>45857.99861</v>
      </c>
      <c r="D3635" s="433">
        <f>IFERROR(__xludf.DUMMYFUNCTION("""COMPUTED_VALUE"""),3547.9487)</f>
        <v>3547.9487</v>
      </c>
    </row>
    <row r="3636">
      <c r="C3636" s="434">
        <f>IFERROR(__xludf.DUMMYFUNCTION("""COMPUTED_VALUE"""),45858.99861111111)</f>
        <v>45858.99861</v>
      </c>
      <c r="D3636" s="433">
        <f>IFERROR(__xludf.DUMMYFUNCTION("""COMPUTED_VALUE"""),3594.5704)</f>
        <v>3594.5704</v>
      </c>
    </row>
    <row r="3637">
      <c r="C3637" s="434">
        <f>IFERROR(__xludf.DUMMYFUNCTION("""COMPUTED_VALUE"""),45859.99861111111)</f>
        <v>45859.99861</v>
      </c>
      <c r="D3637" s="433">
        <f>IFERROR(__xludf.DUMMYFUNCTION("""COMPUTED_VALUE"""),3759.5285)</f>
        <v>3759.5285</v>
      </c>
    </row>
    <row r="3638">
      <c r="C3638" s="434">
        <f>IFERROR(__xludf.DUMMYFUNCTION("""COMPUTED_VALUE"""),45860.99861111111)</f>
        <v>45860.99861</v>
      </c>
      <c r="D3638" s="433">
        <f>IFERROR(__xludf.DUMMYFUNCTION("""COMPUTED_VALUE"""),3763.3644)</f>
        <v>3763.3644</v>
      </c>
    </row>
    <row r="3639">
      <c r="C3639" s="434">
        <f>IFERROR(__xludf.DUMMYFUNCTION("""COMPUTED_VALUE"""),45861.99861111111)</f>
        <v>45861.99861</v>
      </c>
      <c r="D3639" s="433">
        <f>IFERROR(__xludf.DUMMYFUNCTION("""COMPUTED_VALUE"""),3748.7085)</f>
        <v>3748.7085</v>
      </c>
    </row>
    <row r="3640">
      <c r="C3640" s="434">
        <f>IFERROR(__xludf.DUMMYFUNCTION("""COMPUTED_VALUE"""),45862.99861111111)</f>
        <v>45862.99861</v>
      </c>
      <c r="D3640" s="433">
        <f>IFERROR(__xludf.DUMMYFUNCTION("""COMPUTED_VALUE"""),3629.3296)</f>
        <v>3629.3296</v>
      </c>
    </row>
    <row r="3641">
      <c r="C3641" s="434">
        <f>IFERROR(__xludf.DUMMYFUNCTION("""COMPUTED_VALUE"""),45863.99861111111)</f>
        <v>45863.99861</v>
      </c>
      <c r="D3641" s="433">
        <f>IFERROR(__xludf.DUMMYFUNCTION("""COMPUTED_VALUE"""),3707.1296)</f>
        <v>3707.1296</v>
      </c>
    </row>
    <row r="3642">
      <c r="C3642" s="434">
        <f>IFERROR(__xludf.DUMMYFUNCTION("""COMPUTED_VALUE"""),45864.99861111111)</f>
        <v>45864.99861</v>
      </c>
      <c r="D3642" s="433">
        <f>IFERROR(__xludf.DUMMYFUNCTION("""COMPUTED_VALUE"""),3726.0089)</f>
        <v>3726.0089</v>
      </c>
    </row>
    <row r="3643">
      <c r="C3643" s="434">
        <f>IFERROR(__xludf.DUMMYFUNCTION("""COMPUTED_VALUE"""),45865.99861111111)</f>
        <v>45865.99861</v>
      </c>
      <c r="D3643" s="433">
        <f>IFERROR(__xludf.DUMMYFUNCTION("""COMPUTED_VALUE"""),3742.1645)</f>
        <v>3742.1645</v>
      </c>
    </row>
    <row r="3644">
      <c r="C3644" s="434">
        <f>IFERROR(__xludf.DUMMYFUNCTION("""COMPUTED_VALUE"""),45866.99861111111)</f>
        <v>45866.99861</v>
      </c>
      <c r="D3644" s="433">
        <f>IFERROR(__xludf.DUMMYFUNCTION("""COMPUTED_VALUE"""),3874.6976)</f>
        <v>3874.6976</v>
      </c>
    </row>
    <row r="3645">
      <c r="C3645" s="434">
        <f>IFERROR(__xludf.DUMMYFUNCTION("""COMPUTED_VALUE"""),45867.99861111111)</f>
        <v>45867.99861</v>
      </c>
      <c r="D3645" s="433">
        <f>IFERROR(__xludf.DUMMYFUNCTION("""COMPUTED_VALUE"""),3795.9018)</f>
        <v>3795.9018</v>
      </c>
    </row>
    <row r="3646">
      <c r="C3646" s="434">
        <f>IFERROR(__xludf.DUMMYFUNCTION("""COMPUTED_VALUE"""),45868.99861111111)</f>
        <v>45868.99861</v>
      </c>
      <c r="D3646" s="433">
        <f>IFERROR(__xludf.DUMMYFUNCTION("""COMPUTED_VALUE"""),3793.1021)</f>
        <v>3793.1021</v>
      </c>
    </row>
    <row r="3647">
      <c r="C3647" s="434">
        <f>IFERROR(__xludf.DUMMYFUNCTION("""COMPUTED_VALUE"""),45869.99861111111)</f>
        <v>45869.99861</v>
      </c>
      <c r="D3647" s="433">
        <f>IFERROR(__xludf.DUMMYFUNCTION("""COMPUTED_VALUE"""),3808.8875)</f>
        <v>3808.8875</v>
      </c>
    </row>
    <row r="3648">
      <c r="C3648" s="434">
        <f>IFERROR(__xludf.DUMMYFUNCTION("""COMPUTED_VALUE"""),45870.99861111111)</f>
        <v>45870.99861</v>
      </c>
      <c r="D3648" s="433">
        <f>IFERROR(__xludf.DUMMYFUNCTION("""COMPUTED_VALUE"""),3697.7407)</f>
        <v>3697.7407</v>
      </c>
    </row>
    <row r="3649">
      <c r="C3649" s="434">
        <f>IFERROR(__xludf.DUMMYFUNCTION("""COMPUTED_VALUE"""),45871.99861111111)</f>
        <v>45871.99861</v>
      </c>
      <c r="D3649" s="433">
        <f>IFERROR(__xludf.DUMMYFUNCTION("""COMPUTED_VALUE"""),3486.9697)</f>
        <v>3486.9697</v>
      </c>
    </row>
    <row r="3650">
      <c r="C3650" s="434">
        <f>IFERROR(__xludf.DUMMYFUNCTION("""COMPUTED_VALUE"""),45872.99861111111)</f>
        <v>45872.99861</v>
      </c>
      <c r="D3650" s="433">
        <f>IFERROR(__xludf.DUMMYFUNCTION("""COMPUTED_VALUE"""),3392.9631)</f>
        <v>3392.9631</v>
      </c>
    </row>
    <row r="3651">
      <c r="C3651" s="434">
        <f>IFERROR(__xludf.DUMMYFUNCTION("""COMPUTED_VALUE"""),45873.99861111111)</f>
        <v>45873.99861</v>
      </c>
      <c r="D3651" s="433">
        <f>IFERROR(__xludf.DUMMYFUNCTION("""COMPUTED_VALUE"""),3497.2822)</f>
        <v>3497.2822</v>
      </c>
    </row>
    <row r="3652">
      <c r="C3652" s="434">
        <f>IFERROR(__xludf.DUMMYFUNCTION("""COMPUTED_VALUE"""),45874.99861111111)</f>
        <v>45874.99861</v>
      </c>
      <c r="D3652" s="433">
        <f>IFERROR(__xludf.DUMMYFUNCTION("""COMPUTED_VALUE"""),3720.3463)</f>
        <v>3720.3463</v>
      </c>
    </row>
    <row r="3653">
      <c r="C3653" s="434">
        <f>IFERROR(__xludf.DUMMYFUNCTION("""COMPUTED_VALUE"""),45875.99861111111)</f>
        <v>45875.99861</v>
      </c>
      <c r="D3653" s="433">
        <f>IFERROR(__xludf.DUMMYFUNCTION("""COMPUTED_VALUE"""),3611.8177)</f>
        <v>3611.8177</v>
      </c>
    </row>
    <row r="3654">
      <c r="C3654" s="434">
        <f>IFERROR(__xludf.DUMMYFUNCTION("""COMPUTED_VALUE"""),45876.99861111111)</f>
        <v>45876.99861</v>
      </c>
      <c r="D3654" s="433">
        <f>IFERROR(__xludf.DUMMYFUNCTION("""COMPUTED_VALUE"""),3683.6838)</f>
        <v>3683.6838</v>
      </c>
    </row>
    <row r="3655">
      <c r="C3655" s="434">
        <f>IFERROR(__xludf.DUMMYFUNCTION("""COMPUTED_VALUE"""),45877.99861111111)</f>
        <v>45877.99861</v>
      </c>
      <c r="D3655" s="433">
        <f>IFERROR(__xludf.DUMMYFUNCTION("""COMPUTED_VALUE"""),3912.5898)</f>
        <v>3912.5898</v>
      </c>
    </row>
    <row r="3656">
      <c r="C3656" s="434">
        <f>IFERROR(__xludf.DUMMYFUNCTION("""COMPUTED_VALUE"""),45878.99861111111)</f>
        <v>45878.99861</v>
      </c>
      <c r="D3656" s="433">
        <f>IFERROR(__xludf.DUMMYFUNCTION("""COMPUTED_VALUE"""),4009.8132)</f>
        <v>4009.8132</v>
      </c>
    </row>
    <row r="3657">
      <c r="C3657" s="434">
        <f>IFERROR(__xludf.DUMMYFUNCTION("""COMPUTED_VALUE"""),45879.99861111111)</f>
        <v>45879.99861</v>
      </c>
      <c r="D3657" s="433">
        <f>IFERROR(__xludf.DUMMYFUNCTION("""COMPUTED_VALUE"""),4263.3621)</f>
        <v>4263.3621</v>
      </c>
    </row>
    <row r="3658">
      <c r="C3658" s="434">
        <f>IFERROR(__xludf.DUMMYFUNCTION("""COMPUTED_VALUE"""),45880.99861111111)</f>
        <v>45880.99861</v>
      </c>
      <c r="D3658" s="433">
        <f>IFERROR(__xludf.DUMMYFUNCTION("""COMPUTED_VALUE"""),4251.6856)</f>
        <v>4251.6856</v>
      </c>
    </row>
    <row r="3659">
      <c r="C3659" s="434">
        <f>IFERROR(__xludf.DUMMYFUNCTION("""COMPUTED_VALUE"""),45881.99861111111)</f>
        <v>45881.99861</v>
      </c>
      <c r="D3659" s="433">
        <f>IFERROR(__xludf.DUMMYFUNCTION("""COMPUTED_VALUE"""),4224.9312)</f>
        <v>4224.9312</v>
      </c>
    </row>
    <row r="3660">
      <c r="C3660" s="434">
        <f>IFERROR(__xludf.DUMMYFUNCTION("""COMPUTED_VALUE"""),45882.99861111111)</f>
        <v>45882.99861</v>
      </c>
      <c r="D3660" s="433">
        <f>IFERROR(__xludf.DUMMYFUNCTION("""COMPUTED_VALUE"""),4589.8184)</f>
        <v>4589.8184</v>
      </c>
    </row>
    <row r="3661">
      <c r="C3661" s="434">
        <f>IFERROR(__xludf.DUMMYFUNCTION("""COMPUTED_VALUE"""),45883.99861111111)</f>
        <v>45883.99861</v>
      </c>
      <c r="D3661" s="433">
        <f>IFERROR(__xludf.DUMMYFUNCTION("""COMPUTED_VALUE"""),4750.0277)</f>
        <v>4750.0277</v>
      </c>
    </row>
    <row r="3662">
      <c r="C3662" s="434">
        <f>IFERROR(__xludf.DUMMYFUNCTION("""COMPUTED_VALUE"""),45884.99861111111)</f>
        <v>45884.99861</v>
      </c>
      <c r="D3662" s="433">
        <f>IFERROR(__xludf.DUMMYFUNCTION("""COMPUTED_VALUE"""),4549.6703)</f>
        <v>4549.6703</v>
      </c>
    </row>
    <row r="3663">
      <c r="C3663" s="434">
        <f>IFERROR(__xludf.DUMMYFUNCTION("""COMPUTED_VALUE"""),45885.99861111111)</f>
        <v>45885.99861</v>
      </c>
      <c r="D3663" s="433">
        <f>IFERROR(__xludf.DUMMYFUNCTION("""COMPUTED_VALUE"""),4443.2395)</f>
        <v>4443.2395</v>
      </c>
    </row>
    <row r="3664">
      <c r="C3664" s="434">
        <f>IFERROR(__xludf.DUMMYFUNCTION("""COMPUTED_VALUE"""),45886.99861111111)</f>
        <v>45886.99861</v>
      </c>
      <c r="D3664" s="433">
        <f>IFERROR(__xludf.DUMMYFUNCTION("""COMPUTED_VALUE"""),4424.8349)</f>
        <v>4424.8349</v>
      </c>
    </row>
    <row r="3665">
      <c r="C3665" s="434">
        <f>IFERROR(__xludf.DUMMYFUNCTION("""COMPUTED_VALUE"""),45887.99861111111)</f>
        <v>45887.99861</v>
      </c>
      <c r="D3665" s="433">
        <f>IFERROR(__xludf.DUMMYFUNCTION("""COMPUTED_VALUE"""),4475.4367)</f>
        <v>4475.4367</v>
      </c>
    </row>
    <row r="3666">
      <c r="C3666" s="434">
        <f>IFERROR(__xludf.DUMMYFUNCTION("""COMPUTED_VALUE"""),45888.99861111111)</f>
        <v>45888.99861</v>
      </c>
      <c r="D3666" s="433">
        <f>IFERROR(__xludf.DUMMYFUNCTION("""COMPUTED_VALUE"""),4314.7441)</f>
        <v>4314.7441</v>
      </c>
    </row>
    <row r="3667">
      <c r="C3667" s="434">
        <f>IFERROR(__xludf.DUMMYFUNCTION("""COMPUTED_VALUE"""),45889.99861111111)</f>
        <v>45889.99861</v>
      </c>
      <c r="D3667" s="433">
        <f>IFERROR(__xludf.DUMMYFUNCTION("""COMPUTED_VALUE"""),4075.0828)</f>
        <v>4075.0828</v>
      </c>
    </row>
    <row r="3668">
      <c r="C3668" s="434">
        <f>IFERROR(__xludf.DUMMYFUNCTION("""COMPUTED_VALUE"""),45890.99861111111)</f>
        <v>45890.99861</v>
      </c>
      <c r="D3668" s="433">
        <f>IFERROR(__xludf.DUMMYFUNCTION("""COMPUTED_VALUE"""),4335.266)</f>
        <v>4335.266</v>
      </c>
    </row>
    <row r="3669">
      <c r="C3669" s="434">
        <f>IFERROR(__xludf.DUMMYFUNCTION("""COMPUTED_VALUE"""),45891.99861111111)</f>
        <v>45891.99861</v>
      </c>
      <c r="D3669" s="433">
        <f>IFERROR(__xludf.DUMMYFUNCTION("""COMPUTED_VALUE"""),4224.3914)</f>
        <v>4224.3914</v>
      </c>
    </row>
    <row r="3670">
      <c r="C3670" s="434">
        <f>IFERROR(__xludf.DUMMYFUNCTION("""COMPUTED_VALUE"""),45892.99861111111)</f>
        <v>45892.99861</v>
      </c>
      <c r="D3670" s="433">
        <f>IFERROR(__xludf.DUMMYFUNCTION("""COMPUTED_VALUE"""),4830.0706)</f>
        <v>4830.0706</v>
      </c>
    </row>
    <row r="3671">
      <c r="C3671" s="434">
        <f>IFERROR(__xludf.DUMMYFUNCTION("""COMPUTED_VALUE"""),45893.99861111111)</f>
        <v>45893.99861</v>
      </c>
      <c r="D3671" s="433">
        <f>IFERROR(__xludf.DUMMYFUNCTION("""COMPUTED_VALUE"""),4776.4888)</f>
        <v>4776.4888</v>
      </c>
    </row>
    <row r="3672">
      <c r="C3672" s="434">
        <f>IFERROR(__xludf.DUMMYFUNCTION("""COMPUTED_VALUE"""),45894.99861111111)</f>
        <v>45894.99861</v>
      </c>
      <c r="D3672" s="433">
        <f>IFERROR(__xludf.DUMMYFUNCTION("""COMPUTED_VALUE"""),4779.5706)</f>
        <v>4779.5706</v>
      </c>
    </row>
    <row r="3673">
      <c r="C3673" s="434">
        <f>IFERROR(__xludf.DUMMYFUNCTION("""COMPUTED_VALUE"""),45895.99861111111)</f>
        <v>45895.99861</v>
      </c>
      <c r="D3673" s="433">
        <f>IFERROR(__xludf.DUMMYFUNCTION("""COMPUTED_VALUE"""),4376.2445)</f>
        <v>4376.2445</v>
      </c>
    </row>
    <row r="3674">
      <c r="C3674" s="434">
        <f>IFERROR(__xludf.DUMMYFUNCTION("""COMPUTED_VALUE"""),45896.99861111111)</f>
        <v>45896.99861</v>
      </c>
      <c r="D3674" s="433">
        <f>IFERROR(__xludf.DUMMYFUNCTION("""COMPUTED_VALUE"""),4601.0363)</f>
        <v>4601.0363</v>
      </c>
    </row>
    <row r="3675">
      <c r="C3675" s="434">
        <f>IFERROR(__xludf.DUMMYFUNCTION("""COMPUTED_VALUE"""),45897.99861111111)</f>
        <v>45897.99861</v>
      </c>
      <c r="D3675" s="433">
        <f>IFERROR(__xludf.DUMMYFUNCTION("""COMPUTED_VALUE"""),4506.868)</f>
        <v>4506.868</v>
      </c>
    </row>
    <row r="3676">
      <c r="C3676" s="434">
        <f>IFERROR(__xludf.DUMMYFUNCTION("""COMPUTED_VALUE"""),45898.99861111111)</f>
        <v>45898.99861</v>
      </c>
      <c r="D3676" s="433">
        <f>IFERROR(__xludf.DUMMYFUNCTION("""COMPUTED_VALUE"""),4512.5661)</f>
        <v>4512.5661</v>
      </c>
    </row>
    <row r="3677">
      <c r="C3677" s="434">
        <f>IFERROR(__xludf.DUMMYFUNCTION("""COMPUTED_VALUE"""),45899.99861111111)</f>
        <v>45899.99861</v>
      </c>
      <c r="D3677" s="433">
        <f>IFERROR(__xludf.DUMMYFUNCTION("""COMPUTED_VALUE"""),4359.9902)</f>
        <v>4359.9902</v>
      </c>
    </row>
    <row r="3678">
      <c r="C3678" s="434">
        <f>IFERROR(__xludf.DUMMYFUNCTION("""COMPUTED_VALUE"""),45900.99861111111)</f>
        <v>45900.99861</v>
      </c>
      <c r="D3678" s="433">
        <f>IFERROR(__xludf.DUMMYFUNCTION("""COMPUTED_VALUE"""),4374.415)</f>
        <v>4374.415</v>
      </c>
    </row>
    <row r="3679">
      <c r="C3679" s="434">
        <f>IFERROR(__xludf.DUMMYFUNCTION("""COMPUTED_VALUE"""),45901.99861111111)</f>
        <v>45901.99861</v>
      </c>
      <c r="D3679" s="433">
        <f>IFERROR(__xludf.DUMMYFUNCTION("""COMPUTED_VALUE"""),4391.1808)</f>
        <v>4391.1808</v>
      </c>
    </row>
    <row r="3680">
      <c r="C3680" s="434">
        <f>IFERROR(__xludf.DUMMYFUNCTION("""COMPUTED_VALUE"""),45902.99861111111)</f>
        <v>45902.99861</v>
      </c>
      <c r="D3680" s="433">
        <f>IFERROR(__xludf.DUMMYFUNCTION("""COMPUTED_VALUE"""),4314.3356)</f>
        <v>4314.3356</v>
      </c>
    </row>
    <row r="3681">
      <c r="C3681" s="434">
        <f>IFERROR(__xludf.DUMMYFUNCTION("""COMPUTED_VALUE"""),45903.99861111111)</f>
        <v>45903.99861</v>
      </c>
      <c r="D3681" s="433">
        <f>IFERROR(__xludf.DUMMYFUNCTION("""COMPUTED_VALUE"""),4326.2954)</f>
        <v>4326.2954</v>
      </c>
    </row>
    <row r="3682">
      <c r="C3682" s="434">
        <f>IFERROR(__xludf.DUMMYFUNCTION("""COMPUTED_VALUE"""),45904.99861111111)</f>
        <v>45904.99861</v>
      </c>
      <c r="D3682" s="433">
        <f>IFERROR(__xludf.DUMMYFUNCTION("""COMPUTED_VALUE"""),4452.362)</f>
        <v>4452.362</v>
      </c>
    </row>
    <row r="3683">
      <c r="C3683" s="434">
        <f>IFERROR(__xludf.DUMMYFUNCTION("""COMPUTED_VALUE"""),45905.99861111111)</f>
        <v>45905.99861</v>
      </c>
      <c r="D3683" s="433">
        <f>IFERROR(__xludf.DUMMYFUNCTION("""COMPUTED_VALUE"""),4299.3214)</f>
        <v>4299.3214</v>
      </c>
    </row>
    <row r="3684">
      <c r="C3684" s="434">
        <f>IFERROR(__xludf.DUMMYFUNCTION("""COMPUTED_VALUE"""),45906.99861111111)</f>
        <v>45906.99861</v>
      </c>
      <c r="D3684" s="433">
        <f>IFERROR(__xludf.DUMMYFUNCTION("""COMPUTED_VALUE"""),4306.8732)</f>
        <v>4306.8732</v>
      </c>
    </row>
    <row r="3685">
      <c r="C3685" s="434">
        <f>IFERROR(__xludf.DUMMYFUNCTION("""COMPUTED_VALUE"""),45907.99861111111)</f>
        <v>45907.99861</v>
      </c>
      <c r="D3685" s="433">
        <f>IFERROR(__xludf.DUMMYFUNCTION("""COMPUTED_VALUE"""),4273.7839)</f>
        <v>4273.7839</v>
      </c>
    </row>
    <row r="3686">
      <c r="C3686" s="434">
        <f>IFERROR(__xludf.DUMMYFUNCTION("""COMPUTED_VALUE"""),45908.99861111111)</f>
        <v>45908.99861</v>
      </c>
      <c r="D3686" s="433">
        <f>IFERROR(__xludf.DUMMYFUNCTION("""COMPUTED_VALUE"""),4305.597)</f>
        <v>4305.597</v>
      </c>
    </row>
    <row r="3687">
      <c r="C3687" s="434">
        <f>IFERROR(__xludf.DUMMYFUNCTION("""COMPUTED_VALUE"""),45909.99861111111)</f>
        <v>45909.99861</v>
      </c>
      <c r="D3687" s="433">
        <f>IFERROR(__xludf.DUMMYFUNCTION("""COMPUTED_VALUE"""),4306.7074)</f>
        <v>4306.7074</v>
      </c>
    </row>
    <row r="3688">
      <c r="C3688" s="434">
        <f>IFERROR(__xludf.DUMMYFUNCTION("""COMPUTED_VALUE"""),45910.99861111111)</f>
        <v>45910.99861</v>
      </c>
      <c r="D3688" s="433">
        <f>IFERROR(__xludf.DUMMYFUNCTION("""COMPUTED_VALUE"""),4310.136)</f>
        <v>4310.136</v>
      </c>
    </row>
    <row r="3689">
      <c r="C3689" s="434">
        <f>IFERROR(__xludf.DUMMYFUNCTION("""COMPUTED_VALUE"""),45911.99861111111)</f>
        <v>45911.99861</v>
      </c>
      <c r="D3689" s="433">
        <f>IFERROR(__xludf.DUMMYFUNCTION("""COMPUTED_VALUE"""),4348.6803)</f>
        <v>4348.6803</v>
      </c>
    </row>
    <row r="3690">
      <c r="C3690" s="434">
        <f>IFERROR(__xludf.DUMMYFUNCTION("""COMPUTED_VALUE"""),45912.99861111111)</f>
        <v>45912.99861</v>
      </c>
      <c r="D3690" s="433">
        <f>IFERROR(__xludf.DUMMYFUNCTION("""COMPUTED_VALUE"""),4461.0563)</f>
        <v>4461.0563</v>
      </c>
    </row>
    <row r="3691">
      <c r="C3691" s="434">
        <f>IFERROR(__xludf.DUMMYFUNCTION("""COMPUTED_VALUE"""),45913.99861111111)</f>
        <v>45913.99861</v>
      </c>
      <c r="D3691" s="433">
        <f>IFERROR(__xludf.DUMMYFUNCTION("""COMPUTED_VALUE"""),4715.1874)</f>
        <v>4715.1874</v>
      </c>
    </row>
    <row r="3692">
      <c r="C3692" s="434">
        <f>IFERROR(__xludf.DUMMYFUNCTION("""COMPUTED_VALUE"""),45914.99861111111)</f>
        <v>45914.99861</v>
      </c>
      <c r="D3692" s="433">
        <f>IFERROR(__xludf.DUMMYFUNCTION("""COMPUTED_VALUE"""),4668.3273)</f>
        <v>4668.3273</v>
      </c>
    </row>
    <row r="3693">
      <c r="C3693" s="434">
        <f>IFERROR(__xludf.DUMMYFUNCTION("""COMPUTED_VALUE"""),45915.99861111111)</f>
        <v>45915.99861</v>
      </c>
      <c r="D3693" s="433">
        <f>IFERROR(__xludf.DUMMYFUNCTION("""COMPUTED_VALUE"""),4608.2422)</f>
        <v>4608.2422</v>
      </c>
    </row>
    <row r="3694">
      <c r="C3694" s="434">
        <f>IFERROR(__xludf.DUMMYFUNCTION("""COMPUTED_VALUE"""),45916.99861111111)</f>
        <v>45916.99861</v>
      </c>
      <c r="D3694" s="433">
        <f>IFERROR(__xludf.DUMMYFUNCTION("""COMPUTED_VALUE"""),4525.4244)</f>
        <v>4525.4244</v>
      </c>
    </row>
    <row r="3695">
      <c r="C3695" s="434">
        <f>IFERROR(__xludf.DUMMYFUNCTION("""COMPUTED_VALUE"""),45917.99861111111)</f>
        <v>45917.99861</v>
      </c>
      <c r="D3695" s="433">
        <f>IFERROR(__xludf.DUMMYFUNCTION("""COMPUTED_VALUE"""),4503.9323)</f>
        <v>4503.9323</v>
      </c>
    </row>
    <row r="3696">
      <c r="C3696" s="434">
        <f>IFERROR(__xludf.DUMMYFUNCTION("""COMPUTED_VALUE"""),45918.99861111111)</f>
        <v>45918.99861</v>
      </c>
      <c r="D3696" s="433">
        <f>IFERROR(__xludf.DUMMYFUNCTION("""COMPUTED_VALUE"""),4592.6435)</f>
        <v>4592.6435</v>
      </c>
    </row>
    <row r="3697">
      <c r="C3697" s="434">
        <f>IFERROR(__xludf.DUMMYFUNCTION("""COMPUTED_VALUE"""),45919.99861111111)</f>
        <v>45919.99861</v>
      </c>
      <c r="D3697" s="433">
        <f>IFERROR(__xludf.DUMMYFUNCTION("""COMPUTED_VALUE"""),4589.552)</f>
        <v>4589.552</v>
      </c>
    </row>
    <row r="3698">
      <c r="C3698" s="434">
        <f>IFERROR(__xludf.DUMMYFUNCTION("""COMPUTED_VALUE"""),45920.99861111111)</f>
        <v>45920.99861</v>
      </c>
      <c r="D3698" s="433">
        <f>IFERROR(__xludf.DUMMYFUNCTION("""COMPUTED_VALUE"""),4471.1467)</f>
        <v>4471.1467</v>
      </c>
    </row>
    <row r="3699">
      <c r="C3699" s="434">
        <f>IFERROR(__xludf.DUMMYFUNCTION("""COMPUTED_VALUE"""),45921.99861111111)</f>
        <v>45921.99861</v>
      </c>
      <c r="D3699" s="433">
        <f>IFERROR(__xludf.DUMMYFUNCTION("""COMPUTED_VALUE"""),4482.1679)</f>
        <v>4482.1679</v>
      </c>
    </row>
    <row r="3700">
      <c r="C3700" s="434">
        <f>IFERROR(__xludf.DUMMYFUNCTION("""COMPUTED_VALUE"""),45922.99861111111)</f>
        <v>45922.99861</v>
      </c>
      <c r="D3700" s="433">
        <f>IFERROR(__xludf.DUMMYFUNCTION("""COMPUTED_VALUE"""),4447.8268)</f>
        <v>4447.8268</v>
      </c>
    </row>
    <row r="3701">
      <c r="C3701" s="434">
        <f>IFERROR(__xludf.DUMMYFUNCTION("""COMPUTED_VALUE"""),45923.99861111111)</f>
        <v>45923.99861</v>
      </c>
      <c r="D3701" s="433">
        <f>IFERROR(__xludf.DUMMYFUNCTION("""COMPUTED_VALUE"""),4203.0342)</f>
        <v>4203.0342</v>
      </c>
    </row>
    <row r="3702">
      <c r="C3702" s="434">
        <f>IFERROR(__xludf.DUMMYFUNCTION("""COMPUTED_VALUE"""),45924.99861111111)</f>
        <v>45924.99861</v>
      </c>
      <c r="D3702" s="433">
        <f>IFERROR(__xludf.DUMMYFUNCTION("""COMPUTED_VALUE"""),4164.8868)</f>
        <v>4164.8868</v>
      </c>
    </row>
    <row r="3703">
      <c r="C3703" s="434">
        <f>IFERROR(__xludf.DUMMYFUNCTION("""COMPUTED_VALUE"""),45925.99861111111)</f>
        <v>45925.99861</v>
      </c>
      <c r="D3703" s="433">
        <f>IFERROR(__xludf.DUMMYFUNCTION("""COMPUTED_VALUE"""),4153.8879)</f>
        <v>4153.8879</v>
      </c>
    </row>
    <row r="3704">
      <c r="C3704" s="434">
        <f>IFERROR(__xludf.DUMMYFUNCTION("""COMPUTED_VALUE"""),45926.99861111111)</f>
        <v>45926.99861</v>
      </c>
      <c r="D3704" s="433">
        <f>IFERROR(__xludf.DUMMYFUNCTION("""COMPUTED_VALUE"""),3873.3985)</f>
        <v>3873.3985</v>
      </c>
    </row>
    <row r="3705">
      <c r="C3705" s="434">
        <f>IFERROR(__xludf.DUMMYFUNCTION("""COMPUTED_VALUE"""),45927.99861111111)</f>
        <v>45927.99861</v>
      </c>
      <c r="D3705" s="433">
        <f>IFERROR(__xludf.DUMMYFUNCTION("""COMPUTED_VALUE"""),4035.4631)</f>
        <v>4035.4631</v>
      </c>
    </row>
    <row r="3706">
      <c r="C3706" s="434">
        <f>IFERROR(__xludf.DUMMYFUNCTION("""COMPUTED_VALUE"""),45928.99861111111)</f>
        <v>45928.99861</v>
      </c>
      <c r="D3706" s="433">
        <f>IFERROR(__xludf.DUMMYFUNCTION("""COMPUTED_VALUE"""),4019.5165)</f>
        <v>4019.5165</v>
      </c>
    </row>
    <row r="3707">
      <c r="C3707" s="434">
        <f>IFERROR(__xludf.DUMMYFUNCTION("""COMPUTED_VALUE"""),45929.99861111111)</f>
        <v>45929.99861</v>
      </c>
      <c r="D3707" s="433">
        <f>IFERROR(__xludf.DUMMYFUNCTION("""COMPUTED_VALUE"""),4144.5016)</f>
        <v>4144.5016</v>
      </c>
    </row>
    <row r="3708">
      <c r="C3708" s="434">
        <f>IFERROR(__xludf.DUMMYFUNCTION("""COMPUTED_VALUE"""),45930.99861111111)</f>
        <v>45930.99861</v>
      </c>
      <c r="D3708" s="433">
        <f>IFERROR(__xludf.DUMMYFUNCTION("""COMPUTED_VALUE"""),4217.5902)</f>
        <v>4217.5902</v>
      </c>
    </row>
    <row r="3709">
      <c r="C3709" s="434">
        <f>IFERROR(__xludf.DUMMYFUNCTION("""COMPUTED_VALUE"""),45931.99861111111)</f>
        <v>45931.99861</v>
      </c>
      <c r="D3709" s="433">
        <f>IFERROR(__xludf.DUMMYFUNCTION("""COMPUTED_VALUE"""),4145.6462)</f>
        <v>4145.6462</v>
      </c>
    </row>
    <row r="3710">
      <c r="C3710" s="434">
        <f>IFERROR(__xludf.DUMMYFUNCTION("""COMPUTED_VALUE"""),45932.99861111111)</f>
        <v>45932.99861</v>
      </c>
      <c r="D3710" s="433">
        <f>IFERROR(__xludf.DUMMYFUNCTION("""COMPUTED_VALUE"""),4349.7263)</f>
        <v>4349.7263</v>
      </c>
    </row>
    <row r="3711">
      <c r="C3711" s="434">
        <f>IFERROR(__xludf.DUMMYFUNCTION("""COMPUTED_VALUE"""),45933.99861111111)</f>
        <v>45933.99861</v>
      </c>
      <c r="D3711" s="433">
        <f>IFERROR(__xludf.DUMMYFUNCTION("""COMPUTED_VALUE"""),4487.2723)</f>
        <v>4487.2723</v>
      </c>
    </row>
    <row r="3712">
      <c r="C3712" s="434">
        <f>IFERROR(__xludf.DUMMYFUNCTION("""COMPUTED_VALUE"""),45934.99861111111)</f>
        <v>45934.99861</v>
      </c>
      <c r="D3712" s="433">
        <f>IFERROR(__xludf.DUMMYFUNCTION("""COMPUTED_VALUE"""),4514.7874)</f>
        <v>4514.7874</v>
      </c>
    </row>
    <row r="3713">
      <c r="C3713" s="434">
        <f>IFERROR(__xludf.DUMMYFUNCTION("""COMPUTED_VALUE"""),45935.99861111111)</f>
        <v>45935.99861</v>
      </c>
      <c r="D3713" s="433">
        <f>IFERROR(__xludf.DUMMYFUNCTION("""COMPUTED_VALUE"""),4489.2773)</f>
        <v>4489.2773</v>
      </c>
    </row>
    <row r="3714">
      <c r="C3714" s="434">
        <f>IFERROR(__xludf.DUMMYFUNCTION("""COMPUTED_VALUE"""),45936.99861111111)</f>
        <v>45936.99861</v>
      </c>
      <c r="D3714" s="433">
        <f>IFERROR(__xludf.DUMMYFUNCTION("""COMPUTED_VALUE"""),4515.222)</f>
        <v>4515.222</v>
      </c>
    </row>
    <row r="3715">
      <c r="C3715" s="434">
        <f>IFERROR(__xludf.DUMMYFUNCTION("""COMPUTED_VALUE"""),45937.99861111111)</f>
        <v>45937.99861</v>
      </c>
      <c r="D3715" s="433">
        <f>IFERROR(__xludf.DUMMYFUNCTION("""COMPUTED_VALUE"""),4686.2962)</f>
        <v>4686.2962</v>
      </c>
    </row>
    <row r="3716">
      <c r="C3716" s="434">
        <f>IFERROR(__xludf.DUMMYFUNCTION("""COMPUTED_VALUE"""),45938.99861111111)</f>
        <v>45938.99861</v>
      </c>
      <c r="D3716" s="433">
        <f>IFERROR(__xludf.DUMMYFUNCTION("""COMPUTED_VALUE"""),4450.3588)</f>
        <v>4450.3588</v>
      </c>
    </row>
    <row r="3717">
      <c r="C3717" s="434">
        <f>IFERROR(__xludf.DUMMYFUNCTION("""COMPUTED_VALUE"""),45939.99861111111)</f>
        <v>45939.99861</v>
      </c>
      <c r="D3717" s="433">
        <f>IFERROR(__xludf.DUMMYFUNCTION("""COMPUTED_VALUE"""),4527.281)</f>
        <v>4527.281</v>
      </c>
    </row>
    <row r="3718">
      <c r="C3718" s="434">
        <f>IFERROR(__xludf.DUMMYFUNCTION("""COMPUTED_VALUE"""),45940.99861111111)</f>
        <v>45940.99861</v>
      </c>
      <c r="D3718" s="433">
        <f>IFERROR(__xludf.DUMMYFUNCTION("""COMPUTED_VALUE"""),4370.3656)</f>
        <v>4370.3656</v>
      </c>
    </row>
    <row r="3719">
      <c r="C3719" s="434">
        <f>IFERROR(__xludf.DUMMYFUNCTION("""COMPUTED_VALUE"""),45941.99861111111)</f>
        <v>45941.99861</v>
      </c>
      <c r="D3719" s="433">
        <f>IFERROR(__xludf.DUMMYFUNCTION("""COMPUTED_VALUE"""),3836.3903)</f>
        <v>3836.3903</v>
      </c>
    </row>
    <row r="3720">
      <c r="C3720" s="434">
        <f>IFERROR(__xludf.DUMMYFUNCTION("""COMPUTED_VALUE"""),45942.99861111111)</f>
        <v>45942.99861</v>
      </c>
      <c r="D3720" s="433">
        <f>IFERROR(__xludf.DUMMYFUNCTION("""COMPUTED_VALUE"""),3750.0349)</f>
        <v>3750.0349</v>
      </c>
    </row>
    <row r="3721">
      <c r="C3721" s="434">
        <f>IFERROR(__xludf.DUMMYFUNCTION("""COMPUTED_VALUE"""),45943.99861111111)</f>
        <v>45943.99861</v>
      </c>
      <c r="D3721" s="433">
        <f>IFERROR(__xludf.DUMMYFUNCTION("""COMPUTED_VALUE"""),4159.2164)</f>
        <v>4159.2164</v>
      </c>
    </row>
    <row r="3722">
      <c r="C3722" s="434">
        <f>IFERROR(__xludf.DUMMYFUNCTION("""COMPUTED_VALUE"""),45944.99861111111)</f>
        <v>45944.99861</v>
      </c>
      <c r="D3722" s="433">
        <f>IFERROR(__xludf.DUMMYFUNCTION("""COMPUTED_VALUE"""),4244.8602)</f>
        <v>4244.8602</v>
      </c>
    </row>
    <row r="3723">
      <c r="C3723" s="434">
        <f>IFERROR(__xludf.DUMMYFUNCTION("""COMPUTED_VALUE"""),45945.99861111111)</f>
        <v>45945.99861</v>
      </c>
      <c r="D3723" s="433">
        <f>IFERROR(__xludf.DUMMYFUNCTION("""COMPUTED_VALUE"""),4126.7263)</f>
        <v>4126.7263</v>
      </c>
    </row>
    <row r="3724">
      <c r="C3724" s="434">
        <f>IFERROR(__xludf.DUMMYFUNCTION("""COMPUTED_VALUE"""),45946.99861111111)</f>
        <v>45946.99861</v>
      </c>
      <c r="D3724" s="433">
        <f>IFERROR(__xludf.DUMMYFUNCTION("""COMPUTED_VALUE"""),3987.2977)</f>
        <v>3987.2977</v>
      </c>
    </row>
    <row r="3725">
      <c r="C3725" s="434">
        <f>IFERROR(__xludf.DUMMYFUNCTION("""COMPUTED_VALUE"""),45947.99861111111)</f>
        <v>45947.99861</v>
      </c>
      <c r="D3725" s="433">
        <f>IFERROR(__xludf.DUMMYFUNCTION("""COMPUTED_VALUE"""),3895.2631)</f>
        <v>3895.2631</v>
      </c>
    </row>
    <row r="3726">
      <c r="C3726" s="434">
        <f>IFERROR(__xludf.DUMMYFUNCTION("""COMPUTED_VALUE"""),45948.99861111111)</f>
        <v>45948.99861</v>
      </c>
      <c r="D3726" s="433">
        <f>IFERROR(__xludf.DUMMYFUNCTION("""COMPUTED_VALUE"""),3832.7979)</f>
        <v>3832.7979</v>
      </c>
    </row>
    <row r="3727">
      <c r="C3727" s="434">
        <f>IFERROR(__xludf.DUMMYFUNCTION("""COMPUTED_VALUE"""),45949.99861111111)</f>
        <v>45949.99861</v>
      </c>
      <c r="D3727" s="433">
        <f>IFERROR(__xludf.DUMMYFUNCTION("""COMPUTED_VALUE"""),3890.1239)</f>
        <v>3890.1239</v>
      </c>
    </row>
    <row r="3728">
      <c r="C3728" s="434">
        <f>IFERROR(__xludf.DUMMYFUNCTION("""COMPUTED_VALUE"""),45950.99861111111)</f>
        <v>45950.99861</v>
      </c>
      <c r="D3728" s="433">
        <f>IFERROR(__xludf.DUMMYFUNCTION("""COMPUTED_VALUE"""),3984.0428)</f>
        <v>3984.0428</v>
      </c>
    </row>
    <row r="3729">
      <c r="C3729" s="434">
        <f>IFERROR(__xludf.DUMMYFUNCTION("""COMPUTED_VALUE"""),45951.99861111111)</f>
        <v>45951.99861</v>
      </c>
      <c r="D3729" s="433">
        <f>IFERROR(__xludf.DUMMYFUNCTION("""COMPUTED_VALUE"""),3980.7405)</f>
        <v>3980.7405</v>
      </c>
    </row>
    <row r="3730">
      <c r="C3730" s="434">
        <f>IFERROR(__xludf.DUMMYFUNCTION("""COMPUTED_VALUE"""),45952.99861111111)</f>
        <v>45952.99861</v>
      </c>
      <c r="D3730" s="433">
        <f>IFERROR(__xludf.DUMMYFUNCTION("""COMPUTED_VALUE"""),3874.5996)</f>
        <v>3874.5996</v>
      </c>
    </row>
    <row r="3731">
      <c r="C3731" s="434">
        <f>IFERROR(__xludf.DUMMYFUNCTION("""COMPUTED_VALUE"""),45953.99861111111)</f>
        <v>45953.99861</v>
      </c>
      <c r="D3731" s="433">
        <f>IFERROR(__xludf.DUMMYFUNCTION("""COMPUTED_VALUE"""),3806.6874)</f>
        <v>3806.6874</v>
      </c>
    </row>
    <row r="3732">
      <c r="C3732" s="434">
        <f>IFERROR(__xludf.DUMMYFUNCTION("""COMPUTED_VALUE"""),45954.99861111111)</f>
        <v>45954.99861</v>
      </c>
      <c r="D3732" s="433">
        <f>IFERROR(__xludf.DUMMYFUNCTION("""COMPUTED_VALUE"""),3857.8172)</f>
        <v>3857.8172</v>
      </c>
    </row>
    <row r="3733">
      <c r="C3733" s="434">
        <f>IFERROR(__xludf.DUMMYFUNCTION("""COMPUTED_VALUE"""),45955.99861111111)</f>
        <v>45955.99861</v>
      </c>
      <c r="D3733" s="433">
        <f>IFERROR(__xludf.DUMMYFUNCTION("""COMPUTED_VALUE"""),3935.2864)</f>
        <v>3935.2864</v>
      </c>
    </row>
    <row r="3734">
      <c r="C3734" s="434">
        <f>IFERROR(__xludf.DUMMYFUNCTION("""COMPUTED_VALUE"""),45956.99861111111)</f>
        <v>45956.99861</v>
      </c>
      <c r="D3734" s="433">
        <f>IFERROR(__xludf.DUMMYFUNCTION("""COMPUTED_VALUE"""),3953.9167)</f>
        <v>3953.9167</v>
      </c>
    </row>
    <row r="3735">
      <c r="C3735" s="434">
        <f>IFERROR(__xludf.DUMMYFUNCTION("""COMPUTED_VALUE"""),45957.99861111111)</f>
        <v>45957.99861</v>
      </c>
      <c r="D3735" s="433">
        <f>IFERROR(__xludf.DUMMYFUNCTION("""COMPUTED_VALUE"""),4158.9661)</f>
        <v>4158.9661</v>
      </c>
    </row>
    <row r="3736">
      <c r="C3736" s="434">
        <f>IFERROR(__xludf.DUMMYFUNCTION("""COMPUTED_VALUE"""),45958.99861111111)</f>
        <v>45958.99861</v>
      </c>
      <c r="D3736" s="433">
        <f>IFERROR(__xludf.DUMMYFUNCTION("""COMPUTED_VALUE"""),4120.454)</f>
        <v>4120.454</v>
      </c>
    </row>
    <row r="3737">
      <c r="C3737" s="434">
        <f>IFERROR(__xludf.DUMMYFUNCTION("""COMPUTED_VALUE"""),45959.99861111111)</f>
        <v>45959.99861</v>
      </c>
      <c r="D3737" s="433">
        <f>IFERROR(__xludf.DUMMYFUNCTION("""COMPUTED_VALUE"""),3980.9676)</f>
        <v>3980.9676</v>
      </c>
    </row>
    <row r="3738">
      <c r="C3738" s="434">
        <f>IFERROR(__xludf.DUMMYFUNCTION("""COMPUTED_VALUE"""),45960.99861111111)</f>
        <v>45960.99861</v>
      </c>
      <c r="D3738" s="433">
        <f>IFERROR(__xludf.DUMMYFUNCTION("""COMPUTED_VALUE"""),3903.8702)</f>
        <v>3903.8702</v>
      </c>
    </row>
    <row r="3739">
      <c r="C3739" s="434">
        <f>IFERROR(__xludf.DUMMYFUNCTION("""COMPUTED_VALUE"""),45961.99861111111)</f>
        <v>45961.99861</v>
      </c>
      <c r="D3739" s="433">
        <f>IFERROR(__xludf.DUMMYFUNCTION("""COMPUTED_VALUE"""),3803.2569)</f>
        <v>3803.2569</v>
      </c>
    </row>
    <row r="3740">
      <c r="C3740" s="434">
        <f>IFERROR(__xludf.DUMMYFUNCTION("""COMPUTED_VALUE"""),45962.99861111111)</f>
        <v>45962.99861</v>
      </c>
      <c r="D3740" s="433">
        <f>IFERROR(__xludf.DUMMYFUNCTION("""COMPUTED_VALUE"""),3847.1126)</f>
        <v>3847.1126</v>
      </c>
    </row>
    <row r="3741">
      <c r="C3741" s="434">
        <f>IFERROR(__xludf.DUMMYFUNCTION("""COMPUTED_VALUE"""),45963.99861111111)</f>
        <v>45963.99861</v>
      </c>
      <c r="D3741" s="433">
        <f>IFERROR(__xludf.DUMMYFUNCTION("""COMPUTED_VALUE"""),3873.1227)</f>
        <v>3873.1227</v>
      </c>
    </row>
    <row r="3742">
      <c r="C3742" s="434">
        <f>IFERROR(__xludf.DUMMYFUNCTION("""COMPUTED_VALUE"""),45964.99861111111)</f>
        <v>45964.99861</v>
      </c>
      <c r="D3742" s="433">
        <f>IFERROR(__xludf.DUMMYFUNCTION("""COMPUTED_VALUE"""),3907.7429)</f>
        <v>3907.7429</v>
      </c>
    </row>
    <row r="3743">
      <c r="C3743" s="434">
        <f>IFERROR(__xludf.DUMMYFUNCTION("""COMPUTED_VALUE"""),45965.99861111111)</f>
        <v>45965.99861</v>
      </c>
      <c r="D3743" s="433">
        <f>IFERROR(__xludf.DUMMYFUNCTION("""COMPUTED_VALUE"""),3602.6293)</f>
        <v>3602.6293</v>
      </c>
    </row>
    <row r="3744">
      <c r="C3744" s="434">
        <f>IFERROR(__xludf.DUMMYFUNCTION("""COMPUTED_VALUE"""),45966.99861111111)</f>
        <v>45966.99861</v>
      </c>
      <c r="D3744" s="433">
        <f>IFERROR(__xludf.DUMMYFUNCTION("""COMPUTED_VALUE"""),3288.9695)</f>
        <v>3288.9695</v>
      </c>
    </row>
    <row r="3745">
      <c r="C3745" s="434">
        <f>IFERROR(__xludf.DUMMYFUNCTION("""COMPUTED_VALUE"""),45967.99861111111)</f>
        <v>45967.99861</v>
      </c>
      <c r="D3745" s="433">
        <f>IFERROR(__xludf.DUMMYFUNCTION("""COMPUTED_VALUE"""),3424.459)</f>
        <v>3424.459</v>
      </c>
    </row>
    <row r="3746">
      <c r="C3746" s="434">
        <f>IFERROR(__xludf.DUMMYFUNCTION("""COMPUTED_VALUE"""),45968.99861111111)</f>
        <v>45968.99861</v>
      </c>
      <c r="D3746" s="433">
        <f>IFERROR(__xludf.DUMMYFUNCTION("""COMPUTED_VALUE"""),3313.0633)</f>
        <v>3313.0633</v>
      </c>
    </row>
    <row r="3747">
      <c r="C3747" s="434">
        <f>IFERROR(__xludf.DUMMYFUNCTION("""COMPUTED_VALUE"""),45969.99861111111)</f>
        <v>45969.99861</v>
      </c>
      <c r="D3747" s="433">
        <f>IFERROR(__xludf.DUMMYFUNCTION("""COMPUTED_VALUE"""),3434.3569)</f>
        <v>3434.3569</v>
      </c>
    </row>
    <row r="3748">
      <c r="C3748" s="434">
        <f>IFERROR(__xludf.DUMMYFUNCTION("""COMPUTED_VALUE"""),45970.99861111111)</f>
        <v>45970.99861</v>
      </c>
      <c r="D3748" s="433">
        <f>IFERROR(__xludf.DUMMYFUNCTION("""COMPUTED_VALUE"""),3400.5466)</f>
        <v>3400.5466</v>
      </c>
    </row>
    <row r="3749">
      <c r="C3749" s="434">
        <f>IFERROR(__xludf.DUMMYFUNCTION("""COMPUTED_VALUE"""),45971.99861111111)</f>
        <v>45971.99861</v>
      </c>
      <c r="D3749" s="433">
        <f>IFERROR(__xludf.DUMMYFUNCTION("""COMPUTED_VALUE"""),3583.5815)</f>
        <v>3583.5815</v>
      </c>
    </row>
    <row r="3750">
      <c r="C3750" s="434">
        <f>IFERROR(__xludf.DUMMYFUNCTION("""COMPUTED_VALUE"""),45972.99861111111)</f>
        <v>45972.99861</v>
      </c>
      <c r="D3750" s="433">
        <f>IFERROR(__xludf.DUMMYFUNCTION("""COMPUTED_VALUE"""),3566.513)</f>
        <v>3566.513</v>
      </c>
    </row>
    <row r="3751">
      <c r="C3751" s="434">
        <f>IFERROR(__xludf.DUMMYFUNCTION("""COMPUTED_VALUE"""),45973.99861111111)</f>
        <v>45973.99861</v>
      </c>
      <c r="D3751" s="433">
        <f>IFERROR(__xludf.DUMMYFUNCTION("""COMPUTED_VALUE"""),3416.1663)</f>
        <v>3416.1663</v>
      </c>
    </row>
    <row r="3752">
      <c r="C3752" s="434">
        <f>IFERROR(__xludf.DUMMYFUNCTION("""COMPUTED_VALUE"""),45974.99861111111)</f>
        <v>45974.99861</v>
      </c>
      <c r="D3752" s="433">
        <f>IFERROR(__xludf.DUMMYFUNCTION("""COMPUTED_VALUE"""),3413.7924)</f>
        <v>3413.7924</v>
      </c>
    </row>
    <row r="3753">
      <c r="C3753" s="434">
        <f>IFERROR(__xludf.DUMMYFUNCTION("""COMPUTED_VALUE"""),45975.99861111111)</f>
        <v>45975.99861</v>
      </c>
      <c r="D3753" s="433">
        <f>IFERROR(__xludf.DUMMYFUNCTION("""COMPUTED_VALUE"""),3232.7542)</f>
        <v>3232.7542</v>
      </c>
    </row>
    <row r="3754">
      <c r="C3754" s="434">
        <f>IFERROR(__xludf.DUMMYFUNCTION("""COMPUTED_VALUE"""),45976.99861111111)</f>
        <v>45976.99861</v>
      </c>
      <c r="D3754" s="433">
        <f>IFERROR(__xludf.DUMMYFUNCTION("""COMPUTED_VALUE"""),3109.0142)</f>
        <v>3109.0142</v>
      </c>
    </row>
    <row r="3755">
      <c r="C3755" s="434">
        <f>IFERROR(__xludf.DUMMYFUNCTION("""COMPUTED_VALUE"""),45977.99861111111)</f>
        <v>45977.99861</v>
      </c>
      <c r="D3755" s="433">
        <f>IFERROR(__xludf.DUMMYFUNCTION("""COMPUTED_VALUE"""),3166.5575)</f>
        <v>3166.5575</v>
      </c>
    </row>
    <row r="3756">
      <c r="C3756" s="434">
        <f>IFERROR(__xludf.DUMMYFUNCTION("""COMPUTED_VALUE"""),45978.99861111111)</f>
        <v>45978.99861</v>
      </c>
      <c r="D3756" s="433">
        <f>IFERROR(__xludf.DUMMYFUNCTION("""COMPUTED_VALUE"""),3093.8453)</f>
        <v>3093.8453</v>
      </c>
    </row>
    <row r="3757">
      <c r="C3757" s="434">
        <f>IFERROR(__xludf.DUMMYFUNCTION("""COMPUTED_VALUE"""),45979.99861111111)</f>
        <v>45979.99861</v>
      </c>
      <c r="D3757" s="433">
        <f>IFERROR(__xludf.DUMMYFUNCTION("""COMPUTED_VALUE"""),3026.044)</f>
        <v>3026.044</v>
      </c>
    </row>
    <row r="3758">
      <c r="C3758" s="434">
        <f>IFERROR(__xludf.DUMMYFUNCTION("""COMPUTED_VALUE"""),45980.99861111111)</f>
        <v>45980.99861</v>
      </c>
      <c r="D3758" s="433">
        <f>IFERROR(__xludf.DUMMYFUNCTION("""COMPUTED_VALUE"""),3122.2504)</f>
        <v>3122.2504</v>
      </c>
    </row>
    <row r="3759">
      <c r="C3759" s="434">
        <f>IFERROR(__xludf.DUMMYFUNCTION("""COMPUTED_VALUE"""),45981.99861111111)</f>
        <v>45981.99861</v>
      </c>
      <c r="D3759" s="433">
        <f>IFERROR(__xludf.DUMMYFUNCTION("""COMPUTED_VALUE"""),3022.7717)</f>
        <v>3022.7717</v>
      </c>
    </row>
    <row r="3760">
      <c r="C3760" s="434">
        <f>IFERROR(__xludf.DUMMYFUNCTION("""COMPUTED_VALUE"""),45982.99861111111)</f>
        <v>45982.99861</v>
      </c>
      <c r="D3760" s="433">
        <f>IFERROR(__xludf.DUMMYFUNCTION("""COMPUTED_VALUE"""),2830.5724)</f>
        <v>2830.5724</v>
      </c>
    </row>
    <row r="3761">
      <c r="C3761" s="434">
        <f>IFERROR(__xludf.DUMMYFUNCTION("""COMPUTED_VALUE"""),45983.99861111111)</f>
        <v>45983.99861</v>
      </c>
      <c r="D3761" s="433">
        <f>IFERROR(__xludf.DUMMYFUNCTION("""COMPUTED_VALUE"""),2764.6038)</f>
        <v>2764.6038</v>
      </c>
    </row>
    <row r="3762">
      <c r="C3762" s="434">
        <f>IFERROR(__xludf.DUMMYFUNCTION("""COMPUTED_VALUE"""),45984.99861111111)</f>
        <v>45984.99861</v>
      </c>
      <c r="D3762" s="433">
        <f>IFERROR(__xludf.DUMMYFUNCTION("""COMPUTED_VALUE"""),2768.5177)</f>
        <v>2768.5177</v>
      </c>
    </row>
    <row r="3763">
      <c r="C3763" s="434">
        <f>IFERROR(__xludf.DUMMYFUNCTION("""COMPUTED_VALUE"""),45985.99861111111)</f>
        <v>45985.99861</v>
      </c>
      <c r="D3763" s="433">
        <f>IFERROR(__xludf.DUMMYFUNCTION("""COMPUTED_VALUE"""),2801.1486)</f>
        <v>2801.1486</v>
      </c>
    </row>
    <row r="3764">
      <c r="C3764" s="434">
        <f>IFERROR(__xludf.DUMMYFUNCTION("""COMPUTED_VALUE"""),45986.99861111111)</f>
        <v>45986.99861</v>
      </c>
      <c r="D3764" s="433">
        <f>IFERROR(__xludf.DUMMYFUNCTION("""COMPUTED_VALUE"""),2952.5277)</f>
        <v>2952.5277</v>
      </c>
    </row>
    <row r="3765">
      <c r="C3765" s="434">
        <f>IFERROR(__xludf.DUMMYFUNCTION("""COMPUTED_VALUE"""),45987.99861111111)</f>
        <v>45987.99861</v>
      </c>
      <c r="D3765" s="433">
        <f>IFERROR(__xludf.DUMMYFUNCTION("""COMPUTED_VALUE"""),2959.0879)</f>
        <v>2959.0879</v>
      </c>
    </row>
    <row r="3766">
      <c r="C3766" s="434">
        <f>IFERROR(__xludf.DUMMYFUNCTION("""COMPUTED_VALUE"""),45988.99861111111)</f>
        <v>45988.99861</v>
      </c>
      <c r="D3766" s="433">
        <f>IFERROR(__xludf.DUMMYFUNCTION("""COMPUTED_VALUE"""),3027.583)</f>
        <v>3027.583</v>
      </c>
    </row>
    <row r="3767">
      <c r="C3767" s="434">
        <f>IFERROR(__xludf.DUMMYFUNCTION("""COMPUTED_VALUE"""),45989.99861111111)</f>
        <v>45989.99861</v>
      </c>
      <c r="D3767" s="433">
        <f>IFERROR(__xludf.DUMMYFUNCTION("""COMPUTED_VALUE"""),3015.0114)</f>
        <v>3015.0114</v>
      </c>
    </row>
    <row r="3768">
      <c r="C3768" s="434">
        <f>IFERROR(__xludf.DUMMYFUNCTION("""COMPUTED_VALUE"""),45990.99861111111)</f>
        <v>45990.99861</v>
      </c>
      <c r="D3768" s="433">
        <f>IFERROR(__xludf.DUMMYFUNCTION("""COMPUTED_VALUE"""),3032.1419)</f>
        <v>3032.1419</v>
      </c>
    </row>
    <row r="3769">
      <c r="C3769" s="434">
        <f>IFERROR(__xludf.DUMMYFUNCTION("""COMPUTED_VALUE"""),45991.99861111111)</f>
        <v>45991.99861</v>
      </c>
      <c r="D3769" s="433">
        <f>IFERROR(__xludf.DUMMYFUNCTION("""COMPUTED_VALUE"""),2990.8361)</f>
        <v>2990.8361</v>
      </c>
    </row>
    <row r="3770">
      <c r="C3770" s="434">
        <f>IFERROR(__xludf.DUMMYFUNCTION("""COMPUTED_VALUE"""),45992.99861111111)</f>
        <v>45992.99861</v>
      </c>
      <c r="D3770" s="433">
        <f>IFERROR(__xludf.DUMMYFUNCTION("""COMPUTED_VALUE"""),2991.9503)</f>
        <v>2991.9503</v>
      </c>
    </row>
    <row r="3771">
      <c r="C3771" s="434">
        <f>IFERROR(__xludf.DUMMYFUNCTION("""COMPUTED_VALUE"""),45993.99861111111)</f>
        <v>45993.99861</v>
      </c>
      <c r="D3771" s="433">
        <f>IFERROR(__xludf.DUMMYFUNCTION("""COMPUTED_VALUE"""),2799.8389)</f>
        <v>2799.8389</v>
      </c>
    </row>
    <row r="3772">
      <c r="C3772" s="434">
        <f>IFERROR(__xludf.DUMMYFUNCTION("""COMPUTED_VALUE"""),45994.99861111111)</f>
        <v>45994.99861</v>
      </c>
      <c r="D3772" s="433">
        <f>IFERROR(__xludf.DUMMYFUNCTION("""COMPUTED_VALUE"""),2997.8038)</f>
        <v>2997.8038</v>
      </c>
    </row>
    <row r="3773">
      <c r="C3773" s="434">
        <f>IFERROR(__xludf.DUMMYFUNCTION("""COMPUTED_VALUE"""),45995.99861111111)</f>
        <v>45995.99861</v>
      </c>
      <c r="D3773" s="433">
        <f>IFERROR(__xludf.DUMMYFUNCTION("""COMPUTED_VALUE"""),3189.2553)</f>
        <v>3189.2553</v>
      </c>
    </row>
    <row r="3774">
      <c r="C3774" s="434">
        <f>IFERROR(__xludf.DUMMYFUNCTION("""COMPUTED_VALUE"""),45996.99861111111)</f>
        <v>45996.99861</v>
      </c>
      <c r="D3774" s="433">
        <f>IFERROR(__xludf.DUMMYFUNCTION("""COMPUTED_VALUE"""),3134.1826)</f>
        <v>3134.1826</v>
      </c>
    </row>
    <row r="3775">
      <c r="C3775" s="434">
        <f>IFERROR(__xludf.DUMMYFUNCTION("""COMPUTED_VALUE"""),45997.99861111111)</f>
        <v>45997.99861</v>
      </c>
      <c r="D3775" s="433">
        <f>IFERROR(__xludf.DUMMYFUNCTION("""COMPUTED_VALUE"""),3023.2399)</f>
        <v>3023.2399</v>
      </c>
    </row>
    <row r="3776">
      <c r="C3776" s="434">
        <f>IFERROR(__xludf.DUMMYFUNCTION("""COMPUTED_VALUE"""),45998.99861111111)</f>
        <v>45998.99861</v>
      </c>
      <c r="D3776" s="433">
        <f>IFERROR(__xludf.DUMMYFUNCTION("""COMPUTED_VALUE"""),3039.3452)</f>
        <v>3039.3452</v>
      </c>
    </row>
    <row r="3777">
      <c r="C3777" s="434">
        <f>IFERROR(__xludf.DUMMYFUNCTION("""COMPUTED_VALUE"""),45999.99861111111)</f>
        <v>45999.99861</v>
      </c>
      <c r="D3777" s="433">
        <f>IFERROR(__xludf.DUMMYFUNCTION("""COMPUTED_VALUE"""),3061.862)</f>
        <v>3061.862</v>
      </c>
    </row>
    <row r="3778">
      <c r="C3778" s="434">
        <f>IFERROR(__xludf.DUMMYFUNCTION("""COMPUTED_VALUE"""),46000.99861111111)</f>
        <v>46000.99861</v>
      </c>
      <c r="D3778" s="433">
        <f>IFERROR(__xludf.DUMMYFUNCTION("""COMPUTED_VALUE"""),3124.7185)</f>
        <v>3124.7185</v>
      </c>
    </row>
    <row r="3779">
      <c r="C3779" s="434">
        <f>IFERROR(__xludf.DUMMYFUNCTION("""COMPUTED_VALUE"""),46001.99861111111)</f>
        <v>46001.99861</v>
      </c>
      <c r="D3779" s="433">
        <f>IFERROR(__xludf.DUMMYFUNCTION("""COMPUTED_VALUE"""),3320.3273)</f>
        <v>3320.3273</v>
      </c>
    </row>
    <row r="3780">
      <c r="C3780" s="434">
        <f>IFERROR(__xludf.DUMMYFUNCTION("""COMPUTED_VALUE"""),46002.99861111111)</f>
        <v>46002.99861</v>
      </c>
      <c r="D3780" s="433">
        <f>IFERROR(__xludf.DUMMYFUNCTION("""COMPUTED_VALUE"""),3324.5266)</f>
        <v>3324.5266</v>
      </c>
    </row>
    <row r="3781">
      <c r="C3781" s="434">
        <f>IFERROR(__xludf.DUMMYFUNCTION("""COMPUTED_VALUE"""),46003.99861111111)</f>
        <v>46003.99861</v>
      </c>
      <c r="D3781" s="433">
        <f>IFERROR(__xludf.DUMMYFUNCTION("""COMPUTED_VALUE"""),3237.5367)</f>
        <v>3237.5367</v>
      </c>
    </row>
    <row r="3782">
      <c r="C3782" s="434">
        <f>IFERROR(__xludf.DUMMYFUNCTION("""COMPUTED_VALUE"""),46004.99861111111)</f>
        <v>46004.99861</v>
      </c>
      <c r="D3782" s="433">
        <f>IFERROR(__xludf.DUMMYFUNCTION("""COMPUTED_VALUE"""),3084.9185)</f>
        <v>3084.9185</v>
      </c>
    </row>
    <row r="3783">
      <c r="C3783" s="434">
        <f>IFERROR(__xludf.DUMMYFUNCTION("""COMPUTED_VALUE"""),46005.99861111111)</f>
        <v>46005.99861</v>
      </c>
      <c r="D3783" s="433">
        <f>IFERROR(__xludf.DUMMYFUNCTION("""COMPUTED_VALUE"""),3115.3374)</f>
        <v>3115.3374</v>
      </c>
    </row>
    <row r="3784">
      <c r="C3784" s="434">
        <f>IFERROR(__xludf.DUMMYFUNCTION("""COMPUTED_VALUE"""),46006.99861111111)</f>
        <v>46006.99861</v>
      </c>
      <c r="D3784" s="433">
        <f>IFERROR(__xludf.DUMMYFUNCTION("""COMPUTED_VALUE"""),3062.0306)</f>
        <v>3062.0306</v>
      </c>
    </row>
    <row r="3785">
      <c r="C3785" s="434">
        <f>IFERROR(__xludf.DUMMYFUNCTION("""COMPUTED_VALUE"""),46007.99861111111)</f>
        <v>46007.99861</v>
      </c>
      <c r="D3785" s="433">
        <f>IFERROR(__xludf.DUMMYFUNCTION("""COMPUTED_VALUE"""),2964.3119)</f>
        <v>2964.3119</v>
      </c>
    </row>
    <row r="3786">
      <c r="C3786" s="434">
        <f>IFERROR(__xludf.DUMMYFUNCTION("""COMPUTED_VALUE"""),46008.99861111111)</f>
        <v>46008.99861</v>
      </c>
      <c r="D3786" s="433">
        <f>IFERROR(__xludf.DUMMYFUNCTION("""COMPUTED_VALUE"""),2962.6311)</f>
        <v>2962.6311</v>
      </c>
    </row>
    <row r="3787">
      <c r="C3787" s="434">
        <f>IFERROR(__xludf.DUMMYFUNCTION("""COMPUTED_VALUE"""),46009.99861111111)</f>
        <v>46009.99861</v>
      </c>
      <c r="D3787" s="433">
        <f>IFERROR(__xludf.DUMMYFUNCTION("""COMPUTED_VALUE"""),2832.8202)</f>
        <v>2832.8202</v>
      </c>
    </row>
    <row r="3788">
      <c r="C3788" s="434">
        <f>IFERROR(__xludf.DUMMYFUNCTION("""COMPUTED_VALUE"""),46010.99861111111)</f>
        <v>46010.99861</v>
      </c>
      <c r="D3788" s="433">
        <f>IFERROR(__xludf.DUMMYFUNCTION("""COMPUTED_VALUE"""),2826.9698)</f>
        <v>2826.9698</v>
      </c>
    </row>
    <row r="3789">
      <c r="C3789" s="434">
        <f>IFERROR(__xludf.DUMMYFUNCTION("""COMPUTED_VALUE"""),46011.99861111111)</f>
        <v>46011.99861</v>
      </c>
      <c r="D3789" s="433">
        <f>IFERROR(__xludf.DUMMYFUNCTION("""COMPUTED_VALUE"""),2977.7854)</f>
        <v>2977.7854</v>
      </c>
    </row>
    <row r="3790">
      <c r="C3790" s="434">
        <f>IFERROR(__xludf.DUMMYFUNCTION("""COMPUTED_VALUE"""),46012.99861111111)</f>
        <v>46012.99861</v>
      </c>
      <c r="D3790" s="433">
        <f>IFERROR(__xludf.DUMMYFUNCTION("""COMPUTED_VALUE"""),2977.1031)</f>
        <v>2977.1031</v>
      </c>
    </row>
    <row r="3791">
      <c r="C3791" s="434">
        <f>IFERROR(__xludf.DUMMYFUNCTION("""COMPUTED_VALUE"""),46013.99861111111)</f>
        <v>46013.99861</v>
      </c>
      <c r="D3791" s="433">
        <f>IFERROR(__xludf.DUMMYFUNCTION("""COMPUTED_VALUE"""),3001.3031)</f>
        <v>3001.3031</v>
      </c>
    </row>
    <row r="3792">
      <c r="C3792" s="434">
        <f>IFERROR(__xludf.DUMMYFUNCTION("""COMPUTED_VALUE"""),46014.99861111111)</f>
        <v>46014.99861</v>
      </c>
      <c r="D3792" s="433">
        <f>IFERROR(__xludf.DUMMYFUNCTION("""COMPUTED_VALUE"""),3007.1294)</f>
        <v>3007.1294</v>
      </c>
    </row>
    <row r="3793">
      <c r="C3793" s="434">
        <f>IFERROR(__xludf.DUMMYFUNCTION("""COMPUTED_VALUE"""),46015.99861111111)</f>
        <v>46015.99861</v>
      </c>
      <c r="D3793" s="433">
        <f>IFERROR(__xludf.DUMMYFUNCTION("""COMPUTED_VALUE"""),2962.77)</f>
        <v>2962.77</v>
      </c>
    </row>
    <row r="3794">
      <c r="C3794" s="434">
        <f>IFERROR(__xludf.DUMMYFUNCTION("""COMPUTED_VALUE"""),46016.99861111111)</f>
        <v>46016.99861</v>
      </c>
      <c r="D3794" s="433">
        <f>IFERROR(__xludf.DUMMYFUNCTION("""COMPUTED_VALUE"""),2945.4006)</f>
        <v>2945.4006</v>
      </c>
    </row>
    <row r="3795">
      <c r="C3795" s="434">
        <f>IFERROR(__xludf.DUMMYFUNCTION("""COMPUTED_VALUE"""),46017.99861111111)</f>
        <v>46017.99861</v>
      </c>
      <c r="D3795" s="433">
        <f>IFERROR(__xludf.DUMMYFUNCTION("""COMPUTED_VALUE"""),2902.6057)</f>
        <v>2902.6057</v>
      </c>
    </row>
    <row r="3796">
      <c r="C3796" s="434">
        <f>IFERROR(__xludf.DUMMYFUNCTION("""COMPUTED_VALUE"""),46018.99861111111)</f>
        <v>46018.99861</v>
      </c>
      <c r="D3796" s="433">
        <f>IFERROR(__xludf.DUMMYFUNCTION("""COMPUTED_VALUE"""),2925.7526)</f>
        <v>2925.7526</v>
      </c>
    </row>
    <row r="3797">
      <c r="C3797" s="434">
        <f>IFERROR(__xludf.DUMMYFUNCTION("""COMPUTED_VALUE"""),46019.99861111111)</f>
        <v>46019.99861</v>
      </c>
      <c r="D3797" s="433">
        <f>IFERROR(__xludf.DUMMYFUNCTION("""COMPUTED_VALUE"""),2946.7609)</f>
        <v>2946.7609</v>
      </c>
    </row>
    <row r="3798">
      <c r="C3798" s="434">
        <f>IFERROR(__xludf.DUMMYFUNCTION("""COMPUTED_VALUE"""),46020.99861111111)</f>
        <v>46020.99861</v>
      </c>
      <c r="D3798" s="433">
        <f>IFERROR(__xludf.DUMMYFUNCTION("""COMPUTED_VALUE"""),2948.633)</f>
        <v>2948.633</v>
      </c>
    </row>
    <row r="3799">
      <c r="C3799" s="434">
        <f>IFERROR(__xludf.DUMMYFUNCTION("""COMPUTED_VALUE"""),46021.99861111111)</f>
        <v>46021.99861</v>
      </c>
      <c r="D3799" s="433">
        <f>IFERROR(__xludf.DUMMYFUNCTION("""COMPUTED_VALUE"""),2935.1436)</f>
        <v>2935.1436</v>
      </c>
    </row>
    <row r="3800">
      <c r="C3800" s="434">
        <f>IFERROR(__xludf.DUMMYFUNCTION("""COMPUTED_VALUE"""),46022.99861111111)</f>
        <v>46022.99861</v>
      </c>
      <c r="D3800" s="433">
        <f>IFERROR(__xludf.DUMMYFUNCTION("""COMPUTED_VALUE"""),2970.6419)</f>
        <v>2970.6419</v>
      </c>
    </row>
    <row r="3801">
      <c r="C3801" s="434">
        <f>IFERROR(__xludf.DUMMYFUNCTION("""COMPUTED_VALUE"""),46023.99861111111)</f>
        <v>46023.99861</v>
      </c>
      <c r="D3801" s="433">
        <f>IFERROR(__xludf.DUMMYFUNCTION("""COMPUTED_VALUE"""),2967.069)</f>
        <v>2967.069</v>
      </c>
    </row>
    <row r="3802">
      <c r="C3802" s="434">
        <f>IFERROR(__xludf.DUMMYFUNCTION("""COMPUTED_VALUE"""),46024.99861111111)</f>
        <v>46024.99861</v>
      </c>
      <c r="D3802" s="433">
        <f>IFERROR(__xludf.DUMMYFUNCTION("""COMPUTED_VALUE"""),3000.2407)</f>
        <v>3000.2407</v>
      </c>
    </row>
    <row r="3803">
      <c r="C3803" s="434">
        <f>IFERROR(__xludf.DUMMYFUNCTION("""COMPUTED_VALUE"""),46025.99861111111)</f>
        <v>46025.99861</v>
      </c>
      <c r="D3803" s="433">
        <f>IFERROR(__xludf.DUMMYFUNCTION("""COMPUTED_VALUE"""),3124.2036)</f>
        <v>3124.2036</v>
      </c>
    </row>
    <row r="3804">
      <c r="C3804" s="434">
        <f>IFERROR(__xludf.DUMMYFUNCTION("""COMPUTED_VALUE"""),46026.99861111111)</f>
        <v>46026.99861</v>
      </c>
      <c r="D3804" s="433">
        <f>IFERROR(__xludf.DUMMYFUNCTION("""COMPUTED_VALUE"""),3125.795)</f>
        <v>3125.795</v>
      </c>
    </row>
    <row r="3805">
      <c r="C3805" s="434">
        <f>IFERROR(__xludf.DUMMYFUNCTION("""COMPUTED_VALUE"""),46027.99861111111)</f>
        <v>46027.99861</v>
      </c>
      <c r="D3805" s="433">
        <f>IFERROR(__xludf.DUMMYFUNCTION("""COMPUTED_VALUE"""),3143.2877)</f>
        <v>3143.2877</v>
      </c>
    </row>
    <row r="3806">
      <c r="C3806" s="434">
        <f>IFERROR(__xludf.DUMMYFUNCTION("""COMPUTED_VALUE"""),46028.99861111111)</f>
        <v>46028.99861</v>
      </c>
      <c r="D3806" s="433">
        <f>IFERROR(__xludf.DUMMYFUNCTION("""COMPUTED_VALUE"""),3225.2348)</f>
        <v>3225.2348</v>
      </c>
    </row>
    <row r="3807">
      <c r="C3807" s="434">
        <f>IFERROR(__xludf.DUMMYFUNCTION("""COMPUTED_VALUE"""),46029.99861111111)</f>
        <v>46029.99861</v>
      </c>
      <c r="D3807" s="433">
        <f>IFERROR(__xludf.DUMMYFUNCTION("""COMPUTED_VALUE"""),3295.4064)</f>
        <v>3295.4064</v>
      </c>
    </row>
    <row r="3808">
      <c r="C3808" s="434">
        <f>IFERROR(__xludf.DUMMYFUNCTION("""COMPUTED_VALUE"""),46030.99861111111)</f>
        <v>46030.99861</v>
      </c>
      <c r="D3808" s="433">
        <f>IFERROR(__xludf.DUMMYFUNCTION("""COMPUTED_VALUE"""),3165.8332)</f>
        <v>3165.8332</v>
      </c>
    </row>
    <row r="3809">
      <c r="C3809" s="434">
        <f>IFERROR(__xludf.DUMMYFUNCTION("""COMPUTED_VALUE"""),46031.99861111111)</f>
        <v>46031.99861</v>
      </c>
      <c r="D3809" s="433">
        <f>IFERROR(__xludf.DUMMYFUNCTION("""COMPUTED_VALUE"""),3104.1359)</f>
        <v>3104.1359</v>
      </c>
    </row>
    <row r="3810">
      <c r="C3810" s="434">
        <f>IFERROR(__xludf.DUMMYFUNCTION("""COMPUTED_VALUE"""),46032.99861111111)</f>
        <v>46032.99861</v>
      </c>
      <c r="D3810" s="433">
        <f>IFERROR(__xludf.DUMMYFUNCTION("""COMPUTED_VALUE"""),3083.5847)</f>
        <v>3083.5847</v>
      </c>
    </row>
    <row r="3811">
      <c r="C3811" s="434">
        <f>IFERROR(__xludf.DUMMYFUNCTION("""COMPUTED_VALUE"""),46033.99861111111)</f>
        <v>46033.99861</v>
      </c>
      <c r="D3811" s="433">
        <f>IFERROR(__xludf.DUMMYFUNCTION("""COMPUTED_VALUE"""),3082.3533)</f>
        <v>3082.3533</v>
      </c>
    </row>
    <row r="3812">
      <c r="C3812" s="434">
        <f>IFERROR(__xludf.DUMMYFUNCTION("""COMPUTED_VALUE"""),46034.99861111111)</f>
        <v>46034.99861</v>
      </c>
      <c r="D3812" s="433">
        <f>IFERROR(__xludf.DUMMYFUNCTION("""COMPUTED_VALUE"""),3118.5722)</f>
        <v>3118.5722</v>
      </c>
    </row>
    <row r="3813">
      <c r="C3813" s="434">
        <f>IFERROR(__xludf.DUMMYFUNCTION("""COMPUTED_VALUE"""),46035.99861111111)</f>
        <v>46035.99861</v>
      </c>
      <c r="D3813" s="433">
        <f>IFERROR(__xludf.DUMMYFUNCTION("""COMPUTED_VALUE"""),3092.3962)</f>
        <v>3092.3962</v>
      </c>
    </row>
    <row r="3814">
      <c r="C3814" s="434">
        <f>IFERROR(__xludf.DUMMYFUNCTION("""COMPUTED_VALUE"""),46036.99861111111)</f>
        <v>46036.99861</v>
      </c>
      <c r="D3814" s="433">
        <f>IFERROR(__xludf.DUMMYFUNCTION("""COMPUTED_VALUE"""),3323.2637)</f>
        <v>3323.2637</v>
      </c>
    </row>
    <row r="3815">
      <c r="C3815" s="434">
        <f>IFERROR(__xludf.DUMMYFUNCTION("""COMPUTED_VALUE"""),46037.99861111111)</f>
        <v>46037.99861</v>
      </c>
      <c r="D3815" s="433">
        <f>IFERROR(__xludf.DUMMYFUNCTION("""COMPUTED_VALUE"""),3354.8271)</f>
        <v>3354.8271</v>
      </c>
    </row>
    <row r="3816">
      <c r="C3816" s="434">
        <f>IFERROR(__xludf.DUMMYFUNCTION("""COMPUTED_VALUE"""),46038.99861111111)</f>
        <v>46038.99861</v>
      </c>
      <c r="D3816" s="433">
        <f>IFERROR(__xludf.DUMMYFUNCTION("""COMPUTED_VALUE"""),3317.5573)</f>
        <v>3317.5573</v>
      </c>
    </row>
    <row r="3817">
      <c r="C3817" s="434">
        <f>IFERROR(__xludf.DUMMYFUNCTION("""COMPUTED_VALUE"""),46039.99861111111)</f>
        <v>46039.99861</v>
      </c>
      <c r="D3817" s="433">
        <f>IFERROR(__xludf.DUMMYFUNCTION("""COMPUTED_VALUE"""),3294.8706)</f>
        <v>3294.8706</v>
      </c>
    </row>
    <row r="3818">
      <c r="C3818" s="434">
        <f>IFERROR(__xludf.DUMMYFUNCTION("""COMPUTED_VALUE"""),46040.99861111111)</f>
        <v>46040.99861</v>
      </c>
      <c r="D3818" s="433">
        <f>IFERROR(__xludf.DUMMYFUNCTION("""COMPUTED_VALUE"""),3309.1597)</f>
        <v>3309.1597</v>
      </c>
    </row>
    <row r="3819">
      <c r="C3819" s="434">
        <f>IFERROR(__xludf.DUMMYFUNCTION("""COMPUTED_VALUE"""),46041.99861111111)</f>
        <v>46041.99861</v>
      </c>
      <c r="D3819" s="433">
        <f>IFERROR(__xludf.DUMMYFUNCTION("""COMPUTED_VALUE"""),3282.3939)</f>
        <v>3282.3939</v>
      </c>
    </row>
    <row r="3820">
      <c r="C3820" s="434">
        <f>IFERROR(__xludf.DUMMYFUNCTION("""COMPUTED_VALUE"""),46042.99861111111)</f>
        <v>46042.99861</v>
      </c>
      <c r="D3820" s="433">
        <f>IFERROR(__xludf.DUMMYFUNCTION("""COMPUTED_VALUE"""),3186.9599)</f>
        <v>3186.9599</v>
      </c>
    </row>
    <row r="3821">
      <c r="C3821" s="434">
        <f>IFERROR(__xludf.DUMMYFUNCTION("""COMPUTED_VALUE"""),46043.99861111111)</f>
        <v>46043.99861</v>
      </c>
      <c r="D3821" s="433">
        <f>IFERROR(__xludf.DUMMYFUNCTION("""COMPUTED_VALUE"""),2936.2319)</f>
        <v>2936.2319</v>
      </c>
    </row>
    <row r="3822">
      <c r="C3822" s="434">
        <f>IFERROR(__xludf.DUMMYFUNCTION("""COMPUTED_VALUE"""),46044.99861111111)</f>
        <v>46044.99861</v>
      </c>
      <c r="D3822" s="433">
        <f>IFERROR(__xludf.DUMMYFUNCTION("""COMPUTED_VALUE"""),2979.6352)</f>
        <v>2979.6352</v>
      </c>
    </row>
    <row r="3823">
      <c r="C3823" s="434">
        <f>IFERROR(__xludf.DUMMYFUNCTION("""COMPUTED_VALUE"""),46045.99861111111)</f>
        <v>46045.99861</v>
      </c>
      <c r="D3823" s="433">
        <f>IFERROR(__xludf.DUMMYFUNCTION("""COMPUTED_VALUE"""),2949.4176)</f>
        <v>2949.4176</v>
      </c>
    </row>
    <row r="3824">
      <c r="C3824" s="434">
        <f>IFERROR(__xludf.DUMMYFUNCTION("""COMPUTED_VALUE"""),46046.99861111111)</f>
        <v>46046.99861</v>
      </c>
      <c r="D3824" s="433">
        <f>IFERROR(__xludf.DUMMYFUNCTION("""COMPUTED_VALUE"""),2952.7432)</f>
        <v>2952.7432</v>
      </c>
    </row>
    <row r="3825">
      <c r="C3825" s="434">
        <f>IFERROR(__xludf.DUMMYFUNCTION("""COMPUTED_VALUE"""),46047.99861111111)</f>
        <v>46047.99861</v>
      </c>
      <c r="D3825" s="433">
        <f>IFERROR(__xludf.DUMMYFUNCTION("""COMPUTED_VALUE"""),2948.6529)</f>
        <v>2948.6529</v>
      </c>
    </row>
    <row r="3826">
      <c r="C3826" s="434">
        <f>IFERROR(__xludf.DUMMYFUNCTION("""COMPUTED_VALUE"""),46048.99861111111)</f>
        <v>46048.99861</v>
      </c>
      <c r="D3826" s="433">
        <f>IFERROR(__xludf.DUMMYFUNCTION("""COMPUTED_VALUE"""),2815.3016)</f>
        <v>2815.3016</v>
      </c>
    </row>
    <row r="3827">
      <c r="C3827" s="434">
        <f>IFERROR(__xludf.DUMMYFUNCTION("""COMPUTED_VALUE"""),46049.99861111111)</f>
        <v>46049.99861</v>
      </c>
      <c r="D3827" s="433">
        <f>IFERROR(__xludf.DUMMYFUNCTION("""COMPUTED_VALUE"""),2926.8108)</f>
        <v>2926.8108</v>
      </c>
    </row>
    <row r="3828">
      <c r="C3828" s="434">
        <f>IFERROR(__xludf.DUMMYFUNCTION("""COMPUTED_VALUE"""),46050.99861111111)</f>
        <v>46050.99861</v>
      </c>
      <c r="D3828" s="433">
        <f>IFERROR(__xludf.DUMMYFUNCTION("""COMPUTED_VALUE"""),3022.4949)</f>
        <v>3022.4949</v>
      </c>
    </row>
    <row r="3829">
      <c r="C3829" s="434">
        <f>IFERROR(__xludf.DUMMYFUNCTION("""COMPUTED_VALUE"""),46051.99861111111)</f>
        <v>46051.99861</v>
      </c>
      <c r="D3829" s="433">
        <f>IFERROR(__xludf.DUMMYFUNCTION("""COMPUTED_VALUE"""),3005.8395)</f>
        <v>3005.8395</v>
      </c>
    </row>
    <row r="3830">
      <c r="C3830" s="434">
        <f>IFERROR(__xludf.DUMMYFUNCTION("""COMPUTED_VALUE"""),46052.99861111111)</f>
        <v>46052.99861</v>
      </c>
      <c r="D3830" s="433">
        <f>IFERROR(__xludf.DUMMYFUNCTION("""COMPUTED_VALUE"""),2818.0534)</f>
        <v>2818.0534</v>
      </c>
    </row>
    <row r="3831">
      <c r="C3831" s="434">
        <f>IFERROR(__xludf.DUMMYFUNCTION("""COMPUTED_VALUE"""),46053.99861111111)</f>
        <v>46053.99861</v>
      </c>
      <c r="D3831" s="433">
        <f>IFERROR(__xludf.DUMMYFUNCTION("""COMPUTED_VALUE"""),2702.5158)</f>
        <v>2702.5158</v>
      </c>
    </row>
    <row r="3832">
      <c r="C3832" s="434">
        <f>IFERROR(__xludf.DUMMYFUNCTION("""COMPUTED_VALUE"""),46054.99861111111)</f>
        <v>46054.99861</v>
      </c>
      <c r="D3832" s="433">
        <f>IFERROR(__xludf.DUMMYFUNCTION("""COMPUTED_VALUE"""),2449.217)</f>
        <v>2449.217</v>
      </c>
    </row>
    <row r="3833">
      <c r="C3833" s="434">
        <f>IFERROR(__xludf.DUMMYFUNCTION("""COMPUTED_VALUE"""),46055.99861111111)</f>
        <v>46055.99861</v>
      </c>
      <c r="D3833" s="433">
        <f>IFERROR(__xludf.DUMMYFUNCTION("""COMPUTED_VALUE"""),2267.3401)</f>
        <v>2267.3401</v>
      </c>
    </row>
    <row r="3834">
      <c r="C3834" s="434">
        <f>IFERROR(__xludf.DUMMYFUNCTION("""COMPUTED_VALUE"""),46056.99861111111)</f>
        <v>46056.99861</v>
      </c>
      <c r="D3834" s="433">
        <f>IFERROR(__xludf.DUMMYFUNCTION("""COMPUTED_VALUE"""),2344.6153)</f>
        <v>2344.6153</v>
      </c>
    </row>
    <row r="3835">
      <c r="C3835" s="434">
        <f>IFERROR(__xludf.DUMMYFUNCTION("""COMPUTED_VALUE"""),46057.99861111111)</f>
        <v>46057.99861</v>
      </c>
      <c r="D3835" s="433">
        <f>IFERROR(__xludf.DUMMYFUNCTION("""COMPUTED_VALUE"""),2230.4942)</f>
        <v>2230.4942</v>
      </c>
    </row>
    <row r="3836">
      <c r="C3836" s="434">
        <f>IFERROR(__xludf.DUMMYFUNCTION("""COMPUTED_VALUE"""),46058.99861111111)</f>
        <v>46058.99861</v>
      </c>
      <c r="D3836" s="433">
        <f>IFERROR(__xludf.DUMMYFUNCTION("""COMPUTED_VALUE"""),2143.1853)</f>
        <v>2143.1853</v>
      </c>
    </row>
    <row r="3837">
      <c r="C3837" s="434">
        <f>IFERROR(__xludf.DUMMYFUNCTION("""COMPUTED_VALUE"""),46059.99861111111)</f>
        <v>46059.99861</v>
      </c>
      <c r="D3837" s="433">
        <f>IFERROR(__xludf.DUMMYFUNCTION("""COMPUTED_VALUE"""),1823.2029)</f>
        <v>1823.2029</v>
      </c>
    </row>
    <row r="3838">
      <c r="C3838" s="434">
        <f>IFERROR(__xludf.DUMMYFUNCTION("""COMPUTED_VALUE"""),46060.99861111111)</f>
        <v>46060.99861</v>
      </c>
      <c r="D3838" s="433">
        <f>IFERROR(__xludf.DUMMYFUNCTION("""COMPUTED_VALUE"""),2062.0443)</f>
        <v>2062.0443</v>
      </c>
    </row>
    <row r="3839">
      <c r="C3839" s="434">
        <f>IFERROR(__xludf.DUMMYFUNCTION("""COMPUTED_VALUE"""),46061.99861111111)</f>
        <v>46061.99861</v>
      </c>
      <c r="D3839" s="433">
        <f>IFERROR(__xludf.DUMMYFUNCTION("""COMPUTED_VALUE"""),2089.2157)</f>
        <v>2089.2157</v>
      </c>
    </row>
    <row r="3840">
      <c r="C3840" s="434">
        <f>IFERROR(__xludf.DUMMYFUNCTION("""COMPUTED_VALUE"""),46062.99861111111)</f>
        <v>46062.99861</v>
      </c>
      <c r="D3840" s="433">
        <f>IFERROR(__xludf.DUMMYFUNCTION("""COMPUTED_VALUE"""),2088.9471)</f>
        <v>2088.9471</v>
      </c>
    </row>
    <row r="3841">
      <c r="C3841" s="434">
        <f>IFERROR(__xludf.DUMMYFUNCTION("""COMPUTED_VALUE"""),46063.99861111111)</f>
        <v>46063.99861</v>
      </c>
      <c r="D3841" s="433">
        <f>IFERROR(__xludf.DUMMYFUNCTION("""COMPUTED_VALUE"""),2103.6616)</f>
        <v>2103.6616</v>
      </c>
    </row>
    <row r="3842">
      <c r="C3842" s="434">
        <f>IFERROR(__xludf.DUMMYFUNCTION("""COMPUTED_VALUE"""),46064.99861111111)</f>
        <v>46064.99861</v>
      </c>
      <c r="D3842" s="433">
        <f>IFERROR(__xludf.DUMMYFUNCTION("""COMPUTED_VALUE"""),2020.3572)</f>
        <v>2020.3572</v>
      </c>
    </row>
    <row r="3843">
      <c r="C3843" s="434">
        <f>IFERROR(__xludf.DUMMYFUNCTION("""COMPUTED_VALUE"""),46065.99861111111)</f>
        <v>46065.99861</v>
      </c>
      <c r="D3843" s="433">
        <f>IFERROR(__xludf.DUMMYFUNCTION("""COMPUTED_VALUE"""),1941.2958)</f>
        <v>1941.2958</v>
      </c>
    </row>
    <row r="3844">
      <c r="C3844" s="434">
        <f>IFERROR(__xludf.DUMMYFUNCTION("""COMPUTED_VALUE"""),46066.99861111111)</f>
        <v>46066.99861</v>
      </c>
      <c r="D3844" s="433">
        <f>IFERROR(__xludf.DUMMYFUNCTION("""COMPUTED_VALUE"""),1946.1684)</f>
        <v>1946.1684</v>
      </c>
    </row>
    <row r="3845">
      <c r="C3845" s="434">
        <f>IFERROR(__xludf.DUMMYFUNCTION("""COMPUTED_VALUE"""),46067.99861111111)</f>
        <v>46067.99861</v>
      </c>
      <c r="D3845" s="433">
        <f>IFERROR(__xludf.DUMMYFUNCTION("""COMPUTED_VALUE"""),2048.415)</f>
        <v>2048.415</v>
      </c>
    </row>
    <row r="3846">
      <c r="C3846" s="434">
        <f>IFERROR(__xludf.DUMMYFUNCTION("""COMPUTED_VALUE"""),46068.99861111111)</f>
        <v>46068.99861</v>
      </c>
      <c r="D3846" s="433">
        <f>IFERROR(__xludf.DUMMYFUNCTION("""COMPUTED_VALUE"""),2085.5191)</f>
        <v>2085.5191</v>
      </c>
    </row>
    <row r="3847">
      <c r="C3847" s="434">
        <f>IFERROR(__xludf.DUMMYFUNCTION("""COMPUTED_VALUE"""),46069.99861111111)</f>
        <v>46069.99861</v>
      </c>
      <c r="D3847" s="433">
        <f>IFERROR(__xludf.DUMMYFUNCTION("""COMPUTED_VALUE"""),1965.1317)</f>
        <v>1965.1317</v>
      </c>
    </row>
    <row r="3848">
      <c r="C3848" s="434">
        <f>IFERROR(__xludf.DUMMYFUNCTION("""COMPUTED_VALUE"""),46070.99861111111)</f>
        <v>46070.99861</v>
      </c>
      <c r="D3848" s="433">
        <f>IFERROR(__xludf.DUMMYFUNCTION("""COMPUTED_VALUE"""),1997.8259)</f>
        <v>1997.8259</v>
      </c>
    </row>
    <row r="3849">
      <c r="C3849" s="434">
        <f>IFERROR(__xludf.DUMMYFUNCTION("""COMPUTED_VALUE"""),46071.99861111111)</f>
        <v>46071.99861</v>
      </c>
      <c r="D3849" s="433">
        <f>IFERROR(__xludf.DUMMYFUNCTION("""COMPUTED_VALUE"""),1991.3532)</f>
        <v>1991.3532</v>
      </c>
    </row>
    <row r="3850">
      <c r="C3850" s="434">
        <f>IFERROR(__xludf.DUMMYFUNCTION("""COMPUTED_VALUE"""),46072.99861111111)</f>
        <v>46072.99861</v>
      </c>
      <c r="D3850" s="433">
        <f>IFERROR(__xludf.DUMMYFUNCTION("""COMPUTED_VALUE"""),1954.7398)</f>
        <v>1954.7398</v>
      </c>
    </row>
    <row r="3851">
      <c r="C3851" s="434">
        <f>IFERROR(__xludf.DUMMYFUNCTION("""COMPUTED_VALUE"""),46073.99861111111)</f>
        <v>46073.99861</v>
      </c>
      <c r="D3851" s="433">
        <f>IFERROR(__xludf.DUMMYFUNCTION("""COMPUTED_VALUE"""),1948.3131)</f>
        <v>1948.3131</v>
      </c>
    </row>
    <row r="3852">
      <c r="C3852" s="434">
        <f>IFERROR(__xludf.DUMMYFUNCTION("""COMPUTED_VALUE"""),46074.99861111111)</f>
        <v>46074.99861</v>
      </c>
      <c r="D3852" s="433">
        <f>IFERROR(__xludf.DUMMYFUNCTION("""COMPUTED_VALUE"""),1968.4521)</f>
        <v>1968.4521</v>
      </c>
    </row>
    <row r="3853">
      <c r="C3853" s="434">
        <f>IFERROR(__xludf.DUMMYFUNCTION("""COMPUTED_VALUE"""),46075.99861111111)</f>
        <v>46075.99861</v>
      </c>
      <c r="D3853" s="433">
        <f>IFERROR(__xludf.DUMMYFUNCTION("""COMPUTED_VALUE"""),1973.2929)</f>
        <v>1973.2929</v>
      </c>
    </row>
    <row r="3854">
      <c r="C3854" s="434">
        <f>IFERROR(__xludf.DUMMYFUNCTION("""COMPUTED_VALUE"""),46076.99861111111)</f>
        <v>46076.99861</v>
      </c>
      <c r="D3854" s="433">
        <f>IFERROR(__xludf.DUMMYFUNCTION("""COMPUTED_VALUE"""),1956.9404)</f>
        <v>1956.9404</v>
      </c>
    </row>
    <row r="3855">
      <c r="C3855" s="434">
        <f>IFERROR(__xludf.DUMMYFUNCTION("""COMPUTED_VALUE"""),46077.99861111111)</f>
        <v>46077.99861</v>
      </c>
      <c r="D3855" s="433">
        <f>IFERROR(__xludf.DUMMYFUNCTION("""COMPUTED_VALUE"""),1855.8396)</f>
        <v>1855.8396</v>
      </c>
    </row>
    <row r="3856">
      <c r="C3856" s="434">
        <f>IFERROR(__xludf.DUMMYFUNCTION("""COMPUTED_VALUE"""),46078.99861111111)</f>
        <v>46078.99861</v>
      </c>
      <c r="D3856" s="433">
        <f>IFERROR(__xludf.DUMMYFUNCTION("""COMPUTED_VALUE"""),1852.0744)</f>
        <v>1852.0744</v>
      </c>
    </row>
    <row r="3857">
      <c r="C3857" s="434">
        <f>IFERROR(__xludf.DUMMYFUNCTION("""COMPUTED_VALUE"""),46079.99861111111)</f>
        <v>46079.99861</v>
      </c>
      <c r="D3857" s="433">
        <f>IFERROR(__xludf.DUMMYFUNCTION("""COMPUTED_VALUE"""),2056.8534)</f>
        <v>2056.8534</v>
      </c>
    </row>
    <row r="3858">
      <c r="C3858" s="434">
        <f>IFERROR(__xludf.DUMMYFUNCTION("""COMPUTED_VALUE"""),46080.99861111111)</f>
        <v>46080.99861</v>
      </c>
      <c r="D3858" s="433">
        <f>IFERROR(__xludf.DUMMYFUNCTION("""COMPUTED_VALUE"""),2027.4267)</f>
        <v>2027.4267</v>
      </c>
    </row>
    <row r="3859">
      <c r="C3859" s="434">
        <f>IFERROR(__xludf.DUMMYFUNCTION("""COMPUTED_VALUE"""),46081.99861111111)</f>
        <v>46081.99861</v>
      </c>
      <c r="D3859" s="433">
        <f>IFERROR(__xludf.DUMMYFUNCTION("""COMPUTED_VALUE"""),1929.9452)</f>
        <v>1929.9452</v>
      </c>
    </row>
    <row r="3860">
      <c r="C3860" s="434">
        <f>IFERROR(__xludf.DUMMYFUNCTION("""COMPUTED_VALUE"""),46082.99861111111)</f>
        <v>46082.99861</v>
      </c>
      <c r="D3860" s="433">
        <f>IFERROR(__xludf.DUMMYFUNCTION("""COMPUTED_VALUE"""),1964.9397)</f>
        <v>1964.9397</v>
      </c>
    </row>
    <row r="3861">
      <c r="C3861" s="434">
        <f>IFERROR(__xludf.DUMMYFUNCTION("""COMPUTED_VALUE"""),46083.99861111111)</f>
        <v>46083.99861</v>
      </c>
      <c r="D3861" s="433">
        <f>IFERROR(__xludf.DUMMYFUNCTION("""COMPUTED_VALUE"""),1939.4984)</f>
        <v>1939.4984</v>
      </c>
    </row>
    <row r="3862">
      <c r="C3862" s="434">
        <f>IFERROR(__xludf.DUMMYFUNCTION("""COMPUTED_VALUE"""),46084.99861111111)</f>
        <v>46084.99861</v>
      </c>
      <c r="D3862" s="433">
        <f>IFERROR(__xludf.DUMMYFUNCTION("""COMPUTED_VALUE"""),2027.0352)</f>
        <v>2027.0352</v>
      </c>
    </row>
    <row r="3863">
      <c r="C3863" s="434">
        <f>IFERROR(__xludf.DUMMYFUNCTION("""COMPUTED_VALUE"""),46085.99861111111)</f>
        <v>46085.99861</v>
      </c>
      <c r="D3863" s="433">
        <f>IFERROR(__xludf.DUMMYFUNCTION("""COMPUTED_VALUE"""),1982.8788)</f>
        <v>1982.8788</v>
      </c>
    </row>
    <row r="3864">
      <c r="C3864" s="434">
        <f>IFERROR(__xludf.DUMMYFUNCTION("""COMPUTED_VALUE"""),46086.99861111111)</f>
        <v>46086.99861</v>
      </c>
      <c r="D3864" s="433">
        <f>IFERROR(__xludf.DUMMYFUNCTION("""COMPUTED_VALUE"""),2128.6384)</f>
        <v>2128.6384</v>
      </c>
    </row>
    <row r="3865">
      <c r="C3865" s="434">
        <f>IFERROR(__xludf.DUMMYFUNCTION("""COMPUTED_VALUE"""),46087.99861111111)</f>
        <v>46087.99861</v>
      </c>
      <c r="D3865" s="433">
        <f>IFERROR(__xludf.DUMMYFUNCTION("""COMPUTED_VALUE"""),2072.831)</f>
        <v>2072.831</v>
      </c>
    </row>
    <row r="3866">
      <c r="C3866" s="434">
        <f>IFERROR(__xludf.DUMMYFUNCTION("""COMPUTED_VALUE"""),46088.99861111111)</f>
        <v>46088.99861</v>
      </c>
      <c r="D3866" s="433">
        <f>IFERROR(__xludf.DUMMYFUNCTION("""COMPUTED_VALUE"""),1978.5303)</f>
        <v>1978.5303</v>
      </c>
    </row>
    <row r="3867">
      <c r="C3867" s="434">
        <f>IFERROR(__xludf.DUMMYFUNCTION("""COMPUTED_VALUE"""),46089.99861111111)</f>
        <v>46089.99861</v>
      </c>
      <c r="D3867" s="433">
        <f>IFERROR(__xludf.DUMMYFUNCTION("""COMPUTED_VALUE"""),1969.2655)</f>
        <v>1969.2655</v>
      </c>
    </row>
    <row r="3868">
      <c r="C3868" s="434">
        <f>IFERROR(__xludf.DUMMYFUNCTION("""COMPUTED_VALUE"""),46090.99861111111)</f>
        <v>46090.99861</v>
      </c>
      <c r="D3868" s="433">
        <f>IFERROR(__xludf.DUMMYFUNCTION("""COMPUTED_VALUE"""),1937.1028)</f>
        <v>1937.1028</v>
      </c>
    </row>
    <row r="3869">
      <c r="C3869" s="434">
        <f>IFERROR(__xludf.DUMMYFUNCTION("""COMPUTED_VALUE"""),46091.99861111111)</f>
        <v>46091.99861</v>
      </c>
      <c r="D3869" s="433">
        <f>IFERROR(__xludf.DUMMYFUNCTION("""COMPUTED_VALUE"""),1994.3333)</f>
        <v>1994.3333</v>
      </c>
    </row>
    <row r="3870">
      <c r="C3870" s="434">
        <f>IFERROR(__xludf.DUMMYFUNCTION("""COMPUTED_VALUE"""),46092.99861111111)</f>
        <v>46092.99861</v>
      </c>
      <c r="D3870" s="433">
        <f>IFERROR(__xludf.DUMMYFUNCTION("""COMPUTED_VALUE"""),2037.1301)</f>
        <v>2037.1301</v>
      </c>
    </row>
    <row r="3871">
      <c r="C3871" s="434">
        <f>IFERROR(__xludf.DUMMYFUNCTION("""COMPUTED_VALUE"""),46093.99861111111)</f>
        <v>46093.99861</v>
      </c>
      <c r="D3871" s="433">
        <f>IFERROR(__xludf.DUMMYFUNCTION("""COMPUTED_VALUE"""),2052.3809)</f>
        <v>2052.3809</v>
      </c>
    </row>
    <row r="3872">
      <c r="C3872" s="434">
        <f>IFERROR(__xludf.DUMMYFUNCTION("""COMPUTED_VALUE"""),46094.99861111111)</f>
        <v>46094.99861</v>
      </c>
      <c r="D3872" s="433">
        <f>IFERROR(__xludf.DUMMYFUNCTION("""COMPUTED_VALUE"""),2092.5584)</f>
        <v>2092.5584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3.63"/>
  </cols>
  <sheetData>
    <row r="1">
      <c r="A1" s="435" t="s">
        <v>71</v>
      </c>
      <c r="B1" s="435" t="s">
        <v>391</v>
      </c>
      <c r="H1" s="435" t="s">
        <v>392</v>
      </c>
      <c r="I1" s="436">
        <v>1944.0</v>
      </c>
      <c r="K1" s="437"/>
    </row>
    <row r="2">
      <c r="A2" s="438">
        <v>45732.0</v>
      </c>
      <c r="B2" s="439">
        <v>29370.0</v>
      </c>
      <c r="C2" s="440"/>
      <c r="H2" s="435" t="s">
        <v>393</v>
      </c>
      <c r="I2" s="436">
        <v>31435.0</v>
      </c>
      <c r="K2" s="431" t="s">
        <v>394</v>
      </c>
      <c r="L2" s="431">
        <v>13101.0</v>
      </c>
      <c r="N2" s="431" t="s">
        <v>395</v>
      </c>
    </row>
    <row r="3">
      <c r="A3" s="438">
        <v>45739.0</v>
      </c>
      <c r="B3" s="439">
        <v>30982.0</v>
      </c>
      <c r="C3" s="440"/>
      <c r="H3" s="435" t="s">
        <v>396</v>
      </c>
      <c r="I3" s="436"/>
      <c r="K3" s="431" t="s">
        <v>4</v>
      </c>
      <c r="N3" s="431">
        <v>1848.0</v>
      </c>
    </row>
    <row r="4">
      <c r="A4" s="438">
        <v>45746.0</v>
      </c>
      <c r="B4" s="439">
        <v>30281.0</v>
      </c>
      <c r="C4" s="440"/>
      <c r="H4" s="435" t="s">
        <v>397</v>
      </c>
      <c r="I4" s="436"/>
      <c r="K4" s="431" t="s">
        <v>3</v>
      </c>
    </row>
    <row r="5">
      <c r="A5" s="438">
        <v>45761.0</v>
      </c>
      <c r="B5" s="439">
        <v>30790.0</v>
      </c>
      <c r="C5" s="440"/>
      <c r="H5" s="435" t="s">
        <v>398</v>
      </c>
      <c r="I5" s="441">
        <v>69.47</v>
      </c>
      <c r="K5" s="431" t="s">
        <v>6</v>
      </c>
      <c r="L5" s="442">
        <v>10328.0</v>
      </c>
    </row>
    <row r="6">
      <c r="A6" s="438">
        <v>45766.0</v>
      </c>
      <c r="B6" s="439">
        <v>31204.0</v>
      </c>
      <c r="C6" s="440"/>
      <c r="H6" s="435" t="s">
        <v>399</v>
      </c>
      <c r="I6" s="441">
        <v>41.0</v>
      </c>
      <c r="K6" s="431" t="s">
        <v>5</v>
      </c>
    </row>
    <row r="7">
      <c r="A7" s="438">
        <v>45774.0</v>
      </c>
      <c r="B7" s="439">
        <v>34772.0</v>
      </c>
      <c r="C7" s="440"/>
      <c r="H7" s="431" t="s">
        <v>236</v>
      </c>
      <c r="I7" s="443">
        <f>SUM(I1:I6)</f>
        <v>33489.47</v>
      </c>
      <c r="K7" s="431" t="s">
        <v>400</v>
      </c>
      <c r="L7" s="431"/>
    </row>
    <row r="8">
      <c r="A8" s="438">
        <v>45782.0</v>
      </c>
      <c r="B8" s="439">
        <v>34316.0</v>
      </c>
      <c r="C8" s="440"/>
    </row>
    <row r="9">
      <c r="A9" s="438">
        <v>45788.0</v>
      </c>
      <c r="B9" s="439">
        <v>39288.0</v>
      </c>
      <c r="C9" s="440"/>
    </row>
    <row r="10">
      <c r="A10" s="438">
        <v>45794.0</v>
      </c>
      <c r="B10" s="439">
        <v>38046.0</v>
      </c>
      <c r="C10" s="440"/>
    </row>
    <row r="11">
      <c r="A11" s="438">
        <v>45802.0</v>
      </c>
      <c r="B11" s="439">
        <v>37693.0</v>
      </c>
      <c r="C11" s="440"/>
    </row>
    <row r="12">
      <c r="A12" s="438">
        <v>45816.0</v>
      </c>
      <c r="B12" s="439">
        <v>37158.0</v>
      </c>
      <c r="C12" s="440"/>
    </row>
    <row r="13">
      <c r="A13" s="438">
        <v>45830.0</v>
      </c>
      <c r="B13" s="439">
        <v>33000.0</v>
      </c>
      <c r="C13" s="440"/>
    </row>
    <row r="14">
      <c r="A14" s="438">
        <v>45858.0</v>
      </c>
      <c r="B14" s="439">
        <v>40902.0</v>
      </c>
      <c r="C14" s="440"/>
    </row>
    <row r="15">
      <c r="A15" s="438">
        <v>45865.0</v>
      </c>
      <c r="B15" s="439">
        <v>39274.0</v>
      </c>
      <c r="C15" s="440"/>
    </row>
    <row r="16">
      <c r="A16" s="438">
        <v>45876.0</v>
      </c>
      <c r="B16" s="439">
        <v>41686.0</v>
      </c>
      <c r="C16" s="440"/>
    </row>
    <row r="17">
      <c r="A17" s="444">
        <v>45886.0</v>
      </c>
      <c r="B17" s="439">
        <v>44304.0</v>
      </c>
      <c r="C17" s="440"/>
    </row>
    <row r="18">
      <c r="A18" s="438">
        <v>45912.0</v>
      </c>
      <c r="B18" s="439">
        <v>48340.0</v>
      </c>
      <c r="C18" s="440"/>
    </row>
    <row r="19">
      <c r="A19" s="444">
        <v>45921.0</v>
      </c>
      <c r="B19" s="439">
        <v>41687.0</v>
      </c>
      <c r="C19" s="440"/>
    </row>
    <row r="20">
      <c r="A20" s="444">
        <v>45928.0</v>
      </c>
      <c r="B20" s="439">
        <v>37722.0</v>
      </c>
      <c r="C20" s="440"/>
    </row>
    <row r="21">
      <c r="A21" s="438">
        <v>45935.0</v>
      </c>
      <c r="B21" s="439">
        <v>40490.0</v>
      </c>
      <c r="C21" s="440"/>
    </row>
    <row r="22">
      <c r="A22" s="444">
        <v>45943.0</v>
      </c>
      <c r="B22" s="439">
        <v>36255.0</v>
      </c>
      <c r="C22" s="440"/>
    </row>
    <row r="23">
      <c r="A23" s="444">
        <v>45949.0</v>
      </c>
      <c r="B23" s="439">
        <v>36372.0</v>
      </c>
      <c r="C23" s="440"/>
    </row>
    <row r="24">
      <c r="A24" s="444">
        <v>45956.0</v>
      </c>
      <c r="B24" s="439">
        <v>36519.0</v>
      </c>
      <c r="C24" s="440"/>
    </row>
    <row r="25">
      <c r="A25" s="438">
        <v>45963.0</v>
      </c>
      <c r="B25" s="439">
        <v>36806.0</v>
      </c>
      <c r="C25" s="440"/>
    </row>
    <row r="26">
      <c r="A26" s="438">
        <v>45970.0</v>
      </c>
      <c r="B26" s="439">
        <v>37036.05</v>
      </c>
      <c r="C26" s="445"/>
    </row>
    <row r="27">
      <c r="A27" s="444">
        <v>45979.0</v>
      </c>
      <c r="B27" s="439">
        <v>37146.05</v>
      </c>
      <c r="C27" s="445"/>
    </row>
    <row r="28">
      <c r="A28" s="444">
        <v>45990.0</v>
      </c>
      <c r="B28" s="439">
        <v>37034.0</v>
      </c>
      <c r="C28" s="445"/>
    </row>
    <row r="29">
      <c r="A29" s="438">
        <v>45998.0</v>
      </c>
      <c r="B29" s="439">
        <v>36756.0</v>
      </c>
      <c r="C29" s="445"/>
    </row>
    <row r="30">
      <c r="A30" s="438">
        <v>45999.0</v>
      </c>
      <c r="B30" s="439">
        <v>36057.0</v>
      </c>
      <c r="C30" s="445"/>
    </row>
    <row r="31">
      <c r="A31" s="438">
        <v>46024.0</v>
      </c>
      <c r="B31" s="439">
        <v>36133.47</v>
      </c>
      <c r="C31" s="445"/>
    </row>
    <row r="32">
      <c r="A32" s="438">
        <v>46050.0</v>
      </c>
      <c r="B32" s="439">
        <v>33489.0</v>
      </c>
      <c r="C32" s="445"/>
    </row>
    <row r="33">
      <c r="A33" s="446"/>
      <c r="B33" s="447"/>
      <c r="C33" s="445"/>
    </row>
    <row r="34">
      <c r="A34" s="446"/>
      <c r="B34" s="447"/>
      <c r="C34" s="445"/>
    </row>
    <row r="35">
      <c r="A35" s="446"/>
      <c r="B35" s="447"/>
      <c r="C35" s="445"/>
    </row>
    <row r="36">
      <c r="A36" s="446"/>
      <c r="B36" s="447"/>
      <c r="C36" s="445"/>
    </row>
    <row r="37">
      <c r="A37" s="446"/>
      <c r="B37" s="447"/>
      <c r="C37" s="445"/>
    </row>
    <row r="38">
      <c r="A38" s="446"/>
      <c r="B38" s="447"/>
      <c r="C38" s="445"/>
    </row>
    <row r="39">
      <c r="A39" s="446"/>
      <c r="B39" s="447"/>
      <c r="C39" s="445"/>
    </row>
    <row r="40">
      <c r="A40" s="446"/>
      <c r="B40" s="447"/>
      <c r="C40" s="445"/>
    </row>
    <row r="41">
      <c r="A41" s="446"/>
      <c r="B41" s="447"/>
      <c r="C41" s="445"/>
    </row>
    <row r="42">
      <c r="A42" s="446"/>
      <c r="B42" s="447"/>
      <c r="C42" s="445"/>
    </row>
    <row r="43">
      <c r="A43" s="446"/>
      <c r="B43" s="447"/>
      <c r="C43" s="445"/>
    </row>
    <row r="44">
      <c r="A44" s="446"/>
      <c r="B44" s="447"/>
      <c r="C44" s="445"/>
    </row>
    <row r="45">
      <c r="A45" s="448"/>
      <c r="B45" s="449"/>
      <c r="C45" s="450"/>
    </row>
    <row r="46">
      <c r="A46" s="448"/>
      <c r="B46" s="449"/>
      <c r="C46" s="450"/>
    </row>
    <row r="47">
      <c r="A47" s="448"/>
      <c r="B47" s="449"/>
      <c r="C47" s="450"/>
    </row>
    <row r="48">
      <c r="A48" s="448"/>
      <c r="B48" s="449"/>
      <c r="C48" s="450"/>
    </row>
    <row r="49">
      <c r="A49" s="448"/>
      <c r="B49" s="449"/>
      <c r="C49" s="450"/>
    </row>
    <row r="50">
      <c r="A50" s="448"/>
      <c r="B50" s="449"/>
      <c r="C50" s="450"/>
    </row>
    <row r="51">
      <c r="A51" s="448"/>
      <c r="B51" s="449"/>
      <c r="C51" s="450"/>
    </row>
    <row r="52">
      <c r="A52" s="448"/>
      <c r="B52" s="449"/>
      <c r="C52" s="450"/>
    </row>
    <row r="53">
      <c r="A53" s="448"/>
      <c r="B53" s="449"/>
      <c r="C53" s="450"/>
    </row>
    <row r="54">
      <c r="A54" s="448"/>
      <c r="B54" s="449"/>
      <c r="C54" s="450"/>
    </row>
    <row r="55">
      <c r="A55" s="448"/>
      <c r="B55" s="449"/>
      <c r="C55" s="450"/>
    </row>
    <row r="56">
      <c r="A56" s="448"/>
      <c r="B56" s="449"/>
      <c r="C56" s="450"/>
    </row>
    <row r="57">
      <c r="A57" s="448"/>
      <c r="B57" s="448"/>
      <c r="C57" s="448"/>
    </row>
    <row r="58">
      <c r="A58" s="448"/>
      <c r="B58" s="448"/>
      <c r="C58" s="448"/>
    </row>
    <row r="59">
      <c r="A59" s="448"/>
      <c r="B59" s="448"/>
      <c r="C59" s="448"/>
    </row>
    <row r="60">
      <c r="A60" s="448"/>
      <c r="B60" s="448"/>
      <c r="C60" s="448"/>
    </row>
    <row r="61">
      <c r="A61" s="448"/>
      <c r="B61" s="448"/>
      <c r="C61" s="448"/>
    </row>
    <row r="62">
      <c r="A62" s="448"/>
      <c r="B62" s="448"/>
      <c r="C62" s="448"/>
    </row>
    <row r="63">
      <c r="A63" s="448"/>
      <c r="B63" s="448"/>
      <c r="C63" s="448"/>
    </row>
    <row r="64">
      <c r="A64" s="448"/>
      <c r="B64" s="448"/>
      <c r="C64" s="448"/>
    </row>
    <row r="65">
      <c r="A65" s="448"/>
      <c r="B65" s="448"/>
      <c r="C65" s="448"/>
    </row>
    <row r="66">
      <c r="A66" s="448"/>
      <c r="B66" s="448"/>
      <c r="C66" s="448"/>
    </row>
    <row r="67">
      <c r="A67" s="448"/>
      <c r="B67" s="448"/>
      <c r="C67" s="448"/>
    </row>
    <row r="68">
      <c r="A68" s="448"/>
      <c r="B68" s="448"/>
      <c r="C68" s="448"/>
    </row>
    <row r="69">
      <c r="A69" s="448"/>
      <c r="B69" s="448"/>
      <c r="C69" s="448"/>
    </row>
    <row r="70">
      <c r="A70" s="448"/>
      <c r="B70" s="448"/>
      <c r="C70" s="448"/>
    </row>
    <row r="71">
      <c r="A71" s="448"/>
      <c r="B71" s="448"/>
      <c r="C71" s="448"/>
    </row>
    <row r="72">
      <c r="A72" s="448"/>
      <c r="B72" s="448"/>
      <c r="C72" s="448"/>
    </row>
    <row r="73">
      <c r="A73" s="448"/>
      <c r="B73" s="448"/>
      <c r="C73" s="448"/>
    </row>
    <row r="74">
      <c r="A74" s="448"/>
      <c r="B74" s="448"/>
      <c r="C74" s="448"/>
    </row>
    <row r="75">
      <c r="A75" s="448"/>
      <c r="B75" s="448"/>
      <c r="C75" s="448"/>
    </row>
    <row r="76">
      <c r="A76" s="448"/>
      <c r="B76" s="448"/>
      <c r="C76" s="448"/>
    </row>
    <row r="77">
      <c r="A77" s="448"/>
      <c r="B77" s="448"/>
      <c r="C77" s="448"/>
    </row>
    <row r="78">
      <c r="A78" s="448"/>
      <c r="B78" s="448"/>
      <c r="C78" s="448"/>
    </row>
    <row r="79">
      <c r="A79" s="448"/>
      <c r="B79" s="448"/>
      <c r="C79" s="448"/>
    </row>
    <row r="80">
      <c r="A80" s="448"/>
      <c r="B80" s="448"/>
      <c r="C80" s="448"/>
    </row>
    <row r="81">
      <c r="A81" s="448"/>
      <c r="B81" s="448"/>
      <c r="C81" s="448"/>
    </row>
    <row r="82">
      <c r="A82" s="448"/>
      <c r="B82" s="448"/>
      <c r="C82" s="448"/>
    </row>
    <row r="83">
      <c r="A83" s="448"/>
      <c r="B83" s="448"/>
      <c r="C83" s="448"/>
    </row>
    <row r="84">
      <c r="A84" s="448"/>
      <c r="B84" s="448"/>
      <c r="C84" s="448"/>
    </row>
    <row r="85">
      <c r="A85" s="448"/>
      <c r="B85" s="448"/>
      <c r="C85" s="448"/>
    </row>
    <row r="86">
      <c r="A86" s="448"/>
      <c r="B86" s="448"/>
      <c r="C86" s="448"/>
    </row>
    <row r="87">
      <c r="A87" s="448"/>
      <c r="B87" s="448"/>
      <c r="C87" s="448"/>
    </row>
    <row r="88">
      <c r="A88" s="448"/>
      <c r="B88" s="448"/>
      <c r="C88" s="448"/>
    </row>
    <row r="89">
      <c r="A89" s="448"/>
      <c r="B89" s="448"/>
      <c r="C89" s="448"/>
    </row>
    <row r="90">
      <c r="A90" s="448"/>
      <c r="B90" s="448"/>
      <c r="C90" s="448"/>
    </row>
    <row r="91">
      <c r="A91" s="448"/>
      <c r="B91" s="448"/>
      <c r="C91" s="448"/>
    </row>
    <row r="92">
      <c r="A92" s="448"/>
      <c r="B92" s="448"/>
      <c r="C92" s="448"/>
    </row>
    <row r="93">
      <c r="A93" s="448"/>
      <c r="B93" s="448"/>
      <c r="C93" s="448"/>
    </row>
    <row r="94">
      <c r="A94" s="448"/>
      <c r="B94" s="448"/>
      <c r="C94" s="448"/>
    </row>
    <row r="95">
      <c r="A95" s="448"/>
      <c r="B95" s="448"/>
      <c r="C95" s="448"/>
    </row>
    <row r="96">
      <c r="A96" s="448"/>
      <c r="B96" s="448"/>
      <c r="C96" s="448"/>
    </row>
    <row r="97">
      <c r="A97" s="448"/>
      <c r="B97" s="448"/>
      <c r="C97" s="448"/>
    </row>
    <row r="98">
      <c r="A98" s="448"/>
      <c r="B98" s="448"/>
      <c r="C98" s="448"/>
    </row>
    <row r="99">
      <c r="A99" s="448"/>
      <c r="B99" s="448"/>
      <c r="C99" s="448"/>
    </row>
    <row r="100">
      <c r="A100" s="448"/>
      <c r="B100" s="448"/>
      <c r="C100" s="448"/>
    </row>
    <row r="101">
      <c r="A101" s="448"/>
      <c r="B101" s="448"/>
      <c r="C101" s="448"/>
    </row>
    <row r="102">
      <c r="A102" s="448"/>
      <c r="B102" s="448"/>
      <c r="C102" s="448"/>
    </row>
    <row r="103">
      <c r="A103" s="448"/>
      <c r="B103" s="448"/>
      <c r="C103" s="448"/>
    </row>
    <row r="104">
      <c r="A104" s="448"/>
      <c r="B104" s="448"/>
      <c r="C104" s="448"/>
    </row>
    <row r="105">
      <c r="A105" s="448"/>
      <c r="B105" s="448"/>
      <c r="C105" s="448"/>
    </row>
    <row r="106">
      <c r="A106" s="448"/>
      <c r="B106" s="448"/>
      <c r="C106" s="448"/>
    </row>
    <row r="107">
      <c r="A107" s="448"/>
      <c r="B107" s="448"/>
      <c r="C107" s="448"/>
    </row>
    <row r="108">
      <c r="A108" s="448"/>
      <c r="B108" s="448"/>
      <c r="C108" s="448"/>
    </row>
    <row r="109">
      <c r="A109" s="448"/>
      <c r="B109" s="448"/>
      <c r="C109" s="448"/>
    </row>
    <row r="110">
      <c r="A110" s="448"/>
      <c r="B110" s="448"/>
      <c r="C110" s="448"/>
    </row>
    <row r="111">
      <c r="A111" s="448"/>
      <c r="B111" s="448"/>
      <c r="C111" s="448"/>
    </row>
    <row r="112">
      <c r="A112" s="448"/>
      <c r="B112" s="448"/>
      <c r="C112" s="448"/>
    </row>
    <row r="113">
      <c r="A113" s="448"/>
      <c r="B113" s="448"/>
      <c r="C113" s="448"/>
    </row>
    <row r="114">
      <c r="A114" s="448"/>
      <c r="B114" s="448"/>
      <c r="C114" s="448"/>
    </row>
    <row r="115">
      <c r="A115" s="448"/>
      <c r="B115" s="448"/>
      <c r="C115" s="448"/>
    </row>
    <row r="116">
      <c r="A116" s="448"/>
      <c r="B116" s="448"/>
      <c r="C116" s="448"/>
    </row>
    <row r="117">
      <c r="A117" s="448"/>
      <c r="B117" s="448"/>
      <c r="C117" s="448"/>
    </row>
    <row r="118">
      <c r="A118" s="448"/>
      <c r="B118" s="448"/>
      <c r="C118" s="448"/>
    </row>
    <row r="119">
      <c r="A119" s="448"/>
      <c r="B119" s="448"/>
      <c r="C119" s="448"/>
    </row>
    <row r="120">
      <c r="A120" s="448"/>
      <c r="B120" s="448"/>
      <c r="C120" s="448"/>
    </row>
    <row r="121">
      <c r="A121" s="448"/>
      <c r="B121" s="448"/>
      <c r="C121" s="448"/>
    </row>
    <row r="122">
      <c r="A122" s="448"/>
      <c r="B122" s="448"/>
      <c r="C122" s="448"/>
    </row>
    <row r="123">
      <c r="A123" s="448"/>
      <c r="B123" s="448"/>
      <c r="C123" s="448"/>
    </row>
    <row r="124">
      <c r="A124" s="448"/>
      <c r="B124" s="448"/>
      <c r="C124" s="448"/>
    </row>
    <row r="125">
      <c r="A125" s="448"/>
      <c r="B125" s="448"/>
      <c r="C125" s="448"/>
    </row>
    <row r="126">
      <c r="A126" s="448"/>
      <c r="B126" s="448"/>
      <c r="C126" s="448"/>
    </row>
    <row r="127">
      <c r="A127" s="448"/>
      <c r="B127" s="448"/>
      <c r="C127" s="448"/>
    </row>
    <row r="128">
      <c r="A128" s="448"/>
      <c r="B128" s="448"/>
      <c r="C128" s="448"/>
    </row>
    <row r="129">
      <c r="A129" s="448"/>
      <c r="B129" s="448"/>
      <c r="C129" s="448"/>
    </row>
    <row r="130">
      <c r="A130" s="448"/>
      <c r="B130" s="448"/>
      <c r="C130" s="448"/>
    </row>
    <row r="131">
      <c r="A131" s="448"/>
      <c r="B131" s="448"/>
      <c r="C131" s="448"/>
    </row>
    <row r="132">
      <c r="A132" s="448"/>
      <c r="B132" s="448"/>
      <c r="C132" s="448"/>
    </row>
    <row r="133">
      <c r="A133" s="448"/>
      <c r="B133" s="448"/>
      <c r="C133" s="448"/>
    </row>
    <row r="134">
      <c r="A134" s="448"/>
      <c r="B134" s="448"/>
      <c r="C134" s="448"/>
    </row>
    <row r="135">
      <c r="A135" s="448"/>
      <c r="B135" s="448"/>
      <c r="C135" s="448"/>
    </row>
    <row r="136">
      <c r="A136" s="448"/>
      <c r="B136" s="448"/>
      <c r="C136" s="448"/>
    </row>
    <row r="137">
      <c r="A137" s="448"/>
      <c r="B137" s="448"/>
      <c r="C137" s="448"/>
    </row>
    <row r="138">
      <c r="A138" s="448"/>
      <c r="B138" s="448"/>
      <c r="C138" s="448"/>
    </row>
    <row r="139">
      <c r="A139" s="448"/>
      <c r="B139" s="448"/>
      <c r="C139" s="448"/>
    </row>
    <row r="140">
      <c r="A140" s="448"/>
      <c r="B140" s="448"/>
      <c r="C140" s="448"/>
    </row>
    <row r="141">
      <c r="A141" s="448"/>
      <c r="B141" s="448"/>
      <c r="C141" s="448"/>
    </row>
    <row r="142">
      <c r="A142" s="448"/>
      <c r="B142" s="448"/>
      <c r="C142" s="448"/>
    </row>
    <row r="143">
      <c r="A143" s="448"/>
      <c r="B143" s="448"/>
      <c r="C143" s="448"/>
    </row>
    <row r="144">
      <c r="A144" s="448"/>
      <c r="B144" s="448"/>
      <c r="C144" s="448"/>
    </row>
    <row r="145">
      <c r="A145" s="448"/>
      <c r="B145" s="448"/>
      <c r="C145" s="448"/>
    </row>
    <row r="146">
      <c r="A146" s="448"/>
      <c r="B146" s="448"/>
      <c r="C146" s="448"/>
    </row>
    <row r="147">
      <c r="A147" s="448"/>
      <c r="B147" s="448"/>
      <c r="C147" s="448"/>
    </row>
    <row r="148">
      <c r="A148" s="448"/>
      <c r="B148" s="448"/>
      <c r="C148" s="448"/>
    </row>
    <row r="149">
      <c r="A149" s="448"/>
      <c r="B149" s="448"/>
      <c r="C149" s="448"/>
    </row>
    <row r="150">
      <c r="A150" s="448"/>
      <c r="B150" s="448"/>
      <c r="C150" s="448"/>
    </row>
    <row r="151">
      <c r="A151" s="448"/>
      <c r="B151" s="448"/>
      <c r="C151" s="448"/>
    </row>
    <row r="152">
      <c r="A152" s="448"/>
      <c r="B152" s="448"/>
      <c r="C152" s="448"/>
    </row>
    <row r="153">
      <c r="A153" s="448"/>
      <c r="B153" s="448"/>
      <c r="C153" s="448"/>
    </row>
    <row r="154">
      <c r="A154" s="448"/>
      <c r="B154" s="448"/>
      <c r="C154" s="448"/>
    </row>
    <row r="155">
      <c r="A155" s="448"/>
      <c r="B155" s="448"/>
      <c r="C155" s="448"/>
    </row>
    <row r="156">
      <c r="A156" s="448"/>
      <c r="B156" s="448"/>
      <c r="C156" s="448"/>
    </row>
    <row r="157">
      <c r="A157" s="448"/>
      <c r="B157" s="448"/>
      <c r="C157" s="448"/>
    </row>
    <row r="158">
      <c r="A158" s="448"/>
      <c r="B158" s="448"/>
      <c r="C158" s="448"/>
    </row>
    <row r="159">
      <c r="A159" s="448"/>
      <c r="B159" s="448"/>
      <c r="C159" s="448"/>
    </row>
    <row r="160">
      <c r="A160" s="448"/>
      <c r="B160" s="448"/>
      <c r="C160" s="448"/>
    </row>
    <row r="161">
      <c r="A161" s="448"/>
      <c r="B161" s="448"/>
      <c r="C161" s="448"/>
    </row>
    <row r="162">
      <c r="A162" s="448"/>
      <c r="B162" s="448"/>
      <c r="C162" s="448"/>
    </row>
    <row r="163">
      <c r="A163" s="448"/>
      <c r="B163" s="448"/>
      <c r="C163" s="448"/>
    </row>
    <row r="164">
      <c r="A164" s="448"/>
      <c r="B164" s="448"/>
      <c r="C164" s="448"/>
    </row>
    <row r="165">
      <c r="A165" s="448"/>
      <c r="B165" s="448"/>
      <c r="C165" s="448"/>
    </row>
    <row r="166">
      <c r="A166" s="448"/>
      <c r="B166" s="448"/>
      <c r="C166" s="448"/>
    </row>
    <row r="167">
      <c r="A167" s="448"/>
      <c r="B167" s="448"/>
      <c r="C167" s="448"/>
    </row>
    <row r="168">
      <c r="A168" s="448"/>
      <c r="B168" s="448"/>
      <c r="C168" s="448"/>
    </row>
    <row r="169">
      <c r="A169" s="448"/>
      <c r="B169" s="448"/>
      <c r="C169" s="448"/>
    </row>
    <row r="170">
      <c r="A170" s="448"/>
      <c r="B170" s="448"/>
      <c r="C170" s="448"/>
    </row>
    <row r="171">
      <c r="A171" s="448"/>
      <c r="B171" s="448"/>
      <c r="C171" s="448"/>
    </row>
    <row r="172">
      <c r="A172" s="448"/>
      <c r="B172" s="448"/>
      <c r="C172" s="448"/>
    </row>
    <row r="173">
      <c r="A173" s="448"/>
      <c r="B173" s="448"/>
      <c r="C173" s="448"/>
    </row>
    <row r="174">
      <c r="A174" s="448"/>
      <c r="B174" s="448"/>
      <c r="C174" s="448"/>
    </row>
    <row r="175">
      <c r="A175" s="448"/>
      <c r="B175" s="448"/>
      <c r="C175" s="448"/>
    </row>
    <row r="176">
      <c r="A176" s="448"/>
      <c r="B176" s="448"/>
      <c r="C176" s="448"/>
    </row>
    <row r="177">
      <c r="A177" s="448"/>
      <c r="B177" s="448"/>
      <c r="C177" s="448"/>
    </row>
    <row r="178">
      <c r="A178" s="448"/>
      <c r="B178" s="448"/>
      <c r="C178" s="448"/>
    </row>
    <row r="179">
      <c r="A179" s="448"/>
      <c r="B179" s="448"/>
      <c r="C179" s="448"/>
    </row>
    <row r="180">
      <c r="A180" s="448"/>
      <c r="B180" s="448"/>
      <c r="C180" s="448"/>
    </row>
    <row r="181">
      <c r="A181" s="448"/>
      <c r="B181" s="448"/>
      <c r="C181" s="448"/>
    </row>
    <row r="182">
      <c r="A182" s="448"/>
      <c r="B182" s="448"/>
      <c r="C182" s="448"/>
    </row>
    <row r="183">
      <c r="A183" s="448"/>
      <c r="B183" s="448"/>
      <c r="C183" s="448"/>
    </row>
    <row r="184">
      <c r="A184" s="448"/>
      <c r="B184" s="448"/>
      <c r="C184" s="448"/>
    </row>
    <row r="185">
      <c r="A185" s="448"/>
      <c r="B185" s="448"/>
      <c r="C185" s="448"/>
    </row>
    <row r="186">
      <c r="A186" s="448"/>
      <c r="B186" s="448"/>
      <c r="C186" s="448"/>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17.5"/>
    <col customWidth="1" min="3" max="3" width="9.63"/>
    <col customWidth="1" min="4" max="4" width="27.88"/>
    <col customWidth="1" min="5" max="5" width="6.88"/>
    <col customWidth="1" min="7" max="7" width="11.63"/>
    <col customWidth="1" min="8" max="8" width="11.13"/>
    <col customWidth="1" min="9" max="9" width="10.63"/>
    <col customWidth="1" min="10" max="10" width="11.5"/>
  </cols>
  <sheetData>
    <row r="1">
      <c r="A1" s="451"/>
      <c r="B1" s="452"/>
      <c r="C1" s="225"/>
      <c r="D1" s="225"/>
      <c r="E1" s="453" t="s">
        <v>401</v>
      </c>
      <c r="F1" s="454" t="s">
        <v>402</v>
      </c>
      <c r="G1" s="454" t="s">
        <v>403</v>
      </c>
      <c r="H1" s="454" t="s">
        <v>404</v>
      </c>
      <c r="I1" s="454" t="s">
        <v>405</v>
      </c>
      <c r="J1" s="454" t="s">
        <v>406</v>
      </c>
      <c r="K1" s="454" t="s">
        <v>407</v>
      </c>
      <c r="L1" s="225"/>
      <c r="M1" s="225"/>
      <c r="N1" s="225"/>
      <c r="O1" s="225"/>
      <c r="P1" s="225"/>
      <c r="Q1" s="225"/>
      <c r="R1" s="225"/>
      <c r="S1" s="225"/>
      <c r="T1" s="225"/>
      <c r="U1" s="225"/>
      <c r="V1" s="225"/>
      <c r="W1" s="225"/>
      <c r="X1" s="225"/>
      <c r="Y1" s="225"/>
      <c r="Z1" s="225"/>
    </row>
    <row r="2">
      <c r="A2" s="455"/>
      <c r="B2" s="456"/>
      <c r="C2" s="225"/>
      <c r="D2" s="225"/>
      <c r="E2" s="457" t="s">
        <v>6</v>
      </c>
      <c r="F2" s="458">
        <f>COUNTA(E13:E17,E24:E28,E35:E39)</f>
        <v>12</v>
      </c>
      <c r="G2" s="458">
        <v>0.0</v>
      </c>
      <c r="H2" s="458">
        <v>0.0</v>
      </c>
      <c r="I2" s="459">
        <f>(15/COUNTA(E13:E17,E24:E28,E35:E39))*((H2/COS(RADIANS(30)))+(F2*TAN(RADIANS(30))))</f>
        <v>8.660254038</v>
      </c>
      <c r="J2" s="459">
        <f>(15/COUNTA(E13:E17,E24:E28,E35:E39))*F2</f>
        <v>15</v>
      </c>
      <c r="K2" s="460">
        <f>F5/(COUNTA(E13:E17,E24:E28,E35:E39))</f>
        <v>0.4166666667</v>
      </c>
      <c r="L2" s="461"/>
      <c r="M2" s="461"/>
      <c r="N2" s="461"/>
      <c r="O2" s="225"/>
      <c r="P2" s="225"/>
      <c r="Q2" s="225"/>
      <c r="R2" s="225"/>
      <c r="S2" s="225"/>
      <c r="T2" s="225"/>
      <c r="U2" s="225"/>
      <c r="V2" s="225"/>
      <c r="W2" s="225"/>
      <c r="X2" s="225"/>
      <c r="Y2" s="225"/>
      <c r="Z2" s="225"/>
    </row>
    <row r="3">
      <c r="A3" s="462"/>
      <c r="B3" s="461"/>
      <c r="C3" s="225"/>
      <c r="D3" s="225"/>
      <c r="E3" s="457" t="s">
        <v>376</v>
      </c>
      <c r="F3" s="458">
        <v>0.0</v>
      </c>
      <c r="G3" s="458">
        <f>COUNTA(E13:E17,E24:E28,E35:E39)</f>
        <v>12</v>
      </c>
      <c r="H3" s="458">
        <v>0.0</v>
      </c>
      <c r="I3" s="459">
        <f>(15/COUNTA(E13:E17,E24:E28,E35:E39))*((H3/COS(RADIANS(30)))+(F3*TAN(RADIANS(30))))</f>
        <v>0</v>
      </c>
      <c r="J3" s="459">
        <f>(15/COUNTA(E13:E17,E24:E28,E35:E39))*F3</f>
        <v>0</v>
      </c>
      <c r="K3" s="460">
        <f>G5/(COUNTA(E13:E17,E24:E28,E35:E39))</f>
        <v>0.5833333333</v>
      </c>
      <c r="L3" s="461"/>
      <c r="M3" s="461"/>
      <c r="N3" s="461"/>
      <c r="O3" s="225"/>
      <c r="P3" s="225"/>
      <c r="Q3" s="225"/>
      <c r="R3" s="225"/>
      <c r="S3" s="225"/>
      <c r="T3" s="225"/>
      <c r="U3" s="225"/>
      <c r="V3" s="225"/>
      <c r="W3" s="225"/>
      <c r="X3" s="225"/>
      <c r="Y3" s="225"/>
      <c r="Z3" s="225"/>
    </row>
    <row r="4">
      <c r="A4" s="462"/>
      <c r="B4" s="456"/>
      <c r="C4" s="225"/>
      <c r="D4" s="225"/>
      <c r="E4" s="457" t="s">
        <v>4</v>
      </c>
      <c r="F4" s="458">
        <v>0.0</v>
      </c>
      <c r="G4" s="458">
        <v>0.0</v>
      </c>
      <c r="H4" s="458">
        <f>COUNTA(E13:E17,E24:E28,E35:E39)</f>
        <v>12</v>
      </c>
      <c r="I4" s="459">
        <f>(15/COUNTA(E13:E17,E24:E28,E35:E39))*((H4/COS(RADIANS(30)))+(F4*TAN(RADIANS(30))))</f>
        <v>17.32050808</v>
      </c>
      <c r="J4" s="459">
        <f>(15/COUNTA(E13:E17,E24:E28,E35:E39))*F4</f>
        <v>0</v>
      </c>
      <c r="K4" s="460">
        <f>H5/(COUNTA(E13:E17,E24:E28,E35:E39))</f>
        <v>0</v>
      </c>
      <c r="L4" s="461"/>
      <c r="M4" s="461"/>
      <c r="N4" s="461"/>
      <c r="O4" s="225"/>
      <c r="P4" s="225"/>
      <c r="Q4" s="225"/>
      <c r="R4" s="225"/>
      <c r="S4" s="225"/>
      <c r="T4" s="225"/>
      <c r="U4" s="225"/>
      <c r="V4" s="225"/>
      <c r="W4" s="225"/>
      <c r="X4" s="225"/>
      <c r="Y4" s="225"/>
      <c r="Z4" s="225"/>
    </row>
    <row r="5">
      <c r="A5" s="462"/>
      <c r="B5" s="456"/>
      <c r="C5" s="225"/>
      <c r="D5" s="225"/>
      <c r="E5" s="457" t="s">
        <v>24</v>
      </c>
      <c r="F5" s="454">
        <f>(-SUM(E13:E17)-SUM(E24:E28)+COUNTA(E13:E17,E24:E28))/2</f>
        <v>5</v>
      </c>
      <c r="G5" s="454">
        <f>(SUM(E13:E17)-SUM(E35:E39)+COUNTA(E13:E17,E35:E39))/2</f>
        <v>7</v>
      </c>
      <c r="H5" s="454">
        <f>(SUM(E24:E28)+SUM(E35:E39)+COUNTA(E24:E28,E35:E39))/2</f>
        <v>0</v>
      </c>
      <c r="I5" s="459">
        <f>(15/COUNTA(E13:E17,E24:E28,E35:E39))*((H5/COS(RADIANS(30)))+(F5*TAN(RADIANS(30))))</f>
        <v>3.608439182</v>
      </c>
      <c r="J5" s="459">
        <f>(15/COUNTA(E13:E17,E24:E28,E35:E39))*F5</f>
        <v>6.25</v>
      </c>
      <c r="K5" s="463"/>
      <c r="L5" s="461"/>
      <c r="M5" s="461"/>
      <c r="N5" s="461"/>
      <c r="O5" s="225"/>
      <c r="P5" s="225"/>
      <c r="Q5" s="225"/>
      <c r="R5" s="225"/>
      <c r="S5" s="225"/>
      <c r="T5" s="225"/>
      <c r="U5" s="225"/>
      <c r="V5" s="225"/>
      <c r="W5" s="225"/>
      <c r="X5" s="225"/>
      <c r="Y5" s="225"/>
      <c r="Z5" s="225"/>
    </row>
    <row r="6">
      <c r="A6" s="462"/>
      <c r="B6" s="456"/>
      <c r="C6" s="225"/>
      <c r="D6" s="225"/>
      <c r="E6" s="225"/>
      <c r="F6" s="225"/>
      <c r="G6" s="225"/>
      <c r="H6" s="225"/>
      <c r="I6" s="461"/>
      <c r="J6" s="461"/>
      <c r="K6" s="461"/>
      <c r="L6" s="461"/>
      <c r="M6" s="461"/>
      <c r="N6" s="461"/>
      <c r="O6" s="225"/>
      <c r="P6" s="225"/>
      <c r="Q6" s="225"/>
      <c r="R6" s="225"/>
      <c r="S6" s="225"/>
      <c r="T6" s="225"/>
      <c r="U6" s="225"/>
      <c r="V6" s="225"/>
      <c r="W6" s="225"/>
      <c r="X6" s="225"/>
      <c r="Y6" s="225"/>
      <c r="Z6" s="225"/>
    </row>
    <row r="7">
      <c r="A7" s="464"/>
      <c r="B7" s="464"/>
      <c r="C7" s="225"/>
      <c r="D7" s="225"/>
      <c r="E7" s="225"/>
      <c r="F7" s="225"/>
      <c r="G7" s="225"/>
      <c r="H7" s="225"/>
      <c r="I7" s="464"/>
      <c r="J7" s="225"/>
      <c r="K7" s="225"/>
      <c r="L7" s="126"/>
      <c r="M7" s="225"/>
      <c r="N7" s="225"/>
      <c r="O7" s="225"/>
      <c r="P7" s="225"/>
      <c r="Q7" s="225"/>
      <c r="R7" s="225"/>
      <c r="S7" s="225"/>
      <c r="T7" s="225"/>
      <c r="U7" s="225"/>
      <c r="V7" s="225"/>
      <c r="W7" s="225"/>
      <c r="X7" s="225"/>
      <c r="Y7" s="225"/>
      <c r="Z7" s="225"/>
    </row>
    <row r="8">
      <c r="A8" s="464"/>
      <c r="C8" s="225"/>
      <c r="D8" s="225"/>
      <c r="E8" s="225"/>
      <c r="F8" s="225"/>
      <c r="G8" s="225"/>
      <c r="H8" s="225"/>
      <c r="I8" s="464"/>
      <c r="J8" s="225"/>
      <c r="K8" s="225"/>
      <c r="L8" s="225"/>
      <c r="M8" s="225"/>
      <c r="N8" s="225"/>
      <c r="O8" s="225"/>
      <c r="P8" s="225"/>
      <c r="Q8" s="225"/>
      <c r="R8" s="225"/>
      <c r="S8" s="225"/>
      <c r="T8" s="225"/>
      <c r="U8" s="225"/>
      <c r="V8" s="225"/>
      <c r="W8" s="225"/>
      <c r="X8" s="225"/>
      <c r="Y8" s="225"/>
      <c r="Z8" s="225"/>
    </row>
    <row r="9">
      <c r="A9" s="456"/>
      <c r="B9" s="202"/>
      <c r="C9" s="203" t="s">
        <v>408</v>
      </c>
      <c r="D9" s="11"/>
      <c r="E9" s="12"/>
      <c r="F9" s="204"/>
      <c r="G9" s="204"/>
      <c r="H9" s="204"/>
      <c r="I9" s="465"/>
      <c r="J9" s="461"/>
      <c r="K9" s="225"/>
      <c r="L9" s="225"/>
      <c r="M9" s="225"/>
      <c r="N9" s="225"/>
      <c r="O9" s="225"/>
      <c r="P9" s="225"/>
      <c r="Q9" s="225"/>
      <c r="R9" s="225"/>
      <c r="S9" s="225"/>
      <c r="T9" s="225"/>
      <c r="U9" s="225"/>
      <c r="V9" s="225"/>
      <c r="W9" s="225"/>
      <c r="X9" s="225"/>
      <c r="Y9" s="225"/>
      <c r="Z9" s="225"/>
    </row>
    <row r="10">
      <c r="A10" s="456"/>
      <c r="B10" s="202"/>
      <c r="C10" s="204"/>
      <c r="D10" s="204"/>
      <c r="E10" s="206" t="s">
        <v>211</v>
      </c>
      <c r="F10" s="204"/>
      <c r="G10" s="225"/>
      <c r="H10" s="225"/>
      <c r="I10" s="225"/>
      <c r="J10" s="461"/>
      <c r="K10" s="225"/>
      <c r="L10" s="225"/>
      <c r="M10" s="225"/>
      <c r="N10" s="225"/>
      <c r="O10" s="225"/>
      <c r="P10" s="225"/>
      <c r="Q10" s="225"/>
      <c r="R10" s="225"/>
      <c r="S10" s="225"/>
      <c r="T10" s="225"/>
      <c r="U10" s="225"/>
      <c r="V10" s="225"/>
      <c r="W10" s="225"/>
      <c r="X10" s="225"/>
      <c r="Y10" s="225"/>
      <c r="Z10" s="225"/>
    </row>
    <row r="11">
      <c r="A11" s="456"/>
      <c r="B11" s="207" t="s">
        <v>21</v>
      </c>
      <c r="C11" s="208" t="s">
        <v>212</v>
      </c>
      <c r="D11" s="209" t="s">
        <v>23</v>
      </c>
      <c r="E11" s="209" t="s">
        <v>24</v>
      </c>
      <c r="F11" s="209" t="s">
        <v>25</v>
      </c>
      <c r="G11" s="225"/>
      <c r="H11" s="225"/>
      <c r="I11" s="225"/>
      <c r="J11" s="461"/>
      <c r="K11" s="225"/>
      <c r="L11" s="225"/>
      <c r="M11" s="225"/>
      <c r="N11" s="225"/>
      <c r="O11" s="225"/>
      <c r="P11" s="225"/>
      <c r="Q11" s="225"/>
      <c r="R11" s="225"/>
      <c r="S11" s="225"/>
      <c r="T11" s="225"/>
      <c r="U11" s="225"/>
      <c r="V11" s="225"/>
      <c r="W11" s="225"/>
      <c r="X11" s="225"/>
      <c r="Y11" s="225"/>
      <c r="Z11" s="225"/>
    </row>
    <row r="12">
      <c r="A12" s="456"/>
      <c r="B12" s="466"/>
      <c r="C12" s="212"/>
      <c r="D12" s="212"/>
      <c r="E12" s="212"/>
      <c r="F12" s="212"/>
      <c r="G12" s="204"/>
      <c r="H12" s="465"/>
      <c r="I12" s="465"/>
      <c r="J12" s="461"/>
      <c r="K12" s="225"/>
      <c r="L12" s="225"/>
      <c r="M12" s="225"/>
      <c r="N12" s="225"/>
      <c r="O12" s="225"/>
      <c r="P12" s="225"/>
      <c r="Q12" s="225"/>
      <c r="R12" s="225"/>
      <c r="S12" s="225"/>
      <c r="T12" s="225"/>
      <c r="U12" s="225"/>
      <c r="V12" s="225"/>
      <c r="W12" s="225"/>
      <c r="X12" s="225"/>
      <c r="Y12" s="225"/>
      <c r="Z12" s="225"/>
    </row>
    <row r="13">
      <c r="A13" s="456"/>
      <c r="B13" s="214" t="s">
        <v>27</v>
      </c>
      <c r="C13" s="211" t="s">
        <v>409</v>
      </c>
      <c r="D13" s="215" t="s">
        <v>214</v>
      </c>
      <c r="E13" s="213">
        <v>-1.0</v>
      </c>
      <c r="F13" s="215" t="str">
        <f t="shared" ref="F13:F17" si="1">IF(E13=1, "Bullish", IF(E13=-1, "Bearish", ""))</f>
        <v>Bearish</v>
      </c>
      <c r="G13" s="204"/>
      <c r="H13" s="204"/>
      <c r="I13" s="465"/>
      <c r="J13" s="461"/>
      <c r="K13" s="225"/>
      <c r="L13" s="225"/>
      <c r="M13" s="225"/>
      <c r="N13" s="225"/>
      <c r="O13" s="225"/>
      <c r="P13" s="225"/>
      <c r="Q13" s="225"/>
      <c r="R13" s="225"/>
      <c r="S13" s="225"/>
      <c r="T13" s="225"/>
      <c r="U13" s="225"/>
      <c r="V13" s="225"/>
      <c r="W13" s="225"/>
      <c r="X13" s="225"/>
      <c r="Y13" s="225"/>
      <c r="Z13" s="225"/>
    </row>
    <row r="14">
      <c r="A14" s="461"/>
      <c r="B14" s="214" t="s">
        <v>215</v>
      </c>
      <c r="C14" s="211" t="s">
        <v>409</v>
      </c>
      <c r="D14" s="216" t="s">
        <v>216</v>
      </c>
      <c r="E14" s="213">
        <v>1.0</v>
      </c>
      <c r="F14" s="215" t="str">
        <f t="shared" si="1"/>
        <v>Bullish</v>
      </c>
      <c r="G14" s="204"/>
      <c r="H14" s="204"/>
      <c r="I14" s="204"/>
      <c r="J14" s="461"/>
      <c r="K14" s="225"/>
      <c r="L14" s="225"/>
      <c r="M14" s="225"/>
      <c r="N14" s="225"/>
      <c r="O14" s="467"/>
      <c r="P14" s="225"/>
      <c r="Q14" s="225"/>
      <c r="R14" s="225"/>
      <c r="S14" s="225"/>
      <c r="T14" s="225"/>
      <c r="U14" s="225"/>
      <c r="V14" s="225"/>
      <c r="W14" s="225"/>
      <c r="X14" s="225"/>
      <c r="Y14" s="225"/>
      <c r="Z14" s="225"/>
    </row>
    <row r="15">
      <c r="A15" s="461"/>
      <c r="B15" s="214" t="s">
        <v>217</v>
      </c>
      <c r="C15" s="211" t="s">
        <v>409</v>
      </c>
      <c r="D15" s="215" t="s">
        <v>218</v>
      </c>
      <c r="E15" s="213">
        <v>1.0</v>
      </c>
      <c r="F15" s="215" t="str">
        <f t="shared" si="1"/>
        <v>Bullish</v>
      </c>
      <c r="G15" s="225"/>
      <c r="H15" s="225"/>
      <c r="I15" s="225"/>
      <c r="J15" s="225"/>
      <c r="K15" s="225"/>
      <c r="L15" s="225"/>
      <c r="M15" s="225"/>
      <c r="N15" s="225"/>
      <c r="O15" s="467"/>
      <c r="P15" s="225"/>
      <c r="Q15" s="225"/>
      <c r="R15" s="225"/>
      <c r="S15" s="225"/>
      <c r="T15" s="225"/>
      <c r="U15" s="225"/>
      <c r="V15" s="225"/>
      <c r="W15" s="225"/>
      <c r="X15" s="225"/>
      <c r="Y15" s="225"/>
      <c r="Z15" s="225"/>
    </row>
    <row r="16">
      <c r="A16" s="461"/>
      <c r="B16" s="214" t="s">
        <v>219</v>
      </c>
      <c r="C16" s="211" t="s">
        <v>409</v>
      </c>
      <c r="D16" s="215" t="s">
        <v>220</v>
      </c>
      <c r="E16" s="213">
        <v>1.0</v>
      </c>
      <c r="F16" s="215" t="str">
        <f t="shared" si="1"/>
        <v>Bullish</v>
      </c>
      <c r="G16" s="225"/>
      <c r="H16" s="225"/>
      <c r="I16" s="225"/>
      <c r="J16" s="225"/>
      <c r="K16" s="225"/>
      <c r="L16" s="225"/>
      <c r="M16" s="225"/>
      <c r="N16" s="225"/>
      <c r="O16" s="225"/>
      <c r="P16" s="225"/>
      <c r="Q16" s="225"/>
      <c r="R16" s="225"/>
      <c r="S16" s="225"/>
      <c r="T16" s="225"/>
      <c r="U16" s="225"/>
      <c r="V16" s="225"/>
      <c r="W16" s="225"/>
      <c r="X16" s="225"/>
      <c r="Y16" s="225"/>
      <c r="Z16" s="225"/>
    </row>
    <row r="17">
      <c r="A17" s="461"/>
      <c r="B17" s="468"/>
      <c r="C17" s="469"/>
      <c r="D17" s="469"/>
      <c r="E17" s="470"/>
      <c r="F17" s="471" t="str">
        <f t="shared" si="1"/>
        <v/>
      </c>
      <c r="G17" s="225"/>
      <c r="H17" s="225"/>
      <c r="I17" s="225"/>
      <c r="J17" s="225"/>
      <c r="K17" s="225"/>
      <c r="L17" s="225"/>
      <c r="M17" s="225"/>
      <c r="N17" s="225"/>
      <c r="O17" s="225"/>
      <c r="P17" s="225"/>
      <c r="Q17" s="225"/>
      <c r="R17" s="225"/>
      <c r="S17" s="225"/>
      <c r="T17" s="225"/>
      <c r="U17" s="225"/>
      <c r="V17" s="225"/>
      <c r="W17" s="225"/>
      <c r="X17" s="225"/>
      <c r="Y17" s="225"/>
      <c r="Z17" s="225"/>
    </row>
    <row r="18">
      <c r="A18" s="461"/>
      <c r="B18" s="204"/>
      <c r="C18" s="204"/>
      <c r="D18" s="204"/>
      <c r="E18" s="209" t="s">
        <v>55</v>
      </c>
      <c r="F18" s="224">
        <f>AVERAGE(E13:E17)</f>
        <v>0.5</v>
      </c>
      <c r="G18" s="225"/>
      <c r="H18" s="225"/>
      <c r="I18" s="225"/>
      <c r="J18" s="461"/>
      <c r="K18" s="225"/>
      <c r="L18" s="225"/>
      <c r="M18" s="225"/>
      <c r="N18" s="225"/>
      <c r="O18" s="225"/>
      <c r="P18" s="225"/>
      <c r="Q18" s="225"/>
      <c r="R18" s="225"/>
      <c r="S18" s="225"/>
      <c r="T18" s="225"/>
      <c r="U18" s="225"/>
      <c r="V18" s="225"/>
      <c r="W18" s="225"/>
      <c r="X18" s="225"/>
      <c r="Y18" s="225"/>
      <c r="Z18" s="225"/>
    </row>
    <row r="19">
      <c r="A19" s="461"/>
      <c r="B19" s="204"/>
      <c r="C19" s="204"/>
      <c r="D19" s="204"/>
      <c r="E19" s="204"/>
      <c r="F19" s="204"/>
      <c r="G19" s="225"/>
      <c r="H19" s="225"/>
      <c r="I19" s="225"/>
      <c r="J19" s="461"/>
      <c r="K19" s="225"/>
      <c r="L19" s="225"/>
      <c r="M19" s="225"/>
      <c r="N19" s="225"/>
      <c r="O19" s="225"/>
      <c r="P19" s="225"/>
      <c r="Q19" s="225"/>
      <c r="R19" s="225"/>
      <c r="S19" s="225"/>
      <c r="T19" s="225"/>
      <c r="U19" s="225"/>
      <c r="V19" s="225"/>
      <c r="W19" s="225"/>
      <c r="X19" s="225"/>
      <c r="Y19" s="225"/>
      <c r="Z19" s="225"/>
    </row>
    <row r="20">
      <c r="A20" s="225"/>
      <c r="B20" s="202"/>
      <c r="C20" s="203" t="s">
        <v>410</v>
      </c>
      <c r="D20" s="11"/>
      <c r="E20" s="12"/>
      <c r="F20" s="204"/>
      <c r="G20" s="225"/>
      <c r="H20" s="225"/>
      <c r="I20" s="225"/>
      <c r="J20" s="225"/>
      <c r="K20" s="225"/>
      <c r="L20" s="225"/>
      <c r="M20" s="225"/>
      <c r="N20" s="225"/>
      <c r="O20" s="225"/>
      <c r="P20" s="225"/>
      <c r="Q20" s="225"/>
      <c r="R20" s="225"/>
      <c r="S20" s="225"/>
      <c r="T20" s="225"/>
      <c r="U20" s="225"/>
      <c r="V20" s="225"/>
      <c r="W20" s="225"/>
      <c r="X20" s="225"/>
      <c r="Y20" s="225"/>
      <c r="Z20" s="225"/>
    </row>
    <row r="21">
      <c r="A21" s="225"/>
      <c r="B21" s="202"/>
      <c r="C21" s="204"/>
      <c r="D21" s="204"/>
      <c r="E21" s="206" t="s">
        <v>211</v>
      </c>
      <c r="F21" s="204"/>
      <c r="G21" s="225"/>
      <c r="H21" s="225"/>
      <c r="I21" s="225"/>
      <c r="J21" s="225"/>
      <c r="K21" s="225"/>
      <c r="L21" s="225"/>
      <c r="M21" s="225"/>
      <c r="N21" s="225"/>
      <c r="O21" s="225"/>
      <c r="P21" s="225"/>
      <c r="Q21" s="225"/>
      <c r="R21" s="225"/>
      <c r="S21" s="225"/>
      <c r="T21" s="225"/>
      <c r="U21" s="225"/>
      <c r="V21" s="225"/>
      <c r="W21" s="225"/>
      <c r="X21" s="225"/>
      <c r="Y21" s="225"/>
      <c r="Z21" s="225"/>
    </row>
    <row r="22">
      <c r="A22" s="225"/>
      <c r="B22" s="207" t="s">
        <v>21</v>
      </c>
      <c r="C22" s="208" t="s">
        <v>212</v>
      </c>
      <c r="D22" s="209" t="s">
        <v>23</v>
      </c>
      <c r="E22" s="209" t="s">
        <v>24</v>
      </c>
      <c r="F22" s="209" t="s">
        <v>25</v>
      </c>
      <c r="G22" s="225"/>
      <c r="H22" s="225"/>
      <c r="I22" s="225"/>
      <c r="J22" s="225"/>
      <c r="K22" s="225"/>
      <c r="L22" s="225"/>
      <c r="M22" s="225"/>
      <c r="N22" s="225"/>
      <c r="O22" s="225"/>
      <c r="P22" s="225"/>
      <c r="Q22" s="225"/>
      <c r="R22" s="225"/>
      <c r="S22" s="225"/>
      <c r="T22" s="225"/>
      <c r="U22" s="225"/>
      <c r="V22" s="225"/>
      <c r="W22" s="225"/>
      <c r="X22" s="225"/>
      <c r="Y22" s="225"/>
      <c r="Z22" s="225"/>
    </row>
    <row r="23">
      <c r="A23" s="225"/>
      <c r="B23" s="466"/>
      <c r="C23" s="212"/>
      <c r="D23" s="212"/>
      <c r="E23" s="212"/>
      <c r="F23" s="212"/>
      <c r="G23" s="225"/>
      <c r="H23" s="225"/>
      <c r="I23" s="225"/>
      <c r="J23" s="225"/>
      <c r="K23" s="225"/>
      <c r="L23" s="225"/>
      <c r="M23" s="225"/>
      <c r="N23" s="225"/>
      <c r="O23" s="225"/>
      <c r="P23" s="225"/>
      <c r="Q23" s="225"/>
      <c r="R23" s="225"/>
      <c r="S23" s="225"/>
      <c r="T23" s="225"/>
      <c r="U23" s="225"/>
      <c r="V23" s="225"/>
      <c r="W23" s="225"/>
      <c r="X23" s="225"/>
      <c r="Y23" s="225"/>
      <c r="Z23" s="225"/>
    </row>
    <row r="24">
      <c r="A24" s="225"/>
      <c r="B24" s="214" t="s">
        <v>27</v>
      </c>
      <c r="C24" s="211" t="s">
        <v>409</v>
      </c>
      <c r="D24" s="215" t="s">
        <v>214</v>
      </c>
      <c r="E24" s="213">
        <v>-1.0</v>
      </c>
      <c r="F24" s="215" t="str">
        <f t="shared" ref="F24:F28" si="2">IF(E24=1, "Bullish", IF(E24=-1, "Bearish", ""))</f>
        <v>Bearish</v>
      </c>
      <c r="G24" s="225"/>
      <c r="H24" s="225"/>
      <c r="I24" s="225"/>
      <c r="J24" s="225"/>
      <c r="K24" s="225"/>
      <c r="L24" s="225"/>
      <c r="M24" s="225"/>
      <c r="N24" s="225"/>
      <c r="O24" s="225"/>
      <c r="P24" s="225"/>
      <c r="Q24" s="225"/>
      <c r="R24" s="225"/>
      <c r="S24" s="225"/>
      <c r="T24" s="225"/>
      <c r="U24" s="225"/>
      <c r="V24" s="225"/>
      <c r="W24" s="225"/>
      <c r="X24" s="225"/>
      <c r="Y24" s="225"/>
      <c r="Z24" s="225"/>
    </row>
    <row r="25">
      <c r="A25" s="225"/>
      <c r="B25" s="214" t="s">
        <v>215</v>
      </c>
      <c r="C25" s="211" t="s">
        <v>409</v>
      </c>
      <c r="D25" s="215" t="s">
        <v>216</v>
      </c>
      <c r="E25" s="213">
        <v>-1.0</v>
      </c>
      <c r="F25" s="215" t="str">
        <f t="shared" si="2"/>
        <v>Bearish</v>
      </c>
      <c r="G25" s="225"/>
      <c r="H25" s="225"/>
      <c r="I25" s="225"/>
      <c r="J25" s="225"/>
      <c r="K25" s="225"/>
      <c r="L25" s="225"/>
      <c r="M25" s="225"/>
      <c r="N25" s="225"/>
      <c r="O25" s="225"/>
      <c r="P25" s="225"/>
      <c r="Q25" s="225"/>
      <c r="R25" s="225"/>
      <c r="S25" s="225"/>
      <c r="T25" s="225"/>
      <c r="U25" s="225"/>
      <c r="V25" s="225"/>
      <c r="W25" s="225"/>
      <c r="X25" s="225"/>
      <c r="Y25" s="225"/>
      <c r="Z25" s="225"/>
    </row>
    <row r="26">
      <c r="A26" s="225"/>
      <c r="B26" s="214" t="s">
        <v>217</v>
      </c>
      <c r="C26" s="211" t="s">
        <v>409</v>
      </c>
      <c r="D26" s="215" t="s">
        <v>218</v>
      </c>
      <c r="E26" s="213">
        <v>-1.0</v>
      </c>
      <c r="F26" s="215" t="str">
        <f t="shared" si="2"/>
        <v>Bearish</v>
      </c>
      <c r="G26" s="225"/>
      <c r="H26" s="225"/>
      <c r="I26" s="225"/>
      <c r="J26" s="225"/>
      <c r="K26" s="225"/>
      <c r="L26" s="225"/>
      <c r="M26" s="225"/>
      <c r="N26" s="225"/>
      <c r="O26" s="225"/>
      <c r="P26" s="225"/>
      <c r="Q26" s="225"/>
      <c r="R26" s="225"/>
      <c r="S26" s="225"/>
      <c r="T26" s="225"/>
      <c r="U26" s="225"/>
      <c r="V26" s="225"/>
      <c r="W26" s="225"/>
      <c r="X26" s="225"/>
      <c r="Y26" s="225"/>
      <c r="Z26" s="225"/>
    </row>
    <row r="27">
      <c r="A27" s="225"/>
      <c r="B27" s="214" t="s">
        <v>219</v>
      </c>
      <c r="C27" s="211" t="s">
        <v>409</v>
      </c>
      <c r="D27" s="215" t="s">
        <v>220</v>
      </c>
      <c r="E27" s="213">
        <v>-1.0</v>
      </c>
      <c r="F27" s="215" t="str">
        <f t="shared" si="2"/>
        <v>Bearish</v>
      </c>
      <c r="G27" s="225"/>
      <c r="H27" s="225"/>
      <c r="I27" s="225"/>
      <c r="J27" s="467"/>
      <c r="K27" s="225"/>
      <c r="L27" s="225"/>
      <c r="M27" s="225"/>
      <c r="N27" s="225"/>
      <c r="O27" s="225"/>
      <c r="P27" s="225"/>
      <c r="Q27" s="225"/>
      <c r="R27" s="225"/>
      <c r="S27" s="225"/>
      <c r="T27" s="225"/>
      <c r="U27" s="225"/>
      <c r="V27" s="225"/>
      <c r="W27" s="225"/>
      <c r="X27" s="225"/>
      <c r="Y27" s="225"/>
      <c r="Z27" s="225"/>
    </row>
    <row r="28">
      <c r="A28" s="225"/>
      <c r="B28" s="468"/>
      <c r="C28" s="469"/>
      <c r="D28" s="469"/>
      <c r="E28" s="470"/>
      <c r="F28" s="471" t="str">
        <f t="shared" si="2"/>
        <v/>
      </c>
      <c r="G28" s="225"/>
      <c r="H28" s="225"/>
      <c r="I28" s="225"/>
      <c r="J28" s="225"/>
      <c r="K28" s="225"/>
      <c r="L28" s="225"/>
      <c r="M28" s="225"/>
      <c r="N28" s="225"/>
      <c r="O28" s="225"/>
      <c r="P28" s="225"/>
      <c r="Q28" s="225"/>
      <c r="R28" s="225"/>
      <c r="S28" s="225"/>
      <c r="T28" s="225"/>
      <c r="U28" s="225"/>
      <c r="V28" s="225"/>
      <c r="W28" s="225"/>
      <c r="X28" s="225"/>
      <c r="Y28" s="225"/>
      <c r="Z28" s="225"/>
    </row>
    <row r="29">
      <c r="A29" s="225"/>
      <c r="B29" s="204"/>
      <c r="C29" s="204"/>
      <c r="D29" s="204"/>
      <c r="E29" s="209" t="s">
        <v>55</v>
      </c>
      <c r="F29" s="224">
        <f>AVERAGE(E24:E28)</f>
        <v>-1</v>
      </c>
      <c r="G29" s="225"/>
      <c r="H29" s="225"/>
      <c r="I29" s="225"/>
      <c r="J29" s="467"/>
      <c r="K29" s="225"/>
      <c r="L29" s="225"/>
      <c r="M29" s="225"/>
      <c r="N29" s="225"/>
      <c r="O29" s="225"/>
      <c r="P29" s="225"/>
      <c r="Q29" s="225"/>
      <c r="R29" s="225"/>
      <c r="S29" s="225"/>
      <c r="T29" s="225"/>
      <c r="U29" s="225"/>
      <c r="V29" s="225"/>
      <c r="W29" s="225"/>
      <c r="X29" s="225"/>
      <c r="Y29" s="225"/>
      <c r="Z29" s="225"/>
    </row>
    <row r="30">
      <c r="A30" s="225"/>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row>
    <row r="31">
      <c r="A31" s="225"/>
      <c r="B31" s="226"/>
      <c r="C31" s="203" t="s">
        <v>411</v>
      </c>
      <c r="D31" s="11"/>
      <c r="E31" s="12"/>
      <c r="F31" s="126"/>
      <c r="G31" s="225"/>
      <c r="H31" s="225"/>
      <c r="I31" s="225"/>
      <c r="J31" s="225"/>
      <c r="K31" s="225"/>
      <c r="L31" s="225"/>
      <c r="M31" s="225"/>
      <c r="N31" s="225"/>
      <c r="O31" s="225"/>
      <c r="P31" s="225"/>
      <c r="Q31" s="225"/>
      <c r="R31" s="225"/>
      <c r="S31" s="225"/>
      <c r="T31" s="225"/>
      <c r="U31" s="225"/>
      <c r="V31" s="225"/>
      <c r="W31" s="225"/>
      <c r="X31" s="225"/>
      <c r="Y31" s="225"/>
      <c r="Z31" s="225"/>
    </row>
    <row r="32">
      <c r="A32" s="225"/>
      <c r="B32" s="226"/>
      <c r="C32" s="126"/>
      <c r="D32" s="126"/>
      <c r="E32" s="206" t="s">
        <v>211</v>
      </c>
      <c r="F32" s="126"/>
      <c r="G32" s="225"/>
      <c r="H32" s="225"/>
      <c r="I32" s="225"/>
      <c r="J32" s="225"/>
      <c r="K32" s="225"/>
      <c r="L32" s="225"/>
      <c r="M32" s="225"/>
      <c r="N32" s="225"/>
      <c r="O32" s="225"/>
      <c r="P32" s="225"/>
      <c r="Q32" s="225"/>
      <c r="R32" s="225"/>
      <c r="S32" s="225"/>
      <c r="T32" s="225"/>
      <c r="U32" s="225"/>
      <c r="V32" s="225"/>
      <c r="W32" s="225"/>
      <c r="X32" s="225"/>
      <c r="Y32" s="225"/>
      <c r="Z32" s="225"/>
    </row>
    <row r="33">
      <c r="A33" s="225"/>
      <c r="B33" s="227" t="s">
        <v>21</v>
      </c>
      <c r="C33" s="215" t="s">
        <v>212</v>
      </c>
      <c r="D33" s="215" t="s">
        <v>23</v>
      </c>
      <c r="E33" s="215" t="s">
        <v>24</v>
      </c>
      <c r="F33" s="215" t="s">
        <v>25</v>
      </c>
      <c r="G33" s="225"/>
      <c r="H33" s="225"/>
      <c r="I33" s="225"/>
      <c r="J33" s="225"/>
      <c r="K33" s="225"/>
      <c r="L33" s="225"/>
      <c r="M33" s="225"/>
      <c r="N33" s="225"/>
      <c r="O33" s="225"/>
      <c r="P33" s="225"/>
      <c r="Q33" s="225"/>
      <c r="R33" s="225"/>
      <c r="S33" s="225"/>
      <c r="T33" s="225"/>
      <c r="U33" s="225"/>
      <c r="V33" s="225"/>
      <c r="W33" s="225"/>
      <c r="X33" s="225"/>
      <c r="Y33" s="225"/>
      <c r="Z33" s="225"/>
    </row>
    <row r="34">
      <c r="A34" s="225"/>
      <c r="B34" s="472"/>
      <c r="C34" s="228"/>
      <c r="D34" s="228"/>
      <c r="E34" s="228"/>
      <c r="F34" s="228"/>
      <c r="G34" s="225"/>
      <c r="H34" s="225"/>
      <c r="I34" s="225"/>
      <c r="J34" s="225"/>
      <c r="K34" s="225"/>
      <c r="L34" s="225"/>
      <c r="M34" s="225"/>
      <c r="N34" s="225"/>
      <c r="O34" s="225"/>
      <c r="P34" s="225"/>
      <c r="Q34" s="225"/>
      <c r="R34" s="225"/>
      <c r="S34" s="225"/>
      <c r="T34" s="225"/>
      <c r="U34" s="225"/>
      <c r="V34" s="225"/>
      <c r="W34" s="225"/>
      <c r="X34" s="225"/>
      <c r="Y34" s="225"/>
      <c r="Z34" s="225"/>
    </row>
    <row r="35">
      <c r="A35" s="225"/>
      <c r="B35" s="214" t="s">
        <v>27</v>
      </c>
      <c r="C35" s="211" t="s">
        <v>409</v>
      </c>
      <c r="D35" s="215" t="s">
        <v>214</v>
      </c>
      <c r="E35" s="213">
        <v>-1.0</v>
      </c>
      <c r="F35" s="215" t="str">
        <f t="shared" ref="F35:F39" si="3">IF(E35=1, "Bullish", IF(E35=-1, "Bearish", ""))</f>
        <v>Bearish</v>
      </c>
      <c r="G35" s="225"/>
      <c r="H35" s="225"/>
      <c r="I35" s="225"/>
      <c r="J35" s="225"/>
      <c r="K35" s="225"/>
      <c r="L35" s="225"/>
      <c r="M35" s="225"/>
      <c r="N35" s="225"/>
      <c r="O35" s="225"/>
      <c r="P35" s="225"/>
      <c r="Q35" s="225"/>
      <c r="R35" s="225"/>
      <c r="S35" s="225"/>
      <c r="T35" s="225"/>
      <c r="U35" s="225"/>
      <c r="V35" s="225"/>
      <c r="W35" s="225"/>
      <c r="X35" s="225"/>
      <c r="Y35" s="225"/>
      <c r="Z35" s="225"/>
    </row>
    <row r="36">
      <c r="A36" s="225"/>
      <c r="B36" s="214" t="s">
        <v>215</v>
      </c>
      <c r="C36" s="211" t="s">
        <v>409</v>
      </c>
      <c r="D36" s="215" t="s">
        <v>216</v>
      </c>
      <c r="E36" s="213">
        <v>-1.0</v>
      </c>
      <c r="F36" s="215" t="str">
        <f t="shared" si="3"/>
        <v>Bearish</v>
      </c>
      <c r="G36" s="225"/>
      <c r="H36" s="225"/>
      <c r="I36" s="225"/>
      <c r="J36" s="225"/>
      <c r="K36" s="225"/>
      <c r="L36" s="225"/>
      <c r="M36" s="225"/>
      <c r="N36" s="225"/>
      <c r="O36" s="225"/>
      <c r="P36" s="225"/>
      <c r="Q36" s="225"/>
      <c r="R36" s="225"/>
      <c r="S36" s="225"/>
      <c r="T36" s="225"/>
      <c r="U36" s="225"/>
      <c r="V36" s="225"/>
      <c r="W36" s="225"/>
      <c r="X36" s="225"/>
      <c r="Y36" s="225"/>
      <c r="Z36" s="225"/>
    </row>
    <row r="37">
      <c r="A37" s="225"/>
      <c r="B37" s="214" t="s">
        <v>217</v>
      </c>
      <c r="C37" s="211" t="s">
        <v>409</v>
      </c>
      <c r="D37" s="215" t="s">
        <v>218</v>
      </c>
      <c r="E37" s="213">
        <v>-1.0</v>
      </c>
      <c r="F37" s="215" t="str">
        <f t="shared" si="3"/>
        <v>Bearish</v>
      </c>
      <c r="G37" s="225"/>
      <c r="H37" s="225"/>
      <c r="I37" s="225"/>
      <c r="J37" s="225"/>
      <c r="K37" s="225"/>
      <c r="L37" s="225"/>
      <c r="M37" s="225"/>
      <c r="N37" s="225"/>
      <c r="O37" s="225"/>
      <c r="P37" s="225"/>
      <c r="Q37" s="225"/>
      <c r="R37" s="225"/>
      <c r="S37" s="225"/>
      <c r="T37" s="225"/>
      <c r="U37" s="225"/>
      <c r="V37" s="225"/>
      <c r="W37" s="225"/>
      <c r="X37" s="225"/>
      <c r="Y37" s="225"/>
      <c r="Z37" s="225"/>
    </row>
    <row r="38">
      <c r="A38" s="225"/>
      <c r="B38" s="214" t="s">
        <v>219</v>
      </c>
      <c r="C38" s="211" t="s">
        <v>409</v>
      </c>
      <c r="D38" s="215" t="s">
        <v>220</v>
      </c>
      <c r="E38" s="213">
        <v>-1.0</v>
      </c>
      <c r="F38" s="215" t="str">
        <f t="shared" si="3"/>
        <v>Bearish</v>
      </c>
      <c r="G38" s="225"/>
      <c r="H38" s="225"/>
      <c r="I38" s="225"/>
      <c r="J38" s="225"/>
      <c r="K38" s="225"/>
      <c r="L38" s="225"/>
      <c r="M38" s="225"/>
      <c r="N38" s="225"/>
      <c r="O38" s="225"/>
      <c r="P38" s="225"/>
      <c r="Q38" s="225"/>
      <c r="R38" s="225"/>
      <c r="S38" s="225"/>
      <c r="T38" s="225"/>
      <c r="U38" s="225"/>
      <c r="V38" s="225"/>
      <c r="W38" s="225"/>
      <c r="X38" s="225"/>
      <c r="Y38" s="225"/>
      <c r="Z38" s="225"/>
    </row>
    <row r="39">
      <c r="A39" s="225"/>
      <c r="B39" s="473"/>
      <c r="C39" s="474"/>
      <c r="D39" s="474"/>
      <c r="E39" s="470"/>
      <c r="F39" s="471" t="str">
        <f t="shared" si="3"/>
        <v/>
      </c>
      <c r="G39" s="225"/>
      <c r="H39" s="225"/>
      <c r="I39" s="225"/>
      <c r="J39" s="225"/>
      <c r="K39" s="225"/>
      <c r="L39" s="225"/>
      <c r="M39" s="225"/>
      <c r="N39" s="225"/>
      <c r="O39" s="225"/>
      <c r="P39" s="225"/>
      <c r="Q39" s="225"/>
      <c r="R39" s="225"/>
      <c r="S39" s="225"/>
      <c r="T39" s="225"/>
      <c r="U39" s="225"/>
      <c r="V39" s="225"/>
      <c r="W39" s="225"/>
      <c r="X39" s="225"/>
      <c r="Y39" s="225"/>
      <c r="Z39" s="225"/>
    </row>
    <row r="40">
      <c r="A40" s="225"/>
      <c r="B40" s="126"/>
      <c r="C40" s="126"/>
      <c r="D40" s="126"/>
      <c r="E40" s="215" t="s">
        <v>55</v>
      </c>
      <c r="F40" s="224">
        <f>AVERAGE(E35:E39)</f>
        <v>-1</v>
      </c>
      <c r="G40" s="225"/>
      <c r="H40" s="225"/>
      <c r="I40" s="225"/>
      <c r="J40" s="225"/>
      <c r="K40" s="225"/>
      <c r="L40" s="225"/>
      <c r="M40" s="225"/>
      <c r="N40" s="225"/>
      <c r="O40" s="225"/>
      <c r="P40" s="225"/>
      <c r="Q40" s="225"/>
      <c r="R40" s="225"/>
      <c r="S40" s="225"/>
      <c r="T40" s="225"/>
      <c r="U40" s="225"/>
      <c r="V40" s="225"/>
      <c r="W40" s="225"/>
      <c r="X40" s="225"/>
      <c r="Y40" s="225"/>
      <c r="Z40" s="225"/>
    </row>
    <row r="4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row>
    <row r="42">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row>
    <row r="43">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row>
    <row r="44">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row>
    <row r="45">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row>
    <row r="46">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row>
    <row r="47">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row>
    <row r="48">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row>
    <row r="49">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row>
    <row r="50">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row>
    <row r="5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row>
    <row r="52">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row>
    <row r="53">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row>
    <row r="54">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row>
    <row r="55">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row>
    <row r="56">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row>
    <row r="57">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row>
    <row r="58">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row>
    <row r="59">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row>
    <row r="60">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row>
    <row r="6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row>
    <row r="62">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row>
    <row r="63">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row>
    <row r="64">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row>
    <row r="65">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row>
    <row r="66">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row>
    <row r="67">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row>
    <row r="68">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row>
    <row r="69">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row>
    <row r="70">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row>
    <row r="7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row>
    <row r="72">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row>
    <row r="73">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row>
    <row r="74">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row>
    <row r="75">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row>
    <row r="76">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row>
    <row r="77">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row>
    <row r="78">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row>
    <row r="79">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row>
    <row r="80">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row>
    <row r="8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row>
    <row r="82">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row>
    <row r="83">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row>
    <row r="84">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row>
    <row r="85">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row>
    <row r="86">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row>
    <row r="87">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row>
    <row r="88">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row>
    <row r="89">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row>
    <row r="90">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row>
    <row r="9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row>
    <row r="92">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row>
    <row r="93">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row>
    <row r="94">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row>
    <row r="95">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row>
    <row r="96">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row>
    <row r="97">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row>
    <row r="98">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row>
    <row r="99">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row>
    <row r="100">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row>
    <row r="10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row>
    <row r="102">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row>
    <row r="103">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row>
    <row r="104">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row>
    <row r="105">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row>
    <row r="106">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row>
    <row r="107">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row>
    <row r="108">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row>
    <row r="109">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row>
    <row r="110">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row>
    <row r="11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row>
    <row r="112">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row>
    <row r="113">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row>
    <row r="114">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row>
    <row r="115">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row>
    <row r="116">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row>
    <row r="117">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row>
    <row r="118">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row>
    <row r="119">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row>
    <row r="120">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row>
    <row r="12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row>
    <row r="122">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row>
    <row r="123">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row>
    <row r="124">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row>
    <row r="125">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row>
    <row r="126">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row>
    <row r="127">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row>
    <row r="128">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row>
    <row r="129">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row>
    <row r="130">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row>
    <row r="13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row>
    <row r="132">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row>
    <row r="133">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row>
    <row r="134">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row>
    <row r="135">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row>
    <row r="136">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row>
    <row r="137">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row>
    <row r="138">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row>
    <row r="139">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row>
    <row r="140">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row>
    <row r="14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row>
    <row r="142">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row>
    <row r="143">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row>
    <row r="144">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row>
    <row r="145">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row>
    <row r="146">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row>
    <row r="147">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row>
    <row r="148">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row>
    <row r="149">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row>
    <row r="150">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row>
    <row r="15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row>
    <row r="152">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row>
    <row r="153">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row>
    <row r="154">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row>
    <row r="155">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row>
    <row r="156">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row>
    <row r="157">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row>
    <row r="158">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row>
    <row r="159">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row>
    <row r="160">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row>
    <row r="16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row>
    <row r="162">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row>
    <row r="163">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row>
    <row r="164">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row>
    <row r="165">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row>
    <row r="166">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row>
    <row r="167">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row>
    <row r="168">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row>
    <row r="169">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row>
    <row r="170">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row>
    <row r="17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row>
    <row r="172">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row>
    <row r="173">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row>
    <row r="174">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row>
    <row r="175">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row>
    <row r="176">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row>
    <row r="177">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row>
    <row r="178">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row>
    <row r="179">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row>
    <row r="180">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row>
    <row r="18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row>
    <row r="182">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row>
    <row r="183">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row>
    <row r="184">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row>
    <row r="185">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row>
    <row r="186">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row>
    <row r="187">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row>
    <row r="188">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row>
    <row r="189">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row>
    <row r="190">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row>
    <row r="19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row>
    <row r="192">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row>
    <row r="193">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row>
    <row r="194">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row>
    <row r="195">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row>
    <row r="196">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row>
    <row r="197">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row>
    <row r="198">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row>
    <row r="199">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row>
    <row r="200">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row>
    <row r="20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row>
    <row r="202">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row>
    <row r="203">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row>
    <row r="204">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row>
    <row r="205">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row>
    <row r="206">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row>
    <row r="207">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row>
    <row r="208">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row>
    <row r="209">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row>
    <row r="210">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row>
    <row r="21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row>
    <row r="212">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row>
    <row r="213">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row>
    <row r="214">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row>
    <row r="215">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row>
    <row r="216">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row>
    <row r="217">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row>
    <row r="218">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row>
    <row r="219">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row>
    <row r="220">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row>
    <row r="22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row>
    <row r="222">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row>
    <row r="223">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row>
    <row r="224">
      <c r="A224" s="225"/>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c r="Z224" s="225"/>
    </row>
    <row r="225">
      <c r="A225" s="225"/>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c r="X225" s="225"/>
      <c r="Y225" s="225"/>
      <c r="Z225" s="225"/>
    </row>
    <row r="226">
      <c r="A226" s="225"/>
      <c r="B226" s="225"/>
      <c r="C226" s="225"/>
      <c r="D226" s="225"/>
      <c r="E226" s="225"/>
      <c r="F226" s="225"/>
      <c r="G226" s="225"/>
      <c r="H226" s="225"/>
      <c r="I226" s="225"/>
      <c r="J226" s="225"/>
      <c r="K226" s="225"/>
      <c r="L226" s="225"/>
      <c r="M226" s="225"/>
      <c r="N226" s="225"/>
      <c r="O226" s="225"/>
      <c r="P226" s="225"/>
      <c r="Q226" s="225"/>
      <c r="R226" s="225"/>
      <c r="S226" s="225"/>
      <c r="T226" s="225"/>
      <c r="U226" s="225"/>
      <c r="V226" s="225"/>
      <c r="W226" s="225"/>
      <c r="X226" s="225"/>
      <c r="Y226" s="225"/>
      <c r="Z226" s="225"/>
    </row>
    <row r="227">
      <c r="A227" s="225"/>
      <c r="B227" s="225"/>
      <c r="C227" s="225"/>
      <c r="D227" s="225"/>
      <c r="E227" s="225"/>
      <c r="F227" s="225"/>
      <c r="G227" s="225"/>
      <c r="H227" s="225"/>
      <c r="I227" s="225"/>
      <c r="J227" s="225"/>
      <c r="K227" s="225"/>
      <c r="L227" s="225"/>
      <c r="M227" s="225"/>
      <c r="N227" s="225"/>
      <c r="O227" s="225"/>
      <c r="P227" s="225"/>
      <c r="Q227" s="225"/>
      <c r="R227" s="225"/>
      <c r="S227" s="225"/>
      <c r="T227" s="225"/>
      <c r="U227" s="225"/>
      <c r="V227" s="225"/>
      <c r="W227" s="225"/>
      <c r="X227" s="225"/>
      <c r="Y227" s="225"/>
      <c r="Z227" s="225"/>
    </row>
    <row r="228">
      <c r="A228" s="225"/>
      <c r="B228" s="225"/>
      <c r="C228" s="225"/>
      <c r="D228" s="225"/>
      <c r="E228" s="225"/>
      <c r="F228" s="225"/>
      <c r="G228" s="225"/>
      <c r="H228" s="225"/>
      <c r="I228" s="225"/>
      <c r="J228" s="225"/>
      <c r="K228" s="225"/>
      <c r="L228" s="225"/>
      <c r="M228" s="225"/>
      <c r="N228" s="225"/>
      <c r="O228" s="225"/>
      <c r="P228" s="225"/>
      <c r="Q228" s="225"/>
      <c r="R228" s="225"/>
      <c r="S228" s="225"/>
      <c r="T228" s="225"/>
      <c r="U228" s="225"/>
      <c r="V228" s="225"/>
      <c r="W228" s="225"/>
      <c r="X228" s="225"/>
      <c r="Y228" s="225"/>
      <c r="Z228" s="225"/>
    </row>
    <row r="229">
      <c r="A229" s="225"/>
      <c r="B229" s="225"/>
      <c r="C229" s="225"/>
      <c r="D229" s="225"/>
      <c r="E229" s="225"/>
      <c r="F229" s="225"/>
      <c r="G229" s="225"/>
      <c r="H229" s="225"/>
      <c r="I229" s="225"/>
      <c r="J229" s="225"/>
      <c r="K229" s="225"/>
      <c r="L229" s="225"/>
      <c r="M229" s="225"/>
      <c r="N229" s="225"/>
      <c r="O229" s="225"/>
      <c r="P229" s="225"/>
      <c r="Q229" s="225"/>
      <c r="R229" s="225"/>
      <c r="S229" s="225"/>
      <c r="T229" s="225"/>
      <c r="U229" s="225"/>
      <c r="V229" s="225"/>
      <c r="W229" s="225"/>
      <c r="X229" s="225"/>
      <c r="Y229" s="225"/>
      <c r="Z229" s="225"/>
    </row>
    <row r="230">
      <c r="A230" s="225"/>
      <c r="B230" s="225"/>
      <c r="C230" s="225"/>
      <c r="D230" s="225"/>
      <c r="E230" s="225"/>
      <c r="F230" s="225"/>
      <c r="G230" s="225"/>
      <c r="H230" s="225"/>
      <c r="I230" s="225"/>
      <c r="J230" s="225"/>
      <c r="K230" s="225"/>
      <c r="L230" s="225"/>
      <c r="M230" s="225"/>
      <c r="N230" s="225"/>
      <c r="O230" s="225"/>
      <c r="P230" s="225"/>
      <c r="Q230" s="225"/>
      <c r="R230" s="225"/>
      <c r="S230" s="225"/>
      <c r="T230" s="225"/>
      <c r="U230" s="225"/>
      <c r="V230" s="225"/>
      <c r="W230" s="225"/>
      <c r="X230" s="225"/>
      <c r="Y230" s="225"/>
      <c r="Z230" s="225"/>
    </row>
    <row r="231">
      <c r="A231" s="225"/>
      <c r="B231" s="225"/>
      <c r="C231" s="225"/>
      <c r="D231" s="225"/>
      <c r="E231" s="225"/>
      <c r="F231" s="225"/>
      <c r="G231" s="225"/>
      <c r="H231" s="225"/>
      <c r="I231" s="225"/>
      <c r="J231" s="225"/>
      <c r="K231" s="225"/>
      <c r="L231" s="225"/>
      <c r="M231" s="225"/>
      <c r="N231" s="225"/>
      <c r="O231" s="225"/>
      <c r="P231" s="225"/>
      <c r="Q231" s="225"/>
      <c r="R231" s="225"/>
      <c r="S231" s="225"/>
      <c r="T231" s="225"/>
      <c r="U231" s="225"/>
      <c r="V231" s="225"/>
      <c r="W231" s="225"/>
      <c r="X231" s="225"/>
      <c r="Y231" s="225"/>
      <c r="Z231" s="225"/>
    </row>
    <row r="232">
      <c r="A232" s="225"/>
      <c r="B232" s="225"/>
      <c r="C232" s="225"/>
      <c r="D232" s="225"/>
      <c r="E232" s="225"/>
      <c r="F232" s="225"/>
      <c r="G232" s="225"/>
      <c r="H232" s="225"/>
      <c r="I232" s="225"/>
      <c r="J232" s="225"/>
      <c r="K232" s="225"/>
      <c r="L232" s="225"/>
      <c r="M232" s="225"/>
      <c r="N232" s="225"/>
      <c r="O232" s="225"/>
      <c r="P232" s="225"/>
      <c r="Q232" s="225"/>
      <c r="R232" s="225"/>
      <c r="S232" s="225"/>
      <c r="T232" s="225"/>
      <c r="U232" s="225"/>
      <c r="V232" s="225"/>
      <c r="W232" s="225"/>
      <c r="X232" s="225"/>
      <c r="Y232" s="225"/>
      <c r="Z232" s="225"/>
    </row>
    <row r="233">
      <c r="A233" s="225"/>
      <c r="B233" s="225"/>
      <c r="C233" s="225"/>
      <c r="D233" s="225"/>
      <c r="E233" s="225"/>
      <c r="F233" s="225"/>
      <c r="G233" s="225"/>
      <c r="H233" s="225"/>
      <c r="I233" s="225"/>
      <c r="J233" s="225"/>
      <c r="K233" s="225"/>
      <c r="L233" s="225"/>
      <c r="M233" s="225"/>
      <c r="N233" s="225"/>
      <c r="O233" s="225"/>
      <c r="P233" s="225"/>
      <c r="Q233" s="225"/>
      <c r="R233" s="225"/>
      <c r="S233" s="225"/>
      <c r="T233" s="225"/>
      <c r="U233" s="225"/>
      <c r="V233" s="225"/>
      <c r="W233" s="225"/>
      <c r="X233" s="225"/>
      <c r="Y233" s="225"/>
      <c r="Z233" s="225"/>
    </row>
    <row r="234">
      <c r="A234" s="225"/>
      <c r="B234" s="225"/>
      <c r="C234" s="225"/>
      <c r="D234" s="225"/>
      <c r="E234" s="225"/>
      <c r="F234" s="225"/>
      <c r="G234" s="225"/>
      <c r="H234" s="225"/>
      <c r="I234" s="225"/>
      <c r="J234" s="225"/>
      <c r="K234" s="225"/>
      <c r="L234" s="225"/>
      <c r="M234" s="225"/>
      <c r="N234" s="225"/>
      <c r="O234" s="225"/>
      <c r="P234" s="225"/>
      <c r="Q234" s="225"/>
      <c r="R234" s="225"/>
      <c r="S234" s="225"/>
      <c r="T234" s="225"/>
      <c r="U234" s="225"/>
      <c r="V234" s="225"/>
      <c r="W234" s="225"/>
      <c r="X234" s="225"/>
      <c r="Y234" s="225"/>
      <c r="Z234" s="225"/>
    </row>
    <row r="235">
      <c r="A235" s="225"/>
      <c r="B235" s="225"/>
      <c r="C235" s="225"/>
      <c r="D235" s="225"/>
      <c r="E235" s="225"/>
      <c r="F235" s="225"/>
      <c r="G235" s="225"/>
      <c r="H235" s="225"/>
      <c r="I235" s="225"/>
      <c r="J235" s="225"/>
      <c r="K235" s="225"/>
      <c r="L235" s="225"/>
      <c r="M235" s="225"/>
      <c r="N235" s="225"/>
      <c r="O235" s="225"/>
      <c r="P235" s="225"/>
      <c r="Q235" s="225"/>
      <c r="R235" s="225"/>
      <c r="S235" s="225"/>
      <c r="T235" s="225"/>
      <c r="U235" s="225"/>
      <c r="V235" s="225"/>
      <c r="W235" s="225"/>
      <c r="X235" s="225"/>
      <c r="Y235" s="225"/>
      <c r="Z235" s="225"/>
    </row>
    <row r="236">
      <c r="A236" s="225"/>
      <c r="B236" s="225"/>
      <c r="C236" s="225"/>
      <c r="D236" s="225"/>
      <c r="E236" s="225"/>
      <c r="F236" s="225"/>
      <c r="G236" s="225"/>
      <c r="H236" s="225"/>
      <c r="I236" s="225"/>
      <c r="J236" s="225"/>
      <c r="K236" s="225"/>
      <c r="L236" s="225"/>
      <c r="M236" s="225"/>
      <c r="N236" s="225"/>
      <c r="O236" s="225"/>
      <c r="P236" s="225"/>
      <c r="Q236" s="225"/>
      <c r="R236" s="225"/>
      <c r="S236" s="225"/>
      <c r="T236" s="225"/>
      <c r="U236" s="225"/>
      <c r="V236" s="225"/>
      <c r="W236" s="225"/>
      <c r="X236" s="225"/>
      <c r="Y236" s="225"/>
      <c r="Z236" s="225"/>
    </row>
    <row r="237">
      <c r="A237" s="225"/>
      <c r="B237" s="225"/>
      <c r="C237" s="225"/>
      <c r="D237" s="225"/>
      <c r="E237" s="225"/>
      <c r="F237" s="225"/>
      <c r="G237" s="225"/>
      <c r="H237" s="225"/>
      <c r="I237" s="225"/>
      <c r="J237" s="225"/>
      <c r="K237" s="225"/>
      <c r="L237" s="225"/>
      <c r="M237" s="225"/>
      <c r="N237" s="225"/>
      <c r="O237" s="225"/>
      <c r="P237" s="225"/>
      <c r="Q237" s="225"/>
      <c r="R237" s="225"/>
      <c r="S237" s="225"/>
      <c r="T237" s="225"/>
      <c r="U237" s="225"/>
      <c r="V237" s="225"/>
      <c r="W237" s="225"/>
      <c r="X237" s="225"/>
      <c r="Y237" s="225"/>
      <c r="Z237" s="225"/>
    </row>
    <row r="238">
      <c r="A238" s="225"/>
      <c r="B238" s="225"/>
      <c r="C238" s="225"/>
      <c r="D238" s="225"/>
      <c r="E238" s="225"/>
      <c r="F238" s="225"/>
      <c r="G238" s="225"/>
      <c r="H238" s="225"/>
      <c r="I238" s="225"/>
      <c r="J238" s="225"/>
      <c r="K238" s="225"/>
      <c r="L238" s="225"/>
      <c r="M238" s="225"/>
      <c r="N238" s="225"/>
      <c r="O238" s="225"/>
      <c r="P238" s="225"/>
      <c r="Q238" s="225"/>
      <c r="R238" s="225"/>
      <c r="S238" s="225"/>
      <c r="T238" s="225"/>
      <c r="U238" s="225"/>
      <c r="V238" s="225"/>
      <c r="W238" s="225"/>
      <c r="X238" s="225"/>
      <c r="Y238" s="225"/>
      <c r="Z238" s="225"/>
    </row>
    <row r="239">
      <c r="A239" s="225"/>
      <c r="B239" s="225"/>
      <c r="C239" s="225"/>
      <c r="D239" s="225"/>
      <c r="E239" s="225"/>
      <c r="F239" s="225"/>
      <c r="G239" s="225"/>
      <c r="H239" s="225"/>
      <c r="I239" s="225"/>
      <c r="J239" s="225"/>
      <c r="K239" s="225"/>
      <c r="L239" s="225"/>
      <c r="M239" s="225"/>
      <c r="N239" s="225"/>
      <c r="O239" s="225"/>
      <c r="P239" s="225"/>
      <c r="Q239" s="225"/>
      <c r="R239" s="225"/>
      <c r="S239" s="225"/>
      <c r="T239" s="225"/>
      <c r="U239" s="225"/>
      <c r="V239" s="225"/>
      <c r="W239" s="225"/>
      <c r="X239" s="225"/>
      <c r="Y239" s="225"/>
      <c r="Z239" s="225"/>
    </row>
    <row r="240">
      <c r="A240" s="225"/>
      <c r="B240" s="225"/>
      <c r="C240" s="225"/>
      <c r="D240" s="225"/>
      <c r="E240" s="225"/>
      <c r="F240" s="225"/>
      <c r="G240" s="225"/>
      <c r="H240" s="225"/>
      <c r="I240" s="225"/>
      <c r="J240" s="225"/>
      <c r="K240" s="225"/>
      <c r="L240" s="225"/>
      <c r="M240" s="225"/>
      <c r="N240" s="225"/>
      <c r="O240" s="225"/>
      <c r="P240" s="225"/>
      <c r="Q240" s="225"/>
      <c r="R240" s="225"/>
      <c r="S240" s="225"/>
      <c r="T240" s="225"/>
      <c r="U240" s="225"/>
      <c r="V240" s="225"/>
      <c r="W240" s="225"/>
      <c r="X240" s="225"/>
      <c r="Y240" s="225"/>
      <c r="Z240" s="225"/>
    </row>
    <row r="241">
      <c r="A241" s="225"/>
      <c r="B241" s="225"/>
      <c r="C241" s="225"/>
      <c r="D241" s="225"/>
      <c r="E241" s="225"/>
      <c r="F241" s="225"/>
      <c r="G241" s="225"/>
      <c r="H241" s="225"/>
      <c r="I241" s="225"/>
      <c r="J241" s="225"/>
      <c r="K241" s="225"/>
      <c r="L241" s="225"/>
      <c r="M241" s="225"/>
      <c r="N241" s="225"/>
      <c r="O241" s="225"/>
      <c r="P241" s="225"/>
      <c r="Q241" s="225"/>
      <c r="R241" s="225"/>
      <c r="S241" s="225"/>
      <c r="T241" s="225"/>
      <c r="U241" s="225"/>
      <c r="V241" s="225"/>
      <c r="W241" s="225"/>
      <c r="X241" s="225"/>
      <c r="Y241" s="225"/>
      <c r="Z241" s="225"/>
    </row>
    <row r="242">
      <c r="A242" s="225"/>
      <c r="B242" s="225"/>
      <c r="C242" s="225"/>
      <c r="D242" s="225"/>
      <c r="E242" s="225"/>
      <c r="F242" s="225"/>
      <c r="G242" s="225"/>
      <c r="H242" s="225"/>
      <c r="I242" s="225"/>
      <c r="J242" s="225"/>
      <c r="K242" s="225"/>
      <c r="L242" s="225"/>
      <c r="M242" s="225"/>
      <c r="N242" s="225"/>
      <c r="O242" s="225"/>
      <c r="P242" s="225"/>
      <c r="Q242" s="225"/>
      <c r="R242" s="225"/>
      <c r="S242" s="225"/>
      <c r="T242" s="225"/>
      <c r="U242" s="225"/>
      <c r="V242" s="225"/>
      <c r="W242" s="225"/>
      <c r="X242" s="225"/>
      <c r="Y242" s="225"/>
      <c r="Z242" s="225"/>
    </row>
    <row r="243">
      <c r="A243" s="225"/>
      <c r="B243" s="225"/>
      <c r="C243" s="225"/>
      <c r="D243" s="225"/>
      <c r="E243" s="225"/>
      <c r="F243" s="225"/>
      <c r="G243" s="225"/>
      <c r="H243" s="225"/>
      <c r="I243" s="225"/>
      <c r="J243" s="225"/>
      <c r="K243" s="225"/>
      <c r="L243" s="225"/>
      <c r="M243" s="225"/>
      <c r="N243" s="225"/>
      <c r="O243" s="225"/>
      <c r="P243" s="225"/>
      <c r="Q243" s="225"/>
      <c r="R243" s="225"/>
      <c r="S243" s="225"/>
      <c r="T243" s="225"/>
      <c r="U243" s="225"/>
      <c r="V243" s="225"/>
      <c r="W243" s="225"/>
      <c r="X243" s="225"/>
      <c r="Y243" s="225"/>
      <c r="Z243" s="225"/>
    </row>
    <row r="244">
      <c r="A244" s="225"/>
      <c r="B244" s="225"/>
      <c r="C244" s="225"/>
      <c r="D244" s="225"/>
      <c r="E244" s="225"/>
      <c r="F244" s="225"/>
      <c r="G244" s="225"/>
      <c r="H244" s="225"/>
      <c r="I244" s="225"/>
      <c r="J244" s="225"/>
      <c r="K244" s="225"/>
      <c r="L244" s="225"/>
      <c r="M244" s="225"/>
      <c r="N244" s="225"/>
      <c r="O244" s="225"/>
      <c r="P244" s="225"/>
      <c r="Q244" s="225"/>
      <c r="R244" s="225"/>
      <c r="S244" s="225"/>
      <c r="T244" s="225"/>
      <c r="U244" s="225"/>
      <c r="V244" s="225"/>
      <c r="W244" s="225"/>
      <c r="X244" s="225"/>
      <c r="Y244" s="225"/>
      <c r="Z244" s="225"/>
    </row>
    <row r="245">
      <c r="A245" s="225"/>
      <c r="B245" s="225"/>
      <c r="C245" s="225"/>
      <c r="D245" s="225"/>
      <c r="E245" s="225"/>
      <c r="F245" s="225"/>
      <c r="G245" s="225"/>
      <c r="H245" s="225"/>
      <c r="I245" s="225"/>
      <c r="J245" s="225"/>
      <c r="K245" s="225"/>
      <c r="L245" s="225"/>
      <c r="M245" s="225"/>
      <c r="N245" s="225"/>
      <c r="O245" s="225"/>
      <c r="P245" s="225"/>
      <c r="Q245" s="225"/>
      <c r="R245" s="225"/>
      <c r="S245" s="225"/>
      <c r="T245" s="225"/>
      <c r="U245" s="225"/>
      <c r="V245" s="225"/>
      <c r="W245" s="225"/>
      <c r="X245" s="225"/>
      <c r="Y245" s="225"/>
      <c r="Z245" s="225"/>
    </row>
    <row r="246">
      <c r="A246" s="225"/>
      <c r="B246" s="225"/>
      <c r="C246" s="225"/>
      <c r="D246" s="225"/>
      <c r="E246" s="225"/>
      <c r="F246" s="225"/>
      <c r="G246" s="225"/>
      <c r="H246" s="225"/>
      <c r="I246" s="225"/>
      <c r="J246" s="225"/>
      <c r="K246" s="225"/>
      <c r="L246" s="225"/>
      <c r="M246" s="225"/>
      <c r="N246" s="225"/>
      <c r="O246" s="225"/>
      <c r="P246" s="225"/>
      <c r="Q246" s="225"/>
      <c r="R246" s="225"/>
      <c r="S246" s="225"/>
      <c r="T246" s="225"/>
      <c r="U246" s="225"/>
      <c r="V246" s="225"/>
      <c r="W246" s="225"/>
      <c r="X246" s="225"/>
      <c r="Y246" s="225"/>
      <c r="Z246" s="225"/>
    </row>
    <row r="247">
      <c r="A247" s="225"/>
      <c r="B247" s="225"/>
      <c r="C247" s="225"/>
      <c r="D247" s="225"/>
      <c r="E247" s="225"/>
      <c r="F247" s="225"/>
      <c r="G247" s="225"/>
      <c r="H247" s="225"/>
      <c r="I247" s="225"/>
      <c r="J247" s="225"/>
      <c r="K247" s="225"/>
      <c r="L247" s="225"/>
      <c r="M247" s="225"/>
      <c r="N247" s="225"/>
      <c r="O247" s="225"/>
      <c r="P247" s="225"/>
      <c r="Q247" s="225"/>
      <c r="R247" s="225"/>
      <c r="S247" s="225"/>
      <c r="T247" s="225"/>
      <c r="U247" s="225"/>
      <c r="V247" s="225"/>
      <c r="W247" s="225"/>
      <c r="X247" s="225"/>
      <c r="Y247" s="225"/>
      <c r="Z247" s="225"/>
    </row>
    <row r="248">
      <c r="A248" s="225"/>
      <c r="B248" s="225"/>
      <c r="C248" s="225"/>
      <c r="D248" s="225"/>
      <c r="E248" s="225"/>
      <c r="F248" s="225"/>
      <c r="G248" s="225"/>
      <c r="H248" s="225"/>
      <c r="I248" s="225"/>
      <c r="J248" s="225"/>
      <c r="K248" s="225"/>
      <c r="L248" s="225"/>
      <c r="M248" s="225"/>
      <c r="N248" s="225"/>
      <c r="O248" s="225"/>
      <c r="P248" s="225"/>
      <c r="Q248" s="225"/>
      <c r="R248" s="225"/>
      <c r="S248" s="225"/>
      <c r="T248" s="225"/>
      <c r="U248" s="225"/>
      <c r="V248" s="225"/>
      <c r="W248" s="225"/>
      <c r="X248" s="225"/>
      <c r="Y248" s="225"/>
      <c r="Z248" s="225"/>
    </row>
    <row r="249">
      <c r="A249" s="225"/>
      <c r="B249" s="225"/>
      <c r="C249" s="225"/>
      <c r="D249" s="225"/>
      <c r="E249" s="225"/>
      <c r="F249" s="225"/>
      <c r="G249" s="225"/>
      <c r="H249" s="225"/>
      <c r="I249" s="225"/>
      <c r="J249" s="225"/>
      <c r="K249" s="225"/>
      <c r="L249" s="225"/>
      <c r="M249" s="225"/>
      <c r="N249" s="225"/>
      <c r="O249" s="225"/>
      <c r="P249" s="225"/>
      <c r="Q249" s="225"/>
      <c r="R249" s="225"/>
      <c r="S249" s="225"/>
      <c r="T249" s="225"/>
      <c r="U249" s="225"/>
      <c r="V249" s="225"/>
      <c r="W249" s="225"/>
      <c r="X249" s="225"/>
      <c r="Y249" s="225"/>
      <c r="Z249" s="225"/>
    </row>
    <row r="250">
      <c r="A250" s="225"/>
      <c r="B250" s="225"/>
      <c r="C250" s="225"/>
      <c r="D250" s="225"/>
      <c r="E250" s="225"/>
      <c r="F250" s="225"/>
      <c r="G250" s="225"/>
      <c r="H250" s="225"/>
      <c r="I250" s="225"/>
      <c r="J250" s="225"/>
      <c r="K250" s="225"/>
      <c r="L250" s="225"/>
      <c r="M250" s="225"/>
      <c r="N250" s="225"/>
      <c r="O250" s="225"/>
      <c r="P250" s="225"/>
      <c r="Q250" s="225"/>
      <c r="R250" s="225"/>
      <c r="S250" s="225"/>
      <c r="T250" s="225"/>
      <c r="U250" s="225"/>
      <c r="V250" s="225"/>
      <c r="W250" s="225"/>
      <c r="X250" s="225"/>
      <c r="Y250" s="225"/>
      <c r="Z250" s="225"/>
    </row>
    <row r="251">
      <c r="A251" s="225"/>
      <c r="B251" s="225"/>
      <c r="C251" s="225"/>
      <c r="D251" s="225"/>
      <c r="E251" s="225"/>
      <c r="F251" s="225"/>
      <c r="G251" s="225"/>
      <c r="H251" s="225"/>
      <c r="I251" s="225"/>
      <c r="J251" s="225"/>
      <c r="K251" s="225"/>
      <c r="L251" s="225"/>
      <c r="M251" s="225"/>
      <c r="N251" s="225"/>
      <c r="O251" s="225"/>
      <c r="P251" s="225"/>
      <c r="Q251" s="225"/>
      <c r="R251" s="225"/>
      <c r="S251" s="225"/>
      <c r="T251" s="225"/>
      <c r="U251" s="225"/>
      <c r="V251" s="225"/>
      <c r="W251" s="225"/>
      <c r="X251" s="225"/>
      <c r="Y251" s="225"/>
      <c r="Z251" s="225"/>
    </row>
    <row r="252">
      <c r="A252" s="225"/>
      <c r="B252" s="225"/>
      <c r="C252" s="225"/>
      <c r="D252" s="225"/>
      <c r="E252" s="225"/>
      <c r="F252" s="225"/>
      <c r="G252" s="225"/>
      <c r="H252" s="225"/>
      <c r="I252" s="225"/>
      <c r="J252" s="225"/>
      <c r="K252" s="225"/>
      <c r="L252" s="225"/>
      <c r="M252" s="225"/>
      <c r="N252" s="225"/>
      <c r="O252" s="225"/>
      <c r="P252" s="225"/>
      <c r="Q252" s="225"/>
      <c r="R252" s="225"/>
      <c r="S252" s="225"/>
      <c r="T252" s="225"/>
      <c r="U252" s="225"/>
      <c r="V252" s="225"/>
      <c r="W252" s="225"/>
      <c r="X252" s="225"/>
      <c r="Y252" s="225"/>
      <c r="Z252" s="225"/>
    </row>
    <row r="253">
      <c r="A253" s="225"/>
      <c r="B253" s="225"/>
      <c r="C253" s="225"/>
      <c r="D253" s="225"/>
      <c r="E253" s="225"/>
      <c r="F253" s="225"/>
      <c r="G253" s="225"/>
      <c r="H253" s="225"/>
      <c r="I253" s="225"/>
      <c r="J253" s="225"/>
      <c r="K253" s="225"/>
      <c r="L253" s="225"/>
      <c r="M253" s="225"/>
      <c r="N253" s="225"/>
      <c r="O253" s="225"/>
      <c r="P253" s="225"/>
      <c r="Q253" s="225"/>
      <c r="R253" s="225"/>
      <c r="S253" s="225"/>
      <c r="T253" s="225"/>
      <c r="U253" s="225"/>
      <c r="V253" s="225"/>
      <c r="W253" s="225"/>
      <c r="X253" s="225"/>
      <c r="Y253" s="225"/>
      <c r="Z253" s="225"/>
    </row>
    <row r="254">
      <c r="A254" s="225"/>
      <c r="B254" s="225"/>
      <c r="C254" s="225"/>
      <c r="D254" s="225"/>
      <c r="E254" s="225"/>
      <c r="F254" s="225"/>
      <c r="G254" s="225"/>
      <c r="H254" s="225"/>
      <c r="I254" s="225"/>
      <c r="J254" s="225"/>
      <c r="K254" s="225"/>
      <c r="L254" s="225"/>
      <c r="M254" s="225"/>
      <c r="N254" s="225"/>
      <c r="O254" s="225"/>
      <c r="P254" s="225"/>
      <c r="Q254" s="225"/>
      <c r="R254" s="225"/>
      <c r="S254" s="225"/>
      <c r="T254" s="225"/>
      <c r="U254" s="225"/>
      <c r="V254" s="225"/>
      <c r="W254" s="225"/>
      <c r="X254" s="225"/>
      <c r="Y254" s="225"/>
      <c r="Z254" s="225"/>
    </row>
    <row r="255">
      <c r="A255" s="225"/>
      <c r="B255" s="225"/>
      <c r="C255" s="225"/>
      <c r="D255" s="225"/>
      <c r="E255" s="225"/>
      <c r="F255" s="225"/>
      <c r="G255" s="225"/>
      <c r="H255" s="225"/>
      <c r="I255" s="225"/>
      <c r="J255" s="225"/>
      <c r="K255" s="225"/>
      <c r="L255" s="225"/>
      <c r="M255" s="225"/>
      <c r="N255" s="225"/>
      <c r="O255" s="225"/>
      <c r="P255" s="225"/>
      <c r="Q255" s="225"/>
      <c r="R255" s="225"/>
      <c r="S255" s="225"/>
      <c r="T255" s="225"/>
      <c r="U255" s="225"/>
      <c r="V255" s="225"/>
      <c r="W255" s="225"/>
      <c r="X255" s="225"/>
      <c r="Y255" s="225"/>
      <c r="Z255" s="225"/>
    </row>
    <row r="256">
      <c r="A256" s="225"/>
      <c r="B256" s="225"/>
      <c r="C256" s="225"/>
      <c r="D256" s="225"/>
      <c r="E256" s="225"/>
      <c r="F256" s="225"/>
      <c r="G256" s="225"/>
      <c r="H256" s="225"/>
      <c r="I256" s="225"/>
      <c r="J256" s="225"/>
      <c r="K256" s="225"/>
      <c r="L256" s="225"/>
      <c r="M256" s="225"/>
      <c r="N256" s="225"/>
      <c r="O256" s="225"/>
      <c r="P256" s="225"/>
      <c r="Q256" s="225"/>
      <c r="R256" s="225"/>
      <c r="S256" s="225"/>
      <c r="T256" s="225"/>
      <c r="U256" s="225"/>
      <c r="V256" s="225"/>
      <c r="W256" s="225"/>
      <c r="X256" s="225"/>
      <c r="Y256" s="225"/>
      <c r="Z256" s="225"/>
    </row>
    <row r="257">
      <c r="A257" s="225"/>
      <c r="B257" s="225"/>
      <c r="C257" s="225"/>
      <c r="D257" s="225"/>
      <c r="E257" s="225"/>
      <c r="F257" s="225"/>
      <c r="G257" s="225"/>
      <c r="H257" s="225"/>
      <c r="I257" s="225"/>
      <c r="J257" s="225"/>
      <c r="K257" s="225"/>
      <c r="L257" s="225"/>
      <c r="M257" s="225"/>
      <c r="N257" s="225"/>
      <c r="O257" s="225"/>
      <c r="P257" s="225"/>
      <c r="Q257" s="225"/>
      <c r="R257" s="225"/>
      <c r="S257" s="225"/>
      <c r="T257" s="225"/>
      <c r="U257" s="225"/>
      <c r="V257" s="225"/>
      <c r="W257" s="225"/>
      <c r="X257" s="225"/>
      <c r="Y257" s="225"/>
      <c r="Z257" s="225"/>
    </row>
    <row r="258">
      <c r="A258" s="225"/>
      <c r="B258" s="225"/>
      <c r="C258" s="225"/>
      <c r="D258" s="225"/>
      <c r="E258" s="225"/>
      <c r="F258" s="225"/>
      <c r="G258" s="225"/>
      <c r="H258" s="225"/>
      <c r="I258" s="225"/>
      <c r="J258" s="225"/>
      <c r="K258" s="225"/>
      <c r="L258" s="225"/>
      <c r="M258" s="225"/>
      <c r="N258" s="225"/>
      <c r="O258" s="225"/>
      <c r="P258" s="225"/>
      <c r="Q258" s="225"/>
      <c r="R258" s="225"/>
      <c r="S258" s="225"/>
      <c r="T258" s="225"/>
      <c r="U258" s="225"/>
      <c r="V258" s="225"/>
      <c r="W258" s="225"/>
      <c r="X258" s="225"/>
      <c r="Y258" s="225"/>
      <c r="Z258" s="225"/>
    </row>
    <row r="259">
      <c r="A259" s="225"/>
      <c r="B259" s="225"/>
      <c r="C259" s="225"/>
      <c r="D259" s="225"/>
      <c r="E259" s="225"/>
      <c r="F259" s="225"/>
      <c r="G259" s="225"/>
      <c r="H259" s="225"/>
      <c r="I259" s="225"/>
      <c r="J259" s="225"/>
      <c r="K259" s="225"/>
      <c r="L259" s="225"/>
      <c r="M259" s="225"/>
      <c r="N259" s="225"/>
      <c r="O259" s="225"/>
      <c r="P259" s="225"/>
      <c r="Q259" s="225"/>
      <c r="R259" s="225"/>
      <c r="S259" s="225"/>
      <c r="T259" s="225"/>
      <c r="U259" s="225"/>
      <c r="V259" s="225"/>
      <c r="W259" s="225"/>
      <c r="X259" s="225"/>
      <c r="Y259" s="225"/>
      <c r="Z259" s="225"/>
    </row>
    <row r="260">
      <c r="A260" s="225"/>
      <c r="B260" s="225"/>
      <c r="C260" s="225"/>
      <c r="D260" s="225"/>
      <c r="E260" s="225"/>
      <c r="F260" s="225"/>
      <c r="G260" s="225"/>
      <c r="H260" s="225"/>
      <c r="I260" s="225"/>
      <c r="J260" s="225"/>
      <c r="K260" s="225"/>
      <c r="L260" s="225"/>
      <c r="M260" s="225"/>
      <c r="N260" s="225"/>
      <c r="O260" s="225"/>
      <c r="P260" s="225"/>
      <c r="Q260" s="225"/>
      <c r="R260" s="225"/>
      <c r="S260" s="225"/>
      <c r="T260" s="225"/>
      <c r="U260" s="225"/>
      <c r="V260" s="225"/>
      <c r="W260" s="225"/>
      <c r="X260" s="225"/>
      <c r="Y260" s="225"/>
      <c r="Z260" s="225"/>
    </row>
    <row r="261">
      <c r="A261" s="225"/>
      <c r="B261" s="225"/>
      <c r="C261" s="225"/>
      <c r="D261" s="225"/>
      <c r="E261" s="225"/>
      <c r="F261" s="225"/>
      <c r="G261" s="225"/>
      <c r="H261" s="225"/>
      <c r="I261" s="225"/>
      <c r="J261" s="225"/>
      <c r="K261" s="225"/>
      <c r="L261" s="225"/>
      <c r="M261" s="225"/>
      <c r="N261" s="225"/>
      <c r="O261" s="225"/>
      <c r="P261" s="225"/>
      <c r="Q261" s="225"/>
      <c r="R261" s="225"/>
      <c r="S261" s="225"/>
      <c r="T261" s="225"/>
      <c r="U261" s="225"/>
      <c r="V261" s="225"/>
      <c r="W261" s="225"/>
      <c r="X261" s="225"/>
      <c r="Y261" s="225"/>
      <c r="Z261" s="225"/>
    </row>
    <row r="262">
      <c r="A262" s="225"/>
      <c r="B262" s="225"/>
      <c r="C262" s="225"/>
      <c r="D262" s="225"/>
      <c r="E262" s="225"/>
      <c r="F262" s="225"/>
      <c r="G262" s="225"/>
      <c r="H262" s="225"/>
      <c r="I262" s="225"/>
      <c r="J262" s="225"/>
      <c r="K262" s="225"/>
      <c r="L262" s="225"/>
      <c r="M262" s="225"/>
      <c r="N262" s="225"/>
      <c r="O262" s="225"/>
      <c r="P262" s="225"/>
      <c r="Q262" s="225"/>
      <c r="R262" s="225"/>
      <c r="S262" s="225"/>
      <c r="T262" s="225"/>
      <c r="U262" s="225"/>
      <c r="V262" s="225"/>
      <c r="W262" s="225"/>
      <c r="X262" s="225"/>
      <c r="Y262" s="225"/>
      <c r="Z262" s="225"/>
    </row>
    <row r="263">
      <c r="A263" s="225"/>
      <c r="B263" s="225"/>
      <c r="C263" s="225"/>
      <c r="D263" s="225"/>
      <c r="E263" s="225"/>
      <c r="F263" s="225"/>
      <c r="G263" s="225"/>
      <c r="H263" s="225"/>
      <c r="I263" s="225"/>
      <c r="J263" s="225"/>
      <c r="K263" s="225"/>
      <c r="L263" s="225"/>
      <c r="M263" s="225"/>
      <c r="N263" s="225"/>
      <c r="O263" s="225"/>
      <c r="P263" s="225"/>
      <c r="Q263" s="225"/>
      <c r="R263" s="225"/>
      <c r="S263" s="225"/>
      <c r="T263" s="225"/>
      <c r="U263" s="225"/>
      <c r="V263" s="225"/>
      <c r="W263" s="225"/>
      <c r="X263" s="225"/>
      <c r="Y263" s="225"/>
      <c r="Z263" s="225"/>
    </row>
    <row r="264">
      <c r="A264" s="225"/>
      <c r="B264" s="225"/>
      <c r="C264" s="225"/>
      <c r="D264" s="225"/>
      <c r="E264" s="225"/>
      <c r="F264" s="225"/>
      <c r="G264" s="225"/>
      <c r="H264" s="225"/>
      <c r="I264" s="225"/>
      <c r="J264" s="225"/>
      <c r="K264" s="225"/>
      <c r="L264" s="225"/>
      <c r="M264" s="225"/>
      <c r="N264" s="225"/>
      <c r="O264" s="225"/>
      <c r="P264" s="225"/>
      <c r="Q264" s="225"/>
      <c r="R264" s="225"/>
      <c r="S264" s="225"/>
      <c r="T264" s="225"/>
      <c r="U264" s="225"/>
      <c r="V264" s="225"/>
      <c r="W264" s="225"/>
      <c r="X264" s="225"/>
      <c r="Y264" s="225"/>
      <c r="Z264" s="225"/>
    </row>
    <row r="265">
      <c r="A265" s="225"/>
      <c r="B265" s="225"/>
      <c r="C265" s="225"/>
      <c r="D265" s="225"/>
      <c r="E265" s="225"/>
      <c r="F265" s="225"/>
      <c r="G265" s="225"/>
      <c r="H265" s="225"/>
      <c r="I265" s="225"/>
      <c r="J265" s="225"/>
      <c r="K265" s="225"/>
      <c r="L265" s="225"/>
      <c r="M265" s="225"/>
      <c r="N265" s="225"/>
      <c r="O265" s="225"/>
      <c r="P265" s="225"/>
      <c r="Q265" s="225"/>
      <c r="R265" s="225"/>
      <c r="S265" s="225"/>
      <c r="T265" s="225"/>
      <c r="U265" s="225"/>
      <c r="V265" s="225"/>
      <c r="W265" s="225"/>
      <c r="X265" s="225"/>
      <c r="Y265" s="225"/>
      <c r="Z265" s="225"/>
    </row>
    <row r="266">
      <c r="A266" s="225"/>
      <c r="B266" s="225"/>
      <c r="C266" s="225"/>
      <c r="D266" s="225"/>
      <c r="E266" s="225"/>
      <c r="F266" s="225"/>
      <c r="G266" s="225"/>
      <c r="H266" s="225"/>
      <c r="I266" s="225"/>
      <c r="J266" s="225"/>
      <c r="K266" s="225"/>
      <c r="L266" s="225"/>
      <c r="M266" s="225"/>
      <c r="N266" s="225"/>
      <c r="O266" s="225"/>
      <c r="P266" s="225"/>
      <c r="Q266" s="225"/>
      <c r="R266" s="225"/>
      <c r="S266" s="225"/>
      <c r="T266" s="225"/>
      <c r="U266" s="225"/>
      <c r="V266" s="225"/>
      <c r="W266" s="225"/>
      <c r="X266" s="225"/>
      <c r="Y266" s="225"/>
      <c r="Z266" s="225"/>
    </row>
    <row r="267">
      <c r="A267" s="225"/>
      <c r="B267" s="225"/>
      <c r="C267" s="225"/>
      <c r="D267" s="225"/>
      <c r="E267" s="225"/>
      <c r="F267" s="225"/>
      <c r="G267" s="225"/>
      <c r="H267" s="225"/>
      <c r="I267" s="225"/>
      <c r="J267" s="225"/>
      <c r="K267" s="225"/>
      <c r="L267" s="225"/>
      <c r="M267" s="225"/>
      <c r="N267" s="225"/>
      <c r="O267" s="225"/>
      <c r="P267" s="225"/>
      <c r="Q267" s="225"/>
      <c r="R267" s="225"/>
      <c r="S267" s="225"/>
      <c r="T267" s="225"/>
      <c r="U267" s="225"/>
      <c r="V267" s="225"/>
      <c r="W267" s="225"/>
      <c r="X267" s="225"/>
      <c r="Y267" s="225"/>
      <c r="Z267" s="225"/>
    </row>
    <row r="268">
      <c r="A268" s="225"/>
      <c r="B268" s="225"/>
      <c r="C268" s="225"/>
      <c r="D268" s="225"/>
      <c r="E268" s="225"/>
      <c r="F268" s="225"/>
      <c r="G268" s="225"/>
      <c r="H268" s="225"/>
      <c r="I268" s="225"/>
      <c r="J268" s="225"/>
      <c r="K268" s="225"/>
      <c r="L268" s="225"/>
      <c r="M268" s="225"/>
      <c r="N268" s="225"/>
      <c r="O268" s="225"/>
      <c r="P268" s="225"/>
      <c r="Q268" s="225"/>
      <c r="R268" s="225"/>
      <c r="S268" s="225"/>
      <c r="T268" s="225"/>
      <c r="U268" s="225"/>
      <c r="V268" s="225"/>
      <c r="W268" s="225"/>
      <c r="X268" s="225"/>
      <c r="Y268" s="225"/>
      <c r="Z268" s="225"/>
    </row>
    <row r="269">
      <c r="A269" s="225"/>
      <c r="B269" s="225"/>
      <c r="C269" s="225"/>
      <c r="D269" s="225"/>
      <c r="E269" s="225"/>
      <c r="F269" s="225"/>
      <c r="G269" s="225"/>
      <c r="H269" s="225"/>
      <c r="I269" s="225"/>
      <c r="J269" s="225"/>
      <c r="K269" s="225"/>
      <c r="L269" s="225"/>
      <c r="M269" s="225"/>
      <c r="N269" s="225"/>
      <c r="O269" s="225"/>
      <c r="P269" s="225"/>
      <c r="Q269" s="225"/>
      <c r="R269" s="225"/>
      <c r="S269" s="225"/>
      <c r="T269" s="225"/>
      <c r="U269" s="225"/>
      <c r="V269" s="225"/>
      <c r="W269" s="225"/>
      <c r="X269" s="225"/>
      <c r="Y269" s="225"/>
      <c r="Z269" s="225"/>
    </row>
    <row r="270">
      <c r="A270" s="225"/>
      <c r="B270" s="225"/>
      <c r="C270" s="225"/>
      <c r="D270" s="225"/>
      <c r="E270" s="225"/>
      <c r="F270" s="225"/>
      <c r="G270" s="225"/>
      <c r="H270" s="225"/>
      <c r="I270" s="225"/>
      <c r="J270" s="225"/>
      <c r="K270" s="225"/>
      <c r="L270" s="225"/>
      <c r="M270" s="225"/>
      <c r="N270" s="225"/>
      <c r="O270" s="225"/>
      <c r="P270" s="225"/>
      <c r="Q270" s="225"/>
      <c r="R270" s="225"/>
      <c r="S270" s="225"/>
      <c r="T270" s="225"/>
      <c r="U270" s="225"/>
      <c r="V270" s="225"/>
      <c r="W270" s="225"/>
      <c r="X270" s="225"/>
      <c r="Y270" s="225"/>
      <c r="Z270" s="225"/>
    </row>
    <row r="271">
      <c r="A271" s="225"/>
      <c r="B271" s="225"/>
      <c r="C271" s="225"/>
      <c r="D271" s="225"/>
      <c r="E271" s="225"/>
      <c r="F271" s="225"/>
      <c r="G271" s="225"/>
      <c r="H271" s="225"/>
      <c r="I271" s="225"/>
      <c r="J271" s="225"/>
      <c r="K271" s="225"/>
      <c r="L271" s="225"/>
      <c r="M271" s="225"/>
      <c r="N271" s="225"/>
      <c r="O271" s="225"/>
      <c r="P271" s="225"/>
      <c r="Q271" s="225"/>
      <c r="R271" s="225"/>
      <c r="S271" s="225"/>
      <c r="T271" s="225"/>
      <c r="U271" s="225"/>
      <c r="V271" s="225"/>
      <c r="W271" s="225"/>
      <c r="X271" s="225"/>
      <c r="Y271" s="225"/>
      <c r="Z271" s="225"/>
    </row>
    <row r="272">
      <c r="A272" s="225"/>
      <c r="B272" s="225"/>
      <c r="C272" s="225"/>
      <c r="D272" s="225"/>
      <c r="E272" s="225"/>
      <c r="F272" s="225"/>
      <c r="G272" s="225"/>
      <c r="H272" s="225"/>
      <c r="I272" s="225"/>
      <c r="J272" s="225"/>
      <c r="K272" s="225"/>
      <c r="L272" s="225"/>
      <c r="M272" s="225"/>
      <c r="N272" s="225"/>
      <c r="O272" s="225"/>
      <c r="P272" s="225"/>
      <c r="Q272" s="225"/>
      <c r="R272" s="225"/>
      <c r="S272" s="225"/>
      <c r="T272" s="225"/>
      <c r="U272" s="225"/>
      <c r="V272" s="225"/>
      <c r="W272" s="225"/>
      <c r="X272" s="225"/>
      <c r="Y272" s="225"/>
      <c r="Z272" s="225"/>
    </row>
    <row r="273">
      <c r="A273" s="225"/>
      <c r="B273" s="225"/>
      <c r="C273" s="225"/>
      <c r="D273" s="225"/>
      <c r="E273" s="225"/>
      <c r="F273" s="225"/>
      <c r="G273" s="225"/>
      <c r="H273" s="225"/>
      <c r="I273" s="225"/>
      <c r="J273" s="225"/>
      <c r="K273" s="225"/>
      <c r="L273" s="225"/>
      <c r="M273" s="225"/>
      <c r="N273" s="225"/>
      <c r="O273" s="225"/>
      <c r="P273" s="225"/>
      <c r="Q273" s="225"/>
      <c r="R273" s="225"/>
      <c r="S273" s="225"/>
      <c r="T273" s="225"/>
      <c r="U273" s="225"/>
      <c r="V273" s="225"/>
      <c r="W273" s="225"/>
      <c r="X273" s="225"/>
      <c r="Y273" s="225"/>
      <c r="Z273" s="225"/>
    </row>
    <row r="274">
      <c r="A274" s="225"/>
      <c r="B274" s="225"/>
      <c r="C274" s="225"/>
      <c r="D274" s="225"/>
      <c r="E274" s="225"/>
      <c r="F274" s="225"/>
      <c r="G274" s="225"/>
      <c r="H274" s="225"/>
      <c r="I274" s="225"/>
      <c r="J274" s="225"/>
      <c r="K274" s="225"/>
      <c r="L274" s="225"/>
      <c r="M274" s="225"/>
      <c r="N274" s="225"/>
      <c r="O274" s="225"/>
      <c r="P274" s="225"/>
      <c r="Q274" s="225"/>
      <c r="R274" s="225"/>
      <c r="S274" s="225"/>
      <c r="T274" s="225"/>
      <c r="U274" s="225"/>
      <c r="V274" s="225"/>
      <c r="W274" s="225"/>
      <c r="X274" s="225"/>
      <c r="Y274" s="225"/>
      <c r="Z274" s="225"/>
    </row>
    <row r="275">
      <c r="A275" s="225"/>
      <c r="B275" s="225"/>
      <c r="C275" s="225"/>
      <c r="D275" s="225"/>
      <c r="E275" s="225"/>
      <c r="F275" s="225"/>
      <c r="G275" s="225"/>
      <c r="H275" s="225"/>
      <c r="I275" s="225"/>
      <c r="J275" s="225"/>
      <c r="K275" s="225"/>
      <c r="L275" s="225"/>
      <c r="M275" s="225"/>
      <c r="N275" s="225"/>
      <c r="O275" s="225"/>
      <c r="P275" s="225"/>
      <c r="Q275" s="225"/>
      <c r="R275" s="225"/>
      <c r="S275" s="225"/>
      <c r="T275" s="225"/>
      <c r="U275" s="225"/>
      <c r="V275" s="225"/>
      <c r="W275" s="225"/>
      <c r="X275" s="225"/>
      <c r="Y275" s="225"/>
      <c r="Z275" s="225"/>
    </row>
    <row r="276">
      <c r="A276" s="225"/>
      <c r="B276" s="225"/>
      <c r="C276" s="225"/>
      <c r="D276" s="225"/>
      <c r="E276" s="225"/>
      <c r="F276" s="225"/>
      <c r="G276" s="225"/>
      <c r="H276" s="225"/>
      <c r="I276" s="225"/>
      <c r="J276" s="225"/>
      <c r="K276" s="225"/>
      <c r="L276" s="225"/>
      <c r="M276" s="225"/>
      <c r="N276" s="225"/>
      <c r="O276" s="225"/>
      <c r="P276" s="225"/>
      <c r="Q276" s="225"/>
      <c r="R276" s="225"/>
      <c r="S276" s="225"/>
      <c r="T276" s="225"/>
      <c r="U276" s="225"/>
      <c r="V276" s="225"/>
      <c r="W276" s="225"/>
      <c r="X276" s="225"/>
      <c r="Y276" s="225"/>
      <c r="Z276" s="225"/>
    </row>
    <row r="277">
      <c r="A277" s="225"/>
      <c r="B277" s="225"/>
      <c r="C277" s="225"/>
      <c r="D277" s="225"/>
      <c r="E277" s="225"/>
      <c r="F277" s="225"/>
      <c r="G277" s="225"/>
      <c r="H277" s="225"/>
      <c r="I277" s="225"/>
      <c r="J277" s="225"/>
      <c r="K277" s="225"/>
      <c r="L277" s="225"/>
      <c r="M277" s="225"/>
      <c r="N277" s="225"/>
      <c r="O277" s="225"/>
      <c r="P277" s="225"/>
      <c r="Q277" s="225"/>
      <c r="R277" s="225"/>
      <c r="S277" s="225"/>
      <c r="T277" s="225"/>
      <c r="U277" s="225"/>
      <c r="V277" s="225"/>
      <c r="W277" s="225"/>
      <c r="X277" s="225"/>
      <c r="Y277" s="225"/>
      <c r="Z277" s="225"/>
    </row>
    <row r="278">
      <c r="A278" s="225"/>
      <c r="B278" s="225"/>
      <c r="C278" s="225"/>
      <c r="D278" s="225"/>
      <c r="E278" s="225"/>
      <c r="F278" s="225"/>
      <c r="G278" s="225"/>
      <c r="H278" s="225"/>
      <c r="I278" s="225"/>
      <c r="J278" s="225"/>
      <c r="K278" s="225"/>
      <c r="L278" s="225"/>
      <c r="M278" s="225"/>
      <c r="N278" s="225"/>
      <c r="O278" s="225"/>
      <c r="P278" s="225"/>
      <c r="Q278" s="225"/>
      <c r="R278" s="225"/>
      <c r="S278" s="225"/>
      <c r="T278" s="225"/>
      <c r="U278" s="225"/>
      <c r="V278" s="225"/>
      <c r="W278" s="225"/>
      <c r="X278" s="225"/>
      <c r="Y278" s="225"/>
      <c r="Z278" s="225"/>
    </row>
    <row r="279">
      <c r="A279" s="225"/>
      <c r="B279" s="225"/>
      <c r="C279" s="225"/>
      <c r="D279" s="225"/>
      <c r="E279" s="225"/>
      <c r="F279" s="225"/>
      <c r="G279" s="225"/>
      <c r="H279" s="225"/>
      <c r="I279" s="225"/>
      <c r="J279" s="225"/>
      <c r="K279" s="225"/>
      <c r="L279" s="225"/>
      <c r="M279" s="225"/>
      <c r="N279" s="225"/>
      <c r="O279" s="225"/>
      <c r="P279" s="225"/>
      <c r="Q279" s="225"/>
      <c r="R279" s="225"/>
      <c r="S279" s="225"/>
      <c r="T279" s="225"/>
      <c r="U279" s="225"/>
      <c r="V279" s="225"/>
      <c r="W279" s="225"/>
      <c r="X279" s="225"/>
      <c r="Y279" s="225"/>
      <c r="Z279" s="225"/>
    </row>
    <row r="280">
      <c r="A280" s="225"/>
      <c r="B280" s="225"/>
      <c r="C280" s="225"/>
      <c r="D280" s="225"/>
      <c r="E280" s="225"/>
      <c r="F280" s="225"/>
      <c r="G280" s="225"/>
      <c r="H280" s="225"/>
      <c r="I280" s="225"/>
      <c r="J280" s="225"/>
      <c r="K280" s="225"/>
      <c r="L280" s="225"/>
      <c r="M280" s="225"/>
      <c r="N280" s="225"/>
      <c r="O280" s="225"/>
      <c r="P280" s="225"/>
      <c r="Q280" s="225"/>
      <c r="R280" s="225"/>
      <c r="S280" s="225"/>
      <c r="T280" s="225"/>
      <c r="U280" s="225"/>
      <c r="V280" s="225"/>
      <c r="W280" s="225"/>
      <c r="X280" s="225"/>
      <c r="Y280" s="225"/>
      <c r="Z280" s="225"/>
    </row>
    <row r="281">
      <c r="A281" s="225"/>
      <c r="B281" s="225"/>
      <c r="C281" s="225"/>
      <c r="D281" s="225"/>
      <c r="E281" s="225"/>
      <c r="F281" s="225"/>
      <c r="G281" s="225"/>
      <c r="H281" s="225"/>
      <c r="I281" s="225"/>
      <c r="J281" s="225"/>
      <c r="K281" s="225"/>
      <c r="L281" s="225"/>
      <c r="M281" s="225"/>
      <c r="N281" s="225"/>
      <c r="O281" s="225"/>
      <c r="P281" s="225"/>
      <c r="Q281" s="225"/>
      <c r="R281" s="225"/>
      <c r="S281" s="225"/>
      <c r="T281" s="225"/>
      <c r="U281" s="225"/>
      <c r="V281" s="225"/>
      <c r="W281" s="225"/>
      <c r="X281" s="225"/>
      <c r="Y281" s="225"/>
      <c r="Z281" s="225"/>
    </row>
    <row r="282">
      <c r="A282" s="225"/>
      <c r="B282" s="225"/>
      <c r="C282" s="225"/>
      <c r="D282" s="225"/>
      <c r="E282" s="225"/>
      <c r="F282" s="225"/>
      <c r="G282" s="225"/>
      <c r="H282" s="225"/>
      <c r="I282" s="225"/>
      <c r="J282" s="225"/>
      <c r="K282" s="225"/>
      <c r="L282" s="225"/>
      <c r="M282" s="225"/>
      <c r="N282" s="225"/>
      <c r="O282" s="225"/>
      <c r="P282" s="225"/>
      <c r="Q282" s="225"/>
      <c r="R282" s="225"/>
      <c r="S282" s="225"/>
      <c r="T282" s="225"/>
      <c r="U282" s="225"/>
      <c r="V282" s="225"/>
      <c r="W282" s="225"/>
      <c r="X282" s="225"/>
      <c r="Y282" s="225"/>
      <c r="Z282" s="225"/>
    </row>
    <row r="283">
      <c r="A283" s="225"/>
      <c r="B283" s="225"/>
      <c r="C283" s="225"/>
      <c r="D283" s="225"/>
      <c r="E283" s="225"/>
      <c r="F283" s="225"/>
      <c r="G283" s="225"/>
      <c r="H283" s="225"/>
      <c r="I283" s="225"/>
      <c r="J283" s="225"/>
      <c r="K283" s="225"/>
      <c r="L283" s="225"/>
      <c r="M283" s="225"/>
      <c r="N283" s="225"/>
      <c r="O283" s="225"/>
      <c r="P283" s="225"/>
      <c r="Q283" s="225"/>
      <c r="R283" s="225"/>
      <c r="S283" s="225"/>
      <c r="T283" s="225"/>
      <c r="U283" s="225"/>
      <c r="V283" s="225"/>
      <c r="W283" s="225"/>
      <c r="X283" s="225"/>
      <c r="Y283" s="225"/>
      <c r="Z283" s="225"/>
    </row>
    <row r="284">
      <c r="A284" s="225"/>
      <c r="B284" s="225"/>
      <c r="C284" s="225"/>
      <c r="D284" s="225"/>
      <c r="E284" s="225"/>
      <c r="F284" s="225"/>
      <c r="G284" s="225"/>
      <c r="H284" s="225"/>
      <c r="I284" s="225"/>
      <c r="J284" s="225"/>
      <c r="K284" s="225"/>
      <c r="L284" s="225"/>
      <c r="M284" s="225"/>
      <c r="N284" s="225"/>
      <c r="O284" s="225"/>
      <c r="P284" s="225"/>
      <c r="Q284" s="225"/>
      <c r="R284" s="225"/>
      <c r="S284" s="225"/>
      <c r="T284" s="225"/>
      <c r="U284" s="225"/>
      <c r="V284" s="225"/>
      <c r="W284" s="225"/>
      <c r="X284" s="225"/>
      <c r="Y284" s="225"/>
      <c r="Z284" s="225"/>
    </row>
    <row r="285">
      <c r="A285" s="225"/>
      <c r="B285" s="225"/>
      <c r="C285" s="225"/>
      <c r="D285" s="225"/>
      <c r="E285" s="225"/>
      <c r="F285" s="225"/>
      <c r="G285" s="225"/>
      <c r="H285" s="225"/>
      <c r="I285" s="225"/>
      <c r="J285" s="225"/>
      <c r="K285" s="225"/>
      <c r="L285" s="225"/>
      <c r="M285" s="225"/>
      <c r="N285" s="225"/>
      <c r="O285" s="225"/>
      <c r="P285" s="225"/>
      <c r="Q285" s="225"/>
      <c r="R285" s="225"/>
      <c r="S285" s="225"/>
      <c r="T285" s="225"/>
      <c r="U285" s="225"/>
      <c r="V285" s="225"/>
      <c r="W285" s="225"/>
      <c r="X285" s="225"/>
      <c r="Y285" s="225"/>
      <c r="Z285" s="225"/>
    </row>
    <row r="286">
      <c r="A286" s="225"/>
      <c r="B286" s="225"/>
      <c r="C286" s="225"/>
      <c r="D286" s="225"/>
      <c r="E286" s="225"/>
      <c r="F286" s="225"/>
      <c r="G286" s="225"/>
      <c r="H286" s="225"/>
      <c r="I286" s="225"/>
      <c r="J286" s="225"/>
      <c r="K286" s="225"/>
      <c r="L286" s="225"/>
      <c r="M286" s="225"/>
      <c r="N286" s="225"/>
      <c r="O286" s="225"/>
      <c r="P286" s="225"/>
      <c r="Q286" s="225"/>
      <c r="R286" s="225"/>
      <c r="S286" s="225"/>
      <c r="T286" s="225"/>
      <c r="U286" s="225"/>
      <c r="V286" s="225"/>
      <c r="W286" s="225"/>
      <c r="X286" s="225"/>
      <c r="Y286" s="225"/>
      <c r="Z286" s="225"/>
    </row>
    <row r="287">
      <c r="A287" s="225"/>
      <c r="B287" s="225"/>
      <c r="C287" s="225"/>
      <c r="D287" s="225"/>
      <c r="E287" s="225"/>
      <c r="F287" s="225"/>
      <c r="G287" s="225"/>
      <c r="H287" s="225"/>
      <c r="I287" s="225"/>
      <c r="J287" s="225"/>
      <c r="K287" s="225"/>
      <c r="L287" s="225"/>
      <c r="M287" s="225"/>
      <c r="N287" s="225"/>
      <c r="O287" s="225"/>
      <c r="P287" s="225"/>
      <c r="Q287" s="225"/>
      <c r="R287" s="225"/>
      <c r="S287" s="225"/>
      <c r="T287" s="225"/>
      <c r="U287" s="225"/>
      <c r="V287" s="225"/>
      <c r="W287" s="225"/>
      <c r="X287" s="225"/>
      <c r="Y287" s="225"/>
      <c r="Z287" s="225"/>
    </row>
    <row r="288">
      <c r="A288" s="225"/>
      <c r="B288" s="225"/>
      <c r="C288" s="225"/>
      <c r="D288" s="225"/>
      <c r="E288" s="225"/>
      <c r="F288" s="225"/>
      <c r="G288" s="225"/>
      <c r="H288" s="225"/>
      <c r="I288" s="225"/>
      <c r="J288" s="225"/>
      <c r="K288" s="225"/>
      <c r="L288" s="225"/>
      <c r="M288" s="225"/>
      <c r="N288" s="225"/>
      <c r="O288" s="225"/>
      <c r="P288" s="225"/>
      <c r="Q288" s="225"/>
      <c r="R288" s="225"/>
      <c r="S288" s="225"/>
      <c r="T288" s="225"/>
      <c r="U288" s="225"/>
      <c r="V288" s="225"/>
      <c r="W288" s="225"/>
      <c r="X288" s="225"/>
      <c r="Y288" s="225"/>
      <c r="Z288" s="225"/>
    </row>
    <row r="289">
      <c r="A289" s="225"/>
      <c r="B289" s="225"/>
      <c r="C289" s="225"/>
      <c r="D289" s="225"/>
      <c r="E289" s="225"/>
      <c r="F289" s="225"/>
      <c r="G289" s="225"/>
      <c r="H289" s="225"/>
      <c r="I289" s="225"/>
      <c r="J289" s="225"/>
      <c r="K289" s="225"/>
      <c r="L289" s="225"/>
      <c r="M289" s="225"/>
      <c r="N289" s="225"/>
      <c r="O289" s="225"/>
      <c r="P289" s="225"/>
      <c r="Q289" s="225"/>
      <c r="R289" s="225"/>
      <c r="S289" s="225"/>
      <c r="T289" s="225"/>
      <c r="U289" s="225"/>
      <c r="V289" s="225"/>
      <c r="W289" s="225"/>
      <c r="X289" s="225"/>
      <c r="Y289" s="225"/>
      <c r="Z289" s="225"/>
    </row>
    <row r="290">
      <c r="A290" s="225"/>
      <c r="B290" s="225"/>
      <c r="C290" s="225"/>
      <c r="D290" s="225"/>
      <c r="E290" s="225"/>
      <c r="F290" s="225"/>
      <c r="G290" s="225"/>
      <c r="H290" s="225"/>
      <c r="I290" s="225"/>
      <c r="J290" s="225"/>
      <c r="K290" s="225"/>
      <c r="L290" s="225"/>
      <c r="M290" s="225"/>
      <c r="N290" s="225"/>
      <c r="O290" s="225"/>
      <c r="P290" s="225"/>
      <c r="Q290" s="225"/>
      <c r="R290" s="225"/>
      <c r="S290" s="225"/>
      <c r="T290" s="225"/>
      <c r="U290" s="225"/>
      <c r="V290" s="225"/>
      <c r="W290" s="225"/>
      <c r="X290" s="225"/>
      <c r="Y290" s="225"/>
      <c r="Z290" s="225"/>
    </row>
    <row r="291">
      <c r="A291" s="225"/>
      <c r="B291" s="225"/>
      <c r="C291" s="225"/>
      <c r="D291" s="225"/>
      <c r="E291" s="225"/>
      <c r="F291" s="225"/>
      <c r="G291" s="225"/>
      <c r="H291" s="225"/>
      <c r="I291" s="225"/>
      <c r="J291" s="225"/>
      <c r="K291" s="225"/>
      <c r="L291" s="225"/>
      <c r="M291" s="225"/>
      <c r="N291" s="225"/>
      <c r="O291" s="225"/>
      <c r="P291" s="225"/>
      <c r="Q291" s="225"/>
      <c r="R291" s="225"/>
      <c r="S291" s="225"/>
      <c r="T291" s="225"/>
      <c r="U291" s="225"/>
      <c r="V291" s="225"/>
      <c r="W291" s="225"/>
      <c r="X291" s="225"/>
      <c r="Y291" s="225"/>
      <c r="Z291" s="225"/>
    </row>
    <row r="292">
      <c r="A292" s="225"/>
      <c r="B292" s="225"/>
      <c r="C292" s="225"/>
      <c r="D292" s="225"/>
      <c r="E292" s="225"/>
      <c r="F292" s="225"/>
      <c r="G292" s="225"/>
      <c r="H292" s="225"/>
      <c r="I292" s="225"/>
      <c r="J292" s="225"/>
      <c r="K292" s="225"/>
      <c r="L292" s="225"/>
      <c r="M292" s="225"/>
      <c r="N292" s="225"/>
      <c r="O292" s="225"/>
      <c r="P292" s="225"/>
      <c r="Q292" s="225"/>
      <c r="R292" s="225"/>
      <c r="S292" s="225"/>
      <c r="T292" s="225"/>
      <c r="U292" s="225"/>
      <c r="V292" s="225"/>
      <c r="W292" s="225"/>
      <c r="X292" s="225"/>
      <c r="Y292" s="225"/>
      <c r="Z292" s="225"/>
    </row>
    <row r="293">
      <c r="A293" s="225"/>
      <c r="B293" s="225"/>
      <c r="C293" s="225"/>
      <c r="D293" s="225"/>
      <c r="E293" s="225"/>
      <c r="F293" s="225"/>
      <c r="G293" s="225"/>
      <c r="H293" s="225"/>
      <c r="I293" s="225"/>
      <c r="J293" s="225"/>
      <c r="K293" s="225"/>
      <c r="L293" s="225"/>
      <c r="M293" s="225"/>
      <c r="N293" s="225"/>
      <c r="O293" s="225"/>
      <c r="P293" s="225"/>
      <c r="Q293" s="225"/>
      <c r="R293" s="225"/>
      <c r="S293" s="225"/>
      <c r="T293" s="225"/>
      <c r="U293" s="225"/>
      <c r="V293" s="225"/>
      <c r="W293" s="225"/>
      <c r="X293" s="225"/>
      <c r="Y293" s="225"/>
      <c r="Z293" s="225"/>
    </row>
    <row r="294">
      <c r="A294" s="225"/>
      <c r="B294" s="225"/>
      <c r="C294" s="225"/>
      <c r="D294" s="225"/>
      <c r="E294" s="225"/>
      <c r="F294" s="225"/>
      <c r="G294" s="225"/>
      <c r="H294" s="225"/>
      <c r="I294" s="225"/>
      <c r="J294" s="225"/>
      <c r="K294" s="225"/>
      <c r="L294" s="225"/>
      <c r="M294" s="225"/>
      <c r="N294" s="225"/>
      <c r="O294" s="225"/>
      <c r="P294" s="225"/>
      <c r="Q294" s="225"/>
      <c r="R294" s="225"/>
      <c r="S294" s="225"/>
      <c r="T294" s="225"/>
      <c r="U294" s="225"/>
      <c r="V294" s="225"/>
      <c r="W294" s="225"/>
      <c r="X294" s="225"/>
      <c r="Y294" s="225"/>
      <c r="Z294" s="225"/>
    </row>
    <row r="295">
      <c r="A295" s="225"/>
      <c r="B295" s="225"/>
      <c r="C295" s="225"/>
      <c r="D295" s="225"/>
      <c r="E295" s="225"/>
      <c r="F295" s="225"/>
      <c r="G295" s="225"/>
      <c r="H295" s="225"/>
      <c r="I295" s="225"/>
      <c r="J295" s="225"/>
      <c r="K295" s="225"/>
      <c r="L295" s="225"/>
      <c r="M295" s="225"/>
      <c r="N295" s="225"/>
      <c r="O295" s="225"/>
      <c r="P295" s="225"/>
      <c r="Q295" s="225"/>
      <c r="R295" s="225"/>
      <c r="S295" s="225"/>
      <c r="T295" s="225"/>
      <c r="U295" s="225"/>
      <c r="V295" s="225"/>
      <c r="W295" s="225"/>
      <c r="X295" s="225"/>
      <c r="Y295" s="225"/>
      <c r="Z295" s="225"/>
    </row>
    <row r="296">
      <c r="A296" s="225"/>
      <c r="B296" s="225"/>
      <c r="C296" s="225"/>
      <c r="D296" s="225"/>
      <c r="E296" s="225"/>
      <c r="F296" s="225"/>
      <c r="G296" s="225"/>
      <c r="H296" s="225"/>
      <c r="I296" s="225"/>
      <c r="J296" s="225"/>
      <c r="K296" s="225"/>
      <c r="L296" s="225"/>
      <c r="M296" s="225"/>
      <c r="N296" s="225"/>
      <c r="O296" s="225"/>
      <c r="P296" s="225"/>
      <c r="Q296" s="225"/>
      <c r="R296" s="225"/>
      <c r="S296" s="225"/>
      <c r="T296" s="225"/>
      <c r="U296" s="225"/>
      <c r="V296" s="225"/>
      <c r="W296" s="225"/>
      <c r="X296" s="225"/>
      <c r="Y296" s="225"/>
      <c r="Z296" s="225"/>
    </row>
    <row r="297">
      <c r="A297" s="225"/>
      <c r="B297" s="225"/>
      <c r="C297" s="225"/>
      <c r="D297" s="225"/>
      <c r="E297" s="225"/>
      <c r="F297" s="225"/>
      <c r="G297" s="225"/>
      <c r="H297" s="225"/>
      <c r="I297" s="225"/>
      <c r="J297" s="225"/>
      <c r="K297" s="225"/>
      <c r="L297" s="225"/>
      <c r="M297" s="225"/>
      <c r="N297" s="225"/>
      <c r="O297" s="225"/>
      <c r="P297" s="225"/>
      <c r="Q297" s="225"/>
      <c r="R297" s="225"/>
      <c r="S297" s="225"/>
      <c r="T297" s="225"/>
      <c r="U297" s="225"/>
      <c r="V297" s="225"/>
      <c r="W297" s="225"/>
      <c r="X297" s="225"/>
      <c r="Y297" s="225"/>
      <c r="Z297" s="225"/>
    </row>
    <row r="298">
      <c r="A298" s="225"/>
      <c r="B298" s="225"/>
      <c r="C298" s="225"/>
      <c r="D298" s="225"/>
      <c r="E298" s="225"/>
      <c r="F298" s="225"/>
      <c r="G298" s="225"/>
      <c r="H298" s="225"/>
      <c r="I298" s="225"/>
      <c r="J298" s="225"/>
      <c r="K298" s="225"/>
      <c r="L298" s="225"/>
      <c r="M298" s="225"/>
      <c r="N298" s="225"/>
      <c r="O298" s="225"/>
      <c r="P298" s="225"/>
      <c r="Q298" s="225"/>
      <c r="R298" s="225"/>
      <c r="S298" s="225"/>
      <c r="T298" s="225"/>
      <c r="U298" s="225"/>
      <c r="V298" s="225"/>
      <c r="W298" s="225"/>
      <c r="X298" s="225"/>
      <c r="Y298" s="225"/>
      <c r="Z298" s="225"/>
    </row>
    <row r="299">
      <c r="A299" s="225"/>
      <c r="B299" s="225"/>
      <c r="C299" s="225"/>
      <c r="D299" s="225"/>
      <c r="E299" s="225"/>
      <c r="F299" s="225"/>
      <c r="G299" s="225"/>
      <c r="H299" s="225"/>
      <c r="I299" s="225"/>
      <c r="J299" s="225"/>
      <c r="K299" s="225"/>
      <c r="L299" s="225"/>
      <c r="M299" s="225"/>
      <c r="N299" s="225"/>
      <c r="O299" s="225"/>
      <c r="P299" s="225"/>
      <c r="Q299" s="225"/>
      <c r="R299" s="225"/>
      <c r="S299" s="225"/>
      <c r="T299" s="225"/>
      <c r="U299" s="225"/>
      <c r="V299" s="225"/>
      <c r="W299" s="225"/>
      <c r="X299" s="225"/>
      <c r="Y299" s="225"/>
      <c r="Z299" s="225"/>
    </row>
    <row r="300">
      <c r="A300" s="225"/>
      <c r="B300" s="225"/>
      <c r="C300" s="225"/>
      <c r="D300" s="225"/>
      <c r="E300" s="225"/>
      <c r="F300" s="225"/>
      <c r="G300" s="225"/>
      <c r="H300" s="225"/>
      <c r="I300" s="225"/>
      <c r="J300" s="225"/>
      <c r="K300" s="225"/>
      <c r="L300" s="225"/>
      <c r="M300" s="225"/>
      <c r="N300" s="225"/>
      <c r="O300" s="225"/>
      <c r="P300" s="225"/>
      <c r="Q300" s="225"/>
      <c r="R300" s="225"/>
      <c r="S300" s="225"/>
      <c r="T300" s="225"/>
      <c r="U300" s="225"/>
      <c r="V300" s="225"/>
      <c r="W300" s="225"/>
      <c r="X300" s="225"/>
      <c r="Y300" s="225"/>
      <c r="Z300" s="225"/>
    </row>
    <row r="301">
      <c r="A301" s="225"/>
      <c r="B301" s="225"/>
      <c r="C301" s="225"/>
      <c r="D301" s="225"/>
      <c r="E301" s="225"/>
      <c r="F301" s="225"/>
      <c r="G301" s="225"/>
      <c r="H301" s="225"/>
      <c r="I301" s="225"/>
      <c r="J301" s="225"/>
      <c r="K301" s="225"/>
      <c r="L301" s="225"/>
      <c r="M301" s="225"/>
      <c r="N301" s="225"/>
      <c r="O301" s="225"/>
      <c r="P301" s="225"/>
      <c r="Q301" s="225"/>
      <c r="R301" s="225"/>
      <c r="S301" s="225"/>
      <c r="T301" s="225"/>
      <c r="U301" s="225"/>
      <c r="V301" s="225"/>
      <c r="W301" s="225"/>
      <c r="X301" s="225"/>
      <c r="Y301" s="225"/>
      <c r="Z301" s="225"/>
    </row>
    <row r="302">
      <c r="A302" s="225"/>
      <c r="B302" s="225"/>
      <c r="C302" s="225"/>
      <c r="D302" s="225"/>
      <c r="E302" s="225"/>
      <c r="F302" s="225"/>
      <c r="G302" s="225"/>
      <c r="H302" s="225"/>
      <c r="I302" s="225"/>
      <c r="J302" s="225"/>
      <c r="K302" s="225"/>
      <c r="L302" s="225"/>
      <c r="M302" s="225"/>
      <c r="N302" s="225"/>
      <c r="O302" s="225"/>
      <c r="P302" s="225"/>
      <c r="Q302" s="225"/>
      <c r="R302" s="225"/>
      <c r="S302" s="225"/>
      <c r="T302" s="225"/>
      <c r="U302" s="225"/>
      <c r="V302" s="225"/>
      <c r="W302" s="225"/>
      <c r="X302" s="225"/>
      <c r="Y302" s="225"/>
      <c r="Z302" s="225"/>
    </row>
    <row r="303">
      <c r="A303" s="225"/>
      <c r="B303" s="225"/>
      <c r="C303" s="225"/>
      <c r="D303" s="225"/>
      <c r="E303" s="225"/>
      <c r="F303" s="225"/>
      <c r="G303" s="225"/>
      <c r="H303" s="225"/>
      <c r="I303" s="225"/>
      <c r="J303" s="225"/>
      <c r="K303" s="225"/>
      <c r="L303" s="225"/>
      <c r="M303" s="225"/>
      <c r="N303" s="225"/>
      <c r="O303" s="225"/>
      <c r="P303" s="225"/>
      <c r="Q303" s="225"/>
      <c r="R303" s="225"/>
      <c r="S303" s="225"/>
      <c r="T303" s="225"/>
      <c r="U303" s="225"/>
      <c r="V303" s="225"/>
      <c r="W303" s="225"/>
      <c r="X303" s="225"/>
      <c r="Y303" s="225"/>
      <c r="Z303" s="225"/>
    </row>
    <row r="304">
      <c r="A304" s="225"/>
      <c r="B304" s="225"/>
      <c r="C304" s="225"/>
      <c r="D304" s="225"/>
      <c r="E304" s="225"/>
      <c r="F304" s="225"/>
      <c r="G304" s="225"/>
      <c r="H304" s="225"/>
      <c r="I304" s="225"/>
      <c r="J304" s="225"/>
      <c r="K304" s="225"/>
      <c r="L304" s="225"/>
      <c r="M304" s="225"/>
      <c r="N304" s="225"/>
      <c r="O304" s="225"/>
      <c r="P304" s="225"/>
      <c r="Q304" s="225"/>
      <c r="R304" s="225"/>
      <c r="S304" s="225"/>
      <c r="T304" s="225"/>
      <c r="U304" s="225"/>
      <c r="V304" s="225"/>
      <c r="W304" s="225"/>
      <c r="X304" s="225"/>
      <c r="Y304" s="225"/>
      <c r="Z304" s="225"/>
    </row>
    <row r="305">
      <c r="A305" s="225"/>
      <c r="B305" s="225"/>
      <c r="C305" s="225"/>
      <c r="D305" s="225"/>
      <c r="E305" s="225"/>
      <c r="F305" s="225"/>
      <c r="G305" s="225"/>
      <c r="H305" s="225"/>
      <c r="I305" s="225"/>
      <c r="J305" s="225"/>
      <c r="K305" s="225"/>
      <c r="L305" s="225"/>
      <c r="M305" s="225"/>
      <c r="N305" s="225"/>
      <c r="O305" s="225"/>
      <c r="P305" s="225"/>
      <c r="Q305" s="225"/>
      <c r="R305" s="225"/>
      <c r="S305" s="225"/>
      <c r="T305" s="225"/>
      <c r="U305" s="225"/>
      <c r="V305" s="225"/>
      <c r="W305" s="225"/>
      <c r="X305" s="225"/>
      <c r="Y305" s="225"/>
      <c r="Z305" s="225"/>
    </row>
    <row r="306">
      <c r="A306" s="225"/>
      <c r="B306" s="225"/>
      <c r="C306" s="225"/>
      <c r="D306" s="225"/>
      <c r="E306" s="225"/>
      <c r="F306" s="225"/>
      <c r="G306" s="225"/>
      <c r="H306" s="225"/>
      <c r="I306" s="225"/>
      <c r="J306" s="225"/>
      <c r="K306" s="225"/>
      <c r="L306" s="225"/>
      <c r="M306" s="225"/>
      <c r="N306" s="225"/>
      <c r="O306" s="225"/>
      <c r="P306" s="225"/>
      <c r="Q306" s="225"/>
      <c r="R306" s="225"/>
      <c r="S306" s="225"/>
      <c r="T306" s="225"/>
      <c r="U306" s="225"/>
      <c r="V306" s="225"/>
      <c r="W306" s="225"/>
      <c r="X306" s="225"/>
      <c r="Y306" s="225"/>
      <c r="Z306" s="225"/>
    </row>
    <row r="307">
      <c r="A307" s="225"/>
      <c r="B307" s="225"/>
      <c r="C307" s="225"/>
      <c r="D307" s="225"/>
      <c r="E307" s="225"/>
      <c r="F307" s="225"/>
      <c r="G307" s="225"/>
      <c r="H307" s="225"/>
      <c r="I307" s="225"/>
      <c r="J307" s="225"/>
      <c r="K307" s="225"/>
      <c r="L307" s="225"/>
      <c r="M307" s="225"/>
      <c r="N307" s="225"/>
      <c r="O307" s="225"/>
      <c r="P307" s="225"/>
      <c r="Q307" s="225"/>
      <c r="R307" s="225"/>
      <c r="S307" s="225"/>
      <c r="T307" s="225"/>
      <c r="U307" s="225"/>
      <c r="V307" s="225"/>
      <c r="W307" s="225"/>
      <c r="X307" s="225"/>
      <c r="Y307" s="225"/>
      <c r="Z307" s="225"/>
    </row>
    <row r="308">
      <c r="A308" s="225"/>
      <c r="B308" s="225"/>
      <c r="C308" s="225"/>
      <c r="D308" s="225"/>
      <c r="E308" s="225"/>
      <c r="F308" s="225"/>
      <c r="G308" s="225"/>
      <c r="H308" s="225"/>
      <c r="I308" s="225"/>
      <c r="J308" s="225"/>
      <c r="K308" s="225"/>
      <c r="L308" s="225"/>
      <c r="M308" s="225"/>
      <c r="N308" s="225"/>
      <c r="O308" s="225"/>
      <c r="P308" s="225"/>
      <c r="Q308" s="225"/>
      <c r="R308" s="225"/>
      <c r="S308" s="225"/>
      <c r="T308" s="225"/>
      <c r="U308" s="225"/>
      <c r="V308" s="225"/>
      <c r="W308" s="225"/>
      <c r="X308" s="225"/>
      <c r="Y308" s="225"/>
      <c r="Z308" s="225"/>
    </row>
    <row r="309">
      <c r="A309" s="225"/>
      <c r="B309" s="225"/>
      <c r="C309" s="225"/>
      <c r="D309" s="225"/>
      <c r="E309" s="225"/>
      <c r="F309" s="225"/>
      <c r="G309" s="225"/>
      <c r="H309" s="225"/>
      <c r="I309" s="225"/>
      <c r="J309" s="225"/>
      <c r="K309" s="225"/>
      <c r="L309" s="225"/>
      <c r="M309" s="225"/>
      <c r="N309" s="225"/>
      <c r="O309" s="225"/>
      <c r="P309" s="225"/>
      <c r="Q309" s="225"/>
      <c r="R309" s="225"/>
      <c r="S309" s="225"/>
      <c r="T309" s="225"/>
      <c r="U309" s="225"/>
      <c r="V309" s="225"/>
      <c r="W309" s="225"/>
      <c r="X309" s="225"/>
      <c r="Y309" s="225"/>
      <c r="Z309" s="225"/>
    </row>
    <row r="310">
      <c r="A310" s="225"/>
      <c r="B310" s="225"/>
      <c r="C310" s="225"/>
      <c r="D310" s="225"/>
      <c r="E310" s="225"/>
      <c r="F310" s="225"/>
      <c r="G310" s="225"/>
      <c r="H310" s="225"/>
      <c r="I310" s="225"/>
      <c r="J310" s="225"/>
      <c r="K310" s="225"/>
      <c r="L310" s="225"/>
      <c r="M310" s="225"/>
      <c r="N310" s="225"/>
      <c r="O310" s="225"/>
      <c r="P310" s="225"/>
      <c r="Q310" s="225"/>
      <c r="R310" s="225"/>
      <c r="S310" s="225"/>
      <c r="T310" s="225"/>
      <c r="U310" s="225"/>
      <c r="V310" s="225"/>
      <c r="W310" s="225"/>
      <c r="X310" s="225"/>
      <c r="Y310" s="225"/>
      <c r="Z310" s="225"/>
    </row>
    <row r="311">
      <c r="A311" s="225"/>
      <c r="B311" s="225"/>
      <c r="C311" s="225"/>
      <c r="D311" s="225"/>
      <c r="E311" s="225"/>
      <c r="F311" s="225"/>
      <c r="G311" s="225"/>
      <c r="H311" s="225"/>
      <c r="I311" s="225"/>
      <c r="J311" s="225"/>
      <c r="K311" s="225"/>
      <c r="L311" s="225"/>
      <c r="M311" s="225"/>
      <c r="N311" s="225"/>
      <c r="O311" s="225"/>
      <c r="P311" s="225"/>
      <c r="Q311" s="225"/>
      <c r="R311" s="225"/>
      <c r="S311" s="225"/>
      <c r="T311" s="225"/>
      <c r="U311" s="225"/>
      <c r="V311" s="225"/>
      <c r="W311" s="225"/>
      <c r="X311" s="225"/>
      <c r="Y311" s="225"/>
      <c r="Z311" s="225"/>
    </row>
    <row r="312">
      <c r="A312" s="225"/>
      <c r="B312" s="225"/>
      <c r="C312" s="225"/>
      <c r="D312" s="225"/>
      <c r="E312" s="225"/>
      <c r="F312" s="225"/>
      <c r="G312" s="225"/>
      <c r="H312" s="225"/>
      <c r="I312" s="225"/>
      <c r="J312" s="225"/>
      <c r="K312" s="225"/>
      <c r="L312" s="225"/>
      <c r="M312" s="225"/>
      <c r="N312" s="225"/>
      <c r="O312" s="225"/>
      <c r="P312" s="225"/>
      <c r="Q312" s="225"/>
      <c r="R312" s="225"/>
      <c r="S312" s="225"/>
      <c r="T312" s="225"/>
      <c r="U312" s="225"/>
      <c r="V312" s="225"/>
      <c r="W312" s="225"/>
      <c r="X312" s="225"/>
      <c r="Y312" s="225"/>
      <c r="Z312" s="225"/>
    </row>
    <row r="313">
      <c r="A313" s="225"/>
      <c r="B313" s="225"/>
      <c r="C313" s="225"/>
      <c r="D313" s="225"/>
      <c r="E313" s="225"/>
      <c r="F313" s="225"/>
      <c r="G313" s="225"/>
      <c r="H313" s="225"/>
      <c r="I313" s="225"/>
      <c r="J313" s="225"/>
      <c r="K313" s="225"/>
      <c r="L313" s="225"/>
      <c r="M313" s="225"/>
      <c r="N313" s="225"/>
      <c r="O313" s="225"/>
      <c r="P313" s="225"/>
      <c r="Q313" s="225"/>
      <c r="R313" s="225"/>
      <c r="S313" s="225"/>
      <c r="T313" s="225"/>
      <c r="U313" s="225"/>
      <c r="V313" s="225"/>
      <c r="W313" s="225"/>
      <c r="X313" s="225"/>
      <c r="Y313" s="225"/>
      <c r="Z313" s="225"/>
    </row>
    <row r="314">
      <c r="A314" s="225"/>
      <c r="B314" s="225"/>
      <c r="C314" s="225"/>
      <c r="D314" s="225"/>
      <c r="E314" s="225"/>
      <c r="F314" s="225"/>
      <c r="G314" s="225"/>
      <c r="H314" s="225"/>
      <c r="I314" s="225"/>
      <c r="J314" s="225"/>
      <c r="K314" s="225"/>
      <c r="L314" s="225"/>
      <c r="M314" s="225"/>
      <c r="N314" s="225"/>
      <c r="O314" s="225"/>
      <c r="P314" s="225"/>
      <c r="Q314" s="225"/>
      <c r="R314" s="225"/>
      <c r="S314" s="225"/>
      <c r="T314" s="225"/>
      <c r="U314" s="225"/>
      <c r="V314" s="225"/>
      <c r="W314" s="225"/>
      <c r="X314" s="225"/>
      <c r="Y314" s="225"/>
      <c r="Z314" s="225"/>
    </row>
    <row r="315">
      <c r="A315" s="225"/>
      <c r="B315" s="225"/>
      <c r="C315" s="225"/>
      <c r="D315" s="225"/>
      <c r="E315" s="225"/>
      <c r="F315" s="225"/>
      <c r="G315" s="225"/>
      <c r="H315" s="225"/>
      <c r="I315" s="225"/>
      <c r="J315" s="225"/>
      <c r="K315" s="225"/>
      <c r="L315" s="225"/>
      <c r="M315" s="225"/>
      <c r="N315" s="225"/>
      <c r="O315" s="225"/>
      <c r="P315" s="225"/>
      <c r="Q315" s="225"/>
      <c r="R315" s="225"/>
      <c r="S315" s="225"/>
      <c r="T315" s="225"/>
      <c r="U315" s="225"/>
      <c r="V315" s="225"/>
      <c r="W315" s="225"/>
      <c r="X315" s="225"/>
      <c r="Y315" s="225"/>
      <c r="Z315" s="225"/>
    </row>
    <row r="316">
      <c r="A316" s="225"/>
      <c r="B316" s="225"/>
      <c r="C316" s="225"/>
      <c r="D316" s="225"/>
      <c r="E316" s="225"/>
      <c r="F316" s="225"/>
      <c r="G316" s="225"/>
      <c r="H316" s="225"/>
      <c r="I316" s="225"/>
      <c r="J316" s="225"/>
      <c r="K316" s="225"/>
      <c r="L316" s="225"/>
      <c r="M316" s="225"/>
      <c r="N316" s="225"/>
      <c r="O316" s="225"/>
      <c r="P316" s="225"/>
      <c r="Q316" s="225"/>
      <c r="R316" s="225"/>
      <c r="S316" s="225"/>
      <c r="T316" s="225"/>
      <c r="U316" s="225"/>
      <c r="V316" s="225"/>
      <c r="W316" s="225"/>
      <c r="X316" s="225"/>
      <c r="Y316" s="225"/>
      <c r="Z316" s="225"/>
    </row>
    <row r="317">
      <c r="A317" s="225"/>
      <c r="B317" s="225"/>
      <c r="C317" s="225"/>
      <c r="D317" s="225"/>
      <c r="E317" s="225"/>
      <c r="F317" s="225"/>
      <c r="G317" s="225"/>
      <c r="H317" s="225"/>
      <c r="I317" s="225"/>
      <c r="J317" s="225"/>
      <c r="K317" s="225"/>
      <c r="L317" s="225"/>
      <c r="M317" s="225"/>
      <c r="N317" s="225"/>
      <c r="O317" s="225"/>
      <c r="P317" s="225"/>
      <c r="Q317" s="225"/>
      <c r="R317" s="225"/>
      <c r="S317" s="225"/>
      <c r="T317" s="225"/>
      <c r="U317" s="225"/>
      <c r="V317" s="225"/>
      <c r="W317" s="225"/>
      <c r="X317" s="225"/>
      <c r="Y317" s="225"/>
      <c r="Z317" s="225"/>
    </row>
    <row r="318">
      <c r="A318" s="225"/>
      <c r="B318" s="225"/>
      <c r="C318" s="225"/>
      <c r="D318" s="225"/>
      <c r="E318" s="225"/>
      <c r="F318" s="225"/>
      <c r="G318" s="225"/>
      <c r="H318" s="225"/>
      <c r="I318" s="225"/>
      <c r="J318" s="225"/>
      <c r="K318" s="225"/>
      <c r="L318" s="225"/>
      <c r="M318" s="225"/>
      <c r="N318" s="225"/>
      <c r="O318" s="225"/>
      <c r="P318" s="225"/>
      <c r="Q318" s="225"/>
      <c r="R318" s="225"/>
      <c r="S318" s="225"/>
      <c r="T318" s="225"/>
      <c r="U318" s="225"/>
      <c r="V318" s="225"/>
      <c r="W318" s="225"/>
      <c r="X318" s="225"/>
      <c r="Y318" s="225"/>
      <c r="Z318" s="225"/>
    </row>
    <row r="319">
      <c r="A319" s="225"/>
      <c r="B319" s="225"/>
      <c r="C319" s="225"/>
      <c r="D319" s="225"/>
      <c r="E319" s="225"/>
      <c r="F319" s="225"/>
      <c r="G319" s="225"/>
      <c r="H319" s="225"/>
      <c r="I319" s="225"/>
      <c r="J319" s="225"/>
      <c r="K319" s="225"/>
      <c r="L319" s="225"/>
      <c r="M319" s="225"/>
      <c r="N319" s="225"/>
      <c r="O319" s="225"/>
      <c r="P319" s="225"/>
      <c r="Q319" s="225"/>
      <c r="R319" s="225"/>
      <c r="S319" s="225"/>
      <c r="T319" s="225"/>
      <c r="U319" s="225"/>
      <c r="V319" s="225"/>
      <c r="W319" s="225"/>
      <c r="X319" s="225"/>
      <c r="Y319" s="225"/>
      <c r="Z319" s="225"/>
    </row>
    <row r="320">
      <c r="A320" s="225"/>
      <c r="B320" s="225"/>
      <c r="C320" s="225"/>
      <c r="D320" s="225"/>
      <c r="E320" s="225"/>
      <c r="F320" s="225"/>
      <c r="G320" s="225"/>
      <c r="H320" s="225"/>
      <c r="I320" s="225"/>
      <c r="J320" s="225"/>
      <c r="K320" s="225"/>
      <c r="L320" s="225"/>
      <c r="M320" s="225"/>
      <c r="N320" s="225"/>
      <c r="O320" s="225"/>
      <c r="P320" s="225"/>
      <c r="Q320" s="225"/>
      <c r="R320" s="225"/>
      <c r="S320" s="225"/>
      <c r="T320" s="225"/>
      <c r="U320" s="225"/>
      <c r="V320" s="225"/>
      <c r="W320" s="225"/>
      <c r="X320" s="225"/>
      <c r="Y320" s="225"/>
      <c r="Z320" s="225"/>
    </row>
    <row r="321">
      <c r="A321" s="225"/>
      <c r="B321" s="225"/>
      <c r="C321" s="225"/>
      <c r="D321" s="225"/>
      <c r="E321" s="225"/>
      <c r="F321" s="225"/>
      <c r="G321" s="225"/>
      <c r="H321" s="225"/>
      <c r="I321" s="225"/>
      <c r="J321" s="225"/>
      <c r="K321" s="225"/>
      <c r="L321" s="225"/>
      <c r="M321" s="225"/>
      <c r="N321" s="225"/>
      <c r="O321" s="225"/>
      <c r="P321" s="225"/>
      <c r="Q321" s="225"/>
      <c r="R321" s="225"/>
      <c r="S321" s="225"/>
      <c r="T321" s="225"/>
      <c r="U321" s="225"/>
      <c r="V321" s="225"/>
      <c r="W321" s="225"/>
      <c r="X321" s="225"/>
      <c r="Y321" s="225"/>
      <c r="Z321" s="225"/>
    </row>
    <row r="322">
      <c r="A322" s="225"/>
      <c r="B322" s="225"/>
      <c r="C322" s="225"/>
      <c r="D322" s="225"/>
      <c r="E322" s="225"/>
      <c r="F322" s="225"/>
      <c r="G322" s="225"/>
      <c r="H322" s="225"/>
      <c r="I322" s="225"/>
      <c r="J322" s="225"/>
      <c r="K322" s="225"/>
      <c r="L322" s="225"/>
      <c r="M322" s="225"/>
      <c r="N322" s="225"/>
      <c r="O322" s="225"/>
      <c r="P322" s="225"/>
      <c r="Q322" s="225"/>
      <c r="R322" s="225"/>
      <c r="S322" s="225"/>
      <c r="T322" s="225"/>
      <c r="U322" s="225"/>
      <c r="V322" s="225"/>
      <c r="W322" s="225"/>
      <c r="X322" s="225"/>
      <c r="Y322" s="225"/>
      <c r="Z322" s="225"/>
    </row>
    <row r="323">
      <c r="A323" s="225"/>
      <c r="B323" s="225"/>
      <c r="C323" s="225"/>
      <c r="D323" s="225"/>
      <c r="E323" s="225"/>
      <c r="F323" s="225"/>
      <c r="G323" s="225"/>
      <c r="H323" s="225"/>
      <c r="I323" s="225"/>
      <c r="J323" s="225"/>
      <c r="K323" s="225"/>
      <c r="L323" s="225"/>
      <c r="M323" s="225"/>
      <c r="N323" s="225"/>
      <c r="O323" s="225"/>
      <c r="P323" s="225"/>
      <c r="Q323" s="225"/>
      <c r="R323" s="225"/>
      <c r="S323" s="225"/>
      <c r="T323" s="225"/>
      <c r="U323" s="225"/>
      <c r="V323" s="225"/>
      <c r="W323" s="225"/>
      <c r="X323" s="225"/>
      <c r="Y323" s="225"/>
      <c r="Z323" s="225"/>
    </row>
    <row r="324">
      <c r="A324" s="225"/>
      <c r="B324" s="225"/>
      <c r="C324" s="225"/>
      <c r="D324" s="225"/>
      <c r="E324" s="225"/>
      <c r="F324" s="225"/>
      <c r="G324" s="225"/>
      <c r="H324" s="225"/>
      <c r="I324" s="225"/>
      <c r="J324" s="225"/>
      <c r="K324" s="225"/>
      <c r="L324" s="225"/>
      <c r="M324" s="225"/>
      <c r="N324" s="225"/>
      <c r="O324" s="225"/>
      <c r="P324" s="225"/>
      <c r="Q324" s="225"/>
      <c r="R324" s="225"/>
      <c r="S324" s="225"/>
      <c r="T324" s="225"/>
      <c r="U324" s="225"/>
      <c r="V324" s="225"/>
      <c r="W324" s="225"/>
      <c r="X324" s="225"/>
      <c r="Y324" s="225"/>
      <c r="Z324" s="225"/>
    </row>
    <row r="325">
      <c r="A325" s="225"/>
      <c r="B325" s="225"/>
      <c r="C325" s="225"/>
      <c r="D325" s="225"/>
      <c r="E325" s="225"/>
      <c r="F325" s="225"/>
      <c r="G325" s="225"/>
      <c r="H325" s="225"/>
      <c r="I325" s="225"/>
      <c r="J325" s="225"/>
      <c r="K325" s="225"/>
      <c r="L325" s="225"/>
      <c r="M325" s="225"/>
      <c r="N325" s="225"/>
      <c r="O325" s="225"/>
      <c r="P325" s="225"/>
      <c r="Q325" s="225"/>
      <c r="R325" s="225"/>
      <c r="S325" s="225"/>
      <c r="T325" s="225"/>
      <c r="U325" s="225"/>
      <c r="V325" s="225"/>
      <c r="W325" s="225"/>
      <c r="X325" s="225"/>
      <c r="Y325" s="225"/>
      <c r="Z325" s="225"/>
    </row>
    <row r="326">
      <c r="A326" s="225"/>
      <c r="B326" s="225"/>
      <c r="C326" s="225"/>
      <c r="D326" s="225"/>
      <c r="E326" s="225"/>
      <c r="F326" s="225"/>
      <c r="G326" s="225"/>
      <c r="H326" s="225"/>
      <c r="I326" s="225"/>
      <c r="J326" s="225"/>
      <c r="K326" s="225"/>
      <c r="L326" s="225"/>
      <c r="M326" s="225"/>
      <c r="N326" s="225"/>
      <c r="O326" s="225"/>
      <c r="P326" s="225"/>
      <c r="Q326" s="225"/>
      <c r="R326" s="225"/>
      <c r="S326" s="225"/>
      <c r="T326" s="225"/>
      <c r="U326" s="225"/>
      <c r="V326" s="225"/>
      <c r="W326" s="225"/>
      <c r="X326" s="225"/>
      <c r="Y326" s="225"/>
      <c r="Z326" s="225"/>
    </row>
    <row r="327">
      <c r="A327" s="225"/>
      <c r="B327" s="225"/>
      <c r="C327" s="225"/>
      <c r="D327" s="225"/>
      <c r="E327" s="225"/>
      <c r="F327" s="225"/>
      <c r="G327" s="225"/>
      <c r="H327" s="225"/>
      <c r="I327" s="225"/>
      <c r="J327" s="225"/>
      <c r="K327" s="225"/>
      <c r="L327" s="225"/>
      <c r="M327" s="225"/>
      <c r="N327" s="225"/>
      <c r="O327" s="225"/>
      <c r="P327" s="225"/>
      <c r="Q327" s="225"/>
      <c r="R327" s="225"/>
      <c r="S327" s="225"/>
      <c r="T327" s="225"/>
      <c r="U327" s="225"/>
      <c r="V327" s="225"/>
      <c r="W327" s="225"/>
      <c r="X327" s="225"/>
      <c r="Y327" s="225"/>
      <c r="Z327" s="225"/>
    </row>
    <row r="328">
      <c r="A328" s="225"/>
      <c r="B328" s="225"/>
      <c r="C328" s="225"/>
      <c r="D328" s="225"/>
      <c r="E328" s="225"/>
      <c r="F328" s="225"/>
      <c r="G328" s="225"/>
      <c r="H328" s="225"/>
      <c r="I328" s="225"/>
      <c r="J328" s="225"/>
      <c r="K328" s="225"/>
      <c r="L328" s="225"/>
      <c r="M328" s="225"/>
      <c r="N328" s="225"/>
      <c r="O328" s="225"/>
      <c r="P328" s="225"/>
      <c r="Q328" s="225"/>
      <c r="R328" s="225"/>
      <c r="S328" s="225"/>
      <c r="T328" s="225"/>
      <c r="U328" s="225"/>
      <c r="V328" s="225"/>
      <c r="W328" s="225"/>
      <c r="X328" s="225"/>
      <c r="Y328" s="225"/>
      <c r="Z328" s="225"/>
    </row>
    <row r="329">
      <c r="A329" s="225"/>
      <c r="B329" s="225"/>
      <c r="C329" s="225"/>
      <c r="D329" s="225"/>
      <c r="E329" s="225"/>
      <c r="F329" s="225"/>
      <c r="G329" s="225"/>
      <c r="H329" s="225"/>
      <c r="I329" s="225"/>
      <c r="J329" s="225"/>
      <c r="K329" s="225"/>
      <c r="L329" s="225"/>
      <c r="M329" s="225"/>
      <c r="N329" s="225"/>
      <c r="O329" s="225"/>
      <c r="P329" s="225"/>
      <c r="Q329" s="225"/>
      <c r="R329" s="225"/>
      <c r="S329" s="225"/>
      <c r="T329" s="225"/>
      <c r="U329" s="225"/>
      <c r="V329" s="225"/>
      <c r="W329" s="225"/>
      <c r="X329" s="225"/>
      <c r="Y329" s="225"/>
      <c r="Z329" s="225"/>
    </row>
    <row r="330">
      <c r="A330" s="225"/>
      <c r="B330" s="225"/>
      <c r="C330" s="225"/>
      <c r="D330" s="225"/>
      <c r="E330" s="225"/>
      <c r="F330" s="225"/>
      <c r="G330" s="225"/>
      <c r="H330" s="225"/>
      <c r="I330" s="225"/>
      <c r="J330" s="225"/>
      <c r="K330" s="225"/>
      <c r="L330" s="225"/>
      <c r="M330" s="225"/>
      <c r="N330" s="225"/>
      <c r="O330" s="225"/>
      <c r="P330" s="225"/>
      <c r="Q330" s="225"/>
      <c r="R330" s="225"/>
      <c r="S330" s="225"/>
      <c r="T330" s="225"/>
      <c r="U330" s="225"/>
      <c r="V330" s="225"/>
      <c r="W330" s="225"/>
      <c r="X330" s="225"/>
      <c r="Y330" s="225"/>
      <c r="Z330" s="225"/>
    </row>
    <row r="331">
      <c r="A331" s="225"/>
      <c r="B331" s="225"/>
      <c r="C331" s="225"/>
      <c r="D331" s="225"/>
      <c r="E331" s="225"/>
      <c r="F331" s="225"/>
      <c r="G331" s="225"/>
      <c r="H331" s="225"/>
      <c r="I331" s="225"/>
      <c r="J331" s="225"/>
      <c r="K331" s="225"/>
      <c r="L331" s="225"/>
      <c r="M331" s="225"/>
      <c r="N331" s="225"/>
      <c r="O331" s="225"/>
      <c r="P331" s="225"/>
      <c r="Q331" s="225"/>
      <c r="R331" s="225"/>
      <c r="S331" s="225"/>
      <c r="T331" s="225"/>
      <c r="U331" s="225"/>
      <c r="V331" s="225"/>
      <c r="W331" s="225"/>
      <c r="X331" s="225"/>
      <c r="Y331" s="225"/>
      <c r="Z331" s="225"/>
    </row>
    <row r="332">
      <c r="A332" s="225"/>
      <c r="B332" s="225"/>
      <c r="C332" s="225"/>
      <c r="D332" s="225"/>
      <c r="E332" s="225"/>
      <c r="F332" s="225"/>
      <c r="G332" s="225"/>
      <c r="H332" s="225"/>
      <c r="I332" s="225"/>
      <c r="J332" s="225"/>
      <c r="K332" s="225"/>
      <c r="L332" s="225"/>
      <c r="M332" s="225"/>
      <c r="N332" s="225"/>
      <c r="O332" s="225"/>
      <c r="P332" s="225"/>
      <c r="Q332" s="225"/>
      <c r="R332" s="225"/>
      <c r="S332" s="225"/>
      <c r="T332" s="225"/>
      <c r="U332" s="225"/>
      <c r="V332" s="225"/>
      <c r="W332" s="225"/>
      <c r="X332" s="225"/>
      <c r="Y332" s="225"/>
      <c r="Z332" s="225"/>
    </row>
    <row r="333">
      <c r="A333" s="225"/>
      <c r="B333" s="225"/>
      <c r="C333" s="225"/>
      <c r="D333" s="225"/>
      <c r="E333" s="225"/>
      <c r="F333" s="225"/>
      <c r="G333" s="225"/>
      <c r="H333" s="225"/>
      <c r="I333" s="225"/>
      <c r="J333" s="225"/>
      <c r="K333" s="225"/>
      <c r="L333" s="225"/>
      <c r="M333" s="225"/>
      <c r="N333" s="225"/>
      <c r="O333" s="225"/>
      <c r="P333" s="225"/>
      <c r="Q333" s="225"/>
      <c r="R333" s="225"/>
      <c r="S333" s="225"/>
      <c r="T333" s="225"/>
      <c r="U333" s="225"/>
      <c r="V333" s="225"/>
      <c r="W333" s="225"/>
      <c r="X333" s="225"/>
      <c r="Y333" s="225"/>
      <c r="Z333" s="225"/>
    </row>
    <row r="334">
      <c r="A334" s="225"/>
      <c r="B334" s="225"/>
      <c r="C334" s="225"/>
      <c r="D334" s="225"/>
      <c r="E334" s="225"/>
      <c r="F334" s="225"/>
      <c r="G334" s="225"/>
      <c r="H334" s="225"/>
      <c r="I334" s="225"/>
      <c r="J334" s="225"/>
      <c r="K334" s="225"/>
      <c r="L334" s="225"/>
      <c r="M334" s="225"/>
      <c r="N334" s="225"/>
      <c r="O334" s="225"/>
      <c r="P334" s="225"/>
      <c r="Q334" s="225"/>
      <c r="R334" s="225"/>
      <c r="S334" s="225"/>
      <c r="T334" s="225"/>
      <c r="U334" s="225"/>
      <c r="V334" s="225"/>
      <c r="W334" s="225"/>
      <c r="X334" s="225"/>
      <c r="Y334" s="225"/>
      <c r="Z334" s="225"/>
    </row>
    <row r="335">
      <c r="A335" s="225"/>
      <c r="B335" s="225"/>
      <c r="C335" s="225"/>
      <c r="D335" s="225"/>
      <c r="E335" s="225"/>
      <c r="F335" s="225"/>
      <c r="G335" s="225"/>
      <c r="H335" s="225"/>
      <c r="I335" s="225"/>
      <c r="J335" s="225"/>
      <c r="K335" s="225"/>
      <c r="L335" s="225"/>
      <c r="M335" s="225"/>
      <c r="N335" s="225"/>
      <c r="O335" s="225"/>
      <c r="P335" s="225"/>
      <c r="Q335" s="225"/>
      <c r="R335" s="225"/>
      <c r="S335" s="225"/>
      <c r="T335" s="225"/>
      <c r="U335" s="225"/>
      <c r="V335" s="225"/>
      <c r="W335" s="225"/>
      <c r="X335" s="225"/>
      <c r="Y335" s="225"/>
      <c r="Z335" s="225"/>
    </row>
    <row r="336">
      <c r="A336" s="225"/>
      <c r="B336" s="225"/>
      <c r="C336" s="225"/>
      <c r="D336" s="225"/>
      <c r="E336" s="225"/>
      <c r="F336" s="225"/>
      <c r="G336" s="225"/>
      <c r="H336" s="225"/>
      <c r="I336" s="225"/>
      <c r="J336" s="225"/>
      <c r="K336" s="225"/>
      <c r="L336" s="225"/>
      <c r="M336" s="225"/>
      <c r="N336" s="225"/>
      <c r="O336" s="225"/>
      <c r="P336" s="225"/>
      <c r="Q336" s="225"/>
      <c r="R336" s="225"/>
      <c r="S336" s="225"/>
      <c r="T336" s="225"/>
      <c r="U336" s="225"/>
      <c r="V336" s="225"/>
      <c r="W336" s="225"/>
      <c r="X336" s="225"/>
      <c r="Y336" s="225"/>
      <c r="Z336" s="225"/>
    </row>
    <row r="337">
      <c r="A337" s="225"/>
      <c r="B337" s="225"/>
      <c r="C337" s="225"/>
      <c r="D337" s="225"/>
      <c r="E337" s="225"/>
      <c r="F337" s="225"/>
      <c r="G337" s="225"/>
      <c r="H337" s="225"/>
      <c r="I337" s="225"/>
      <c r="J337" s="225"/>
      <c r="K337" s="225"/>
      <c r="L337" s="225"/>
      <c r="M337" s="225"/>
      <c r="N337" s="225"/>
      <c r="O337" s="225"/>
      <c r="P337" s="225"/>
      <c r="Q337" s="225"/>
      <c r="R337" s="225"/>
      <c r="S337" s="225"/>
      <c r="T337" s="225"/>
      <c r="U337" s="225"/>
      <c r="V337" s="225"/>
      <c r="W337" s="225"/>
      <c r="X337" s="225"/>
      <c r="Y337" s="225"/>
      <c r="Z337" s="225"/>
    </row>
    <row r="338">
      <c r="A338" s="225"/>
      <c r="B338" s="225"/>
      <c r="C338" s="225"/>
      <c r="D338" s="225"/>
      <c r="E338" s="225"/>
      <c r="F338" s="225"/>
      <c r="G338" s="225"/>
      <c r="H338" s="225"/>
      <c r="I338" s="225"/>
      <c r="J338" s="225"/>
      <c r="K338" s="225"/>
      <c r="L338" s="225"/>
      <c r="M338" s="225"/>
      <c r="N338" s="225"/>
      <c r="O338" s="225"/>
      <c r="P338" s="225"/>
      <c r="Q338" s="225"/>
      <c r="R338" s="225"/>
      <c r="S338" s="225"/>
      <c r="T338" s="225"/>
      <c r="U338" s="225"/>
      <c r="V338" s="225"/>
      <c r="W338" s="225"/>
      <c r="X338" s="225"/>
      <c r="Y338" s="225"/>
      <c r="Z338" s="225"/>
    </row>
    <row r="339">
      <c r="A339" s="225"/>
      <c r="B339" s="225"/>
      <c r="C339" s="225"/>
      <c r="D339" s="225"/>
      <c r="E339" s="225"/>
      <c r="F339" s="225"/>
      <c r="G339" s="225"/>
      <c r="H339" s="225"/>
      <c r="I339" s="225"/>
      <c r="J339" s="225"/>
      <c r="K339" s="225"/>
      <c r="L339" s="225"/>
      <c r="M339" s="225"/>
      <c r="N339" s="225"/>
      <c r="O339" s="225"/>
      <c r="P339" s="225"/>
      <c r="Q339" s="225"/>
      <c r="R339" s="225"/>
      <c r="S339" s="225"/>
      <c r="T339" s="225"/>
      <c r="U339" s="225"/>
      <c r="V339" s="225"/>
      <c r="W339" s="225"/>
      <c r="X339" s="225"/>
      <c r="Y339" s="225"/>
      <c r="Z339" s="225"/>
    </row>
    <row r="340">
      <c r="A340" s="225"/>
      <c r="B340" s="225"/>
      <c r="C340" s="225"/>
      <c r="D340" s="225"/>
      <c r="E340" s="225"/>
      <c r="F340" s="225"/>
      <c r="G340" s="225"/>
      <c r="H340" s="225"/>
      <c r="I340" s="225"/>
      <c r="J340" s="225"/>
      <c r="K340" s="225"/>
      <c r="L340" s="225"/>
      <c r="M340" s="225"/>
      <c r="N340" s="225"/>
      <c r="O340" s="225"/>
      <c r="P340" s="225"/>
      <c r="Q340" s="225"/>
      <c r="R340" s="225"/>
      <c r="S340" s="225"/>
      <c r="T340" s="225"/>
      <c r="U340" s="225"/>
      <c r="V340" s="225"/>
      <c r="W340" s="225"/>
      <c r="X340" s="225"/>
      <c r="Y340" s="225"/>
      <c r="Z340" s="225"/>
    </row>
    <row r="341">
      <c r="A341" s="225"/>
      <c r="B341" s="225"/>
      <c r="C341" s="225"/>
      <c r="D341" s="225"/>
      <c r="E341" s="225"/>
      <c r="F341" s="225"/>
      <c r="G341" s="225"/>
      <c r="H341" s="225"/>
      <c r="I341" s="225"/>
      <c r="J341" s="225"/>
      <c r="K341" s="225"/>
      <c r="L341" s="225"/>
      <c r="M341" s="225"/>
      <c r="N341" s="225"/>
      <c r="O341" s="225"/>
      <c r="P341" s="225"/>
      <c r="Q341" s="225"/>
      <c r="R341" s="225"/>
      <c r="S341" s="225"/>
      <c r="T341" s="225"/>
      <c r="U341" s="225"/>
      <c r="V341" s="225"/>
      <c r="W341" s="225"/>
      <c r="X341" s="225"/>
      <c r="Y341" s="225"/>
      <c r="Z341" s="225"/>
    </row>
    <row r="342">
      <c r="A342" s="225"/>
      <c r="B342" s="225"/>
      <c r="C342" s="225"/>
      <c r="D342" s="225"/>
      <c r="E342" s="225"/>
      <c r="F342" s="225"/>
      <c r="G342" s="225"/>
      <c r="H342" s="225"/>
      <c r="I342" s="225"/>
      <c r="J342" s="225"/>
      <c r="K342" s="225"/>
      <c r="L342" s="225"/>
      <c r="M342" s="225"/>
      <c r="N342" s="225"/>
      <c r="O342" s="225"/>
      <c r="P342" s="225"/>
      <c r="Q342" s="225"/>
      <c r="R342" s="225"/>
      <c r="S342" s="225"/>
      <c r="T342" s="225"/>
      <c r="U342" s="225"/>
      <c r="V342" s="225"/>
      <c r="W342" s="225"/>
      <c r="X342" s="225"/>
      <c r="Y342" s="225"/>
      <c r="Z342" s="225"/>
    </row>
    <row r="343">
      <c r="A343" s="225"/>
      <c r="B343" s="225"/>
      <c r="C343" s="225"/>
      <c r="D343" s="225"/>
      <c r="E343" s="225"/>
      <c r="F343" s="225"/>
      <c r="G343" s="225"/>
      <c r="H343" s="225"/>
      <c r="I343" s="225"/>
      <c r="J343" s="225"/>
      <c r="K343" s="225"/>
      <c r="L343" s="225"/>
      <c r="M343" s="225"/>
      <c r="N343" s="225"/>
      <c r="O343" s="225"/>
      <c r="P343" s="225"/>
      <c r="Q343" s="225"/>
      <c r="R343" s="225"/>
      <c r="S343" s="225"/>
      <c r="T343" s="225"/>
      <c r="U343" s="225"/>
      <c r="V343" s="225"/>
      <c r="W343" s="225"/>
      <c r="X343" s="225"/>
      <c r="Y343" s="225"/>
      <c r="Z343" s="225"/>
    </row>
    <row r="344">
      <c r="A344" s="225"/>
      <c r="B344" s="225"/>
      <c r="C344" s="225"/>
      <c r="D344" s="225"/>
      <c r="E344" s="225"/>
      <c r="F344" s="225"/>
      <c r="G344" s="225"/>
      <c r="H344" s="225"/>
      <c r="I344" s="225"/>
      <c r="J344" s="225"/>
      <c r="K344" s="225"/>
      <c r="L344" s="225"/>
      <c r="M344" s="225"/>
      <c r="N344" s="225"/>
      <c r="O344" s="225"/>
      <c r="P344" s="225"/>
      <c r="Q344" s="225"/>
      <c r="R344" s="225"/>
      <c r="S344" s="225"/>
      <c r="T344" s="225"/>
      <c r="U344" s="225"/>
      <c r="V344" s="225"/>
      <c r="W344" s="225"/>
      <c r="X344" s="225"/>
      <c r="Y344" s="225"/>
      <c r="Z344" s="225"/>
    </row>
    <row r="345">
      <c r="A345" s="225"/>
      <c r="B345" s="225"/>
      <c r="C345" s="225"/>
      <c r="D345" s="225"/>
      <c r="E345" s="225"/>
      <c r="F345" s="225"/>
      <c r="G345" s="225"/>
      <c r="H345" s="225"/>
      <c r="I345" s="225"/>
      <c r="J345" s="225"/>
      <c r="K345" s="225"/>
      <c r="L345" s="225"/>
      <c r="M345" s="225"/>
      <c r="N345" s="225"/>
      <c r="O345" s="225"/>
      <c r="P345" s="225"/>
      <c r="Q345" s="225"/>
      <c r="R345" s="225"/>
      <c r="S345" s="225"/>
      <c r="T345" s="225"/>
      <c r="U345" s="225"/>
      <c r="V345" s="225"/>
      <c r="W345" s="225"/>
      <c r="X345" s="225"/>
      <c r="Y345" s="225"/>
      <c r="Z345" s="225"/>
    </row>
    <row r="346">
      <c r="A346" s="225"/>
      <c r="B346" s="225"/>
      <c r="C346" s="225"/>
      <c r="D346" s="225"/>
      <c r="E346" s="225"/>
      <c r="F346" s="225"/>
      <c r="G346" s="225"/>
      <c r="H346" s="225"/>
      <c r="I346" s="225"/>
      <c r="J346" s="225"/>
      <c r="K346" s="225"/>
      <c r="L346" s="225"/>
      <c r="M346" s="225"/>
      <c r="N346" s="225"/>
      <c r="O346" s="225"/>
      <c r="P346" s="225"/>
      <c r="Q346" s="225"/>
      <c r="R346" s="225"/>
      <c r="S346" s="225"/>
      <c r="T346" s="225"/>
      <c r="U346" s="225"/>
      <c r="V346" s="225"/>
      <c r="W346" s="225"/>
      <c r="X346" s="225"/>
      <c r="Y346" s="225"/>
      <c r="Z346" s="225"/>
    </row>
    <row r="347">
      <c r="A347" s="225"/>
      <c r="B347" s="225"/>
      <c r="C347" s="225"/>
      <c r="D347" s="225"/>
      <c r="E347" s="225"/>
      <c r="F347" s="225"/>
      <c r="G347" s="225"/>
      <c r="H347" s="225"/>
      <c r="I347" s="225"/>
      <c r="J347" s="225"/>
      <c r="K347" s="225"/>
      <c r="L347" s="225"/>
      <c r="M347" s="225"/>
      <c r="N347" s="225"/>
      <c r="O347" s="225"/>
      <c r="P347" s="225"/>
      <c r="Q347" s="225"/>
      <c r="R347" s="225"/>
      <c r="S347" s="225"/>
      <c r="T347" s="225"/>
      <c r="U347" s="225"/>
      <c r="V347" s="225"/>
      <c r="W347" s="225"/>
      <c r="X347" s="225"/>
      <c r="Y347" s="225"/>
      <c r="Z347" s="225"/>
    </row>
    <row r="348">
      <c r="A348" s="225"/>
      <c r="B348" s="225"/>
      <c r="C348" s="225"/>
      <c r="D348" s="225"/>
      <c r="E348" s="225"/>
      <c r="F348" s="225"/>
      <c r="G348" s="225"/>
      <c r="H348" s="225"/>
      <c r="I348" s="225"/>
      <c r="J348" s="225"/>
      <c r="K348" s="225"/>
      <c r="L348" s="225"/>
      <c r="M348" s="225"/>
      <c r="N348" s="225"/>
      <c r="O348" s="225"/>
      <c r="P348" s="225"/>
      <c r="Q348" s="225"/>
      <c r="R348" s="225"/>
      <c r="S348" s="225"/>
      <c r="T348" s="225"/>
      <c r="U348" s="225"/>
      <c r="V348" s="225"/>
      <c r="W348" s="225"/>
      <c r="X348" s="225"/>
      <c r="Y348" s="225"/>
      <c r="Z348" s="225"/>
    </row>
    <row r="349">
      <c r="A349" s="225"/>
      <c r="B349" s="225"/>
      <c r="C349" s="225"/>
      <c r="D349" s="225"/>
      <c r="E349" s="225"/>
      <c r="F349" s="225"/>
      <c r="G349" s="225"/>
      <c r="H349" s="225"/>
      <c r="I349" s="225"/>
      <c r="J349" s="225"/>
      <c r="K349" s="225"/>
      <c r="L349" s="225"/>
      <c r="M349" s="225"/>
      <c r="N349" s="225"/>
      <c r="O349" s="225"/>
      <c r="P349" s="225"/>
      <c r="Q349" s="225"/>
      <c r="R349" s="225"/>
      <c r="S349" s="225"/>
      <c r="T349" s="225"/>
      <c r="U349" s="225"/>
      <c r="V349" s="225"/>
      <c r="W349" s="225"/>
      <c r="X349" s="225"/>
      <c r="Y349" s="225"/>
      <c r="Z349" s="225"/>
    </row>
    <row r="350">
      <c r="A350" s="225"/>
      <c r="B350" s="225"/>
      <c r="C350" s="225"/>
      <c r="D350" s="225"/>
      <c r="E350" s="225"/>
      <c r="F350" s="225"/>
      <c r="G350" s="225"/>
      <c r="H350" s="225"/>
      <c r="I350" s="225"/>
      <c r="J350" s="225"/>
      <c r="K350" s="225"/>
      <c r="L350" s="225"/>
      <c r="M350" s="225"/>
      <c r="N350" s="225"/>
      <c r="O350" s="225"/>
      <c r="P350" s="225"/>
      <c r="Q350" s="225"/>
      <c r="R350" s="225"/>
      <c r="S350" s="225"/>
      <c r="T350" s="225"/>
      <c r="U350" s="225"/>
      <c r="V350" s="225"/>
      <c r="W350" s="225"/>
      <c r="X350" s="225"/>
      <c r="Y350" s="225"/>
      <c r="Z350" s="225"/>
    </row>
    <row r="351">
      <c r="A351" s="225"/>
      <c r="B351" s="225"/>
      <c r="C351" s="225"/>
      <c r="D351" s="225"/>
      <c r="E351" s="225"/>
      <c r="F351" s="225"/>
      <c r="G351" s="225"/>
      <c r="H351" s="225"/>
      <c r="I351" s="225"/>
      <c r="J351" s="225"/>
      <c r="K351" s="225"/>
      <c r="L351" s="225"/>
      <c r="M351" s="225"/>
      <c r="N351" s="225"/>
      <c r="O351" s="225"/>
      <c r="P351" s="225"/>
      <c r="Q351" s="225"/>
      <c r="R351" s="225"/>
      <c r="S351" s="225"/>
      <c r="T351" s="225"/>
      <c r="U351" s="225"/>
      <c r="V351" s="225"/>
      <c r="W351" s="225"/>
      <c r="X351" s="225"/>
      <c r="Y351" s="225"/>
      <c r="Z351" s="225"/>
    </row>
    <row r="352">
      <c r="A352" s="225"/>
      <c r="B352" s="225"/>
      <c r="C352" s="225"/>
      <c r="D352" s="225"/>
      <c r="E352" s="225"/>
      <c r="F352" s="225"/>
      <c r="G352" s="225"/>
      <c r="H352" s="225"/>
      <c r="I352" s="225"/>
      <c r="J352" s="225"/>
      <c r="K352" s="225"/>
      <c r="L352" s="225"/>
      <c r="M352" s="225"/>
      <c r="N352" s="225"/>
      <c r="O352" s="225"/>
      <c r="P352" s="225"/>
      <c r="Q352" s="225"/>
      <c r="R352" s="225"/>
      <c r="S352" s="225"/>
      <c r="T352" s="225"/>
      <c r="U352" s="225"/>
      <c r="V352" s="225"/>
      <c r="W352" s="225"/>
      <c r="X352" s="225"/>
      <c r="Y352" s="225"/>
      <c r="Z352" s="225"/>
    </row>
    <row r="353">
      <c r="A353" s="225"/>
      <c r="B353" s="225"/>
      <c r="C353" s="225"/>
      <c r="D353" s="225"/>
      <c r="E353" s="225"/>
      <c r="F353" s="225"/>
      <c r="G353" s="225"/>
      <c r="H353" s="225"/>
      <c r="I353" s="225"/>
      <c r="J353" s="225"/>
      <c r="K353" s="225"/>
      <c r="L353" s="225"/>
      <c r="M353" s="225"/>
      <c r="N353" s="225"/>
      <c r="O353" s="225"/>
      <c r="P353" s="225"/>
      <c r="Q353" s="225"/>
      <c r="R353" s="225"/>
      <c r="S353" s="225"/>
      <c r="T353" s="225"/>
      <c r="U353" s="225"/>
      <c r="V353" s="225"/>
      <c r="W353" s="225"/>
      <c r="X353" s="225"/>
      <c r="Y353" s="225"/>
      <c r="Z353" s="225"/>
    </row>
    <row r="354">
      <c r="A354" s="225"/>
      <c r="B354" s="225"/>
      <c r="C354" s="225"/>
      <c r="D354" s="225"/>
      <c r="E354" s="225"/>
      <c r="F354" s="225"/>
      <c r="G354" s="225"/>
      <c r="H354" s="225"/>
      <c r="I354" s="225"/>
      <c r="J354" s="225"/>
      <c r="K354" s="225"/>
      <c r="L354" s="225"/>
      <c r="M354" s="225"/>
      <c r="N354" s="225"/>
      <c r="O354" s="225"/>
      <c r="P354" s="225"/>
      <c r="Q354" s="225"/>
      <c r="R354" s="225"/>
      <c r="S354" s="225"/>
      <c r="T354" s="225"/>
      <c r="U354" s="225"/>
      <c r="V354" s="225"/>
      <c r="W354" s="225"/>
      <c r="X354" s="225"/>
      <c r="Y354" s="225"/>
      <c r="Z354" s="225"/>
    </row>
    <row r="355">
      <c r="A355" s="225"/>
      <c r="B355" s="225"/>
      <c r="C355" s="225"/>
      <c r="D355" s="225"/>
      <c r="E355" s="225"/>
      <c r="F355" s="225"/>
      <c r="G355" s="225"/>
      <c r="H355" s="225"/>
      <c r="I355" s="225"/>
      <c r="J355" s="225"/>
      <c r="K355" s="225"/>
      <c r="L355" s="225"/>
      <c r="M355" s="225"/>
      <c r="N355" s="225"/>
      <c r="O355" s="225"/>
      <c r="P355" s="225"/>
      <c r="Q355" s="225"/>
      <c r="R355" s="225"/>
      <c r="S355" s="225"/>
      <c r="T355" s="225"/>
      <c r="U355" s="225"/>
      <c r="V355" s="225"/>
      <c r="W355" s="225"/>
      <c r="X355" s="225"/>
      <c r="Y355" s="225"/>
      <c r="Z355" s="225"/>
    </row>
    <row r="356">
      <c r="A356" s="225"/>
      <c r="B356" s="225"/>
      <c r="C356" s="225"/>
      <c r="D356" s="225"/>
      <c r="E356" s="225"/>
      <c r="F356" s="225"/>
      <c r="G356" s="225"/>
      <c r="H356" s="225"/>
      <c r="I356" s="225"/>
      <c r="J356" s="225"/>
      <c r="K356" s="225"/>
      <c r="L356" s="225"/>
      <c r="M356" s="225"/>
      <c r="N356" s="225"/>
      <c r="O356" s="225"/>
      <c r="P356" s="225"/>
      <c r="Q356" s="225"/>
      <c r="R356" s="225"/>
      <c r="S356" s="225"/>
      <c r="T356" s="225"/>
      <c r="U356" s="225"/>
      <c r="V356" s="225"/>
      <c r="W356" s="225"/>
      <c r="X356" s="225"/>
      <c r="Y356" s="225"/>
      <c r="Z356" s="225"/>
    </row>
    <row r="357">
      <c r="A357" s="225"/>
      <c r="B357" s="225"/>
      <c r="C357" s="225"/>
      <c r="D357" s="225"/>
      <c r="E357" s="225"/>
      <c r="F357" s="225"/>
      <c r="G357" s="225"/>
      <c r="H357" s="225"/>
      <c r="I357" s="225"/>
      <c r="J357" s="225"/>
      <c r="K357" s="225"/>
      <c r="L357" s="225"/>
      <c r="M357" s="225"/>
      <c r="N357" s="225"/>
      <c r="O357" s="225"/>
      <c r="P357" s="225"/>
      <c r="Q357" s="225"/>
      <c r="R357" s="225"/>
      <c r="S357" s="225"/>
      <c r="T357" s="225"/>
      <c r="U357" s="225"/>
      <c r="V357" s="225"/>
      <c r="W357" s="225"/>
      <c r="X357" s="225"/>
      <c r="Y357" s="225"/>
      <c r="Z357" s="225"/>
    </row>
    <row r="358">
      <c r="A358" s="225"/>
      <c r="B358" s="225"/>
      <c r="C358" s="225"/>
      <c r="D358" s="225"/>
      <c r="E358" s="225"/>
      <c r="F358" s="225"/>
      <c r="G358" s="225"/>
      <c r="H358" s="225"/>
      <c r="I358" s="225"/>
      <c r="J358" s="225"/>
      <c r="K358" s="225"/>
      <c r="L358" s="225"/>
      <c r="M358" s="225"/>
      <c r="N358" s="225"/>
      <c r="O358" s="225"/>
      <c r="P358" s="225"/>
      <c r="Q358" s="225"/>
      <c r="R358" s="225"/>
      <c r="S358" s="225"/>
      <c r="T358" s="225"/>
      <c r="U358" s="225"/>
      <c r="V358" s="225"/>
      <c r="W358" s="225"/>
      <c r="X358" s="225"/>
      <c r="Y358" s="225"/>
      <c r="Z358" s="225"/>
    </row>
    <row r="359">
      <c r="A359" s="225"/>
      <c r="B359" s="225"/>
      <c r="C359" s="225"/>
      <c r="D359" s="225"/>
      <c r="E359" s="225"/>
      <c r="F359" s="225"/>
      <c r="G359" s="225"/>
      <c r="H359" s="225"/>
      <c r="I359" s="225"/>
      <c r="J359" s="225"/>
      <c r="K359" s="225"/>
      <c r="L359" s="225"/>
      <c r="M359" s="225"/>
      <c r="N359" s="225"/>
      <c r="O359" s="225"/>
      <c r="P359" s="225"/>
      <c r="Q359" s="225"/>
      <c r="R359" s="225"/>
      <c r="S359" s="225"/>
      <c r="T359" s="225"/>
      <c r="U359" s="225"/>
      <c r="V359" s="225"/>
      <c r="W359" s="225"/>
      <c r="X359" s="225"/>
      <c r="Y359" s="225"/>
      <c r="Z359" s="225"/>
    </row>
    <row r="360">
      <c r="A360" s="225"/>
      <c r="B360" s="225"/>
      <c r="C360" s="225"/>
      <c r="D360" s="225"/>
      <c r="E360" s="225"/>
      <c r="F360" s="225"/>
      <c r="G360" s="225"/>
      <c r="H360" s="225"/>
      <c r="I360" s="225"/>
      <c r="J360" s="225"/>
      <c r="K360" s="225"/>
      <c r="L360" s="225"/>
      <c r="M360" s="225"/>
      <c r="N360" s="225"/>
      <c r="O360" s="225"/>
      <c r="P360" s="225"/>
      <c r="Q360" s="225"/>
      <c r="R360" s="225"/>
      <c r="S360" s="225"/>
      <c r="T360" s="225"/>
      <c r="U360" s="225"/>
      <c r="V360" s="225"/>
      <c r="W360" s="225"/>
      <c r="X360" s="225"/>
      <c r="Y360" s="225"/>
      <c r="Z360" s="225"/>
    </row>
    <row r="361">
      <c r="A361" s="225"/>
      <c r="B361" s="225"/>
      <c r="C361" s="225"/>
      <c r="D361" s="225"/>
      <c r="E361" s="225"/>
      <c r="F361" s="225"/>
      <c r="G361" s="225"/>
      <c r="H361" s="225"/>
      <c r="I361" s="225"/>
      <c r="J361" s="225"/>
      <c r="K361" s="225"/>
      <c r="L361" s="225"/>
      <c r="M361" s="225"/>
      <c r="N361" s="225"/>
      <c r="O361" s="225"/>
      <c r="P361" s="225"/>
      <c r="Q361" s="225"/>
      <c r="R361" s="225"/>
      <c r="S361" s="225"/>
      <c r="T361" s="225"/>
      <c r="U361" s="225"/>
      <c r="V361" s="225"/>
      <c r="W361" s="225"/>
      <c r="X361" s="225"/>
      <c r="Y361" s="225"/>
      <c r="Z361" s="225"/>
    </row>
    <row r="362">
      <c r="A362" s="225"/>
      <c r="B362" s="225"/>
      <c r="C362" s="225"/>
      <c r="D362" s="225"/>
      <c r="E362" s="225"/>
      <c r="F362" s="225"/>
      <c r="G362" s="225"/>
      <c r="H362" s="225"/>
      <c r="I362" s="225"/>
      <c r="J362" s="225"/>
      <c r="K362" s="225"/>
      <c r="L362" s="225"/>
      <c r="M362" s="225"/>
      <c r="N362" s="225"/>
      <c r="O362" s="225"/>
      <c r="P362" s="225"/>
      <c r="Q362" s="225"/>
      <c r="R362" s="225"/>
      <c r="S362" s="225"/>
      <c r="T362" s="225"/>
      <c r="U362" s="225"/>
      <c r="V362" s="225"/>
      <c r="W362" s="225"/>
      <c r="X362" s="225"/>
      <c r="Y362" s="225"/>
      <c r="Z362" s="225"/>
    </row>
    <row r="363">
      <c r="A363" s="225"/>
      <c r="B363" s="225"/>
      <c r="C363" s="225"/>
      <c r="D363" s="225"/>
      <c r="E363" s="225"/>
      <c r="F363" s="225"/>
      <c r="G363" s="225"/>
      <c r="H363" s="225"/>
      <c r="I363" s="225"/>
      <c r="J363" s="225"/>
      <c r="K363" s="225"/>
      <c r="L363" s="225"/>
      <c r="M363" s="225"/>
      <c r="N363" s="225"/>
      <c r="O363" s="225"/>
      <c r="P363" s="225"/>
      <c r="Q363" s="225"/>
      <c r="R363" s="225"/>
      <c r="S363" s="225"/>
      <c r="T363" s="225"/>
      <c r="U363" s="225"/>
      <c r="V363" s="225"/>
      <c r="W363" s="225"/>
      <c r="X363" s="225"/>
      <c r="Y363" s="225"/>
      <c r="Z363" s="225"/>
    </row>
    <row r="364">
      <c r="A364" s="225"/>
      <c r="B364" s="225"/>
      <c r="C364" s="225"/>
      <c r="D364" s="225"/>
      <c r="E364" s="225"/>
      <c r="F364" s="225"/>
      <c r="G364" s="225"/>
      <c r="H364" s="225"/>
      <c r="I364" s="225"/>
      <c r="J364" s="225"/>
      <c r="K364" s="225"/>
      <c r="L364" s="225"/>
      <c r="M364" s="225"/>
      <c r="N364" s="225"/>
      <c r="O364" s="225"/>
      <c r="P364" s="225"/>
      <c r="Q364" s="225"/>
      <c r="R364" s="225"/>
      <c r="S364" s="225"/>
      <c r="T364" s="225"/>
      <c r="U364" s="225"/>
      <c r="V364" s="225"/>
      <c r="W364" s="225"/>
      <c r="X364" s="225"/>
      <c r="Y364" s="225"/>
      <c r="Z364" s="225"/>
    </row>
    <row r="365">
      <c r="A365" s="225"/>
      <c r="B365" s="225"/>
      <c r="C365" s="225"/>
      <c r="D365" s="225"/>
      <c r="E365" s="225"/>
      <c r="F365" s="225"/>
      <c r="G365" s="225"/>
      <c r="H365" s="225"/>
      <c r="I365" s="225"/>
      <c r="J365" s="225"/>
      <c r="K365" s="225"/>
      <c r="L365" s="225"/>
      <c r="M365" s="225"/>
      <c r="N365" s="225"/>
      <c r="O365" s="225"/>
      <c r="P365" s="225"/>
      <c r="Q365" s="225"/>
      <c r="R365" s="225"/>
      <c r="S365" s="225"/>
      <c r="T365" s="225"/>
      <c r="U365" s="225"/>
      <c r="V365" s="225"/>
      <c r="W365" s="225"/>
      <c r="X365" s="225"/>
      <c r="Y365" s="225"/>
      <c r="Z365" s="225"/>
    </row>
    <row r="366">
      <c r="A366" s="225"/>
      <c r="B366" s="225"/>
      <c r="C366" s="225"/>
      <c r="D366" s="225"/>
      <c r="E366" s="225"/>
      <c r="F366" s="225"/>
      <c r="G366" s="225"/>
      <c r="H366" s="225"/>
      <c r="I366" s="225"/>
      <c r="J366" s="225"/>
      <c r="K366" s="225"/>
      <c r="L366" s="225"/>
      <c r="M366" s="225"/>
      <c r="N366" s="225"/>
      <c r="O366" s="225"/>
      <c r="P366" s="225"/>
      <c r="Q366" s="225"/>
      <c r="R366" s="225"/>
      <c r="S366" s="225"/>
      <c r="T366" s="225"/>
      <c r="U366" s="225"/>
      <c r="V366" s="225"/>
      <c r="W366" s="225"/>
      <c r="X366" s="225"/>
      <c r="Y366" s="225"/>
      <c r="Z366" s="225"/>
    </row>
    <row r="367">
      <c r="A367" s="225"/>
      <c r="B367" s="225"/>
      <c r="C367" s="225"/>
      <c r="D367" s="225"/>
      <c r="E367" s="225"/>
      <c r="F367" s="225"/>
      <c r="G367" s="225"/>
      <c r="H367" s="225"/>
      <c r="I367" s="225"/>
      <c r="J367" s="225"/>
      <c r="K367" s="225"/>
      <c r="L367" s="225"/>
      <c r="M367" s="225"/>
      <c r="N367" s="225"/>
      <c r="O367" s="225"/>
      <c r="P367" s="225"/>
      <c r="Q367" s="225"/>
      <c r="R367" s="225"/>
      <c r="S367" s="225"/>
      <c r="T367" s="225"/>
      <c r="U367" s="225"/>
      <c r="V367" s="225"/>
      <c r="W367" s="225"/>
      <c r="X367" s="225"/>
      <c r="Y367" s="225"/>
      <c r="Z367" s="225"/>
    </row>
    <row r="368">
      <c r="A368" s="225"/>
      <c r="B368" s="225"/>
      <c r="C368" s="225"/>
      <c r="D368" s="225"/>
      <c r="E368" s="225"/>
      <c r="F368" s="225"/>
      <c r="G368" s="225"/>
      <c r="H368" s="225"/>
      <c r="I368" s="225"/>
      <c r="J368" s="225"/>
      <c r="K368" s="225"/>
      <c r="L368" s="225"/>
      <c r="M368" s="225"/>
      <c r="N368" s="225"/>
      <c r="O368" s="225"/>
      <c r="P368" s="225"/>
      <c r="Q368" s="225"/>
      <c r="R368" s="225"/>
      <c r="S368" s="225"/>
      <c r="T368" s="225"/>
      <c r="U368" s="225"/>
      <c r="V368" s="225"/>
      <c r="W368" s="225"/>
      <c r="X368" s="225"/>
      <c r="Y368" s="225"/>
      <c r="Z368" s="225"/>
    </row>
    <row r="369">
      <c r="A369" s="225"/>
      <c r="B369" s="225"/>
      <c r="C369" s="225"/>
      <c r="D369" s="225"/>
      <c r="E369" s="225"/>
      <c r="F369" s="225"/>
      <c r="G369" s="225"/>
      <c r="H369" s="225"/>
      <c r="I369" s="225"/>
      <c r="J369" s="225"/>
      <c r="K369" s="225"/>
      <c r="L369" s="225"/>
      <c r="M369" s="225"/>
      <c r="N369" s="225"/>
      <c r="O369" s="225"/>
      <c r="P369" s="225"/>
      <c r="Q369" s="225"/>
      <c r="R369" s="225"/>
      <c r="S369" s="225"/>
      <c r="T369" s="225"/>
      <c r="U369" s="225"/>
      <c r="V369" s="225"/>
      <c r="W369" s="225"/>
      <c r="X369" s="225"/>
      <c r="Y369" s="225"/>
      <c r="Z369" s="225"/>
    </row>
    <row r="370">
      <c r="A370" s="225"/>
      <c r="B370" s="225"/>
      <c r="C370" s="225"/>
      <c r="D370" s="225"/>
      <c r="E370" s="225"/>
      <c r="F370" s="225"/>
      <c r="G370" s="225"/>
      <c r="H370" s="225"/>
      <c r="I370" s="225"/>
      <c r="J370" s="225"/>
      <c r="K370" s="225"/>
      <c r="L370" s="225"/>
      <c r="M370" s="225"/>
      <c r="N370" s="225"/>
      <c r="O370" s="225"/>
      <c r="P370" s="225"/>
      <c r="Q370" s="225"/>
      <c r="R370" s="225"/>
      <c r="S370" s="225"/>
      <c r="T370" s="225"/>
      <c r="U370" s="225"/>
      <c r="V370" s="225"/>
      <c r="W370" s="225"/>
      <c r="X370" s="225"/>
      <c r="Y370" s="225"/>
      <c r="Z370" s="225"/>
    </row>
    <row r="371">
      <c r="A371" s="225"/>
      <c r="B371" s="225"/>
      <c r="C371" s="225"/>
      <c r="D371" s="225"/>
      <c r="E371" s="225"/>
      <c r="F371" s="225"/>
      <c r="G371" s="225"/>
      <c r="H371" s="225"/>
      <c r="I371" s="225"/>
      <c r="J371" s="225"/>
      <c r="K371" s="225"/>
      <c r="L371" s="225"/>
      <c r="M371" s="225"/>
      <c r="N371" s="225"/>
      <c r="O371" s="225"/>
      <c r="P371" s="225"/>
      <c r="Q371" s="225"/>
      <c r="R371" s="225"/>
      <c r="S371" s="225"/>
      <c r="T371" s="225"/>
      <c r="U371" s="225"/>
      <c r="V371" s="225"/>
      <c r="W371" s="225"/>
      <c r="X371" s="225"/>
      <c r="Y371" s="225"/>
      <c r="Z371" s="225"/>
    </row>
    <row r="372">
      <c r="A372" s="225"/>
      <c r="B372" s="225"/>
      <c r="C372" s="225"/>
      <c r="D372" s="225"/>
      <c r="E372" s="225"/>
      <c r="F372" s="225"/>
      <c r="G372" s="225"/>
      <c r="H372" s="225"/>
      <c r="I372" s="225"/>
      <c r="J372" s="225"/>
      <c r="K372" s="225"/>
      <c r="L372" s="225"/>
      <c r="M372" s="225"/>
      <c r="N372" s="225"/>
      <c r="O372" s="225"/>
      <c r="P372" s="225"/>
      <c r="Q372" s="225"/>
      <c r="R372" s="225"/>
      <c r="S372" s="225"/>
      <c r="T372" s="225"/>
      <c r="U372" s="225"/>
      <c r="V372" s="225"/>
      <c r="W372" s="225"/>
      <c r="X372" s="225"/>
      <c r="Y372" s="225"/>
      <c r="Z372" s="225"/>
    </row>
    <row r="373">
      <c r="A373" s="225"/>
      <c r="B373" s="225"/>
      <c r="C373" s="225"/>
      <c r="D373" s="225"/>
      <c r="E373" s="225"/>
      <c r="F373" s="225"/>
      <c r="G373" s="225"/>
      <c r="H373" s="225"/>
      <c r="I373" s="225"/>
      <c r="J373" s="225"/>
      <c r="K373" s="225"/>
      <c r="L373" s="225"/>
      <c r="M373" s="225"/>
      <c r="N373" s="225"/>
      <c r="O373" s="225"/>
      <c r="P373" s="225"/>
      <c r="Q373" s="225"/>
      <c r="R373" s="225"/>
      <c r="S373" s="225"/>
      <c r="T373" s="225"/>
      <c r="U373" s="225"/>
      <c r="V373" s="225"/>
      <c r="W373" s="225"/>
      <c r="X373" s="225"/>
      <c r="Y373" s="225"/>
      <c r="Z373" s="225"/>
    </row>
    <row r="374">
      <c r="A374" s="225"/>
      <c r="B374" s="225"/>
      <c r="C374" s="225"/>
      <c r="D374" s="225"/>
      <c r="E374" s="225"/>
      <c r="F374" s="225"/>
      <c r="G374" s="225"/>
      <c r="H374" s="225"/>
      <c r="I374" s="225"/>
      <c r="J374" s="225"/>
      <c r="K374" s="225"/>
      <c r="L374" s="225"/>
      <c r="M374" s="225"/>
      <c r="N374" s="225"/>
      <c r="O374" s="225"/>
      <c r="P374" s="225"/>
      <c r="Q374" s="225"/>
      <c r="R374" s="225"/>
      <c r="S374" s="225"/>
      <c r="T374" s="225"/>
      <c r="U374" s="225"/>
      <c r="V374" s="225"/>
      <c r="W374" s="225"/>
      <c r="X374" s="225"/>
      <c r="Y374" s="225"/>
      <c r="Z374" s="225"/>
    </row>
    <row r="375">
      <c r="A375" s="225"/>
      <c r="B375" s="225"/>
      <c r="C375" s="225"/>
      <c r="D375" s="225"/>
      <c r="E375" s="225"/>
      <c r="F375" s="225"/>
      <c r="G375" s="225"/>
      <c r="H375" s="225"/>
      <c r="I375" s="225"/>
      <c r="J375" s="225"/>
      <c r="K375" s="225"/>
      <c r="L375" s="225"/>
      <c r="M375" s="225"/>
      <c r="N375" s="225"/>
      <c r="O375" s="225"/>
      <c r="P375" s="225"/>
      <c r="Q375" s="225"/>
      <c r="R375" s="225"/>
      <c r="S375" s="225"/>
      <c r="T375" s="225"/>
      <c r="U375" s="225"/>
      <c r="V375" s="225"/>
      <c r="W375" s="225"/>
      <c r="X375" s="225"/>
      <c r="Y375" s="225"/>
      <c r="Z375" s="225"/>
    </row>
    <row r="376">
      <c r="A376" s="225"/>
      <c r="B376" s="225"/>
      <c r="C376" s="225"/>
      <c r="D376" s="225"/>
      <c r="E376" s="225"/>
      <c r="F376" s="225"/>
      <c r="G376" s="225"/>
      <c r="H376" s="225"/>
      <c r="I376" s="225"/>
      <c r="J376" s="225"/>
      <c r="K376" s="225"/>
      <c r="L376" s="225"/>
      <c r="M376" s="225"/>
      <c r="N376" s="225"/>
      <c r="O376" s="225"/>
      <c r="P376" s="225"/>
      <c r="Q376" s="225"/>
      <c r="R376" s="225"/>
      <c r="S376" s="225"/>
      <c r="T376" s="225"/>
      <c r="U376" s="225"/>
      <c r="V376" s="225"/>
      <c r="W376" s="225"/>
      <c r="X376" s="225"/>
      <c r="Y376" s="225"/>
      <c r="Z376" s="225"/>
    </row>
    <row r="377">
      <c r="A377" s="225"/>
      <c r="B377" s="225"/>
      <c r="C377" s="225"/>
      <c r="D377" s="225"/>
      <c r="E377" s="225"/>
      <c r="F377" s="225"/>
      <c r="G377" s="225"/>
      <c r="H377" s="225"/>
      <c r="I377" s="225"/>
      <c r="J377" s="225"/>
      <c r="K377" s="225"/>
      <c r="L377" s="225"/>
      <c r="M377" s="225"/>
      <c r="N377" s="225"/>
      <c r="O377" s="225"/>
      <c r="P377" s="225"/>
      <c r="Q377" s="225"/>
      <c r="R377" s="225"/>
      <c r="S377" s="225"/>
      <c r="T377" s="225"/>
      <c r="U377" s="225"/>
      <c r="V377" s="225"/>
      <c r="W377" s="225"/>
      <c r="X377" s="225"/>
      <c r="Y377" s="225"/>
      <c r="Z377" s="225"/>
    </row>
    <row r="378">
      <c r="A378" s="225"/>
      <c r="B378" s="225"/>
      <c r="C378" s="225"/>
      <c r="D378" s="225"/>
      <c r="E378" s="225"/>
      <c r="F378" s="225"/>
      <c r="G378" s="225"/>
      <c r="H378" s="225"/>
      <c r="I378" s="225"/>
      <c r="J378" s="225"/>
      <c r="K378" s="225"/>
      <c r="L378" s="225"/>
      <c r="M378" s="225"/>
      <c r="N378" s="225"/>
      <c r="O378" s="225"/>
      <c r="P378" s="225"/>
      <c r="Q378" s="225"/>
      <c r="R378" s="225"/>
      <c r="S378" s="225"/>
      <c r="T378" s="225"/>
      <c r="U378" s="225"/>
      <c r="V378" s="225"/>
      <c r="W378" s="225"/>
      <c r="X378" s="225"/>
      <c r="Y378" s="225"/>
      <c r="Z378" s="225"/>
    </row>
    <row r="379">
      <c r="A379" s="225"/>
      <c r="B379" s="225"/>
      <c r="C379" s="225"/>
      <c r="D379" s="225"/>
      <c r="E379" s="225"/>
      <c r="F379" s="225"/>
      <c r="G379" s="225"/>
      <c r="H379" s="225"/>
      <c r="I379" s="225"/>
      <c r="J379" s="225"/>
      <c r="K379" s="225"/>
      <c r="L379" s="225"/>
      <c r="M379" s="225"/>
      <c r="N379" s="225"/>
      <c r="O379" s="225"/>
      <c r="P379" s="225"/>
      <c r="Q379" s="225"/>
      <c r="R379" s="225"/>
      <c r="S379" s="225"/>
      <c r="T379" s="225"/>
      <c r="U379" s="225"/>
      <c r="V379" s="225"/>
      <c r="W379" s="225"/>
      <c r="X379" s="225"/>
      <c r="Y379" s="225"/>
      <c r="Z379" s="225"/>
    </row>
    <row r="380">
      <c r="A380" s="225"/>
      <c r="B380" s="225"/>
      <c r="C380" s="225"/>
      <c r="D380" s="225"/>
      <c r="E380" s="225"/>
      <c r="F380" s="225"/>
      <c r="G380" s="225"/>
      <c r="H380" s="225"/>
      <c r="I380" s="225"/>
      <c r="J380" s="225"/>
      <c r="K380" s="225"/>
      <c r="L380" s="225"/>
      <c r="M380" s="225"/>
      <c r="N380" s="225"/>
      <c r="O380" s="225"/>
      <c r="P380" s="225"/>
      <c r="Q380" s="225"/>
      <c r="R380" s="225"/>
      <c r="S380" s="225"/>
      <c r="T380" s="225"/>
      <c r="U380" s="225"/>
      <c r="V380" s="225"/>
      <c r="W380" s="225"/>
      <c r="X380" s="225"/>
      <c r="Y380" s="225"/>
      <c r="Z380" s="225"/>
    </row>
    <row r="381">
      <c r="A381" s="225"/>
      <c r="B381" s="225"/>
      <c r="C381" s="225"/>
      <c r="D381" s="225"/>
      <c r="E381" s="225"/>
      <c r="F381" s="225"/>
      <c r="G381" s="225"/>
      <c r="H381" s="225"/>
      <c r="I381" s="225"/>
      <c r="J381" s="225"/>
      <c r="K381" s="225"/>
      <c r="L381" s="225"/>
      <c r="M381" s="225"/>
      <c r="N381" s="225"/>
      <c r="O381" s="225"/>
      <c r="P381" s="225"/>
      <c r="Q381" s="225"/>
      <c r="R381" s="225"/>
      <c r="S381" s="225"/>
      <c r="T381" s="225"/>
      <c r="U381" s="225"/>
      <c r="V381" s="225"/>
      <c r="W381" s="225"/>
      <c r="X381" s="225"/>
      <c r="Y381" s="225"/>
      <c r="Z381" s="225"/>
    </row>
    <row r="382">
      <c r="A382" s="225"/>
      <c r="B382" s="225"/>
      <c r="C382" s="225"/>
      <c r="D382" s="225"/>
      <c r="E382" s="225"/>
      <c r="F382" s="225"/>
      <c r="G382" s="225"/>
      <c r="H382" s="225"/>
      <c r="I382" s="225"/>
      <c r="J382" s="225"/>
      <c r="K382" s="225"/>
      <c r="L382" s="225"/>
      <c r="M382" s="225"/>
      <c r="N382" s="225"/>
      <c r="O382" s="225"/>
      <c r="P382" s="225"/>
      <c r="Q382" s="225"/>
      <c r="R382" s="225"/>
      <c r="S382" s="225"/>
      <c r="T382" s="225"/>
      <c r="U382" s="225"/>
      <c r="V382" s="225"/>
      <c r="W382" s="225"/>
      <c r="X382" s="225"/>
      <c r="Y382" s="225"/>
      <c r="Z382" s="225"/>
    </row>
    <row r="383">
      <c r="A383" s="225"/>
      <c r="B383" s="225"/>
      <c r="C383" s="225"/>
      <c r="D383" s="225"/>
      <c r="E383" s="225"/>
      <c r="F383" s="225"/>
      <c r="G383" s="225"/>
      <c r="H383" s="225"/>
      <c r="I383" s="225"/>
      <c r="J383" s="225"/>
      <c r="K383" s="225"/>
      <c r="L383" s="225"/>
      <c r="M383" s="225"/>
      <c r="N383" s="225"/>
      <c r="O383" s="225"/>
      <c r="P383" s="225"/>
      <c r="Q383" s="225"/>
      <c r="R383" s="225"/>
      <c r="S383" s="225"/>
      <c r="T383" s="225"/>
      <c r="U383" s="225"/>
      <c r="V383" s="225"/>
      <c r="W383" s="225"/>
      <c r="X383" s="225"/>
      <c r="Y383" s="225"/>
      <c r="Z383" s="225"/>
    </row>
    <row r="384">
      <c r="A384" s="225"/>
      <c r="B384" s="225"/>
      <c r="C384" s="225"/>
      <c r="D384" s="225"/>
      <c r="E384" s="225"/>
      <c r="F384" s="225"/>
      <c r="G384" s="225"/>
      <c r="H384" s="225"/>
      <c r="I384" s="225"/>
      <c r="J384" s="225"/>
      <c r="K384" s="225"/>
      <c r="L384" s="225"/>
      <c r="M384" s="225"/>
      <c r="N384" s="225"/>
      <c r="O384" s="225"/>
      <c r="P384" s="225"/>
      <c r="Q384" s="225"/>
      <c r="R384" s="225"/>
      <c r="S384" s="225"/>
      <c r="T384" s="225"/>
      <c r="U384" s="225"/>
      <c r="V384" s="225"/>
      <c r="W384" s="225"/>
      <c r="X384" s="225"/>
      <c r="Y384" s="225"/>
      <c r="Z384" s="225"/>
    </row>
    <row r="385">
      <c r="A385" s="225"/>
      <c r="B385" s="225"/>
      <c r="C385" s="225"/>
      <c r="D385" s="225"/>
      <c r="E385" s="225"/>
      <c r="F385" s="225"/>
      <c r="G385" s="225"/>
      <c r="H385" s="225"/>
      <c r="I385" s="225"/>
      <c r="J385" s="225"/>
      <c r="K385" s="225"/>
      <c r="L385" s="225"/>
      <c r="M385" s="225"/>
      <c r="N385" s="225"/>
      <c r="O385" s="225"/>
      <c r="P385" s="225"/>
      <c r="Q385" s="225"/>
      <c r="R385" s="225"/>
      <c r="S385" s="225"/>
      <c r="T385" s="225"/>
      <c r="U385" s="225"/>
      <c r="V385" s="225"/>
      <c r="W385" s="225"/>
      <c r="X385" s="225"/>
      <c r="Y385" s="225"/>
      <c r="Z385" s="225"/>
    </row>
    <row r="386">
      <c r="A386" s="225"/>
      <c r="B386" s="225"/>
      <c r="C386" s="225"/>
      <c r="D386" s="225"/>
      <c r="E386" s="225"/>
      <c r="F386" s="225"/>
      <c r="G386" s="225"/>
      <c r="H386" s="225"/>
      <c r="I386" s="225"/>
      <c r="J386" s="225"/>
      <c r="K386" s="225"/>
      <c r="L386" s="225"/>
      <c r="M386" s="225"/>
      <c r="N386" s="225"/>
      <c r="O386" s="225"/>
      <c r="P386" s="225"/>
      <c r="Q386" s="225"/>
      <c r="R386" s="225"/>
      <c r="S386" s="225"/>
      <c r="T386" s="225"/>
      <c r="U386" s="225"/>
      <c r="V386" s="225"/>
      <c r="W386" s="225"/>
      <c r="X386" s="225"/>
      <c r="Y386" s="225"/>
      <c r="Z386" s="225"/>
    </row>
    <row r="387">
      <c r="A387" s="225"/>
      <c r="B387" s="225"/>
      <c r="C387" s="225"/>
      <c r="D387" s="225"/>
      <c r="E387" s="225"/>
      <c r="F387" s="225"/>
      <c r="G387" s="225"/>
      <c r="H387" s="225"/>
      <c r="I387" s="225"/>
      <c r="J387" s="225"/>
      <c r="K387" s="225"/>
      <c r="L387" s="225"/>
      <c r="M387" s="225"/>
      <c r="N387" s="225"/>
      <c r="O387" s="225"/>
      <c r="P387" s="225"/>
      <c r="Q387" s="225"/>
      <c r="R387" s="225"/>
      <c r="S387" s="225"/>
      <c r="T387" s="225"/>
      <c r="U387" s="225"/>
      <c r="V387" s="225"/>
      <c r="W387" s="225"/>
      <c r="X387" s="225"/>
      <c r="Y387" s="225"/>
      <c r="Z387" s="225"/>
    </row>
    <row r="388">
      <c r="A388" s="225"/>
      <c r="B388" s="225"/>
      <c r="C388" s="225"/>
      <c r="D388" s="225"/>
      <c r="E388" s="225"/>
      <c r="F388" s="225"/>
      <c r="G388" s="225"/>
      <c r="H388" s="225"/>
      <c r="I388" s="225"/>
      <c r="J388" s="225"/>
      <c r="K388" s="225"/>
      <c r="L388" s="225"/>
      <c r="M388" s="225"/>
      <c r="N388" s="225"/>
      <c r="O388" s="225"/>
      <c r="P388" s="225"/>
      <c r="Q388" s="225"/>
      <c r="R388" s="225"/>
      <c r="S388" s="225"/>
      <c r="T388" s="225"/>
      <c r="U388" s="225"/>
      <c r="V388" s="225"/>
      <c r="W388" s="225"/>
      <c r="X388" s="225"/>
      <c r="Y388" s="225"/>
      <c r="Z388" s="225"/>
    </row>
    <row r="389">
      <c r="A389" s="225"/>
      <c r="B389" s="225"/>
      <c r="C389" s="225"/>
      <c r="D389" s="225"/>
      <c r="E389" s="225"/>
      <c r="F389" s="225"/>
      <c r="G389" s="225"/>
      <c r="H389" s="225"/>
      <c r="I389" s="225"/>
      <c r="J389" s="225"/>
      <c r="K389" s="225"/>
      <c r="L389" s="225"/>
      <c r="M389" s="225"/>
      <c r="N389" s="225"/>
      <c r="O389" s="225"/>
      <c r="P389" s="225"/>
      <c r="Q389" s="225"/>
      <c r="R389" s="225"/>
      <c r="S389" s="225"/>
      <c r="T389" s="225"/>
      <c r="U389" s="225"/>
      <c r="V389" s="225"/>
      <c r="W389" s="225"/>
      <c r="X389" s="225"/>
      <c r="Y389" s="225"/>
      <c r="Z389" s="225"/>
    </row>
    <row r="390">
      <c r="A390" s="225"/>
      <c r="B390" s="225"/>
      <c r="C390" s="225"/>
      <c r="D390" s="225"/>
      <c r="E390" s="225"/>
      <c r="F390" s="225"/>
      <c r="G390" s="225"/>
      <c r="H390" s="225"/>
      <c r="I390" s="225"/>
      <c r="J390" s="225"/>
      <c r="K390" s="225"/>
      <c r="L390" s="225"/>
      <c r="M390" s="225"/>
      <c r="N390" s="225"/>
      <c r="O390" s="225"/>
      <c r="P390" s="225"/>
      <c r="Q390" s="225"/>
      <c r="R390" s="225"/>
      <c r="S390" s="225"/>
      <c r="T390" s="225"/>
      <c r="U390" s="225"/>
      <c r="V390" s="225"/>
      <c r="W390" s="225"/>
      <c r="X390" s="225"/>
      <c r="Y390" s="225"/>
      <c r="Z390" s="225"/>
    </row>
    <row r="391">
      <c r="A391" s="225"/>
      <c r="B391" s="225"/>
      <c r="C391" s="225"/>
      <c r="D391" s="225"/>
      <c r="E391" s="225"/>
      <c r="F391" s="225"/>
      <c r="G391" s="225"/>
      <c r="H391" s="225"/>
      <c r="I391" s="225"/>
      <c r="J391" s="225"/>
      <c r="K391" s="225"/>
      <c r="L391" s="225"/>
      <c r="M391" s="225"/>
      <c r="N391" s="225"/>
      <c r="O391" s="225"/>
      <c r="P391" s="225"/>
      <c r="Q391" s="225"/>
      <c r="R391" s="225"/>
      <c r="S391" s="225"/>
      <c r="T391" s="225"/>
      <c r="U391" s="225"/>
      <c r="V391" s="225"/>
      <c r="W391" s="225"/>
      <c r="X391" s="225"/>
      <c r="Y391" s="225"/>
      <c r="Z391" s="225"/>
    </row>
    <row r="392">
      <c r="A392" s="225"/>
      <c r="B392" s="225"/>
      <c r="C392" s="225"/>
      <c r="D392" s="225"/>
      <c r="E392" s="225"/>
      <c r="F392" s="225"/>
      <c r="G392" s="225"/>
      <c r="H392" s="225"/>
      <c r="I392" s="225"/>
      <c r="J392" s="225"/>
      <c r="K392" s="225"/>
      <c r="L392" s="225"/>
      <c r="M392" s="225"/>
      <c r="N392" s="225"/>
      <c r="O392" s="225"/>
      <c r="P392" s="225"/>
      <c r="Q392" s="225"/>
      <c r="R392" s="225"/>
      <c r="S392" s="225"/>
      <c r="T392" s="225"/>
      <c r="U392" s="225"/>
      <c r="V392" s="225"/>
      <c r="W392" s="225"/>
      <c r="X392" s="225"/>
      <c r="Y392" s="225"/>
      <c r="Z392" s="225"/>
    </row>
    <row r="393">
      <c r="A393" s="225"/>
      <c r="B393" s="225"/>
      <c r="C393" s="225"/>
      <c r="D393" s="225"/>
      <c r="E393" s="225"/>
      <c r="F393" s="225"/>
      <c r="G393" s="225"/>
      <c r="H393" s="225"/>
      <c r="I393" s="225"/>
      <c r="J393" s="225"/>
      <c r="K393" s="225"/>
      <c r="L393" s="225"/>
      <c r="M393" s="225"/>
      <c r="N393" s="225"/>
      <c r="O393" s="225"/>
      <c r="P393" s="225"/>
      <c r="Q393" s="225"/>
      <c r="R393" s="225"/>
      <c r="S393" s="225"/>
      <c r="T393" s="225"/>
      <c r="U393" s="225"/>
      <c r="V393" s="225"/>
      <c r="W393" s="225"/>
      <c r="X393" s="225"/>
      <c r="Y393" s="225"/>
      <c r="Z393" s="225"/>
    </row>
    <row r="394">
      <c r="A394" s="225"/>
      <c r="B394" s="225"/>
      <c r="C394" s="225"/>
      <c r="D394" s="225"/>
      <c r="E394" s="225"/>
      <c r="F394" s="225"/>
      <c r="G394" s="225"/>
      <c r="H394" s="225"/>
      <c r="I394" s="225"/>
      <c r="J394" s="225"/>
      <c r="K394" s="225"/>
      <c r="L394" s="225"/>
      <c r="M394" s="225"/>
      <c r="N394" s="225"/>
      <c r="O394" s="225"/>
      <c r="P394" s="225"/>
      <c r="Q394" s="225"/>
      <c r="R394" s="225"/>
      <c r="S394" s="225"/>
      <c r="T394" s="225"/>
      <c r="U394" s="225"/>
      <c r="V394" s="225"/>
      <c r="W394" s="225"/>
      <c r="X394" s="225"/>
      <c r="Y394" s="225"/>
      <c r="Z394" s="225"/>
    </row>
    <row r="395">
      <c r="A395" s="225"/>
      <c r="B395" s="225"/>
      <c r="C395" s="225"/>
      <c r="D395" s="225"/>
      <c r="E395" s="225"/>
      <c r="F395" s="225"/>
      <c r="G395" s="225"/>
      <c r="H395" s="225"/>
      <c r="I395" s="225"/>
      <c r="J395" s="225"/>
      <c r="K395" s="225"/>
      <c r="L395" s="225"/>
      <c r="M395" s="225"/>
      <c r="N395" s="225"/>
      <c r="O395" s="225"/>
      <c r="P395" s="225"/>
      <c r="Q395" s="225"/>
      <c r="R395" s="225"/>
      <c r="S395" s="225"/>
      <c r="T395" s="225"/>
      <c r="U395" s="225"/>
      <c r="V395" s="225"/>
      <c r="W395" s="225"/>
      <c r="X395" s="225"/>
      <c r="Y395" s="225"/>
      <c r="Z395" s="225"/>
    </row>
    <row r="396">
      <c r="A396" s="225"/>
      <c r="B396" s="225"/>
      <c r="C396" s="225"/>
      <c r="D396" s="225"/>
      <c r="E396" s="225"/>
      <c r="F396" s="225"/>
      <c r="G396" s="225"/>
      <c r="H396" s="225"/>
      <c r="I396" s="225"/>
      <c r="J396" s="225"/>
      <c r="K396" s="225"/>
      <c r="L396" s="225"/>
      <c r="M396" s="225"/>
      <c r="N396" s="225"/>
      <c r="O396" s="225"/>
      <c r="P396" s="225"/>
      <c r="Q396" s="225"/>
      <c r="R396" s="225"/>
      <c r="S396" s="225"/>
      <c r="T396" s="225"/>
      <c r="U396" s="225"/>
      <c r="V396" s="225"/>
      <c r="W396" s="225"/>
      <c r="X396" s="225"/>
      <c r="Y396" s="225"/>
      <c r="Z396" s="225"/>
    </row>
    <row r="397">
      <c r="A397" s="225"/>
      <c r="B397" s="225"/>
      <c r="C397" s="225"/>
      <c r="D397" s="225"/>
      <c r="E397" s="225"/>
      <c r="F397" s="225"/>
      <c r="G397" s="225"/>
      <c r="H397" s="225"/>
      <c r="I397" s="225"/>
      <c r="J397" s="225"/>
      <c r="K397" s="225"/>
      <c r="L397" s="225"/>
      <c r="M397" s="225"/>
      <c r="N397" s="225"/>
      <c r="O397" s="225"/>
      <c r="P397" s="225"/>
      <c r="Q397" s="225"/>
      <c r="R397" s="225"/>
      <c r="S397" s="225"/>
      <c r="T397" s="225"/>
      <c r="U397" s="225"/>
      <c r="V397" s="225"/>
      <c r="W397" s="225"/>
      <c r="X397" s="225"/>
      <c r="Y397" s="225"/>
      <c r="Z397" s="225"/>
    </row>
    <row r="398">
      <c r="A398" s="225"/>
      <c r="B398" s="225"/>
      <c r="C398" s="225"/>
      <c r="D398" s="225"/>
      <c r="E398" s="225"/>
      <c r="F398" s="225"/>
      <c r="G398" s="225"/>
      <c r="H398" s="225"/>
      <c r="I398" s="225"/>
      <c r="J398" s="225"/>
      <c r="K398" s="225"/>
      <c r="L398" s="225"/>
      <c r="M398" s="225"/>
      <c r="N398" s="225"/>
      <c r="O398" s="225"/>
      <c r="P398" s="225"/>
      <c r="Q398" s="225"/>
      <c r="R398" s="225"/>
      <c r="S398" s="225"/>
      <c r="T398" s="225"/>
      <c r="U398" s="225"/>
      <c r="V398" s="225"/>
      <c r="W398" s="225"/>
      <c r="X398" s="225"/>
      <c r="Y398" s="225"/>
      <c r="Z398" s="225"/>
    </row>
    <row r="399">
      <c r="A399" s="225"/>
      <c r="B399" s="225"/>
      <c r="C399" s="225"/>
      <c r="D399" s="225"/>
      <c r="E399" s="225"/>
      <c r="F399" s="225"/>
      <c r="G399" s="225"/>
      <c r="H399" s="225"/>
      <c r="I399" s="225"/>
      <c r="J399" s="225"/>
      <c r="K399" s="225"/>
      <c r="L399" s="225"/>
      <c r="M399" s="225"/>
      <c r="N399" s="225"/>
      <c r="O399" s="225"/>
      <c r="P399" s="225"/>
      <c r="Q399" s="225"/>
      <c r="R399" s="225"/>
      <c r="S399" s="225"/>
      <c r="T399" s="225"/>
      <c r="U399" s="225"/>
      <c r="V399" s="225"/>
      <c r="W399" s="225"/>
      <c r="X399" s="225"/>
      <c r="Y399" s="225"/>
      <c r="Z399" s="225"/>
    </row>
    <row r="400">
      <c r="A400" s="225"/>
      <c r="B400" s="225"/>
      <c r="C400" s="225"/>
      <c r="D400" s="225"/>
      <c r="E400" s="225"/>
      <c r="F400" s="225"/>
      <c r="G400" s="225"/>
      <c r="H400" s="225"/>
      <c r="I400" s="225"/>
      <c r="J400" s="225"/>
      <c r="K400" s="225"/>
      <c r="L400" s="225"/>
      <c r="M400" s="225"/>
      <c r="N400" s="225"/>
      <c r="O400" s="225"/>
      <c r="P400" s="225"/>
      <c r="Q400" s="225"/>
      <c r="R400" s="225"/>
      <c r="S400" s="225"/>
      <c r="T400" s="225"/>
      <c r="U400" s="225"/>
      <c r="V400" s="225"/>
      <c r="W400" s="225"/>
      <c r="X400" s="225"/>
      <c r="Y400" s="225"/>
      <c r="Z400" s="225"/>
    </row>
    <row r="401">
      <c r="A401" s="225"/>
      <c r="B401" s="225"/>
      <c r="C401" s="225"/>
      <c r="D401" s="225"/>
      <c r="E401" s="225"/>
      <c r="F401" s="225"/>
      <c r="G401" s="225"/>
      <c r="H401" s="225"/>
      <c r="I401" s="225"/>
      <c r="J401" s="225"/>
      <c r="K401" s="225"/>
      <c r="L401" s="225"/>
      <c r="M401" s="225"/>
      <c r="N401" s="225"/>
      <c r="O401" s="225"/>
      <c r="P401" s="225"/>
      <c r="Q401" s="225"/>
      <c r="R401" s="225"/>
      <c r="S401" s="225"/>
      <c r="T401" s="225"/>
      <c r="U401" s="225"/>
      <c r="V401" s="225"/>
      <c r="W401" s="225"/>
      <c r="X401" s="225"/>
      <c r="Y401" s="225"/>
      <c r="Z401" s="225"/>
    </row>
    <row r="402">
      <c r="A402" s="225"/>
      <c r="B402" s="225"/>
      <c r="C402" s="225"/>
      <c r="D402" s="225"/>
      <c r="E402" s="225"/>
      <c r="F402" s="225"/>
      <c r="G402" s="225"/>
      <c r="H402" s="225"/>
      <c r="I402" s="225"/>
      <c r="J402" s="225"/>
      <c r="K402" s="225"/>
      <c r="L402" s="225"/>
      <c r="M402" s="225"/>
      <c r="N402" s="225"/>
      <c r="O402" s="225"/>
      <c r="P402" s="225"/>
      <c r="Q402" s="225"/>
      <c r="R402" s="225"/>
      <c r="S402" s="225"/>
      <c r="T402" s="225"/>
      <c r="U402" s="225"/>
      <c r="V402" s="225"/>
      <c r="W402" s="225"/>
      <c r="X402" s="225"/>
      <c r="Y402" s="225"/>
      <c r="Z402" s="225"/>
    </row>
    <row r="403">
      <c r="A403" s="225"/>
      <c r="B403" s="225"/>
      <c r="C403" s="225"/>
      <c r="D403" s="225"/>
      <c r="E403" s="225"/>
      <c r="F403" s="225"/>
      <c r="G403" s="225"/>
      <c r="H403" s="225"/>
      <c r="I403" s="225"/>
      <c r="J403" s="225"/>
      <c r="K403" s="225"/>
      <c r="L403" s="225"/>
      <c r="M403" s="225"/>
      <c r="N403" s="225"/>
      <c r="O403" s="225"/>
      <c r="P403" s="225"/>
      <c r="Q403" s="225"/>
      <c r="R403" s="225"/>
      <c r="S403" s="225"/>
      <c r="T403" s="225"/>
      <c r="U403" s="225"/>
      <c r="V403" s="225"/>
      <c r="W403" s="225"/>
      <c r="X403" s="225"/>
      <c r="Y403" s="225"/>
      <c r="Z403" s="225"/>
    </row>
    <row r="404">
      <c r="A404" s="225"/>
      <c r="B404" s="225"/>
      <c r="C404" s="225"/>
      <c r="D404" s="225"/>
      <c r="E404" s="225"/>
      <c r="F404" s="225"/>
      <c r="G404" s="225"/>
      <c r="H404" s="225"/>
      <c r="I404" s="225"/>
      <c r="J404" s="225"/>
      <c r="K404" s="225"/>
      <c r="L404" s="225"/>
      <c r="M404" s="225"/>
      <c r="N404" s="225"/>
      <c r="O404" s="225"/>
      <c r="P404" s="225"/>
      <c r="Q404" s="225"/>
      <c r="R404" s="225"/>
      <c r="S404" s="225"/>
      <c r="T404" s="225"/>
      <c r="U404" s="225"/>
      <c r="V404" s="225"/>
      <c r="W404" s="225"/>
      <c r="X404" s="225"/>
      <c r="Y404" s="225"/>
      <c r="Z404" s="225"/>
    </row>
    <row r="405">
      <c r="A405" s="225"/>
      <c r="B405" s="225"/>
      <c r="C405" s="225"/>
      <c r="D405" s="225"/>
      <c r="E405" s="225"/>
      <c r="F405" s="225"/>
      <c r="G405" s="225"/>
      <c r="H405" s="225"/>
      <c r="I405" s="225"/>
      <c r="J405" s="225"/>
      <c r="K405" s="225"/>
      <c r="L405" s="225"/>
      <c r="M405" s="225"/>
      <c r="N405" s="225"/>
      <c r="O405" s="225"/>
      <c r="P405" s="225"/>
      <c r="Q405" s="225"/>
      <c r="R405" s="225"/>
      <c r="S405" s="225"/>
      <c r="T405" s="225"/>
      <c r="U405" s="225"/>
      <c r="V405" s="225"/>
      <c r="W405" s="225"/>
      <c r="X405" s="225"/>
      <c r="Y405" s="225"/>
      <c r="Z405" s="225"/>
    </row>
    <row r="406">
      <c r="A406" s="225"/>
      <c r="B406" s="225"/>
      <c r="C406" s="225"/>
      <c r="D406" s="225"/>
      <c r="E406" s="225"/>
      <c r="F406" s="225"/>
      <c r="G406" s="225"/>
      <c r="H406" s="225"/>
      <c r="I406" s="225"/>
      <c r="J406" s="225"/>
      <c r="K406" s="225"/>
      <c r="L406" s="225"/>
      <c r="M406" s="225"/>
      <c r="N406" s="225"/>
      <c r="O406" s="225"/>
      <c r="P406" s="225"/>
      <c r="Q406" s="225"/>
      <c r="R406" s="225"/>
      <c r="S406" s="225"/>
      <c r="T406" s="225"/>
      <c r="U406" s="225"/>
      <c r="V406" s="225"/>
      <c r="W406" s="225"/>
      <c r="X406" s="225"/>
      <c r="Y406" s="225"/>
      <c r="Z406" s="225"/>
    </row>
    <row r="407">
      <c r="A407" s="225"/>
      <c r="B407" s="225"/>
      <c r="C407" s="225"/>
      <c r="D407" s="225"/>
      <c r="E407" s="225"/>
      <c r="F407" s="225"/>
      <c r="G407" s="225"/>
      <c r="H407" s="225"/>
      <c r="I407" s="225"/>
      <c r="J407" s="225"/>
      <c r="K407" s="225"/>
      <c r="L407" s="225"/>
      <c r="M407" s="225"/>
      <c r="N407" s="225"/>
      <c r="O407" s="225"/>
      <c r="P407" s="225"/>
      <c r="Q407" s="225"/>
      <c r="R407" s="225"/>
      <c r="S407" s="225"/>
      <c r="T407" s="225"/>
      <c r="U407" s="225"/>
      <c r="V407" s="225"/>
      <c r="W407" s="225"/>
      <c r="X407" s="225"/>
      <c r="Y407" s="225"/>
      <c r="Z407" s="225"/>
    </row>
    <row r="408">
      <c r="A408" s="225"/>
      <c r="B408" s="225"/>
      <c r="C408" s="225"/>
      <c r="D408" s="225"/>
      <c r="E408" s="225"/>
      <c r="F408" s="225"/>
      <c r="G408" s="225"/>
      <c r="H408" s="225"/>
      <c r="I408" s="225"/>
      <c r="J408" s="225"/>
      <c r="K408" s="225"/>
      <c r="L408" s="225"/>
      <c r="M408" s="225"/>
      <c r="N408" s="225"/>
      <c r="O408" s="225"/>
      <c r="P408" s="225"/>
      <c r="Q408" s="225"/>
      <c r="R408" s="225"/>
      <c r="S408" s="225"/>
      <c r="T408" s="225"/>
      <c r="U408" s="225"/>
      <c r="V408" s="225"/>
      <c r="W408" s="225"/>
      <c r="X408" s="225"/>
      <c r="Y408" s="225"/>
      <c r="Z408" s="225"/>
    </row>
    <row r="409">
      <c r="A409" s="225"/>
      <c r="B409" s="225"/>
      <c r="C409" s="225"/>
      <c r="D409" s="225"/>
      <c r="E409" s="225"/>
      <c r="F409" s="225"/>
      <c r="G409" s="225"/>
      <c r="H409" s="225"/>
      <c r="I409" s="225"/>
      <c r="J409" s="225"/>
      <c r="K409" s="225"/>
      <c r="L409" s="225"/>
      <c r="M409" s="225"/>
      <c r="N409" s="225"/>
      <c r="O409" s="225"/>
      <c r="P409" s="225"/>
      <c r="Q409" s="225"/>
      <c r="R409" s="225"/>
      <c r="S409" s="225"/>
      <c r="T409" s="225"/>
      <c r="U409" s="225"/>
      <c r="V409" s="225"/>
      <c r="W409" s="225"/>
      <c r="X409" s="225"/>
      <c r="Y409" s="225"/>
      <c r="Z409" s="225"/>
    </row>
    <row r="410">
      <c r="A410" s="225"/>
      <c r="B410" s="225"/>
      <c r="C410" s="225"/>
      <c r="D410" s="225"/>
      <c r="E410" s="225"/>
      <c r="F410" s="225"/>
      <c r="G410" s="225"/>
      <c r="H410" s="225"/>
      <c r="I410" s="225"/>
      <c r="J410" s="225"/>
      <c r="K410" s="225"/>
      <c r="L410" s="225"/>
      <c r="M410" s="225"/>
      <c r="N410" s="225"/>
      <c r="O410" s="225"/>
      <c r="P410" s="225"/>
      <c r="Q410" s="225"/>
      <c r="R410" s="225"/>
      <c r="S410" s="225"/>
      <c r="T410" s="225"/>
      <c r="U410" s="225"/>
      <c r="V410" s="225"/>
      <c r="W410" s="225"/>
      <c r="X410" s="225"/>
      <c r="Y410" s="225"/>
      <c r="Z410" s="225"/>
    </row>
    <row r="411">
      <c r="A411" s="225"/>
      <c r="B411" s="225"/>
      <c r="C411" s="225"/>
      <c r="D411" s="225"/>
      <c r="E411" s="225"/>
      <c r="F411" s="225"/>
      <c r="G411" s="225"/>
      <c r="H411" s="225"/>
      <c r="I411" s="225"/>
      <c r="J411" s="225"/>
      <c r="K411" s="225"/>
      <c r="L411" s="225"/>
      <c r="M411" s="225"/>
      <c r="N411" s="225"/>
      <c r="O411" s="225"/>
      <c r="P411" s="225"/>
      <c r="Q411" s="225"/>
      <c r="R411" s="225"/>
      <c r="S411" s="225"/>
      <c r="T411" s="225"/>
      <c r="U411" s="225"/>
      <c r="V411" s="225"/>
      <c r="W411" s="225"/>
      <c r="X411" s="225"/>
      <c r="Y411" s="225"/>
      <c r="Z411" s="225"/>
    </row>
    <row r="412">
      <c r="A412" s="225"/>
      <c r="B412" s="225"/>
      <c r="C412" s="225"/>
      <c r="D412" s="225"/>
      <c r="E412" s="225"/>
      <c r="F412" s="225"/>
      <c r="G412" s="225"/>
      <c r="H412" s="225"/>
      <c r="I412" s="225"/>
      <c r="J412" s="225"/>
      <c r="K412" s="225"/>
      <c r="L412" s="225"/>
      <c r="M412" s="225"/>
      <c r="N412" s="225"/>
      <c r="O412" s="225"/>
      <c r="P412" s="225"/>
      <c r="Q412" s="225"/>
      <c r="R412" s="225"/>
      <c r="S412" s="225"/>
      <c r="T412" s="225"/>
      <c r="U412" s="225"/>
      <c r="V412" s="225"/>
      <c r="W412" s="225"/>
      <c r="X412" s="225"/>
      <c r="Y412" s="225"/>
      <c r="Z412" s="225"/>
    </row>
    <row r="413">
      <c r="A413" s="225"/>
      <c r="B413" s="225"/>
      <c r="C413" s="225"/>
      <c r="D413" s="225"/>
      <c r="E413" s="225"/>
      <c r="F413" s="225"/>
      <c r="G413" s="225"/>
      <c r="H413" s="225"/>
      <c r="I413" s="225"/>
      <c r="J413" s="225"/>
      <c r="K413" s="225"/>
      <c r="L413" s="225"/>
      <c r="M413" s="225"/>
      <c r="N413" s="225"/>
      <c r="O413" s="225"/>
      <c r="P413" s="225"/>
      <c r="Q413" s="225"/>
      <c r="R413" s="225"/>
      <c r="S413" s="225"/>
      <c r="T413" s="225"/>
      <c r="U413" s="225"/>
      <c r="V413" s="225"/>
      <c r="W413" s="225"/>
      <c r="X413" s="225"/>
      <c r="Y413" s="225"/>
      <c r="Z413" s="225"/>
    </row>
    <row r="414">
      <c r="A414" s="225"/>
      <c r="B414" s="225"/>
      <c r="C414" s="225"/>
      <c r="D414" s="225"/>
      <c r="E414" s="225"/>
      <c r="F414" s="225"/>
      <c r="G414" s="225"/>
      <c r="H414" s="225"/>
      <c r="I414" s="225"/>
      <c r="J414" s="225"/>
      <c r="K414" s="225"/>
      <c r="L414" s="225"/>
      <c r="M414" s="225"/>
      <c r="N414" s="225"/>
      <c r="O414" s="225"/>
      <c r="P414" s="225"/>
      <c r="Q414" s="225"/>
      <c r="R414" s="225"/>
      <c r="S414" s="225"/>
      <c r="T414" s="225"/>
      <c r="U414" s="225"/>
      <c r="V414" s="225"/>
      <c r="W414" s="225"/>
      <c r="X414" s="225"/>
      <c r="Y414" s="225"/>
      <c r="Z414" s="225"/>
    </row>
    <row r="415">
      <c r="A415" s="225"/>
      <c r="B415" s="225"/>
      <c r="C415" s="225"/>
      <c r="D415" s="225"/>
      <c r="E415" s="225"/>
      <c r="F415" s="225"/>
      <c r="G415" s="225"/>
      <c r="H415" s="225"/>
      <c r="I415" s="225"/>
      <c r="J415" s="225"/>
      <c r="K415" s="225"/>
      <c r="L415" s="225"/>
      <c r="M415" s="225"/>
      <c r="N415" s="225"/>
      <c r="O415" s="225"/>
      <c r="P415" s="225"/>
      <c r="Q415" s="225"/>
      <c r="R415" s="225"/>
      <c r="S415" s="225"/>
      <c r="T415" s="225"/>
      <c r="U415" s="225"/>
      <c r="V415" s="225"/>
      <c r="W415" s="225"/>
      <c r="X415" s="225"/>
      <c r="Y415" s="225"/>
      <c r="Z415" s="225"/>
    </row>
    <row r="416">
      <c r="A416" s="225"/>
      <c r="B416" s="225"/>
      <c r="C416" s="225"/>
      <c r="D416" s="225"/>
      <c r="E416" s="225"/>
      <c r="F416" s="225"/>
      <c r="G416" s="225"/>
      <c r="H416" s="225"/>
      <c r="I416" s="225"/>
      <c r="J416" s="225"/>
      <c r="K416" s="225"/>
      <c r="L416" s="225"/>
      <c r="M416" s="225"/>
      <c r="N416" s="225"/>
      <c r="O416" s="225"/>
      <c r="P416" s="225"/>
      <c r="Q416" s="225"/>
      <c r="R416" s="225"/>
      <c r="S416" s="225"/>
      <c r="T416" s="225"/>
      <c r="U416" s="225"/>
      <c r="V416" s="225"/>
      <c r="W416" s="225"/>
      <c r="X416" s="225"/>
      <c r="Y416" s="225"/>
      <c r="Z416" s="225"/>
    </row>
    <row r="417">
      <c r="A417" s="225"/>
      <c r="B417" s="225"/>
      <c r="C417" s="225"/>
      <c r="D417" s="225"/>
      <c r="E417" s="225"/>
      <c r="F417" s="225"/>
      <c r="G417" s="225"/>
      <c r="H417" s="225"/>
      <c r="I417" s="225"/>
      <c r="J417" s="225"/>
      <c r="K417" s="225"/>
      <c r="L417" s="225"/>
      <c r="M417" s="225"/>
      <c r="N417" s="225"/>
      <c r="O417" s="225"/>
      <c r="P417" s="225"/>
      <c r="Q417" s="225"/>
      <c r="R417" s="225"/>
      <c r="S417" s="225"/>
      <c r="T417" s="225"/>
      <c r="U417" s="225"/>
      <c r="V417" s="225"/>
      <c r="W417" s="225"/>
      <c r="X417" s="225"/>
      <c r="Y417" s="225"/>
      <c r="Z417" s="225"/>
    </row>
    <row r="418">
      <c r="A418" s="225"/>
      <c r="B418" s="225"/>
      <c r="C418" s="225"/>
      <c r="D418" s="225"/>
      <c r="E418" s="225"/>
      <c r="F418" s="225"/>
      <c r="G418" s="225"/>
      <c r="H418" s="225"/>
      <c r="I418" s="225"/>
      <c r="J418" s="225"/>
      <c r="K418" s="225"/>
      <c r="L418" s="225"/>
      <c r="M418" s="225"/>
      <c r="N418" s="225"/>
      <c r="O418" s="225"/>
      <c r="P418" s="225"/>
      <c r="Q418" s="225"/>
      <c r="R418" s="225"/>
      <c r="S418" s="225"/>
      <c r="T418" s="225"/>
      <c r="U418" s="225"/>
      <c r="V418" s="225"/>
      <c r="W418" s="225"/>
      <c r="X418" s="225"/>
      <c r="Y418" s="225"/>
      <c r="Z418" s="225"/>
    </row>
    <row r="419">
      <c r="A419" s="225"/>
      <c r="B419" s="225"/>
      <c r="C419" s="225"/>
      <c r="D419" s="225"/>
      <c r="E419" s="225"/>
      <c r="F419" s="225"/>
      <c r="G419" s="225"/>
      <c r="H419" s="225"/>
      <c r="I419" s="225"/>
      <c r="J419" s="225"/>
      <c r="K419" s="225"/>
      <c r="L419" s="225"/>
      <c r="M419" s="225"/>
      <c r="N419" s="225"/>
      <c r="O419" s="225"/>
      <c r="P419" s="225"/>
      <c r="Q419" s="225"/>
      <c r="R419" s="225"/>
      <c r="S419" s="225"/>
      <c r="T419" s="225"/>
      <c r="U419" s="225"/>
      <c r="V419" s="225"/>
      <c r="W419" s="225"/>
      <c r="X419" s="225"/>
      <c r="Y419" s="225"/>
      <c r="Z419" s="225"/>
    </row>
    <row r="420">
      <c r="A420" s="225"/>
      <c r="B420" s="225"/>
      <c r="C420" s="225"/>
      <c r="D420" s="225"/>
      <c r="E420" s="225"/>
      <c r="F420" s="225"/>
      <c r="G420" s="225"/>
      <c r="H420" s="225"/>
      <c r="I420" s="225"/>
      <c r="J420" s="225"/>
      <c r="K420" s="225"/>
      <c r="L420" s="225"/>
      <c r="M420" s="225"/>
      <c r="N420" s="225"/>
      <c r="O420" s="225"/>
      <c r="P420" s="225"/>
      <c r="Q420" s="225"/>
      <c r="R420" s="225"/>
      <c r="S420" s="225"/>
      <c r="T420" s="225"/>
      <c r="U420" s="225"/>
      <c r="V420" s="225"/>
      <c r="W420" s="225"/>
      <c r="X420" s="225"/>
      <c r="Y420" s="225"/>
      <c r="Z420" s="225"/>
    </row>
    <row r="421">
      <c r="A421" s="225"/>
      <c r="B421" s="225"/>
      <c r="C421" s="225"/>
      <c r="D421" s="225"/>
      <c r="E421" s="225"/>
      <c r="F421" s="225"/>
      <c r="G421" s="225"/>
      <c r="H421" s="225"/>
      <c r="I421" s="225"/>
      <c r="J421" s="225"/>
      <c r="K421" s="225"/>
      <c r="L421" s="225"/>
      <c r="M421" s="225"/>
      <c r="N421" s="225"/>
      <c r="O421" s="225"/>
      <c r="P421" s="225"/>
      <c r="Q421" s="225"/>
      <c r="R421" s="225"/>
      <c r="S421" s="225"/>
      <c r="T421" s="225"/>
      <c r="U421" s="225"/>
      <c r="V421" s="225"/>
      <c r="W421" s="225"/>
      <c r="X421" s="225"/>
      <c r="Y421" s="225"/>
      <c r="Z421" s="225"/>
    </row>
    <row r="422">
      <c r="A422" s="225"/>
      <c r="B422" s="225"/>
      <c r="C422" s="225"/>
      <c r="D422" s="225"/>
      <c r="E422" s="225"/>
      <c r="F422" s="225"/>
      <c r="G422" s="225"/>
      <c r="H422" s="225"/>
      <c r="I422" s="225"/>
      <c r="J422" s="225"/>
      <c r="K422" s="225"/>
      <c r="L422" s="225"/>
      <c r="M422" s="225"/>
      <c r="N422" s="225"/>
      <c r="O422" s="225"/>
      <c r="P422" s="225"/>
      <c r="Q422" s="225"/>
      <c r="R422" s="225"/>
      <c r="S422" s="225"/>
      <c r="T422" s="225"/>
      <c r="U422" s="225"/>
      <c r="V422" s="225"/>
      <c r="W422" s="225"/>
      <c r="X422" s="225"/>
      <c r="Y422" s="225"/>
      <c r="Z422" s="225"/>
    </row>
    <row r="423">
      <c r="A423" s="225"/>
      <c r="B423" s="225"/>
      <c r="C423" s="225"/>
      <c r="D423" s="225"/>
      <c r="E423" s="225"/>
      <c r="F423" s="225"/>
      <c r="G423" s="225"/>
      <c r="H423" s="225"/>
      <c r="I423" s="225"/>
      <c r="J423" s="225"/>
      <c r="K423" s="225"/>
      <c r="L423" s="225"/>
      <c r="M423" s="225"/>
      <c r="N423" s="225"/>
      <c r="O423" s="225"/>
      <c r="P423" s="225"/>
      <c r="Q423" s="225"/>
      <c r="R423" s="225"/>
      <c r="S423" s="225"/>
      <c r="T423" s="225"/>
      <c r="U423" s="225"/>
      <c r="V423" s="225"/>
      <c r="W423" s="225"/>
      <c r="X423" s="225"/>
      <c r="Y423" s="225"/>
      <c r="Z423" s="225"/>
    </row>
    <row r="424">
      <c r="A424" s="225"/>
      <c r="B424" s="225"/>
      <c r="C424" s="225"/>
      <c r="D424" s="225"/>
      <c r="E424" s="225"/>
      <c r="F424" s="225"/>
      <c r="G424" s="225"/>
      <c r="H424" s="225"/>
      <c r="I424" s="225"/>
      <c r="J424" s="225"/>
      <c r="K424" s="225"/>
      <c r="L424" s="225"/>
      <c r="M424" s="225"/>
      <c r="N424" s="225"/>
      <c r="O424" s="225"/>
      <c r="P424" s="225"/>
      <c r="Q424" s="225"/>
      <c r="R424" s="225"/>
      <c r="S424" s="225"/>
      <c r="T424" s="225"/>
      <c r="U424" s="225"/>
      <c r="V424" s="225"/>
      <c r="W424" s="225"/>
      <c r="X424" s="225"/>
      <c r="Y424" s="225"/>
      <c r="Z424" s="225"/>
    </row>
    <row r="425">
      <c r="A425" s="225"/>
      <c r="B425" s="225"/>
      <c r="C425" s="225"/>
      <c r="D425" s="225"/>
      <c r="E425" s="225"/>
      <c r="F425" s="225"/>
      <c r="G425" s="225"/>
      <c r="H425" s="225"/>
      <c r="I425" s="225"/>
      <c r="J425" s="225"/>
      <c r="K425" s="225"/>
      <c r="L425" s="225"/>
      <c r="M425" s="225"/>
      <c r="N425" s="225"/>
      <c r="O425" s="225"/>
      <c r="P425" s="225"/>
      <c r="Q425" s="225"/>
      <c r="R425" s="225"/>
      <c r="S425" s="225"/>
      <c r="T425" s="225"/>
      <c r="U425" s="225"/>
      <c r="V425" s="225"/>
      <c r="W425" s="225"/>
      <c r="X425" s="225"/>
      <c r="Y425" s="225"/>
      <c r="Z425" s="225"/>
    </row>
    <row r="426">
      <c r="A426" s="225"/>
      <c r="B426" s="225"/>
      <c r="C426" s="225"/>
      <c r="D426" s="225"/>
      <c r="E426" s="225"/>
      <c r="F426" s="225"/>
      <c r="G426" s="225"/>
      <c r="H426" s="225"/>
      <c r="I426" s="225"/>
      <c r="J426" s="225"/>
      <c r="K426" s="225"/>
      <c r="L426" s="225"/>
      <c r="M426" s="225"/>
      <c r="N426" s="225"/>
      <c r="O426" s="225"/>
      <c r="P426" s="225"/>
      <c r="Q426" s="225"/>
      <c r="R426" s="225"/>
      <c r="S426" s="225"/>
      <c r="T426" s="225"/>
      <c r="U426" s="225"/>
      <c r="V426" s="225"/>
      <c r="W426" s="225"/>
      <c r="X426" s="225"/>
      <c r="Y426" s="225"/>
      <c r="Z426" s="225"/>
    </row>
    <row r="427">
      <c r="A427" s="225"/>
      <c r="B427" s="225"/>
      <c r="C427" s="225"/>
      <c r="D427" s="225"/>
      <c r="E427" s="225"/>
      <c r="F427" s="225"/>
      <c r="G427" s="225"/>
      <c r="H427" s="225"/>
      <c r="I427" s="225"/>
      <c r="J427" s="225"/>
      <c r="K427" s="225"/>
      <c r="L427" s="225"/>
      <c r="M427" s="225"/>
      <c r="N427" s="225"/>
      <c r="O427" s="225"/>
      <c r="P427" s="225"/>
      <c r="Q427" s="225"/>
      <c r="R427" s="225"/>
      <c r="S427" s="225"/>
      <c r="T427" s="225"/>
      <c r="U427" s="225"/>
      <c r="V427" s="225"/>
      <c r="W427" s="225"/>
      <c r="X427" s="225"/>
      <c r="Y427" s="225"/>
      <c r="Z427" s="225"/>
    </row>
    <row r="428">
      <c r="A428" s="225"/>
      <c r="B428" s="225"/>
      <c r="C428" s="225"/>
      <c r="D428" s="225"/>
      <c r="E428" s="225"/>
      <c r="F428" s="225"/>
      <c r="G428" s="225"/>
      <c r="H428" s="225"/>
      <c r="I428" s="225"/>
      <c r="J428" s="225"/>
      <c r="K428" s="225"/>
      <c r="L428" s="225"/>
      <c r="M428" s="225"/>
      <c r="N428" s="225"/>
      <c r="O428" s="225"/>
      <c r="P428" s="225"/>
      <c r="Q428" s="225"/>
      <c r="R428" s="225"/>
      <c r="S428" s="225"/>
      <c r="T428" s="225"/>
      <c r="U428" s="225"/>
      <c r="V428" s="225"/>
      <c r="W428" s="225"/>
      <c r="X428" s="225"/>
      <c r="Y428" s="225"/>
      <c r="Z428" s="225"/>
    </row>
    <row r="429">
      <c r="A429" s="225"/>
      <c r="B429" s="225"/>
      <c r="C429" s="225"/>
      <c r="D429" s="225"/>
      <c r="E429" s="225"/>
      <c r="F429" s="225"/>
      <c r="G429" s="225"/>
      <c r="H429" s="225"/>
      <c r="I429" s="225"/>
      <c r="J429" s="225"/>
      <c r="K429" s="225"/>
      <c r="L429" s="225"/>
      <c r="M429" s="225"/>
      <c r="N429" s="225"/>
      <c r="O429" s="225"/>
      <c r="P429" s="225"/>
      <c r="Q429" s="225"/>
      <c r="R429" s="225"/>
      <c r="S429" s="225"/>
      <c r="T429" s="225"/>
      <c r="U429" s="225"/>
      <c r="V429" s="225"/>
      <c r="W429" s="225"/>
      <c r="X429" s="225"/>
      <c r="Y429" s="225"/>
      <c r="Z429" s="225"/>
    </row>
    <row r="430">
      <c r="A430" s="225"/>
      <c r="B430" s="225"/>
      <c r="C430" s="225"/>
      <c r="D430" s="225"/>
      <c r="E430" s="225"/>
      <c r="F430" s="225"/>
      <c r="G430" s="225"/>
      <c r="H430" s="225"/>
      <c r="I430" s="225"/>
      <c r="J430" s="225"/>
      <c r="K430" s="225"/>
      <c r="L430" s="225"/>
      <c r="M430" s="225"/>
      <c r="N430" s="225"/>
      <c r="O430" s="225"/>
      <c r="P430" s="225"/>
      <c r="Q430" s="225"/>
      <c r="R430" s="225"/>
      <c r="S430" s="225"/>
      <c r="T430" s="225"/>
      <c r="U430" s="225"/>
      <c r="V430" s="225"/>
      <c r="W430" s="225"/>
      <c r="X430" s="225"/>
      <c r="Y430" s="225"/>
      <c r="Z430" s="225"/>
    </row>
    <row r="431">
      <c r="A431" s="225"/>
      <c r="B431" s="225"/>
      <c r="C431" s="225"/>
      <c r="D431" s="225"/>
      <c r="E431" s="225"/>
      <c r="F431" s="225"/>
      <c r="G431" s="225"/>
      <c r="H431" s="225"/>
      <c r="I431" s="225"/>
      <c r="J431" s="225"/>
      <c r="K431" s="225"/>
      <c r="L431" s="225"/>
      <c r="M431" s="225"/>
      <c r="N431" s="225"/>
      <c r="O431" s="225"/>
      <c r="P431" s="225"/>
      <c r="Q431" s="225"/>
      <c r="R431" s="225"/>
      <c r="S431" s="225"/>
      <c r="T431" s="225"/>
      <c r="U431" s="225"/>
      <c r="V431" s="225"/>
      <c r="W431" s="225"/>
      <c r="X431" s="225"/>
      <c r="Y431" s="225"/>
      <c r="Z431" s="225"/>
    </row>
    <row r="432">
      <c r="A432" s="225"/>
      <c r="B432" s="225"/>
      <c r="C432" s="225"/>
      <c r="D432" s="225"/>
      <c r="E432" s="225"/>
      <c r="F432" s="225"/>
      <c r="G432" s="225"/>
      <c r="H432" s="225"/>
      <c r="I432" s="225"/>
      <c r="J432" s="225"/>
      <c r="K432" s="225"/>
      <c r="L432" s="225"/>
      <c r="M432" s="225"/>
      <c r="N432" s="225"/>
      <c r="O432" s="225"/>
      <c r="P432" s="225"/>
      <c r="Q432" s="225"/>
      <c r="R432" s="225"/>
      <c r="S432" s="225"/>
      <c r="T432" s="225"/>
      <c r="U432" s="225"/>
      <c r="V432" s="225"/>
      <c r="W432" s="225"/>
      <c r="X432" s="225"/>
      <c r="Y432" s="225"/>
      <c r="Z432" s="225"/>
    </row>
    <row r="433">
      <c r="A433" s="225"/>
      <c r="B433" s="225"/>
      <c r="C433" s="225"/>
      <c r="D433" s="225"/>
      <c r="E433" s="225"/>
      <c r="F433" s="225"/>
      <c r="G433" s="225"/>
      <c r="H433" s="225"/>
      <c r="I433" s="225"/>
      <c r="J433" s="225"/>
      <c r="K433" s="225"/>
      <c r="L433" s="225"/>
      <c r="M433" s="225"/>
      <c r="N433" s="225"/>
      <c r="O433" s="225"/>
      <c r="P433" s="225"/>
      <c r="Q433" s="225"/>
      <c r="R433" s="225"/>
      <c r="S433" s="225"/>
      <c r="T433" s="225"/>
      <c r="U433" s="225"/>
      <c r="V433" s="225"/>
      <c r="W433" s="225"/>
      <c r="X433" s="225"/>
      <c r="Y433" s="225"/>
      <c r="Z433" s="225"/>
    </row>
    <row r="434">
      <c r="A434" s="225"/>
      <c r="B434" s="225"/>
      <c r="C434" s="225"/>
      <c r="D434" s="225"/>
      <c r="E434" s="225"/>
      <c r="F434" s="225"/>
      <c r="G434" s="225"/>
      <c r="H434" s="225"/>
      <c r="I434" s="225"/>
      <c r="J434" s="225"/>
      <c r="K434" s="225"/>
      <c r="L434" s="225"/>
      <c r="M434" s="225"/>
      <c r="N434" s="225"/>
      <c r="O434" s="225"/>
      <c r="P434" s="225"/>
      <c r="Q434" s="225"/>
      <c r="R434" s="225"/>
      <c r="S434" s="225"/>
      <c r="T434" s="225"/>
      <c r="U434" s="225"/>
      <c r="V434" s="225"/>
      <c r="W434" s="225"/>
      <c r="X434" s="225"/>
      <c r="Y434" s="225"/>
      <c r="Z434" s="225"/>
    </row>
    <row r="435">
      <c r="A435" s="225"/>
      <c r="B435" s="225"/>
      <c r="C435" s="225"/>
      <c r="D435" s="225"/>
      <c r="E435" s="225"/>
      <c r="F435" s="225"/>
      <c r="G435" s="225"/>
      <c r="H435" s="225"/>
      <c r="I435" s="225"/>
      <c r="J435" s="225"/>
      <c r="K435" s="225"/>
      <c r="L435" s="225"/>
      <c r="M435" s="225"/>
      <c r="N435" s="225"/>
      <c r="O435" s="225"/>
      <c r="P435" s="225"/>
      <c r="Q435" s="225"/>
      <c r="R435" s="225"/>
      <c r="S435" s="225"/>
      <c r="T435" s="225"/>
      <c r="U435" s="225"/>
      <c r="V435" s="225"/>
      <c r="W435" s="225"/>
      <c r="X435" s="225"/>
      <c r="Y435" s="225"/>
      <c r="Z435" s="225"/>
    </row>
    <row r="436">
      <c r="A436" s="225"/>
      <c r="B436" s="225"/>
      <c r="C436" s="225"/>
      <c r="D436" s="225"/>
      <c r="E436" s="225"/>
      <c r="F436" s="225"/>
      <c r="G436" s="225"/>
      <c r="H436" s="225"/>
      <c r="I436" s="225"/>
      <c r="J436" s="225"/>
      <c r="K436" s="225"/>
      <c r="L436" s="225"/>
      <c r="M436" s="225"/>
      <c r="N436" s="225"/>
      <c r="O436" s="225"/>
      <c r="P436" s="225"/>
      <c r="Q436" s="225"/>
      <c r="R436" s="225"/>
      <c r="S436" s="225"/>
      <c r="T436" s="225"/>
      <c r="U436" s="225"/>
      <c r="V436" s="225"/>
      <c r="W436" s="225"/>
      <c r="X436" s="225"/>
      <c r="Y436" s="225"/>
      <c r="Z436" s="225"/>
    </row>
    <row r="437">
      <c r="A437" s="225"/>
      <c r="B437" s="225"/>
      <c r="C437" s="225"/>
      <c r="D437" s="225"/>
      <c r="E437" s="225"/>
      <c r="F437" s="225"/>
      <c r="G437" s="225"/>
      <c r="H437" s="225"/>
      <c r="I437" s="225"/>
      <c r="J437" s="225"/>
      <c r="K437" s="225"/>
      <c r="L437" s="225"/>
      <c r="M437" s="225"/>
      <c r="N437" s="225"/>
      <c r="O437" s="225"/>
      <c r="P437" s="225"/>
      <c r="Q437" s="225"/>
      <c r="R437" s="225"/>
      <c r="S437" s="225"/>
      <c r="T437" s="225"/>
      <c r="U437" s="225"/>
      <c r="V437" s="225"/>
      <c r="W437" s="225"/>
      <c r="X437" s="225"/>
      <c r="Y437" s="225"/>
      <c r="Z437" s="225"/>
    </row>
    <row r="438">
      <c r="A438" s="225"/>
      <c r="B438" s="225"/>
      <c r="C438" s="225"/>
      <c r="D438" s="225"/>
      <c r="E438" s="225"/>
      <c r="F438" s="225"/>
      <c r="G438" s="225"/>
      <c r="H438" s="225"/>
      <c r="I438" s="225"/>
      <c r="J438" s="225"/>
      <c r="K438" s="225"/>
      <c r="L438" s="225"/>
      <c r="M438" s="225"/>
      <c r="N438" s="225"/>
      <c r="O438" s="225"/>
      <c r="P438" s="225"/>
      <c r="Q438" s="225"/>
      <c r="R438" s="225"/>
      <c r="S438" s="225"/>
      <c r="T438" s="225"/>
      <c r="U438" s="225"/>
      <c r="V438" s="225"/>
      <c r="W438" s="225"/>
      <c r="X438" s="225"/>
      <c r="Y438" s="225"/>
      <c r="Z438" s="225"/>
    </row>
    <row r="439">
      <c r="A439" s="225"/>
      <c r="B439" s="225"/>
      <c r="C439" s="225"/>
      <c r="D439" s="225"/>
      <c r="E439" s="225"/>
      <c r="F439" s="225"/>
      <c r="G439" s="225"/>
      <c r="H439" s="225"/>
      <c r="I439" s="225"/>
      <c r="J439" s="225"/>
      <c r="K439" s="225"/>
      <c r="L439" s="225"/>
      <c r="M439" s="225"/>
      <c r="N439" s="225"/>
      <c r="O439" s="225"/>
      <c r="P439" s="225"/>
      <c r="Q439" s="225"/>
      <c r="R439" s="225"/>
      <c r="S439" s="225"/>
      <c r="T439" s="225"/>
      <c r="U439" s="225"/>
      <c r="V439" s="225"/>
      <c r="W439" s="225"/>
      <c r="X439" s="225"/>
      <c r="Y439" s="225"/>
      <c r="Z439" s="225"/>
    </row>
    <row r="440">
      <c r="A440" s="225"/>
      <c r="B440" s="225"/>
      <c r="C440" s="225"/>
      <c r="D440" s="225"/>
      <c r="E440" s="225"/>
      <c r="F440" s="225"/>
      <c r="G440" s="225"/>
      <c r="H440" s="225"/>
      <c r="I440" s="225"/>
      <c r="J440" s="225"/>
      <c r="K440" s="225"/>
      <c r="L440" s="225"/>
      <c r="M440" s="225"/>
      <c r="N440" s="225"/>
      <c r="O440" s="225"/>
      <c r="P440" s="225"/>
      <c r="Q440" s="225"/>
      <c r="R440" s="225"/>
      <c r="S440" s="225"/>
      <c r="T440" s="225"/>
      <c r="U440" s="225"/>
      <c r="V440" s="225"/>
      <c r="W440" s="225"/>
      <c r="X440" s="225"/>
      <c r="Y440" s="225"/>
      <c r="Z440" s="225"/>
    </row>
    <row r="441">
      <c r="A441" s="225"/>
      <c r="B441" s="225"/>
      <c r="C441" s="225"/>
      <c r="D441" s="225"/>
      <c r="E441" s="225"/>
      <c r="F441" s="225"/>
      <c r="G441" s="225"/>
      <c r="H441" s="225"/>
      <c r="I441" s="225"/>
      <c r="J441" s="225"/>
      <c r="K441" s="225"/>
      <c r="L441" s="225"/>
      <c r="M441" s="225"/>
      <c r="N441" s="225"/>
      <c r="O441" s="225"/>
      <c r="P441" s="225"/>
      <c r="Q441" s="225"/>
      <c r="R441" s="225"/>
      <c r="S441" s="225"/>
      <c r="T441" s="225"/>
      <c r="U441" s="225"/>
      <c r="V441" s="225"/>
      <c r="W441" s="225"/>
      <c r="X441" s="225"/>
      <c r="Y441" s="225"/>
      <c r="Z441" s="225"/>
    </row>
    <row r="442">
      <c r="A442" s="225"/>
      <c r="B442" s="225"/>
      <c r="C442" s="225"/>
      <c r="D442" s="225"/>
      <c r="E442" s="225"/>
      <c r="F442" s="225"/>
      <c r="G442" s="225"/>
      <c r="H442" s="225"/>
      <c r="I442" s="225"/>
      <c r="J442" s="225"/>
      <c r="K442" s="225"/>
      <c r="L442" s="225"/>
      <c r="M442" s="225"/>
      <c r="N442" s="225"/>
      <c r="O442" s="225"/>
      <c r="P442" s="225"/>
      <c r="Q442" s="225"/>
      <c r="R442" s="225"/>
      <c r="S442" s="225"/>
      <c r="T442" s="225"/>
      <c r="U442" s="225"/>
      <c r="V442" s="225"/>
      <c r="W442" s="225"/>
      <c r="X442" s="225"/>
      <c r="Y442" s="225"/>
      <c r="Z442" s="225"/>
    </row>
    <row r="443">
      <c r="A443" s="225"/>
      <c r="B443" s="225"/>
      <c r="C443" s="225"/>
      <c r="D443" s="225"/>
      <c r="E443" s="225"/>
      <c r="F443" s="225"/>
      <c r="G443" s="225"/>
      <c r="H443" s="225"/>
      <c r="I443" s="225"/>
      <c r="J443" s="225"/>
      <c r="K443" s="225"/>
      <c r="L443" s="225"/>
      <c r="M443" s="225"/>
      <c r="N443" s="225"/>
      <c r="O443" s="225"/>
      <c r="P443" s="225"/>
      <c r="Q443" s="225"/>
      <c r="R443" s="225"/>
      <c r="S443" s="225"/>
      <c r="T443" s="225"/>
      <c r="U443" s="225"/>
      <c r="V443" s="225"/>
      <c r="W443" s="225"/>
      <c r="X443" s="225"/>
      <c r="Y443" s="225"/>
      <c r="Z443" s="225"/>
    </row>
    <row r="444">
      <c r="A444" s="225"/>
      <c r="B444" s="225"/>
      <c r="C444" s="225"/>
      <c r="D444" s="225"/>
      <c r="E444" s="225"/>
      <c r="F444" s="225"/>
      <c r="G444" s="225"/>
      <c r="H444" s="225"/>
      <c r="I444" s="225"/>
      <c r="J444" s="225"/>
      <c r="K444" s="225"/>
      <c r="L444" s="225"/>
      <c r="M444" s="225"/>
      <c r="N444" s="225"/>
      <c r="O444" s="225"/>
      <c r="P444" s="225"/>
      <c r="Q444" s="225"/>
      <c r="R444" s="225"/>
      <c r="S444" s="225"/>
      <c r="T444" s="225"/>
      <c r="U444" s="225"/>
      <c r="V444" s="225"/>
      <c r="W444" s="225"/>
      <c r="X444" s="225"/>
      <c r="Y444" s="225"/>
      <c r="Z444" s="225"/>
    </row>
    <row r="445">
      <c r="A445" s="225"/>
      <c r="B445" s="225"/>
      <c r="C445" s="225"/>
      <c r="D445" s="225"/>
      <c r="E445" s="225"/>
      <c r="F445" s="225"/>
      <c r="G445" s="225"/>
      <c r="H445" s="225"/>
      <c r="I445" s="225"/>
      <c r="J445" s="225"/>
      <c r="K445" s="225"/>
      <c r="L445" s="225"/>
      <c r="M445" s="225"/>
      <c r="N445" s="225"/>
      <c r="O445" s="225"/>
      <c r="P445" s="225"/>
      <c r="Q445" s="225"/>
      <c r="R445" s="225"/>
      <c r="S445" s="225"/>
      <c r="T445" s="225"/>
      <c r="U445" s="225"/>
      <c r="V445" s="225"/>
      <c r="W445" s="225"/>
      <c r="X445" s="225"/>
      <c r="Y445" s="225"/>
      <c r="Z445" s="225"/>
    </row>
    <row r="446">
      <c r="A446" s="225"/>
      <c r="B446" s="225"/>
      <c r="C446" s="225"/>
      <c r="D446" s="225"/>
      <c r="E446" s="225"/>
      <c r="F446" s="225"/>
      <c r="G446" s="225"/>
      <c r="H446" s="225"/>
      <c r="I446" s="225"/>
      <c r="J446" s="225"/>
      <c r="K446" s="225"/>
      <c r="L446" s="225"/>
      <c r="M446" s="225"/>
      <c r="N446" s="225"/>
      <c r="O446" s="225"/>
      <c r="P446" s="225"/>
      <c r="Q446" s="225"/>
      <c r="R446" s="225"/>
      <c r="S446" s="225"/>
      <c r="T446" s="225"/>
      <c r="U446" s="225"/>
      <c r="V446" s="225"/>
      <c r="W446" s="225"/>
      <c r="X446" s="225"/>
      <c r="Y446" s="225"/>
      <c r="Z446" s="225"/>
    </row>
    <row r="447">
      <c r="A447" s="225"/>
      <c r="B447" s="225"/>
      <c r="C447" s="225"/>
      <c r="D447" s="225"/>
      <c r="E447" s="225"/>
      <c r="F447" s="225"/>
      <c r="G447" s="225"/>
      <c r="H447" s="225"/>
      <c r="I447" s="225"/>
      <c r="J447" s="225"/>
      <c r="K447" s="225"/>
      <c r="L447" s="225"/>
      <c r="M447" s="225"/>
      <c r="N447" s="225"/>
      <c r="O447" s="225"/>
      <c r="P447" s="225"/>
      <c r="Q447" s="225"/>
      <c r="R447" s="225"/>
      <c r="S447" s="225"/>
      <c r="T447" s="225"/>
      <c r="U447" s="225"/>
      <c r="V447" s="225"/>
      <c r="W447" s="225"/>
      <c r="X447" s="225"/>
      <c r="Y447" s="225"/>
      <c r="Z447" s="225"/>
    </row>
    <row r="448">
      <c r="A448" s="225"/>
      <c r="B448" s="225"/>
      <c r="C448" s="225"/>
      <c r="D448" s="225"/>
      <c r="E448" s="225"/>
      <c r="F448" s="225"/>
      <c r="G448" s="225"/>
      <c r="H448" s="225"/>
      <c r="I448" s="225"/>
      <c r="J448" s="225"/>
      <c r="K448" s="225"/>
      <c r="L448" s="225"/>
      <c r="M448" s="225"/>
      <c r="N448" s="225"/>
      <c r="O448" s="225"/>
      <c r="P448" s="225"/>
      <c r="Q448" s="225"/>
      <c r="R448" s="225"/>
      <c r="S448" s="225"/>
      <c r="T448" s="225"/>
      <c r="U448" s="225"/>
      <c r="V448" s="225"/>
      <c r="W448" s="225"/>
      <c r="X448" s="225"/>
      <c r="Y448" s="225"/>
      <c r="Z448" s="225"/>
    </row>
    <row r="449">
      <c r="A449" s="225"/>
      <c r="B449" s="225"/>
      <c r="C449" s="225"/>
      <c r="D449" s="225"/>
      <c r="E449" s="225"/>
      <c r="F449" s="225"/>
      <c r="G449" s="225"/>
      <c r="H449" s="225"/>
      <c r="I449" s="225"/>
      <c r="J449" s="225"/>
      <c r="K449" s="225"/>
      <c r="L449" s="225"/>
      <c r="M449" s="225"/>
      <c r="N449" s="225"/>
      <c r="O449" s="225"/>
      <c r="P449" s="225"/>
      <c r="Q449" s="225"/>
      <c r="R449" s="225"/>
      <c r="S449" s="225"/>
      <c r="T449" s="225"/>
      <c r="U449" s="225"/>
      <c r="V449" s="225"/>
      <c r="W449" s="225"/>
      <c r="X449" s="225"/>
      <c r="Y449" s="225"/>
      <c r="Z449" s="225"/>
    </row>
    <row r="450">
      <c r="A450" s="225"/>
      <c r="B450" s="225"/>
      <c r="C450" s="225"/>
      <c r="D450" s="225"/>
      <c r="E450" s="225"/>
      <c r="F450" s="225"/>
      <c r="G450" s="225"/>
      <c r="H450" s="225"/>
      <c r="I450" s="225"/>
      <c r="J450" s="225"/>
      <c r="K450" s="225"/>
      <c r="L450" s="225"/>
      <c r="M450" s="225"/>
      <c r="N450" s="225"/>
      <c r="O450" s="225"/>
      <c r="P450" s="225"/>
      <c r="Q450" s="225"/>
      <c r="R450" s="225"/>
      <c r="S450" s="225"/>
      <c r="T450" s="225"/>
      <c r="U450" s="225"/>
      <c r="V450" s="225"/>
      <c r="W450" s="225"/>
      <c r="X450" s="225"/>
      <c r="Y450" s="225"/>
      <c r="Z450" s="225"/>
    </row>
    <row r="451">
      <c r="A451" s="225"/>
      <c r="B451" s="225"/>
      <c r="C451" s="225"/>
      <c r="D451" s="225"/>
      <c r="E451" s="225"/>
      <c r="F451" s="225"/>
      <c r="G451" s="225"/>
      <c r="H451" s="225"/>
      <c r="I451" s="225"/>
      <c r="J451" s="225"/>
      <c r="K451" s="225"/>
      <c r="L451" s="225"/>
      <c r="M451" s="225"/>
      <c r="N451" s="225"/>
      <c r="O451" s="225"/>
      <c r="P451" s="225"/>
      <c r="Q451" s="225"/>
      <c r="R451" s="225"/>
      <c r="S451" s="225"/>
      <c r="T451" s="225"/>
      <c r="U451" s="225"/>
      <c r="V451" s="225"/>
      <c r="W451" s="225"/>
      <c r="X451" s="225"/>
      <c r="Y451" s="225"/>
      <c r="Z451" s="225"/>
    </row>
    <row r="452">
      <c r="A452" s="225"/>
      <c r="B452" s="225"/>
      <c r="C452" s="225"/>
      <c r="D452" s="225"/>
      <c r="E452" s="225"/>
      <c r="F452" s="225"/>
      <c r="G452" s="225"/>
      <c r="H452" s="225"/>
      <c r="I452" s="225"/>
      <c r="J452" s="225"/>
      <c r="K452" s="225"/>
      <c r="L452" s="225"/>
      <c r="M452" s="225"/>
      <c r="N452" s="225"/>
      <c r="O452" s="225"/>
      <c r="P452" s="225"/>
      <c r="Q452" s="225"/>
      <c r="R452" s="225"/>
      <c r="S452" s="225"/>
      <c r="T452" s="225"/>
      <c r="U452" s="225"/>
      <c r="V452" s="225"/>
      <c r="W452" s="225"/>
      <c r="X452" s="225"/>
      <c r="Y452" s="225"/>
      <c r="Z452" s="225"/>
    </row>
    <row r="453">
      <c r="A453" s="225"/>
      <c r="B453" s="225"/>
      <c r="C453" s="225"/>
      <c r="D453" s="225"/>
      <c r="E453" s="225"/>
      <c r="F453" s="225"/>
      <c r="G453" s="225"/>
      <c r="H453" s="225"/>
      <c r="I453" s="225"/>
      <c r="J453" s="225"/>
      <c r="K453" s="225"/>
      <c r="L453" s="225"/>
      <c r="M453" s="225"/>
      <c r="N453" s="225"/>
      <c r="O453" s="225"/>
      <c r="P453" s="225"/>
      <c r="Q453" s="225"/>
      <c r="R453" s="225"/>
      <c r="S453" s="225"/>
      <c r="T453" s="225"/>
      <c r="U453" s="225"/>
      <c r="V453" s="225"/>
      <c r="W453" s="225"/>
      <c r="X453" s="225"/>
      <c r="Y453" s="225"/>
      <c r="Z453" s="225"/>
    </row>
    <row r="454">
      <c r="A454" s="225"/>
      <c r="B454" s="225"/>
      <c r="C454" s="225"/>
      <c r="D454" s="225"/>
      <c r="E454" s="225"/>
      <c r="F454" s="225"/>
      <c r="G454" s="225"/>
      <c r="H454" s="225"/>
      <c r="I454" s="225"/>
      <c r="J454" s="225"/>
      <c r="K454" s="225"/>
      <c r="L454" s="225"/>
      <c r="M454" s="225"/>
      <c r="N454" s="225"/>
      <c r="O454" s="225"/>
      <c r="P454" s="225"/>
      <c r="Q454" s="225"/>
      <c r="R454" s="225"/>
      <c r="S454" s="225"/>
      <c r="T454" s="225"/>
      <c r="U454" s="225"/>
      <c r="V454" s="225"/>
      <c r="W454" s="225"/>
      <c r="X454" s="225"/>
      <c r="Y454" s="225"/>
      <c r="Z454" s="225"/>
    </row>
    <row r="455">
      <c r="A455" s="225"/>
      <c r="B455" s="225"/>
      <c r="C455" s="225"/>
      <c r="D455" s="225"/>
      <c r="E455" s="225"/>
      <c r="F455" s="225"/>
      <c r="G455" s="225"/>
      <c r="H455" s="225"/>
      <c r="I455" s="225"/>
      <c r="J455" s="225"/>
      <c r="K455" s="225"/>
      <c r="L455" s="225"/>
      <c r="M455" s="225"/>
      <c r="N455" s="225"/>
      <c r="O455" s="225"/>
      <c r="P455" s="225"/>
      <c r="Q455" s="225"/>
      <c r="R455" s="225"/>
      <c r="S455" s="225"/>
      <c r="T455" s="225"/>
      <c r="U455" s="225"/>
      <c r="V455" s="225"/>
      <c r="W455" s="225"/>
      <c r="X455" s="225"/>
      <c r="Y455" s="225"/>
      <c r="Z455" s="225"/>
    </row>
    <row r="456">
      <c r="A456" s="225"/>
      <c r="B456" s="225"/>
      <c r="C456" s="225"/>
      <c r="D456" s="225"/>
      <c r="E456" s="225"/>
      <c r="F456" s="225"/>
      <c r="G456" s="225"/>
      <c r="H456" s="225"/>
      <c r="I456" s="225"/>
      <c r="J456" s="225"/>
      <c r="K456" s="225"/>
      <c r="L456" s="225"/>
      <c r="M456" s="225"/>
      <c r="N456" s="225"/>
      <c r="O456" s="225"/>
      <c r="P456" s="225"/>
      <c r="Q456" s="225"/>
      <c r="R456" s="225"/>
      <c r="S456" s="225"/>
      <c r="T456" s="225"/>
      <c r="U456" s="225"/>
      <c r="V456" s="225"/>
      <c r="W456" s="225"/>
      <c r="X456" s="225"/>
      <c r="Y456" s="225"/>
      <c r="Z456" s="225"/>
    </row>
    <row r="457">
      <c r="A457" s="225"/>
      <c r="B457" s="225"/>
      <c r="C457" s="225"/>
      <c r="D457" s="225"/>
      <c r="E457" s="225"/>
      <c r="F457" s="225"/>
      <c r="G457" s="225"/>
      <c r="H457" s="225"/>
      <c r="I457" s="225"/>
      <c r="J457" s="225"/>
      <c r="K457" s="225"/>
      <c r="L457" s="225"/>
      <c r="M457" s="225"/>
      <c r="N457" s="225"/>
      <c r="O457" s="225"/>
      <c r="P457" s="225"/>
      <c r="Q457" s="225"/>
      <c r="R457" s="225"/>
      <c r="S457" s="225"/>
      <c r="T457" s="225"/>
      <c r="U457" s="225"/>
      <c r="V457" s="225"/>
      <c r="W457" s="225"/>
      <c r="X457" s="225"/>
      <c r="Y457" s="225"/>
      <c r="Z457" s="225"/>
    </row>
    <row r="458">
      <c r="A458" s="225"/>
      <c r="B458" s="225"/>
      <c r="C458" s="225"/>
      <c r="D458" s="225"/>
      <c r="E458" s="225"/>
      <c r="F458" s="225"/>
      <c r="G458" s="225"/>
      <c r="H458" s="225"/>
      <c r="I458" s="225"/>
      <c r="J458" s="225"/>
      <c r="K458" s="225"/>
      <c r="L458" s="225"/>
      <c r="M458" s="225"/>
      <c r="N458" s="225"/>
      <c r="O458" s="225"/>
      <c r="P458" s="225"/>
      <c r="Q458" s="225"/>
      <c r="R458" s="225"/>
      <c r="S458" s="225"/>
      <c r="T458" s="225"/>
      <c r="U458" s="225"/>
      <c r="V458" s="225"/>
      <c r="W458" s="225"/>
      <c r="X458" s="225"/>
      <c r="Y458" s="225"/>
      <c r="Z458" s="225"/>
    </row>
    <row r="459">
      <c r="A459" s="225"/>
      <c r="B459" s="225"/>
      <c r="C459" s="225"/>
      <c r="D459" s="225"/>
      <c r="E459" s="225"/>
      <c r="F459" s="225"/>
      <c r="G459" s="225"/>
      <c r="H459" s="225"/>
      <c r="I459" s="225"/>
      <c r="J459" s="225"/>
      <c r="K459" s="225"/>
      <c r="L459" s="225"/>
      <c r="M459" s="225"/>
      <c r="N459" s="225"/>
      <c r="O459" s="225"/>
      <c r="P459" s="225"/>
      <c r="Q459" s="225"/>
      <c r="R459" s="225"/>
      <c r="S459" s="225"/>
      <c r="T459" s="225"/>
      <c r="U459" s="225"/>
      <c r="V459" s="225"/>
      <c r="W459" s="225"/>
      <c r="X459" s="225"/>
      <c r="Y459" s="225"/>
      <c r="Z459" s="225"/>
    </row>
    <row r="460">
      <c r="A460" s="225"/>
      <c r="B460" s="225"/>
      <c r="C460" s="225"/>
      <c r="D460" s="225"/>
      <c r="E460" s="225"/>
      <c r="F460" s="225"/>
      <c r="G460" s="225"/>
      <c r="H460" s="225"/>
      <c r="I460" s="225"/>
      <c r="J460" s="225"/>
      <c r="K460" s="225"/>
      <c r="L460" s="225"/>
      <c r="M460" s="225"/>
      <c r="N460" s="225"/>
      <c r="O460" s="225"/>
      <c r="P460" s="225"/>
      <c r="Q460" s="225"/>
      <c r="R460" s="225"/>
      <c r="S460" s="225"/>
      <c r="T460" s="225"/>
      <c r="U460" s="225"/>
      <c r="V460" s="225"/>
      <c r="W460" s="225"/>
      <c r="X460" s="225"/>
      <c r="Y460" s="225"/>
      <c r="Z460" s="225"/>
    </row>
    <row r="461">
      <c r="A461" s="225"/>
      <c r="B461" s="225"/>
      <c r="C461" s="225"/>
      <c r="D461" s="225"/>
      <c r="E461" s="225"/>
      <c r="F461" s="225"/>
      <c r="G461" s="225"/>
      <c r="H461" s="225"/>
      <c r="I461" s="225"/>
      <c r="J461" s="225"/>
      <c r="K461" s="225"/>
      <c r="L461" s="225"/>
      <c r="M461" s="225"/>
      <c r="N461" s="225"/>
      <c r="O461" s="225"/>
      <c r="P461" s="225"/>
      <c r="Q461" s="225"/>
      <c r="R461" s="225"/>
      <c r="S461" s="225"/>
      <c r="T461" s="225"/>
      <c r="U461" s="225"/>
      <c r="V461" s="225"/>
      <c r="W461" s="225"/>
      <c r="X461" s="225"/>
      <c r="Y461" s="225"/>
      <c r="Z461" s="225"/>
    </row>
    <row r="462">
      <c r="A462" s="225"/>
      <c r="B462" s="225"/>
      <c r="C462" s="225"/>
      <c r="D462" s="225"/>
      <c r="E462" s="225"/>
      <c r="F462" s="225"/>
      <c r="G462" s="225"/>
      <c r="H462" s="225"/>
      <c r="I462" s="225"/>
      <c r="J462" s="225"/>
      <c r="K462" s="225"/>
      <c r="L462" s="225"/>
      <c r="M462" s="225"/>
      <c r="N462" s="225"/>
      <c r="O462" s="225"/>
      <c r="P462" s="225"/>
      <c r="Q462" s="225"/>
      <c r="R462" s="225"/>
      <c r="S462" s="225"/>
      <c r="T462" s="225"/>
      <c r="U462" s="225"/>
      <c r="V462" s="225"/>
      <c r="W462" s="225"/>
      <c r="X462" s="225"/>
      <c r="Y462" s="225"/>
      <c r="Z462" s="225"/>
    </row>
    <row r="463">
      <c r="A463" s="225"/>
      <c r="B463" s="225"/>
      <c r="C463" s="225"/>
      <c r="D463" s="225"/>
      <c r="E463" s="225"/>
      <c r="F463" s="225"/>
      <c r="G463" s="225"/>
      <c r="H463" s="225"/>
      <c r="I463" s="225"/>
      <c r="J463" s="225"/>
      <c r="K463" s="225"/>
      <c r="L463" s="225"/>
      <c r="M463" s="225"/>
      <c r="N463" s="225"/>
      <c r="O463" s="225"/>
      <c r="P463" s="225"/>
      <c r="Q463" s="225"/>
      <c r="R463" s="225"/>
      <c r="S463" s="225"/>
      <c r="T463" s="225"/>
      <c r="U463" s="225"/>
      <c r="V463" s="225"/>
      <c r="W463" s="225"/>
      <c r="X463" s="225"/>
      <c r="Y463" s="225"/>
      <c r="Z463" s="225"/>
    </row>
    <row r="464">
      <c r="A464" s="225"/>
      <c r="B464" s="225"/>
      <c r="C464" s="225"/>
      <c r="D464" s="225"/>
      <c r="E464" s="225"/>
      <c r="F464" s="225"/>
      <c r="G464" s="225"/>
      <c r="H464" s="225"/>
      <c r="I464" s="225"/>
      <c r="J464" s="225"/>
      <c r="K464" s="225"/>
      <c r="L464" s="225"/>
      <c r="M464" s="225"/>
      <c r="N464" s="225"/>
      <c r="O464" s="225"/>
      <c r="P464" s="225"/>
      <c r="Q464" s="225"/>
      <c r="R464" s="225"/>
      <c r="S464" s="225"/>
      <c r="T464" s="225"/>
      <c r="U464" s="225"/>
      <c r="V464" s="225"/>
      <c r="W464" s="225"/>
      <c r="X464" s="225"/>
      <c r="Y464" s="225"/>
      <c r="Z464" s="225"/>
    </row>
    <row r="465">
      <c r="A465" s="225"/>
      <c r="B465" s="225"/>
      <c r="C465" s="225"/>
      <c r="D465" s="225"/>
      <c r="E465" s="225"/>
      <c r="F465" s="225"/>
      <c r="G465" s="225"/>
      <c r="H465" s="225"/>
      <c r="I465" s="225"/>
      <c r="J465" s="225"/>
      <c r="K465" s="225"/>
      <c r="L465" s="225"/>
      <c r="M465" s="225"/>
      <c r="N465" s="225"/>
      <c r="O465" s="225"/>
      <c r="P465" s="225"/>
      <c r="Q465" s="225"/>
      <c r="R465" s="225"/>
      <c r="S465" s="225"/>
      <c r="T465" s="225"/>
      <c r="U465" s="225"/>
      <c r="V465" s="225"/>
      <c r="W465" s="225"/>
      <c r="X465" s="225"/>
      <c r="Y465" s="225"/>
      <c r="Z465" s="225"/>
    </row>
    <row r="466">
      <c r="A466" s="225"/>
      <c r="B466" s="225"/>
      <c r="C466" s="225"/>
      <c r="D466" s="225"/>
      <c r="E466" s="225"/>
      <c r="F466" s="225"/>
      <c r="G466" s="225"/>
      <c r="H466" s="225"/>
      <c r="I466" s="225"/>
      <c r="J466" s="225"/>
      <c r="K466" s="225"/>
      <c r="L466" s="225"/>
      <c r="M466" s="225"/>
      <c r="N466" s="225"/>
      <c r="O466" s="225"/>
      <c r="P466" s="225"/>
      <c r="Q466" s="225"/>
      <c r="R466" s="225"/>
      <c r="S466" s="225"/>
      <c r="T466" s="225"/>
      <c r="U466" s="225"/>
      <c r="V466" s="225"/>
      <c r="W466" s="225"/>
      <c r="X466" s="225"/>
      <c r="Y466" s="225"/>
      <c r="Z466" s="225"/>
    </row>
    <row r="467">
      <c r="A467" s="225"/>
      <c r="B467" s="225"/>
      <c r="C467" s="225"/>
      <c r="D467" s="225"/>
      <c r="E467" s="225"/>
      <c r="F467" s="225"/>
      <c r="G467" s="225"/>
      <c r="H467" s="225"/>
      <c r="I467" s="225"/>
      <c r="J467" s="225"/>
      <c r="K467" s="225"/>
      <c r="L467" s="225"/>
      <c r="M467" s="225"/>
      <c r="N467" s="225"/>
      <c r="O467" s="225"/>
      <c r="P467" s="225"/>
      <c r="Q467" s="225"/>
      <c r="R467" s="225"/>
      <c r="S467" s="225"/>
      <c r="T467" s="225"/>
      <c r="U467" s="225"/>
      <c r="V467" s="225"/>
      <c r="W467" s="225"/>
      <c r="X467" s="225"/>
      <c r="Y467" s="225"/>
      <c r="Z467" s="225"/>
    </row>
    <row r="468">
      <c r="A468" s="225"/>
      <c r="B468" s="225"/>
      <c r="C468" s="225"/>
      <c r="D468" s="225"/>
      <c r="E468" s="225"/>
      <c r="F468" s="225"/>
      <c r="G468" s="225"/>
      <c r="H468" s="225"/>
      <c r="I468" s="225"/>
      <c r="J468" s="225"/>
      <c r="K468" s="225"/>
      <c r="L468" s="225"/>
      <c r="M468" s="225"/>
      <c r="N468" s="225"/>
      <c r="O468" s="225"/>
      <c r="P468" s="225"/>
      <c r="Q468" s="225"/>
      <c r="R468" s="225"/>
      <c r="S468" s="225"/>
      <c r="T468" s="225"/>
      <c r="U468" s="225"/>
      <c r="V468" s="225"/>
      <c r="W468" s="225"/>
      <c r="X468" s="225"/>
      <c r="Y468" s="225"/>
      <c r="Z468" s="225"/>
    </row>
    <row r="469">
      <c r="A469" s="225"/>
      <c r="B469" s="225"/>
      <c r="C469" s="225"/>
      <c r="D469" s="225"/>
      <c r="E469" s="225"/>
      <c r="F469" s="225"/>
      <c r="G469" s="225"/>
      <c r="H469" s="225"/>
      <c r="I469" s="225"/>
      <c r="J469" s="225"/>
      <c r="K469" s="225"/>
      <c r="L469" s="225"/>
      <c r="M469" s="225"/>
      <c r="N469" s="225"/>
      <c r="O469" s="225"/>
      <c r="P469" s="225"/>
      <c r="Q469" s="225"/>
      <c r="R469" s="225"/>
      <c r="S469" s="225"/>
      <c r="T469" s="225"/>
      <c r="U469" s="225"/>
      <c r="V469" s="225"/>
      <c r="W469" s="225"/>
      <c r="X469" s="225"/>
      <c r="Y469" s="225"/>
      <c r="Z469" s="225"/>
    </row>
    <row r="470">
      <c r="A470" s="225"/>
      <c r="B470" s="225"/>
      <c r="C470" s="225"/>
      <c r="D470" s="225"/>
      <c r="E470" s="225"/>
      <c r="F470" s="225"/>
      <c r="G470" s="225"/>
      <c r="H470" s="225"/>
      <c r="I470" s="225"/>
      <c r="J470" s="225"/>
      <c r="K470" s="225"/>
      <c r="L470" s="225"/>
      <c r="M470" s="225"/>
      <c r="N470" s="225"/>
      <c r="O470" s="225"/>
      <c r="P470" s="225"/>
      <c r="Q470" s="225"/>
      <c r="R470" s="225"/>
      <c r="S470" s="225"/>
      <c r="T470" s="225"/>
      <c r="U470" s="225"/>
      <c r="V470" s="225"/>
      <c r="W470" s="225"/>
      <c r="X470" s="225"/>
      <c r="Y470" s="225"/>
      <c r="Z470" s="225"/>
    </row>
    <row r="471">
      <c r="A471" s="225"/>
      <c r="B471" s="225"/>
      <c r="C471" s="225"/>
      <c r="D471" s="225"/>
      <c r="E471" s="225"/>
      <c r="F471" s="225"/>
      <c r="G471" s="225"/>
      <c r="H471" s="225"/>
      <c r="I471" s="225"/>
      <c r="J471" s="225"/>
      <c r="K471" s="225"/>
      <c r="L471" s="225"/>
      <c r="M471" s="225"/>
      <c r="N471" s="225"/>
      <c r="O471" s="225"/>
      <c r="P471" s="225"/>
      <c r="Q471" s="225"/>
      <c r="R471" s="225"/>
      <c r="S471" s="225"/>
      <c r="T471" s="225"/>
      <c r="U471" s="225"/>
      <c r="V471" s="225"/>
      <c r="W471" s="225"/>
      <c r="X471" s="225"/>
      <c r="Y471" s="225"/>
      <c r="Z471" s="225"/>
    </row>
    <row r="472">
      <c r="A472" s="225"/>
      <c r="B472" s="225"/>
      <c r="C472" s="225"/>
      <c r="D472" s="225"/>
      <c r="E472" s="225"/>
      <c r="F472" s="225"/>
      <c r="G472" s="225"/>
      <c r="H472" s="225"/>
      <c r="I472" s="225"/>
      <c r="J472" s="225"/>
      <c r="K472" s="225"/>
      <c r="L472" s="225"/>
      <c r="M472" s="225"/>
      <c r="N472" s="225"/>
      <c r="O472" s="225"/>
      <c r="P472" s="225"/>
      <c r="Q472" s="225"/>
      <c r="R472" s="225"/>
      <c r="S472" s="225"/>
      <c r="T472" s="225"/>
      <c r="U472" s="225"/>
      <c r="V472" s="225"/>
      <c r="W472" s="225"/>
      <c r="X472" s="225"/>
      <c r="Y472" s="225"/>
      <c r="Z472" s="225"/>
    </row>
    <row r="473">
      <c r="A473" s="225"/>
      <c r="B473" s="225"/>
      <c r="C473" s="225"/>
      <c r="D473" s="225"/>
      <c r="E473" s="225"/>
      <c r="F473" s="225"/>
      <c r="G473" s="225"/>
      <c r="H473" s="225"/>
      <c r="I473" s="225"/>
      <c r="J473" s="225"/>
      <c r="K473" s="225"/>
      <c r="L473" s="225"/>
      <c r="M473" s="225"/>
      <c r="N473" s="225"/>
      <c r="O473" s="225"/>
      <c r="P473" s="225"/>
      <c r="Q473" s="225"/>
      <c r="R473" s="225"/>
      <c r="S473" s="225"/>
      <c r="T473" s="225"/>
      <c r="U473" s="225"/>
      <c r="V473" s="225"/>
      <c r="W473" s="225"/>
      <c r="X473" s="225"/>
      <c r="Y473" s="225"/>
      <c r="Z473" s="225"/>
    </row>
    <row r="474">
      <c r="A474" s="225"/>
      <c r="B474" s="225"/>
      <c r="C474" s="225"/>
      <c r="D474" s="225"/>
      <c r="E474" s="225"/>
      <c r="F474" s="225"/>
      <c r="G474" s="225"/>
      <c r="H474" s="225"/>
      <c r="I474" s="225"/>
      <c r="J474" s="225"/>
      <c r="K474" s="225"/>
      <c r="L474" s="225"/>
      <c r="M474" s="225"/>
      <c r="N474" s="225"/>
      <c r="O474" s="225"/>
      <c r="P474" s="225"/>
      <c r="Q474" s="225"/>
      <c r="R474" s="225"/>
      <c r="S474" s="225"/>
      <c r="T474" s="225"/>
      <c r="U474" s="225"/>
      <c r="V474" s="225"/>
      <c r="W474" s="225"/>
      <c r="X474" s="225"/>
      <c r="Y474" s="225"/>
      <c r="Z474" s="225"/>
    </row>
    <row r="475">
      <c r="A475" s="225"/>
      <c r="B475" s="225"/>
      <c r="C475" s="225"/>
      <c r="D475" s="225"/>
      <c r="E475" s="225"/>
      <c r="F475" s="225"/>
      <c r="G475" s="225"/>
      <c r="H475" s="225"/>
      <c r="I475" s="225"/>
      <c r="J475" s="225"/>
      <c r="K475" s="225"/>
      <c r="L475" s="225"/>
      <c r="M475" s="225"/>
      <c r="N475" s="225"/>
      <c r="O475" s="225"/>
      <c r="P475" s="225"/>
      <c r="Q475" s="225"/>
      <c r="R475" s="225"/>
      <c r="S475" s="225"/>
      <c r="T475" s="225"/>
      <c r="U475" s="225"/>
      <c r="V475" s="225"/>
      <c r="W475" s="225"/>
      <c r="X475" s="225"/>
      <c r="Y475" s="225"/>
      <c r="Z475" s="225"/>
    </row>
    <row r="476">
      <c r="A476" s="225"/>
      <c r="B476" s="225"/>
      <c r="C476" s="225"/>
      <c r="D476" s="225"/>
      <c r="E476" s="225"/>
      <c r="F476" s="225"/>
      <c r="G476" s="225"/>
      <c r="H476" s="225"/>
      <c r="I476" s="225"/>
      <c r="J476" s="225"/>
      <c r="K476" s="225"/>
      <c r="L476" s="225"/>
      <c r="M476" s="225"/>
      <c r="N476" s="225"/>
      <c r="O476" s="225"/>
      <c r="P476" s="225"/>
      <c r="Q476" s="225"/>
      <c r="R476" s="225"/>
      <c r="S476" s="225"/>
      <c r="T476" s="225"/>
      <c r="U476" s="225"/>
      <c r="V476" s="225"/>
      <c r="W476" s="225"/>
      <c r="X476" s="225"/>
      <c r="Y476" s="225"/>
      <c r="Z476" s="225"/>
    </row>
    <row r="477">
      <c r="A477" s="225"/>
      <c r="B477" s="225"/>
      <c r="C477" s="225"/>
      <c r="D477" s="225"/>
      <c r="E477" s="225"/>
      <c r="F477" s="225"/>
      <c r="G477" s="225"/>
      <c r="H477" s="225"/>
      <c r="I477" s="225"/>
      <c r="J477" s="225"/>
      <c r="K477" s="225"/>
      <c r="L477" s="225"/>
      <c r="M477" s="225"/>
      <c r="N477" s="225"/>
      <c r="O477" s="225"/>
      <c r="P477" s="225"/>
      <c r="Q477" s="225"/>
      <c r="R477" s="225"/>
      <c r="S477" s="225"/>
      <c r="T477" s="225"/>
      <c r="U477" s="225"/>
      <c r="V477" s="225"/>
      <c r="W477" s="225"/>
      <c r="X477" s="225"/>
      <c r="Y477" s="225"/>
      <c r="Z477" s="225"/>
    </row>
    <row r="478">
      <c r="A478" s="225"/>
      <c r="B478" s="225"/>
      <c r="C478" s="225"/>
      <c r="D478" s="225"/>
      <c r="E478" s="225"/>
      <c r="F478" s="225"/>
      <c r="G478" s="225"/>
      <c r="H478" s="225"/>
      <c r="I478" s="225"/>
      <c r="J478" s="225"/>
      <c r="K478" s="225"/>
      <c r="L478" s="225"/>
      <c r="M478" s="225"/>
      <c r="N478" s="225"/>
      <c r="O478" s="225"/>
      <c r="P478" s="225"/>
      <c r="Q478" s="225"/>
      <c r="R478" s="225"/>
      <c r="S478" s="225"/>
      <c r="T478" s="225"/>
      <c r="U478" s="225"/>
      <c r="V478" s="225"/>
      <c r="W478" s="225"/>
      <c r="X478" s="225"/>
      <c r="Y478" s="225"/>
      <c r="Z478" s="225"/>
    </row>
    <row r="479">
      <c r="A479" s="225"/>
      <c r="B479" s="225"/>
      <c r="C479" s="225"/>
      <c r="D479" s="225"/>
      <c r="E479" s="225"/>
      <c r="F479" s="225"/>
      <c r="G479" s="225"/>
      <c r="H479" s="225"/>
      <c r="I479" s="225"/>
      <c r="J479" s="225"/>
      <c r="K479" s="225"/>
      <c r="L479" s="225"/>
      <c r="M479" s="225"/>
      <c r="N479" s="225"/>
      <c r="O479" s="225"/>
      <c r="P479" s="225"/>
      <c r="Q479" s="225"/>
      <c r="R479" s="225"/>
      <c r="S479" s="225"/>
      <c r="T479" s="225"/>
      <c r="U479" s="225"/>
      <c r="V479" s="225"/>
      <c r="W479" s="225"/>
      <c r="X479" s="225"/>
      <c r="Y479" s="225"/>
      <c r="Z479" s="225"/>
    </row>
    <row r="480">
      <c r="A480" s="225"/>
      <c r="B480" s="225"/>
      <c r="C480" s="225"/>
      <c r="D480" s="225"/>
      <c r="E480" s="225"/>
      <c r="F480" s="225"/>
      <c r="G480" s="225"/>
      <c r="H480" s="225"/>
      <c r="I480" s="225"/>
      <c r="J480" s="225"/>
      <c r="K480" s="225"/>
      <c r="L480" s="225"/>
      <c r="M480" s="225"/>
      <c r="N480" s="225"/>
      <c r="O480" s="225"/>
      <c r="P480" s="225"/>
      <c r="Q480" s="225"/>
      <c r="R480" s="225"/>
      <c r="S480" s="225"/>
      <c r="T480" s="225"/>
      <c r="U480" s="225"/>
      <c r="V480" s="225"/>
      <c r="W480" s="225"/>
      <c r="X480" s="225"/>
      <c r="Y480" s="225"/>
      <c r="Z480" s="225"/>
    </row>
    <row r="481">
      <c r="A481" s="225"/>
      <c r="B481" s="225"/>
      <c r="C481" s="225"/>
      <c r="D481" s="225"/>
      <c r="E481" s="225"/>
      <c r="F481" s="225"/>
      <c r="G481" s="225"/>
      <c r="H481" s="225"/>
      <c r="I481" s="225"/>
      <c r="J481" s="225"/>
      <c r="K481" s="225"/>
      <c r="L481" s="225"/>
      <c r="M481" s="225"/>
      <c r="N481" s="225"/>
      <c r="O481" s="225"/>
      <c r="P481" s="225"/>
      <c r="Q481" s="225"/>
      <c r="R481" s="225"/>
      <c r="S481" s="225"/>
      <c r="T481" s="225"/>
      <c r="U481" s="225"/>
      <c r="V481" s="225"/>
      <c r="W481" s="225"/>
      <c r="X481" s="225"/>
      <c r="Y481" s="225"/>
      <c r="Z481" s="225"/>
    </row>
    <row r="482">
      <c r="A482" s="225"/>
      <c r="B482" s="225"/>
      <c r="C482" s="225"/>
      <c r="D482" s="225"/>
      <c r="E482" s="225"/>
      <c r="F482" s="225"/>
      <c r="G482" s="225"/>
      <c r="H482" s="225"/>
      <c r="I482" s="225"/>
      <c r="J482" s="225"/>
      <c r="K482" s="225"/>
      <c r="L482" s="225"/>
      <c r="M482" s="225"/>
      <c r="N482" s="225"/>
      <c r="O482" s="225"/>
      <c r="P482" s="225"/>
      <c r="Q482" s="225"/>
      <c r="R482" s="225"/>
      <c r="S482" s="225"/>
      <c r="T482" s="225"/>
      <c r="U482" s="225"/>
      <c r="V482" s="225"/>
      <c r="W482" s="225"/>
      <c r="X482" s="225"/>
      <c r="Y482" s="225"/>
      <c r="Z482" s="225"/>
    </row>
    <row r="483">
      <c r="A483" s="225"/>
      <c r="B483" s="225"/>
      <c r="C483" s="225"/>
      <c r="D483" s="225"/>
      <c r="E483" s="225"/>
      <c r="F483" s="225"/>
      <c r="G483" s="225"/>
      <c r="H483" s="225"/>
      <c r="I483" s="225"/>
      <c r="J483" s="225"/>
      <c r="K483" s="225"/>
      <c r="L483" s="225"/>
      <c r="M483" s="225"/>
      <c r="N483" s="225"/>
      <c r="O483" s="225"/>
      <c r="P483" s="225"/>
      <c r="Q483" s="225"/>
      <c r="R483" s="225"/>
      <c r="S483" s="225"/>
      <c r="T483" s="225"/>
      <c r="U483" s="225"/>
      <c r="V483" s="225"/>
      <c r="W483" s="225"/>
      <c r="X483" s="225"/>
      <c r="Y483" s="225"/>
      <c r="Z483" s="225"/>
    </row>
    <row r="484">
      <c r="A484" s="225"/>
      <c r="B484" s="225"/>
      <c r="C484" s="225"/>
      <c r="D484" s="225"/>
      <c r="E484" s="225"/>
      <c r="F484" s="225"/>
      <c r="G484" s="225"/>
      <c r="H484" s="225"/>
      <c r="I484" s="225"/>
      <c r="J484" s="225"/>
      <c r="K484" s="225"/>
      <c r="L484" s="225"/>
      <c r="M484" s="225"/>
      <c r="N484" s="225"/>
      <c r="O484" s="225"/>
      <c r="P484" s="225"/>
      <c r="Q484" s="225"/>
      <c r="R484" s="225"/>
      <c r="S484" s="225"/>
      <c r="T484" s="225"/>
      <c r="U484" s="225"/>
      <c r="V484" s="225"/>
      <c r="W484" s="225"/>
      <c r="X484" s="225"/>
      <c r="Y484" s="225"/>
      <c r="Z484" s="225"/>
    </row>
    <row r="485">
      <c r="A485" s="225"/>
      <c r="B485" s="225"/>
      <c r="C485" s="225"/>
      <c r="D485" s="225"/>
      <c r="E485" s="225"/>
      <c r="F485" s="225"/>
      <c r="G485" s="225"/>
      <c r="H485" s="225"/>
      <c r="I485" s="225"/>
      <c r="J485" s="225"/>
      <c r="K485" s="225"/>
      <c r="L485" s="225"/>
      <c r="M485" s="225"/>
      <c r="N485" s="225"/>
      <c r="O485" s="225"/>
      <c r="P485" s="225"/>
      <c r="Q485" s="225"/>
      <c r="R485" s="225"/>
      <c r="S485" s="225"/>
      <c r="T485" s="225"/>
      <c r="U485" s="225"/>
      <c r="V485" s="225"/>
      <c r="W485" s="225"/>
      <c r="X485" s="225"/>
      <c r="Y485" s="225"/>
      <c r="Z485" s="225"/>
    </row>
    <row r="486">
      <c r="A486" s="225"/>
      <c r="B486" s="225"/>
      <c r="C486" s="225"/>
      <c r="D486" s="225"/>
      <c r="E486" s="225"/>
      <c r="F486" s="225"/>
      <c r="G486" s="225"/>
      <c r="H486" s="225"/>
      <c r="I486" s="225"/>
      <c r="J486" s="225"/>
      <c r="K486" s="225"/>
      <c r="L486" s="225"/>
      <c r="M486" s="225"/>
      <c r="N486" s="225"/>
      <c r="O486" s="225"/>
      <c r="P486" s="225"/>
      <c r="Q486" s="225"/>
      <c r="R486" s="225"/>
      <c r="S486" s="225"/>
      <c r="T486" s="225"/>
      <c r="U486" s="225"/>
      <c r="V486" s="225"/>
      <c r="W486" s="225"/>
      <c r="X486" s="225"/>
      <c r="Y486" s="225"/>
      <c r="Z486" s="225"/>
    </row>
    <row r="487">
      <c r="A487" s="225"/>
      <c r="B487" s="225"/>
      <c r="C487" s="225"/>
      <c r="D487" s="225"/>
      <c r="E487" s="225"/>
      <c r="F487" s="225"/>
      <c r="G487" s="225"/>
      <c r="H487" s="225"/>
      <c r="I487" s="225"/>
      <c r="J487" s="225"/>
      <c r="K487" s="225"/>
      <c r="L487" s="225"/>
      <c r="M487" s="225"/>
      <c r="N487" s="225"/>
      <c r="O487" s="225"/>
      <c r="P487" s="225"/>
      <c r="Q487" s="225"/>
      <c r="R487" s="225"/>
      <c r="S487" s="225"/>
      <c r="T487" s="225"/>
      <c r="U487" s="225"/>
      <c r="V487" s="225"/>
      <c r="W487" s="225"/>
      <c r="X487" s="225"/>
      <c r="Y487" s="225"/>
      <c r="Z487" s="225"/>
    </row>
    <row r="488">
      <c r="A488" s="225"/>
      <c r="B488" s="225"/>
      <c r="C488" s="225"/>
      <c r="D488" s="225"/>
      <c r="E488" s="225"/>
      <c r="F488" s="225"/>
      <c r="G488" s="225"/>
      <c r="H488" s="225"/>
      <c r="I488" s="225"/>
      <c r="J488" s="225"/>
      <c r="K488" s="225"/>
      <c r="L488" s="225"/>
      <c r="M488" s="225"/>
      <c r="N488" s="225"/>
      <c r="O488" s="225"/>
      <c r="P488" s="225"/>
      <c r="Q488" s="225"/>
      <c r="R488" s="225"/>
      <c r="S488" s="225"/>
      <c r="T488" s="225"/>
      <c r="U488" s="225"/>
      <c r="V488" s="225"/>
      <c r="W488" s="225"/>
      <c r="X488" s="225"/>
      <c r="Y488" s="225"/>
      <c r="Z488" s="225"/>
    </row>
    <row r="489">
      <c r="A489" s="225"/>
      <c r="B489" s="225"/>
      <c r="C489" s="225"/>
      <c r="D489" s="225"/>
      <c r="E489" s="225"/>
      <c r="F489" s="225"/>
      <c r="G489" s="225"/>
      <c r="H489" s="225"/>
      <c r="I489" s="225"/>
      <c r="J489" s="225"/>
      <c r="K489" s="225"/>
      <c r="L489" s="225"/>
      <c r="M489" s="225"/>
      <c r="N489" s="225"/>
      <c r="O489" s="225"/>
      <c r="P489" s="225"/>
      <c r="Q489" s="225"/>
      <c r="R489" s="225"/>
      <c r="S489" s="225"/>
      <c r="T489" s="225"/>
      <c r="U489" s="225"/>
      <c r="V489" s="225"/>
      <c r="W489" s="225"/>
      <c r="X489" s="225"/>
      <c r="Y489" s="225"/>
      <c r="Z489" s="225"/>
    </row>
    <row r="490">
      <c r="A490" s="225"/>
      <c r="B490" s="225"/>
      <c r="C490" s="225"/>
      <c r="D490" s="225"/>
      <c r="E490" s="225"/>
      <c r="F490" s="225"/>
      <c r="G490" s="225"/>
      <c r="H490" s="225"/>
      <c r="I490" s="225"/>
      <c r="J490" s="225"/>
      <c r="K490" s="225"/>
      <c r="L490" s="225"/>
      <c r="M490" s="225"/>
      <c r="N490" s="225"/>
      <c r="O490" s="225"/>
      <c r="P490" s="225"/>
      <c r="Q490" s="225"/>
      <c r="R490" s="225"/>
      <c r="S490" s="225"/>
      <c r="T490" s="225"/>
      <c r="U490" s="225"/>
      <c r="V490" s="225"/>
      <c r="W490" s="225"/>
      <c r="X490" s="225"/>
      <c r="Y490" s="225"/>
      <c r="Z490" s="225"/>
    </row>
    <row r="491">
      <c r="A491" s="225"/>
      <c r="B491" s="225"/>
      <c r="C491" s="225"/>
      <c r="D491" s="225"/>
      <c r="E491" s="225"/>
      <c r="F491" s="225"/>
      <c r="G491" s="225"/>
      <c r="H491" s="225"/>
      <c r="I491" s="225"/>
      <c r="J491" s="225"/>
      <c r="K491" s="225"/>
      <c r="L491" s="225"/>
      <c r="M491" s="225"/>
      <c r="N491" s="225"/>
      <c r="O491" s="225"/>
      <c r="P491" s="225"/>
      <c r="Q491" s="225"/>
      <c r="R491" s="225"/>
      <c r="S491" s="225"/>
      <c r="T491" s="225"/>
      <c r="U491" s="225"/>
      <c r="V491" s="225"/>
      <c r="W491" s="225"/>
      <c r="X491" s="225"/>
      <c r="Y491" s="225"/>
      <c r="Z491" s="225"/>
    </row>
    <row r="492">
      <c r="A492" s="225"/>
      <c r="B492" s="225"/>
      <c r="C492" s="225"/>
      <c r="D492" s="225"/>
      <c r="E492" s="225"/>
      <c r="F492" s="225"/>
      <c r="G492" s="225"/>
      <c r="H492" s="225"/>
      <c r="I492" s="225"/>
      <c r="J492" s="225"/>
      <c r="K492" s="225"/>
      <c r="L492" s="225"/>
      <c r="M492" s="225"/>
      <c r="N492" s="225"/>
      <c r="O492" s="225"/>
      <c r="P492" s="225"/>
      <c r="Q492" s="225"/>
      <c r="R492" s="225"/>
      <c r="S492" s="225"/>
      <c r="T492" s="225"/>
      <c r="U492" s="225"/>
      <c r="V492" s="225"/>
      <c r="W492" s="225"/>
      <c r="X492" s="225"/>
      <c r="Y492" s="225"/>
      <c r="Z492" s="225"/>
    </row>
    <row r="493">
      <c r="A493" s="225"/>
      <c r="B493" s="225"/>
      <c r="C493" s="225"/>
      <c r="D493" s="225"/>
      <c r="E493" s="225"/>
      <c r="F493" s="225"/>
      <c r="G493" s="225"/>
      <c r="H493" s="225"/>
      <c r="I493" s="225"/>
      <c r="J493" s="225"/>
      <c r="K493" s="225"/>
      <c r="L493" s="225"/>
      <c r="M493" s="225"/>
      <c r="N493" s="225"/>
      <c r="O493" s="225"/>
      <c r="P493" s="225"/>
      <c r="Q493" s="225"/>
      <c r="R493" s="225"/>
      <c r="S493" s="225"/>
      <c r="T493" s="225"/>
      <c r="U493" s="225"/>
      <c r="V493" s="225"/>
      <c r="W493" s="225"/>
      <c r="X493" s="225"/>
      <c r="Y493" s="225"/>
      <c r="Z493" s="225"/>
    </row>
    <row r="494">
      <c r="A494" s="225"/>
      <c r="B494" s="225"/>
      <c r="C494" s="225"/>
      <c r="D494" s="225"/>
      <c r="E494" s="225"/>
      <c r="F494" s="225"/>
      <c r="G494" s="225"/>
      <c r="H494" s="225"/>
      <c r="I494" s="225"/>
      <c r="J494" s="225"/>
      <c r="K494" s="225"/>
      <c r="L494" s="225"/>
      <c r="M494" s="225"/>
      <c r="N494" s="225"/>
      <c r="O494" s="225"/>
      <c r="P494" s="225"/>
      <c r="Q494" s="225"/>
      <c r="R494" s="225"/>
      <c r="S494" s="225"/>
      <c r="T494" s="225"/>
      <c r="U494" s="225"/>
      <c r="V494" s="225"/>
      <c r="W494" s="225"/>
      <c r="X494" s="225"/>
      <c r="Y494" s="225"/>
      <c r="Z494" s="225"/>
    </row>
    <row r="495">
      <c r="A495" s="225"/>
      <c r="B495" s="225"/>
      <c r="C495" s="225"/>
      <c r="D495" s="225"/>
      <c r="E495" s="225"/>
      <c r="F495" s="225"/>
      <c r="G495" s="225"/>
      <c r="H495" s="225"/>
      <c r="I495" s="225"/>
      <c r="J495" s="225"/>
      <c r="K495" s="225"/>
      <c r="L495" s="225"/>
      <c r="M495" s="225"/>
      <c r="N495" s="225"/>
      <c r="O495" s="225"/>
      <c r="P495" s="225"/>
      <c r="Q495" s="225"/>
      <c r="R495" s="225"/>
      <c r="S495" s="225"/>
      <c r="T495" s="225"/>
      <c r="U495" s="225"/>
      <c r="V495" s="225"/>
      <c r="W495" s="225"/>
      <c r="X495" s="225"/>
      <c r="Y495" s="225"/>
      <c r="Z495" s="225"/>
    </row>
    <row r="496">
      <c r="A496" s="225"/>
      <c r="B496" s="225"/>
      <c r="C496" s="225"/>
      <c r="D496" s="225"/>
      <c r="E496" s="225"/>
      <c r="F496" s="225"/>
      <c r="G496" s="225"/>
      <c r="H496" s="225"/>
      <c r="I496" s="225"/>
      <c r="J496" s="225"/>
      <c r="K496" s="225"/>
      <c r="L496" s="225"/>
      <c r="M496" s="225"/>
      <c r="N496" s="225"/>
      <c r="O496" s="225"/>
      <c r="P496" s="225"/>
      <c r="Q496" s="225"/>
      <c r="R496" s="225"/>
      <c r="S496" s="225"/>
      <c r="T496" s="225"/>
      <c r="U496" s="225"/>
      <c r="V496" s="225"/>
      <c r="W496" s="225"/>
      <c r="X496" s="225"/>
      <c r="Y496" s="225"/>
      <c r="Z496" s="225"/>
    </row>
    <row r="497">
      <c r="A497" s="225"/>
      <c r="B497" s="225"/>
      <c r="C497" s="225"/>
      <c r="D497" s="225"/>
      <c r="E497" s="225"/>
      <c r="F497" s="225"/>
      <c r="G497" s="225"/>
      <c r="H497" s="225"/>
      <c r="I497" s="225"/>
      <c r="J497" s="225"/>
      <c r="K497" s="225"/>
      <c r="L497" s="225"/>
      <c r="M497" s="225"/>
      <c r="N497" s="225"/>
      <c r="O497" s="225"/>
      <c r="P497" s="225"/>
      <c r="Q497" s="225"/>
      <c r="R497" s="225"/>
      <c r="S497" s="225"/>
      <c r="T497" s="225"/>
      <c r="U497" s="225"/>
      <c r="V497" s="225"/>
      <c r="W497" s="225"/>
      <c r="X497" s="225"/>
      <c r="Y497" s="225"/>
      <c r="Z497" s="225"/>
    </row>
    <row r="498">
      <c r="A498" s="225"/>
      <c r="B498" s="225"/>
      <c r="C498" s="225"/>
      <c r="D498" s="225"/>
      <c r="E498" s="225"/>
      <c r="F498" s="225"/>
      <c r="G498" s="225"/>
      <c r="H498" s="225"/>
      <c r="I498" s="225"/>
      <c r="J498" s="225"/>
      <c r="K498" s="225"/>
      <c r="L498" s="225"/>
      <c r="M498" s="225"/>
      <c r="N498" s="225"/>
      <c r="O498" s="225"/>
      <c r="P498" s="225"/>
      <c r="Q498" s="225"/>
      <c r="R498" s="225"/>
      <c r="S498" s="225"/>
      <c r="T498" s="225"/>
      <c r="U498" s="225"/>
      <c r="V498" s="225"/>
      <c r="W498" s="225"/>
      <c r="X498" s="225"/>
      <c r="Y498" s="225"/>
      <c r="Z498" s="225"/>
    </row>
    <row r="499">
      <c r="A499" s="225"/>
      <c r="B499" s="225"/>
      <c r="C499" s="225"/>
      <c r="D499" s="225"/>
      <c r="E499" s="225"/>
      <c r="F499" s="225"/>
      <c r="G499" s="225"/>
      <c r="H499" s="225"/>
      <c r="I499" s="225"/>
      <c r="J499" s="225"/>
      <c r="K499" s="225"/>
      <c r="L499" s="225"/>
      <c r="M499" s="225"/>
      <c r="N499" s="225"/>
      <c r="O499" s="225"/>
      <c r="P499" s="225"/>
      <c r="Q499" s="225"/>
      <c r="R499" s="225"/>
      <c r="S499" s="225"/>
      <c r="T499" s="225"/>
      <c r="U499" s="225"/>
      <c r="V499" s="225"/>
      <c r="W499" s="225"/>
      <c r="X499" s="225"/>
      <c r="Y499" s="225"/>
      <c r="Z499" s="225"/>
    </row>
    <row r="500">
      <c r="A500" s="225"/>
      <c r="B500" s="225"/>
      <c r="C500" s="225"/>
      <c r="D500" s="225"/>
      <c r="E500" s="225"/>
      <c r="F500" s="225"/>
      <c r="G500" s="225"/>
      <c r="H500" s="225"/>
      <c r="I500" s="225"/>
      <c r="J500" s="225"/>
      <c r="K500" s="225"/>
      <c r="L500" s="225"/>
      <c r="M500" s="225"/>
      <c r="N500" s="225"/>
      <c r="O500" s="225"/>
      <c r="P500" s="225"/>
      <c r="Q500" s="225"/>
      <c r="R500" s="225"/>
      <c r="S500" s="225"/>
      <c r="T500" s="225"/>
      <c r="U500" s="225"/>
      <c r="V500" s="225"/>
      <c r="W500" s="225"/>
      <c r="X500" s="225"/>
      <c r="Y500" s="225"/>
      <c r="Z500" s="225"/>
    </row>
    <row r="501">
      <c r="A501" s="225"/>
      <c r="B501" s="225"/>
      <c r="C501" s="225"/>
      <c r="D501" s="225"/>
      <c r="E501" s="225"/>
      <c r="F501" s="225"/>
      <c r="G501" s="225"/>
      <c r="H501" s="225"/>
      <c r="I501" s="225"/>
      <c r="J501" s="225"/>
      <c r="K501" s="225"/>
      <c r="L501" s="225"/>
      <c r="M501" s="225"/>
      <c r="N501" s="225"/>
      <c r="O501" s="225"/>
      <c r="P501" s="225"/>
      <c r="Q501" s="225"/>
      <c r="R501" s="225"/>
      <c r="S501" s="225"/>
      <c r="T501" s="225"/>
      <c r="U501" s="225"/>
      <c r="V501" s="225"/>
      <c r="W501" s="225"/>
      <c r="X501" s="225"/>
      <c r="Y501" s="225"/>
      <c r="Z501" s="225"/>
    </row>
    <row r="502">
      <c r="A502" s="225"/>
      <c r="B502" s="225"/>
      <c r="C502" s="225"/>
      <c r="D502" s="225"/>
      <c r="E502" s="225"/>
      <c r="F502" s="225"/>
      <c r="G502" s="225"/>
      <c r="H502" s="225"/>
      <c r="I502" s="225"/>
      <c r="J502" s="225"/>
      <c r="K502" s="225"/>
      <c r="L502" s="225"/>
      <c r="M502" s="225"/>
      <c r="N502" s="225"/>
      <c r="O502" s="225"/>
      <c r="P502" s="225"/>
      <c r="Q502" s="225"/>
      <c r="R502" s="225"/>
      <c r="S502" s="225"/>
      <c r="T502" s="225"/>
      <c r="U502" s="225"/>
      <c r="V502" s="225"/>
      <c r="W502" s="225"/>
      <c r="X502" s="225"/>
      <c r="Y502" s="225"/>
      <c r="Z502" s="225"/>
    </row>
    <row r="503">
      <c r="A503" s="225"/>
      <c r="B503" s="225"/>
      <c r="C503" s="225"/>
      <c r="D503" s="225"/>
      <c r="E503" s="225"/>
      <c r="F503" s="225"/>
      <c r="G503" s="225"/>
      <c r="H503" s="225"/>
      <c r="I503" s="225"/>
      <c r="J503" s="225"/>
      <c r="K503" s="225"/>
      <c r="L503" s="225"/>
      <c r="M503" s="225"/>
      <c r="N503" s="225"/>
      <c r="O503" s="225"/>
      <c r="P503" s="225"/>
      <c r="Q503" s="225"/>
      <c r="R503" s="225"/>
      <c r="S503" s="225"/>
      <c r="T503" s="225"/>
      <c r="U503" s="225"/>
      <c r="V503" s="225"/>
      <c r="W503" s="225"/>
      <c r="X503" s="225"/>
      <c r="Y503" s="225"/>
      <c r="Z503" s="225"/>
    </row>
    <row r="504">
      <c r="A504" s="225"/>
      <c r="B504" s="225"/>
      <c r="C504" s="225"/>
      <c r="D504" s="225"/>
      <c r="E504" s="225"/>
      <c r="F504" s="225"/>
      <c r="G504" s="225"/>
      <c r="H504" s="225"/>
      <c r="I504" s="225"/>
      <c r="J504" s="225"/>
      <c r="K504" s="225"/>
      <c r="L504" s="225"/>
      <c r="M504" s="225"/>
      <c r="N504" s="225"/>
      <c r="O504" s="225"/>
      <c r="P504" s="225"/>
      <c r="Q504" s="225"/>
      <c r="R504" s="225"/>
      <c r="S504" s="225"/>
      <c r="T504" s="225"/>
      <c r="U504" s="225"/>
      <c r="V504" s="225"/>
      <c r="W504" s="225"/>
      <c r="X504" s="225"/>
      <c r="Y504" s="225"/>
      <c r="Z504" s="225"/>
    </row>
    <row r="505">
      <c r="A505" s="225"/>
      <c r="B505" s="225"/>
      <c r="C505" s="225"/>
      <c r="D505" s="225"/>
      <c r="E505" s="225"/>
      <c r="F505" s="225"/>
      <c r="G505" s="225"/>
      <c r="H505" s="225"/>
      <c r="I505" s="225"/>
      <c r="J505" s="225"/>
      <c r="K505" s="225"/>
      <c r="L505" s="225"/>
      <c r="M505" s="225"/>
      <c r="N505" s="225"/>
      <c r="O505" s="225"/>
      <c r="P505" s="225"/>
      <c r="Q505" s="225"/>
      <c r="R505" s="225"/>
      <c r="S505" s="225"/>
      <c r="T505" s="225"/>
      <c r="U505" s="225"/>
      <c r="V505" s="225"/>
      <c r="W505" s="225"/>
      <c r="X505" s="225"/>
      <c r="Y505" s="225"/>
      <c r="Z505" s="225"/>
    </row>
    <row r="506">
      <c r="A506" s="225"/>
      <c r="B506" s="225"/>
      <c r="C506" s="225"/>
      <c r="D506" s="225"/>
      <c r="E506" s="225"/>
      <c r="F506" s="225"/>
      <c r="G506" s="225"/>
      <c r="H506" s="225"/>
      <c r="I506" s="225"/>
      <c r="J506" s="225"/>
      <c r="K506" s="225"/>
      <c r="L506" s="225"/>
      <c r="M506" s="225"/>
      <c r="N506" s="225"/>
      <c r="O506" s="225"/>
      <c r="P506" s="225"/>
      <c r="Q506" s="225"/>
      <c r="R506" s="225"/>
      <c r="S506" s="225"/>
      <c r="T506" s="225"/>
      <c r="U506" s="225"/>
      <c r="V506" s="225"/>
      <c r="W506" s="225"/>
      <c r="X506" s="225"/>
      <c r="Y506" s="225"/>
      <c r="Z506" s="225"/>
    </row>
    <row r="507">
      <c r="A507" s="225"/>
      <c r="B507" s="225"/>
      <c r="C507" s="225"/>
      <c r="D507" s="225"/>
      <c r="E507" s="225"/>
      <c r="F507" s="225"/>
      <c r="G507" s="225"/>
      <c r="H507" s="225"/>
      <c r="I507" s="225"/>
      <c r="J507" s="225"/>
      <c r="K507" s="225"/>
      <c r="L507" s="225"/>
      <c r="M507" s="225"/>
      <c r="N507" s="225"/>
      <c r="O507" s="225"/>
      <c r="P507" s="225"/>
      <c r="Q507" s="225"/>
      <c r="R507" s="225"/>
      <c r="S507" s="225"/>
      <c r="T507" s="225"/>
      <c r="U507" s="225"/>
      <c r="V507" s="225"/>
      <c r="W507" s="225"/>
      <c r="X507" s="225"/>
      <c r="Y507" s="225"/>
      <c r="Z507" s="225"/>
    </row>
    <row r="508">
      <c r="A508" s="225"/>
      <c r="B508" s="225"/>
      <c r="C508" s="225"/>
      <c r="D508" s="225"/>
      <c r="E508" s="225"/>
      <c r="F508" s="225"/>
      <c r="G508" s="225"/>
      <c r="H508" s="225"/>
      <c r="I508" s="225"/>
      <c r="J508" s="225"/>
      <c r="K508" s="225"/>
      <c r="L508" s="225"/>
      <c r="M508" s="225"/>
      <c r="N508" s="225"/>
      <c r="O508" s="225"/>
      <c r="P508" s="225"/>
      <c r="Q508" s="225"/>
      <c r="R508" s="225"/>
      <c r="S508" s="225"/>
      <c r="T508" s="225"/>
      <c r="U508" s="225"/>
      <c r="V508" s="225"/>
      <c r="W508" s="225"/>
      <c r="X508" s="225"/>
      <c r="Y508" s="225"/>
      <c r="Z508" s="225"/>
    </row>
    <row r="509">
      <c r="A509" s="225"/>
      <c r="B509" s="225"/>
      <c r="C509" s="225"/>
      <c r="D509" s="225"/>
      <c r="E509" s="225"/>
      <c r="F509" s="225"/>
      <c r="G509" s="225"/>
      <c r="H509" s="225"/>
      <c r="I509" s="225"/>
      <c r="J509" s="225"/>
      <c r="K509" s="225"/>
      <c r="L509" s="225"/>
      <c r="M509" s="225"/>
      <c r="N509" s="225"/>
      <c r="O509" s="225"/>
      <c r="P509" s="225"/>
      <c r="Q509" s="225"/>
      <c r="R509" s="225"/>
      <c r="S509" s="225"/>
      <c r="T509" s="225"/>
      <c r="U509" s="225"/>
      <c r="V509" s="225"/>
      <c r="W509" s="225"/>
      <c r="X509" s="225"/>
      <c r="Y509" s="225"/>
      <c r="Z509" s="225"/>
    </row>
    <row r="510">
      <c r="A510" s="225"/>
      <c r="B510" s="225"/>
      <c r="C510" s="225"/>
      <c r="D510" s="225"/>
      <c r="E510" s="225"/>
      <c r="F510" s="225"/>
      <c r="G510" s="225"/>
      <c r="H510" s="225"/>
      <c r="I510" s="225"/>
      <c r="J510" s="225"/>
      <c r="K510" s="225"/>
      <c r="L510" s="225"/>
      <c r="M510" s="225"/>
      <c r="N510" s="225"/>
      <c r="O510" s="225"/>
      <c r="P510" s="225"/>
      <c r="Q510" s="225"/>
      <c r="R510" s="225"/>
      <c r="S510" s="225"/>
      <c r="T510" s="225"/>
      <c r="U510" s="225"/>
      <c r="V510" s="225"/>
      <c r="W510" s="225"/>
      <c r="X510" s="225"/>
      <c r="Y510" s="225"/>
      <c r="Z510" s="225"/>
    </row>
    <row r="511">
      <c r="A511" s="225"/>
      <c r="B511" s="225"/>
      <c r="C511" s="225"/>
      <c r="D511" s="225"/>
      <c r="E511" s="225"/>
      <c r="F511" s="225"/>
      <c r="G511" s="225"/>
      <c r="H511" s="225"/>
      <c r="I511" s="225"/>
      <c r="J511" s="225"/>
      <c r="K511" s="225"/>
      <c r="L511" s="225"/>
      <c r="M511" s="225"/>
      <c r="N511" s="225"/>
      <c r="O511" s="225"/>
      <c r="P511" s="225"/>
      <c r="Q511" s="225"/>
      <c r="R511" s="225"/>
      <c r="S511" s="225"/>
      <c r="T511" s="225"/>
      <c r="U511" s="225"/>
      <c r="V511" s="225"/>
      <c r="W511" s="225"/>
      <c r="X511" s="225"/>
      <c r="Y511" s="225"/>
      <c r="Z511" s="225"/>
    </row>
    <row r="512">
      <c r="A512" s="225"/>
      <c r="B512" s="225"/>
      <c r="C512" s="225"/>
      <c r="D512" s="225"/>
      <c r="E512" s="225"/>
      <c r="F512" s="225"/>
      <c r="G512" s="225"/>
      <c r="H512" s="225"/>
      <c r="I512" s="225"/>
      <c r="J512" s="225"/>
      <c r="K512" s="225"/>
      <c r="L512" s="225"/>
      <c r="M512" s="225"/>
      <c r="N512" s="225"/>
      <c r="O512" s="225"/>
      <c r="P512" s="225"/>
      <c r="Q512" s="225"/>
      <c r="R512" s="225"/>
      <c r="S512" s="225"/>
      <c r="T512" s="225"/>
      <c r="U512" s="225"/>
      <c r="V512" s="225"/>
      <c r="W512" s="225"/>
      <c r="X512" s="225"/>
      <c r="Y512" s="225"/>
      <c r="Z512" s="225"/>
    </row>
    <row r="513">
      <c r="A513" s="225"/>
      <c r="B513" s="225"/>
      <c r="C513" s="225"/>
      <c r="D513" s="225"/>
      <c r="E513" s="225"/>
      <c r="F513" s="225"/>
      <c r="G513" s="225"/>
      <c r="H513" s="225"/>
      <c r="I513" s="225"/>
      <c r="J513" s="225"/>
      <c r="K513" s="225"/>
      <c r="L513" s="225"/>
      <c r="M513" s="225"/>
      <c r="N513" s="225"/>
      <c r="O513" s="225"/>
      <c r="P513" s="225"/>
      <c r="Q513" s="225"/>
      <c r="R513" s="225"/>
      <c r="S513" s="225"/>
      <c r="T513" s="225"/>
      <c r="U513" s="225"/>
      <c r="V513" s="225"/>
      <c r="W513" s="225"/>
      <c r="X513" s="225"/>
      <c r="Y513" s="225"/>
      <c r="Z513" s="225"/>
    </row>
    <row r="514">
      <c r="A514" s="225"/>
      <c r="B514" s="225"/>
      <c r="C514" s="225"/>
      <c r="D514" s="225"/>
      <c r="E514" s="225"/>
      <c r="F514" s="225"/>
      <c r="G514" s="225"/>
      <c r="H514" s="225"/>
      <c r="I514" s="225"/>
      <c r="J514" s="225"/>
      <c r="K514" s="225"/>
      <c r="L514" s="225"/>
      <c r="M514" s="225"/>
      <c r="N514" s="225"/>
      <c r="O514" s="225"/>
      <c r="P514" s="225"/>
      <c r="Q514" s="225"/>
      <c r="R514" s="225"/>
      <c r="S514" s="225"/>
      <c r="T514" s="225"/>
      <c r="U514" s="225"/>
      <c r="V514" s="225"/>
      <c r="W514" s="225"/>
      <c r="X514" s="225"/>
      <c r="Y514" s="225"/>
      <c r="Z514" s="225"/>
    </row>
    <row r="515">
      <c r="A515" s="225"/>
      <c r="B515" s="225"/>
      <c r="C515" s="225"/>
      <c r="D515" s="225"/>
      <c r="E515" s="225"/>
      <c r="F515" s="225"/>
      <c r="G515" s="225"/>
      <c r="H515" s="225"/>
      <c r="I515" s="225"/>
      <c r="J515" s="225"/>
      <c r="K515" s="225"/>
      <c r="L515" s="225"/>
      <c r="M515" s="225"/>
      <c r="N515" s="225"/>
      <c r="O515" s="225"/>
      <c r="P515" s="225"/>
      <c r="Q515" s="225"/>
      <c r="R515" s="225"/>
      <c r="S515" s="225"/>
      <c r="T515" s="225"/>
      <c r="U515" s="225"/>
      <c r="V515" s="225"/>
      <c r="W515" s="225"/>
      <c r="X515" s="225"/>
      <c r="Y515" s="225"/>
      <c r="Z515" s="225"/>
    </row>
    <row r="516">
      <c r="A516" s="225"/>
      <c r="B516" s="225"/>
      <c r="C516" s="225"/>
      <c r="D516" s="225"/>
      <c r="E516" s="225"/>
      <c r="F516" s="225"/>
      <c r="G516" s="225"/>
      <c r="H516" s="225"/>
      <c r="I516" s="225"/>
      <c r="J516" s="225"/>
      <c r="K516" s="225"/>
      <c r="L516" s="225"/>
      <c r="M516" s="225"/>
      <c r="N516" s="225"/>
      <c r="O516" s="225"/>
      <c r="P516" s="225"/>
      <c r="Q516" s="225"/>
      <c r="R516" s="225"/>
      <c r="S516" s="225"/>
      <c r="T516" s="225"/>
      <c r="U516" s="225"/>
      <c r="V516" s="225"/>
      <c r="W516" s="225"/>
      <c r="X516" s="225"/>
      <c r="Y516" s="225"/>
      <c r="Z516" s="225"/>
    </row>
    <row r="517">
      <c r="A517" s="225"/>
      <c r="B517" s="225"/>
      <c r="C517" s="225"/>
      <c r="D517" s="225"/>
      <c r="E517" s="225"/>
      <c r="F517" s="225"/>
      <c r="G517" s="225"/>
      <c r="H517" s="225"/>
      <c r="I517" s="225"/>
      <c r="J517" s="225"/>
      <c r="K517" s="225"/>
      <c r="L517" s="225"/>
      <c r="M517" s="225"/>
      <c r="N517" s="225"/>
      <c r="O517" s="225"/>
      <c r="P517" s="225"/>
      <c r="Q517" s="225"/>
      <c r="R517" s="225"/>
      <c r="S517" s="225"/>
      <c r="T517" s="225"/>
      <c r="U517" s="225"/>
      <c r="V517" s="225"/>
      <c r="W517" s="225"/>
      <c r="X517" s="225"/>
      <c r="Y517" s="225"/>
      <c r="Z517" s="225"/>
    </row>
    <row r="518">
      <c r="A518" s="225"/>
      <c r="B518" s="225"/>
      <c r="C518" s="225"/>
      <c r="D518" s="225"/>
      <c r="E518" s="225"/>
      <c r="F518" s="225"/>
      <c r="G518" s="225"/>
      <c r="H518" s="225"/>
      <c r="I518" s="225"/>
      <c r="J518" s="225"/>
      <c r="K518" s="225"/>
      <c r="L518" s="225"/>
      <c r="M518" s="225"/>
      <c r="N518" s="225"/>
      <c r="O518" s="225"/>
      <c r="P518" s="225"/>
      <c r="Q518" s="225"/>
      <c r="R518" s="225"/>
      <c r="S518" s="225"/>
      <c r="T518" s="225"/>
      <c r="U518" s="225"/>
      <c r="V518" s="225"/>
      <c r="W518" s="225"/>
      <c r="X518" s="225"/>
      <c r="Y518" s="225"/>
      <c r="Z518" s="225"/>
    </row>
    <row r="519">
      <c r="A519" s="225"/>
      <c r="B519" s="225"/>
      <c r="C519" s="225"/>
      <c r="D519" s="225"/>
      <c r="E519" s="225"/>
      <c r="F519" s="225"/>
      <c r="G519" s="225"/>
      <c r="H519" s="225"/>
      <c r="I519" s="225"/>
      <c r="J519" s="225"/>
      <c r="K519" s="225"/>
      <c r="L519" s="225"/>
      <c r="M519" s="225"/>
      <c r="N519" s="225"/>
      <c r="O519" s="225"/>
      <c r="P519" s="225"/>
      <c r="Q519" s="225"/>
      <c r="R519" s="225"/>
      <c r="S519" s="225"/>
      <c r="T519" s="225"/>
      <c r="U519" s="225"/>
      <c r="V519" s="225"/>
      <c r="W519" s="225"/>
      <c r="X519" s="225"/>
      <c r="Y519" s="225"/>
      <c r="Z519" s="225"/>
    </row>
    <row r="520">
      <c r="A520" s="225"/>
      <c r="B520" s="225"/>
      <c r="C520" s="225"/>
      <c r="D520" s="225"/>
      <c r="E520" s="225"/>
      <c r="F520" s="225"/>
      <c r="G520" s="225"/>
      <c r="H520" s="225"/>
      <c r="I520" s="225"/>
      <c r="J520" s="225"/>
      <c r="K520" s="225"/>
      <c r="L520" s="225"/>
      <c r="M520" s="225"/>
      <c r="N520" s="225"/>
      <c r="O520" s="225"/>
      <c r="P520" s="225"/>
      <c r="Q520" s="225"/>
      <c r="R520" s="225"/>
      <c r="S520" s="225"/>
      <c r="T520" s="225"/>
      <c r="U520" s="225"/>
      <c r="V520" s="225"/>
      <c r="W520" s="225"/>
      <c r="X520" s="225"/>
      <c r="Y520" s="225"/>
      <c r="Z520" s="225"/>
    </row>
    <row r="521">
      <c r="A521" s="225"/>
      <c r="B521" s="225"/>
      <c r="C521" s="225"/>
      <c r="D521" s="225"/>
      <c r="E521" s="225"/>
      <c r="F521" s="225"/>
      <c r="G521" s="225"/>
      <c r="H521" s="225"/>
      <c r="I521" s="225"/>
      <c r="J521" s="225"/>
      <c r="K521" s="225"/>
      <c r="L521" s="225"/>
      <c r="M521" s="225"/>
      <c r="N521" s="225"/>
      <c r="O521" s="225"/>
      <c r="P521" s="225"/>
      <c r="Q521" s="225"/>
      <c r="R521" s="225"/>
      <c r="S521" s="225"/>
      <c r="T521" s="225"/>
      <c r="U521" s="225"/>
      <c r="V521" s="225"/>
      <c r="W521" s="225"/>
      <c r="X521" s="225"/>
      <c r="Y521" s="225"/>
      <c r="Z521" s="225"/>
    </row>
    <row r="522">
      <c r="A522" s="225"/>
      <c r="B522" s="225"/>
      <c r="C522" s="225"/>
      <c r="D522" s="225"/>
      <c r="E522" s="225"/>
      <c r="F522" s="225"/>
      <c r="G522" s="225"/>
      <c r="H522" s="225"/>
      <c r="I522" s="225"/>
      <c r="J522" s="225"/>
      <c r="K522" s="225"/>
      <c r="L522" s="225"/>
      <c r="M522" s="225"/>
      <c r="N522" s="225"/>
      <c r="O522" s="225"/>
      <c r="P522" s="225"/>
      <c r="Q522" s="225"/>
      <c r="R522" s="225"/>
      <c r="S522" s="225"/>
      <c r="T522" s="225"/>
      <c r="U522" s="225"/>
      <c r="V522" s="225"/>
      <c r="W522" s="225"/>
      <c r="X522" s="225"/>
      <c r="Y522" s="225"/>
      <c r="Z522" s="225"/>
    </row>
    <row r="523">
      <c r="A523" s="225"/>
      <c r="B523" s="225"/>
      <c r="C523" s="225"/>
      <c r="D523" s="225"/>
      <c r="E523" s="225"/>
      <c r="F523" s="225"/>
      <c r="G523" s="225"/>
      <c r="H523" s="225"/>
      <c r="I523" s="225"/>
      <c r="J523" s="225"/>
      <c r="K523" s="225"/>
      <c r="L523" s="225"/>
      <c r="M523" s="225"/>
      <c r="N523" s="225"/>
      <c r="O523" s="225"/>
      <c r="P523" s="225"/>
      <c r="Q523" s="225"/>
      <c r="R523" s="225"/>
      <c r="S523" s="225"/>
      <c r="T523" s="225"/>
      <c r="U523" s="225"/>
      <c r="V523" s="225"/>
      <c r="W523" s="225"/>
      <c r="X523" s="225"/>
      <c r="Y523" s="225"/>
      <c r="Z523" s="225"/>
    </row>
    <row r="524">
      <c r="A524" s="225"/>
      <c r="B524" s="225"/>
      <c r="C524" s="225"/>
      <c r="D524" s="225"/>
      <c r="E524" s="225"/>
      <c r="F524" s="225"/>
      <c r="G524" s="225"/>
      <c r="H524" s="225"/>
      <c r="I524" s="225"/>
      <c r="J524" s="225"/>
      <c r="K524" s="225"/>
      <c r="L524" s="225"/>
      <c r="M524" s="225"/>
      <c r="N524" s="225"/>
      <c r="O524" s="225"/>
      <c r="P524" s="225"/>
      <c r="Q524" s="225"/>
      <c r="R524" s="225"/>
      <c r="S524" s="225"/>
      <c r="T524" s="225"/>
      <c r="U524" s="225"/>
      <c r="V524" s="225"/>
      <c r="W524" s="225"/>
      <c r="X524" s="225"/>
      <c r="Y524" s="225"/>
      <c r="Z524" s="225"/>
    </row>
    <row r="525">
      <c r="A525" s="225"/>
      <c r="B525" s="225"/>
      <c r="C525" s="225"/>
      <c r="D525" s="225"/>
      <c r="E525" s="225"/>
      <c r="F525" s="225"/>
      <c r="G525" s="225"/>
      <c r="H525" s="225"/>
      <c r="I525" s="225"/>
      <c r="J525" s="225"/>
      <c r="K525" s="225"/>
      <c r="L525" s="225"/>
      <c r="M525" s="225"/>
      <c r="N525" s="225"/>
      <c r="O525" s="225"/>
      <c r="P525" s="225"/>
      <c r="Q525" s="225"/>
      <c r="R525" s="225"/>
      <c r="S525" s="225"/>
      <c r="T525" s="225"/>
      <c r="U525" s="225"/>
      <c r="V525" s="225"/>
      <c r="W525" s="225"/>
      <c r="X525" s="225"/>
      <c r="Y525" s="225"/>
      <c r="Z525" s="225"/>
    </row>
    <row r="526">
      <c r="A526" s="225"/>
      <c r="B526" s="225"/>
      <c r="C526" s="225"/>
      <c r="D526" s="225"/>
      <c r="E526" s="225"/>
      <c r="F526" s="225"/>
      <c r="G526" s="225"/>
      <c r="H526" s="225"/>
      <c r="I526" s="225"/>
      <c r="J526" s="225"/>
      <c r="K526" s="225"/>
      <c r="L526" s="225"/>
      <c r="M526" s="225"/>
      <c r="N526" s="225"/>
      <c r="O526" s="225"/>
      <c r="P526" s="225"/>
      <c r="Q526" s="225"/>
      <c r="R526" s="225"/>
      <c r="S526" s="225"/>
      <c r="T526" s="225"/>
      <c r="U526" s="225"/>
      <c r="V526" s="225"/>
      <c r="W526" s="225"/>
      <c r="X526" s="225"/>
      <c r="Y526" s="225"/>
      <c r="Z526" s="225"/>
    </row>
    <row r="527">
      <c r="A527" s="225"/>
      <c r="B527" s="225"/>
      <c r="C527" s="225"/>
      <c r="D527" s="225"/>
      <c r="E527" s="225"/>
      <c r="F527" s="225"/>
      <c r="G527" s="225"/>
      <c r="H527" s="225"/>
      <c r="I527" s="225"/>
      <c r="J527" s="225"/>
      <c r="K527" s="225"/>
      <c r="L527" s="225"/>
      <c r="M527" s="225"/>
      <c r="N527" s="225"/>
      <c r="O527" s="225"/>
      <c r="P527" s="225"/>
      <c r="Q527" s="225"/>
      <c r="R527" s="225"/>
      <c r="S527" s="225"/>
      <c r="T527" s="225"/>
      <c r="U527" s="225"/>
      <c r="V527" s="225"/>
      <c r="W527" s="225"/>
      <c r="X527" s="225"/>
      <c r="Y527" s="225"/>
      <c r="Z527" s="225"/>
    </row>
    <row r="528">
      <c r="A528" s="225"/>
      <c r="B528" s="225"/>
      <c r="C528" s="225"/>
      <c r="D528" s="225"/>
      <c r="E528" s="225"/>
      <c r="F528" s="225"/>
      <c r="G528" s="225"/>
      <c r="H528" s="225"/>
      <c r="I528" s="225"/>
      <c r="J528" s="225"/>
      <c r="K528" s="225"/>
      <c r="L528" s="225"/>
      <c r="M528" s="225"/>
      <c r="N528" s="225"/>
      <c r="O528" s="225"/>
      <c r="P528" s="225"/>
      <c r="Q528" s="225"/>
      <c r="R528" s="225"/>
      <c r="S528" s="225"/>
      <c r="T528" s="225"/>
      <c r="U528" s="225"/>
      <c r="V528" s="225"/>
      <c r="W528" s="225"/>
      <c r="X528" s="225"/>
      <c r="Y528" s="225"/>
      <c r="Z528" s="225"/>
    </row>
    <row r="529">
      <c r="A529" s="225"/>
      <c r="B529" s="225"/>
      <c r="C529" s="225"/>
      <c r="D529" s="225"/>
      <c r="E529" s="225"/>
      <c r="F529" s="225"/>
      <c r="G529" s="225"/>
      <c r="H529" s="225"/>
      <c r="I529" s="225"/>
      <c r="J529" s="225"/>
      <c r="K529" s="225"/>
      <c r="L529" s="225"/>
      <c r="M529" s="225"/>
      <c r="N529" s="225"/>
      <c r="O529" s="225"/>
      <c r="P529" s="225"/>
      <c r="Q529" s="225"/>
      <c r="R529" s="225"/>
      <c r="S529" s="225"/>
      <c r="T529" s="225"/>
      <c r="U529" s="225"/>
      <c r="V529" s="225"/>
      <c r="W529" s="225"/>
      <c r="X529" s="225"/>
      <c r="Y529" s="225"/>
      <c r="Z529" s="225"/>
    </row>
    <row r="530">
      <c r="A530" s="225"/>
      <c r="B530" s="225"/>
      <c r="C530" s="225"/>
      <c r="D530" s="225"/>
      <c r="E530" s="225"/>
      <c r="F530" s="225"/>
      <c r="G530" s="225"/>
      <c r="H530" s="225"/>
      <c r="I530" s="225"/>
      <c r="J530" s="225"/>
      <c r="K530" s="225"/>
      <c r="L530" s="225"/>
      <c r="M530" s="225"/>
      <c r="N530" s="225"/>
      <c r="O530" s="225"/>
      <c r="P530" s="225"/>
      <c r="Q530" s="225"/>
      <c r="R530" s="225"/>
      <c r="S530" s="225"/>
      <c r="T530" s="225"/>
      <c r="U530" s="225"/>
      <c r="V530" s="225"/>
      <c r="W530" s="225"/>
      <c r="X530" s="225"/>
      <c r="Y530" s="225"/>
      <c r="Z530" s="225"/>
    </row>
    <row r="531">
      <c r="A531" s="225"/>
      <c r="B531" s="225"/>
      <c r="C531" s="225"/>
      <c r="D531" s="225"/>
      <c r="E531" s="225"/>
      <c r="F531" s="225"/>
      <c r="G531" s="225"/>
      <c r="H531" s="225"/>
      <c r="I531" s="225"/>
      <c r="J531" s="225"/>
      <c r="K531" s="225"/>
      <c r="L531" s="225"/>
      <c r="M531" s="225"/>
      <c r="N531" s="225"/>
      <c r="O531" s="225"/>
      <c r="P531" s="225"/>
      <c r="Q531" s="225"/>
      <c r="R531" s="225"/>
      <c r="S531" s="225"/>
      <c r="T531" s="225"/>
      <c r="U531" s="225"/>
      <c r="V531" s="225"/>
      <c r="W531" s="225"/>
      <c r="X531" s="225"/>
      <c r="Y531" s="225"/>
      <c r="Z531" s="225"/>
    </row>
    <row r="532">
      <c r="A532" s="225"/>
      <c r="B532" s="225"/>
      <c r="C532" s="225"/>
      <c r="D532" s="225"/>
      <c r="E532" s="225"/>
      <c r="F532" s="225"/>
      <c r="G532" s="225"/>
      <c r="H532" s="225"/>
      <c r="I532" s="225"/>
      <c r="J532" s="225"/>
      <c r="K532" s="225"/>
      <c r="L532" s="225"/>
      <c r="M532" s="225"/>
      <c r="N532" s="225"/>
      <c r="O532" s="225"/>
      <c r="P532" s="225"/>
      <c r="Q532" s="225"/>
      <c r="R532" s="225"/>
      <c r="S532" s="225"/>
      <c r="T532" s="225"/>
      <c r="U532" s="225"/>
      <c r="V532" s="225"/>
      <c r="W532" s="225"/>
      <c r="X532" s="225"/>
      <c r="Y532" s="225"/>
      <c r="Z532" s="225"/>
    </row>
    <row r="533">
      <c r="A533" s="225"/>
      <c r="B533" s="225"/>
      <c r="C533" s="225"/>
      <c r="D533" s="225"/>
      <c r="E533" s="225"/>
      <c r="F533" s="225"/>
      <c r="G533" s="225"/>
      <c r="H533" s="225"/>
      <c r="I533" s="225"/>
      <c r="J533" s="225"/>
      <c r="K533" s="225"/>
      <c r="L533" s="225"/>
      <c r="M533" s="225"/>
      <c r="N533" s="225"/>
      <c r="O533" s="225"/>
      <c r="P533" s="225"/>
      <c r="Q533" s="225"/>
      <c r="R533" s="225"/>
      <c r="S533" s="225"/>
      <c r="T533" s="225"/>
      <c r="U533" s="225"/>
      <c r="V533" s="225"/>
      <c r="W533" s="225"/>
      <c r="X533" s="225"/>
      <c r="Y533" s="225"/>
      <c r="Z533" s="225"/>
    </row>
    <row r="534">
      <c r="A534" s="225"/>
      <c r="B534" s="225"/>
      <c r="C534" s="225"/>
      <c r="D534" s="225"/>
      <c r="E534" s="225"/>
      <c r="F534" s="225"/>
      <c r="G534" s="225"/>
      <c r="H534" s="225"/>
      <c r="I534" s="225"/>
      <c r="J534" s="225"/>
      <c r="K534" s="225"/>
      <c r="L534" s="225"/>
      <c r="M534" s="225"/>
      <c r="N534" s="225"/>
      <c r="O534" s="225"/>
      <c r="P534" s="225"/>
      <c r="Q534" s="225"/>
      <c r="R534" s="225"/>
      <c r="S534" s="225"/>
      <c r="T534" s="225"/>
      <c r="U534" s="225"/>
      <c r="V534" s="225"/>
      <c r="W534" s="225"/>
      <c r="X534" s="225"/>
      <c r="Y534" s="225"/>
      <c r="Z534" s="225"/>
    </row>
    <row r="535">
      <c r="A535" s="225"/>
      <c r="B535" s="225"/>
      <c r="C535" s="225"/>
      <c r="D535" s="225"/>
      <c r="E535" s="225"/>
      <c r="F535" s="225"/>
      <c r="G535" s="225"/>
      <c r="H535" s="225"/>
      <c r="I535" s="225"/>
      <c r="J535" s="225"/>
      <c r="K535" s="225"/>
      <c r="L535" s="225"/>
      <c r="M535" s="225"/>
      <c r="N535" s="225"/>
      <c r="O535" s="225"/>
      <c r="P535" s="225"/>
      <c r="Q535" s="225"/>
      <c r="R535" s="225"/>
      <c r="S535" s="225"/>
      <c r="T535" s="225"/>
      <c r="U535" s="225"/>
      <c r="V535" s="225"/>
      <c r="W535" s="225"/>
      <c r="X535" s="225"/>
      <c r="Y535" s="225"/>
      <c r="Z535" s="225"/>
    </row>
    <row r="536">
      <c r="A536" s="225"/>
      <c r="B536" s="225"/>
      <c r="C536" s="225"/>
      <c r="D536" s="225"/>
      <c r="E536" s="225"/>
      <c r="F536" s="225"/>
      <c r="G536" s="225"/>
      <c r="H536" s="225"/>
      <c r="I536" s="225"/>
      <c r="J536" s="225"/>
      <c r="K536" s="225"/>
      <c r="L536" s="225"/>
      <c r="M536" s="225"/>
      <c r="N536" s="225"/>
      <c r="O536" s="225"/>
      <c r="P536" s="225"/>
      <c r="Q536" s="225"/>
      <c r="R536" s="225"/>
      <c r="S536" s="225"/>
      <c r="T536" s="225"/>
      <c r="U536" s="225"/>
      <c r="V536" s="225"/>
      <c r="W536" s="225"/>
      <c r="X536" s="225"/>
      <c r="Y536" s="225"/>
      <c r="Z536" s="225"/>
    </row>
    <row r="537">
      <c r="A537" s="225"/>
      <c r="B537" s="225"/>
      <c r="C537" s="225"/>
      <c r="D537" s="225"/>
      <c r="E537" s="225"/>
      <c r="F537" s="225"/>
      <c r="G537" s="225"/>
      <c r="H537" s="225"/>
      <c r="I537" s="225"/>
      <c r="J537" s="225"/>
      <c r="K537" s="225"/>
      <c r="L537" s="225"/>
      <c r="M537" s="225"/>
      <c r="N537" s="225"/>
      <c r="O537" s="225"/>
      <c r="P537" s="225"/>
      <c r="Q537" s="225"/>
      <c r="R537" s="225"/>
      <c r="S537" s="225"/>
      <c r="T537" s="225"/>
      <c r="U537" s="225"/>
      <c r="V537" s="225"/>
      <c r="W537" s="225"/>
      <c r="X537" s="225"/>
      <c r="Y537" s="225"/>
      <c r="Z537" s="225"/>
    </row>
    <row r="538">
      <c r="A538" s="225"/>
      <c r="B538" s="225"/>
      <c r="C538" s="225"/>
      <c r="D538" s="225"/>
      <c r="E538" s="225"/>
      <c r="F538" s="225"/>
      <c r="G538" s="225"/>
      <c r="H538" s="225"/>
      <c r="I538" s="225"/>
      <c r="J538" s="225"/>
      <c r="K538" s="225"/>
      <c r="L538" s="225"/>
      <c r="M538" s="225"/>
      <c r="N538" s="225"/>
      <c r="O538" s="225"/>
      <c r="P538" s="225"/>
      <c r="Q538" s="225"/>
      <c r="R538" s="225"/>
      <c r="S538" s="225"/>
      <c r="T538" s="225"/>
      <c r="U538" s="225"/>
      <c r="V538" s="225"/>
      <c r="W538" s="225"/>
      <c r="X538" s="225"/>
      <c r="Y538" s="225"/>
      <c r="Z538" s="225"/>
    </row>
    <row r="539">
      <c r="A539" s="225"/>
      <c r="B539" s="225"/>
      <c r="C539" s="225"/>
      <c r="D539" s="225"/>
      <c r="E539" s="225"/>
      <c r="F539" s="225"/>
      <c r="G539" s="225"/>
      <c r="H539" s="225"/>
      <c r="I539" s="225"/>
      <c r="J539" s="225"/>
      <c r="K539" s="225"/>
      <c r="L539" s="225"/>
      <c r="M539" s="225"/>
      <c r="N539" s="225"/>
      <c r="O539" s="225"/>
      <c r="P539" s="225"/>
      <c r="Q539" s="225"/>
      <c r="R539" s="225"/>
      <c r="S539" s="225"/>
      <c r="T539" s="225"/>
      <c r="U539" s="225"/>
      <c r="V539" s="225"/>
      <c r="W539" s="225"/>
      <c r="X539" s="225"/>
      <c r="Y539" s="225"/>
      <c r="Z539" s="225"/>
    </row>
    <row r="540">
      <c r="A540" s="225"/>
      <c r="B540" s="225"/>
      <c r="C540" s="225"/>
      <c r="D540" s="225"/>
      <c r="E540" s="225"/>
      <c r="F540" s="225"/>
      <c r="G540" s="225"/>
      <c r="H540" s="225"/>
      <c r="I540" s="225"/>
      <c r="J540" s="225"/>
      <c r="K540" s="225"/>
      <c r="L540" s="225"/>
      <c r="M540" s="225"/>
      <c r="N540" s="225"/>
      <c r="O540" s="225"/>
      <c r="P540" s="225"/>
      <c r="Q540" s="225"/>
      <c r="R540" s="225"/>
      <c r="S540" s="225"/>
      <c r="T540" s="225"/>
      <c r="U540" s="225"/>
      <c r="V540" s="225"/>
      <c r="W540" s="225"/>
      <c r="X540" s="225"/>
      <c r="Y540" s="225"/>
      <c r="Z540" s="225"/>
    </row>
    <row r="541">
      <c r="A541" s="225"/>
      <c r="B541" s="225"/>
      <c r="C541" s="225"/>
      <c r="D541" s="225"/>
      <c r="E541" s="225"/>
      <c r="F541" s="225"/>
      <c r="G541" s="225"/>
      <c r="H541" s="225"/>
      <c r="I541" s="225"/>
      <c r="J541" s="225"/>
      <c r="K541" s="225"/>
      <c r="L541" s="225"/>
      <c r="M541" s="225"/>
      <c r="N541" s="225"/>
      <c r="O541" s="225"/>
      <c r="P541" s="225"/>
      <c r="Q541" s="225"/>
      <c r="R541" s="225"/>
      <c r="S541" s="225"/>
      <c r="T541" s="225"/>
      <c r="U541" s="225"/>
      <c r="V541" s="225"/>
      <c r="W541" s="225"/>
      <c r="X541" s="225"/>
      <c r="Y541" s="225"/>
      <c r="Z541" s="225"/>
    </row>
    <row r="542">
      <c r="A542" s="225"/>
      <c r="B542" s="225"/>
      <c r="C542" s="225"/>
      <c r="D542" s="225"/>
      <c r="E542" s="225"/>
      <c r="F542" s="225"/>
      <c r="G542" s="225"/>
      <c r="H542" s="225"/>
      <c r="I542" s="225"/>
      <c r="J542" s="225"/>
      <c r="K542" s="225"/>
      <c r="L542" s="225"/>
      <c r="M542" s="225"/>
      <c r="N542" s="225"/>
      <c r="O542" s="225"/>
      <c r="P542" s="225"/>
      <c r="Q542" s="225"/>
      <c r="R542" s="225"/>
      <c r="S542" s="225"/>
      <c r="T542" s="225"/>
      <c r="U542" s="225"/>
      <c r="V542" s="225"/>
      <c r="W542" s="225"/>
      <c r="X542" s="225"/>
      <c r="Y542" s="225"/>
      <c r="Z542" s="225"/>
    </row>
    <row r="543">
      <c r="A543" s="225"/>
      <c r="B543" s="225"/>
      <c r="C543" s="225"/>
      <c r="D543" s="225"/>
      <c r="E543" s="225"/>
      <c r="F543" s="225"/>
      <c r="G543" s="225"/>
      <c r="H543" s="225"/>
      <c r="I543" s="225"/>
      <c r="J543" s="225"/>
      <c r="K543" s="225"/>
      <c r="L543" s="225"/>
      <c r="M543" s="225"/>
      <c r="N543" s="225"/>
      <c r="O543" s="225"/>
      <c r="P543" s="225"/>
      <c r="Q543" s="225"/>
      <c r="R543" s="225"/>
      <c r="S543" s="225"/>
      <c r="T543" s="225"/>
      <c r="U543" s="225"/>
      <c r="V543" s="225"/>
      <c r="W543" s="225"/>
      <c r="X543" s="225"/>
      <c r="Y543" s="225"/>
      <c r="Z543" s="225"/>
    </row>
    <row r="544">
      <c r="A544" s="225"/>
      <c r="B544" s="225"/>
      <c r="C544" s="225"/>
      <c r="D544" s="225"/>
      <c r="E544" s="225"/>
      <c r="F544" s="225"/>
      <c r="G544" s="225"/>
      <c r="H544" s="225"/>
      <c r="I544" s="225"/>
      <c r="J544" s="225"/>
      <c r="K544" s="225"/>
      <c r="L544" s="225"/>
      <c r="M544" s="225"/>
      <c r="N544" s="225"/>
      <c r="O544" s="225"/>
      <c r="P544" s="225"/>
      <c r="Q544" s="225"/>
      <c r="R544" s="225"/>
      <c r="S544" s="225"/>
      <c r="T544" s="225"/>
      <c r="U544" s="225"/>
      <c r="V544" s="225"/>
      <c r="W544" s="225"/>
      <c r="X544" s="225"/>
      <c r="Y544" s="225"/>
      <c r="Z544" s="225"/>
    </row>
    <row r="545">
      <c r="A545" s="225"/>
      <c r="B545" s="225"/>
      <c r="C545" s="225"/>
      <c r="D545" s="225"/>
      <c r="E545" s="225"/>
      <c r="F545" s="225"/>
      <c r="G545" s="225"/>
      <c r="H545" s="225"/>
      <c r="I545" s="225"/>
      <c r="J545" s="225"/>
      <c r="K545" s="225"/>
      <c r="L545" s="225"/>
      <c r="M545" s="225"/>
      <c r="N545" s="225"/>
      <c r="O545" s="225"/>
      <c r="P545" s="225"/>
      <c r="Q545" s="225"/>
      <c r="R545" s="225"/>
      <c r="S545" s="225"/>
      <c r="T545" s="225"/>
      <c r="U545" s="225"/>
      <c r="V545" s="225"/>
      <c r="W545" s="225"/>
      <c r="X545" s="225"/>
      <c r="Y545" s="225"/>
      <c r="Z545" s="225"/>
    </row>
    <row r="546">
      <c r="A546" s="225"/>
      <c r="B546" s="225"/>
      <c r="C546" s="225"/>
      <c r="D546" s="225"/>
      <c r="E546" s="225"/>
      <c r="F546" s="225"/>
      <c r="G546" s="225"/>
      <c r="H546" s="225"/>
      <c r="I546" s="225"/>
      <c r="J546" s="225"/>
      <c r="K546" s="225"/>
      <c r="L546" s="225"/>
      <c r="M546" s="225"/>
      <c r="N546" s="225"/>
      <c r="O546" s="225"/>
      <c r="P546" s="225"/>
      <c r="Q546" s="225"/>
      <c r="R546" s="225"/>
      <c r="S546" s="225"/>
      <c r="T546" s="225"/>
      <c r="U546" s="225"/>
      <c r="V546" s="225"/>
      <c r="W546" s="225"/>
      <c r="X546" s="225"/>
      <c r="Y546" s="225"/>
      <c r="Z546" s="225"/>
    </row>
    <row r="547">
      <c r="A547" s="225"/>
      <c r="B547" s="225"/>
      <c r="C547" s="225"/>
      <c r="D547" s="225"/>
      <c r="E547" s="225"/>
      <c r="F547" s="225"/>
      <c r="G547" s="225"/>
      <c r="H547" s="225"/>
      <c r="I547" s="225"/>
      <c r="J547" s="225"/>
      <c r="K547" s="225"/>
      <c r="L547" s="225"/>
      <c r="M547" s="225"/>
      <c r="N547" s="225"/>
      <c r="O547" s="225"/>
      <c r="P547" s="225"/>
      <c r="Q547" s="225"/>
      <c r="R547" s="225"/>
      <c r="S547" s="225"/>
      <c r="T547" s="225"/>
      <c r="U547" s="225"/>
      <c r="V547" s="225"/>
      <c r="W547" s="225"/>
      <c r="X547" s="225"/>
      <c r="Y547" s="225"/>
      <c r="Z547" s="225"/>
    </row>
    <row r="548">
      <c r="A548" s="225"/>
      <c r="B548" s="225"/>
      <c r="C548" s="225"/>
      <c r="D548" s="225"/>
      <c r="E548" s="225"/>
      <c r="F548" s="225"/>
      <c r="G548" s="225"/>
      <c r="H548" s="225"/>
      <c r="I548" s="225"/>
      <c r="J548" s="225"/>
      <c r="K548" s="225"/>
      <c r="L548" s="225"/>
      <c r="M548" s="225"/>
      <c r="N548" s="225"/>
      <c r="O548" s="225"/>
      <c r="P548" s="225"/>
      <c r="Q548" s="225"/>
      <c r="R548" s="225"/>
      <c r="S548" s="225"/>
      <c r="T548" s="225"/>
      <c r="U548" s="225"/>
      <c r="V548" s="225"/>
      <c r="W548" s="225"/>
      <c r="X548" s="225"/>
      <c r="Y548" s="225"/>
      <c r="Z548" s="225"/>
    </row>
    <row r="549">
      <c r="A549" s="225"/>
      <c r="B549" s="225"/>
      <c r="C549" s="225"/>
      <c r="D549" s="225"/>
      <c r="E549" s="225"/>
      <c r="F549" s="225"/>
      <c r="G549" s="225"/>
      <c r="H549" s="225"/>
      <c r="I549" s="225"/>
      <c r="J549" s="225"/>
      <c r="K549" s="225"/>
      <c r="L549" s="225"/>
      <c r="M549" s="225"/>
      <c r="N549" s="225"/>
      <c r="O549" s="225"/>
      <c r="P549" s="225"/>
      <c r="Q549" s="225"/>
      <c r="R549" s="225"/>
      <c r="S549" s="225"/>
      <c r="T549" s="225"/>
      <c r="U549" s="225"/>
      <c r="V549" s="225"/>
      <c r="W549" s="225"/>
      <c r="X549" s="225"/>
      <c r="Y549" s="225"/>
      <c r="Z549" s="225"/>
    </row>
    <row r="550">
      <c r="A550" s="225"/>
      <c r="B550" s="225"/>
      <c r="C550" s="225"/>
      <c r="D550" s="225"/>
      <c r="E550" s="225"/>
      <c r="F550" s="225"/>
      <c r="G550" s="225"/>
      <c r="H550" s="225"/>
      <c r="I550" s="225"/>
      <c r="J550" s="225"/>
      <c r="K550" s="225"/>
      <c r="L550" s="225"/>
      <c r="M550" s="225"/>
      <c r="N550" s="225"/>
      <c r="O550" s="225"/>
      <c r="P550" s="225"/>
      <c r="Q550" s="225"/>
      <c r="R550" s="225"/>
      <c r="S550" s="225"/>
      <c r="T550" s="225"/>
      <c r="U550" s="225"/>
      <c r="V550" s="225"/>
      <c r="W550" s="225"/>
      <c r="X550" s="225"/>
      <c r="Y550" s="225"/>
      <c r="Z550" s="225"/>
    </row>
    <row r="551">
      <c r="A551" s="225"/>
      <c r="B551" s="225"/>
      <c r="C551" s="225"/>
      <c r="D551" s="225"/>
      <c r="E551" s="225"/>
      <c r="F551" s="225"/>
      <c r="G551" s="225"/>
      <c r="H551" s="225"/>
      <c r="I551" s="225"/>
      <c r="J551" s="225"/>
      <c r="K551" s="225"/>
      <c r="L551" s="225"/>
      <c r="M551" s="225"/>
      <c r="N551" s="225"/>
      <c r="O551" s="225"/>
      <c r="P551" s="225"/>
      <c r="Q551" s="225"/>
      <c r="R551" s="225"/>
      <c r="S551" s="225"/>
      <c r="T551" s="225"/>
      <c r="U551" s="225"/>
      <c r="V551" s="225"/>
      <c r="W551" s="225"/>
      <c r="X551" s="225"/>
      <c r="Y551" s="225"/>
      <c r="Z551" s="225"/>
    </row>
    <row r="552">
      <c r="A552" s="225"/>
      <c r="B552" s="225"/>
      <c r="C552" s="225"/>
      <c r="D552" s="225"/>
      <c r="E552" s="225"/>
      <c r="F552" s="225"/>
      <c r="G552" s="225"/>
      <c r="H552" s="225"/>
      <c r="I552" s="225"/>
      <c r="J552" s="225"/>
      <c r="K552" s="225"/>
      <c r="L552" s="225"/>
      <c r="M552" s="225"/>
      <c r="N552" s="225"/>
      <c r="O552" s="225"/>
      <c r="P552" s="225"/>
      <c r="Q552" s="225"/>
      <c r="R552" s="225"/>
      <c r="S552" s="225"/>
      <c r="T552" s="225"/>
      <c r="U552" s="225"/>
      <c r="V552" s="225"/>
      <c r="W552" s="225"/>
      <c r="X552" s="225"/>
      <c r="Y552" s="225"/>
      <c r="Z552" s="225"/>
    </row>
    <row r="553">
      <c r="A553" s="225"/>
      <c r="B553" s="225"/>
      <c r="C553" s="225"/>
      <c r="D553" s="225"/>
      <c r="E553" s="225"/>
      <c r="F553" s="225"/>
      <c r="G553" s="225"/>
      <c r="H553" s="225"/>
      <c r="I553" s="225"/>
      <c r="J553" s="225"/>
      <c r="K553" s="225"/>
      <c r="L553" s="225"/>
      <c r="M553" s="225"/>
      <c r="N553" s="225"/>
      <c r="O553" s="225"/>
      <c r="P553" s="225"/>
      <c r="Q553" s="225"/>
      <c r="R553" s="225"/>
      <c r="S553" s="225"/>
      <c r="T553" s="225"/>
      <c r="U553" s="225"/>
      <c r="V553" s="225"/>
      <c r="W553" s="225"/>
      <c r="X553" s="225"/>
      <c r="Y553" s="225"/>
      <c r="Z553" s="225"/>
    </row>
    <row r="554">
      <c r="A554" s="225"/>
      <c r="B554" s="225"/>
      <c r="C554" s="225"/>
      <c r="D554" s="225"/>
      <c r="E554" s="225"/>
      <c r="F554" s="225"/>
      <c r="G554" s="225"/>
      <c r="H554" s="225"/>
      <c r="I554" s="225"/>
      <c r="J554" s="225"/>
      <c r="K554" s="225"/>
      <c r="L554" s="225"/>
      <c r="M554" s="225"/>
      <c r="N554" s="225"/>
      <c r="O554" s="225"/>
      <c r="P554" s="225"/>
      <c r="Q554" s="225"/>
      <c r="R554" s="225"/>
      <c r="S554" s="225"/>
      <c r="T554" s="225"/>
      <c r="U554" s="225"/>
      <c r="V554" s="225"/>
      <c r="W554" s="225"/>
      <c r="X554" s="225"/>
      <c r="Y554" s="225"/>
      <c r="Z554" s="225"/>
    </row>
    <row r="555">
      <c r="A555" s="225"/>
      <c r="B555" s="225"/>
      <c r="C555" s="225"/>
      <c r="D555" s="225"/>
      <c r="E555" s="225"/>
      <c r="F555" s="225"/>
      <c r="G555" s="225"/>
      <c r="H555" s="225"/>
      <c r="I555" s="225"/>
      <c r="J555" s="225"/>
      <c r="K555" s="225"/>
      <c r="L555" s="225"/>
      <c r="M555" s="225"/>
      <c r="N555" s="225"/>
      <c r="O555" s="225"/>
      <c r="P555" s="225"/>
      <c r="Q555" s="225"/>
      <c r="R555" s="225"/>
      <c r="S555" s="225"/>
      <c r="T555" s="225"/>
      <c r="U555" s="225"/>
      <c r="V555" s="225"/>
      <c r="W555" s="225"/>
      <c r="X555" s="225"/>
      <c r="Y555" s="225"/>
      <c r="Z555" s="225"/>
    </row>
    <row r="556">
      <c r="A556" s="225"/>
      <c r="B556" s="225"/>
      <c r="C556" s="225"/>
      <c r="D556" s="225"/>
      <c r="E556" s="225"/>
      <c r="F556" s="225"/>
      <c r="G556" s="225"/>
      <c r="H556" s="225"/>
      <c r="I556" s="225"/>
      <c r="J556" s="225"/>
      <c r="K556" s="225"/>
      <c r="L556" s="225"/>
      <c r="M556" s="225"/>
      <c r="N556" s="225"/>
      <c r="O556" s="225"/>
      <c r="P556" s="225"/>
      <c r="Q556" s="225"/>
      <c r="R556" s="225"/>
      <c r="S556" s="225"/>
      <c r="T556" s="225"/>
      <c r="U556" s="225"/>
      <c r="V556" s="225"/>
      <c r="W556" s="225"/>
      <c r="X556" s="225"/>
      <c r="Y556" s="225"/>
      <c r="Z556" s="225"/>
    </row>
    <row r="557">
      <c r="A557" s="225"/>
      <c r="B557" s="225"/>
      <c r="C557" s="225"/>
      <c r="D557" s="225"/>
      <c r="E557" s="225"/>
      <c r="F557" s="225"/>
      <c r="G557" s="225"/>
      <c r="H557" s="225"/>
      <c r="I557" s="225"/>
      <c r="J557" s="225"/>
      <c r="K557" s="225"/>
      <c r="L557" s="225"/>
      <c r="M557" s="225"/>
      <c r="N557" s="225"/>
      <c r="O557" s="225"/>
      <c r="P557" s="225"/>
      <c r="Q557" s="225"/>
      <c r="R557" s="225"/>
      <c r="S557" s="225"/>
      <c r="T557" s="225"/>
      <c r="U557" s="225"/>
      <c r="V557" s="225"/>
      <c r="W557" s="225"/>
      <c r="X557" s="225"/>
      <c r="Y557" s="225"/>
      <c r="Z557" s="225"/>
    </row>
    <row r="558">
      <c r="A558" s="225"/>
      <c r="B558" s="225"/>
      <c r="C558" s="225"/>
      <c r="D558" s="225"/>
      <c r="E558" s="225"/>
      <c r="F558" s="225"/>
      <c r="G558" s="225"/>
      <c r="H558" s="225"/>
      <c r="I558" s="225"/>
      <c r="J558" s="225"/>
      <c r="K558" s="225"/>
      <c r="L558" s="225"/>
      <c r="M558" s="225"/>
      <c r="N558" s="225"/>
      <c r="O558" s="225"/>
      <c r="P558" s="225"/>
      <c r="Q558" s="225"/>
      <c r="R558" s="225"/>
      <c r="S558" s="225"/>
      <c r="T558" s="225"/>
      <c r="U558" s="225"/>
      <c r="V558" s="225"/>
      <c r="W558" s="225"/>
      <c r="X558" s="225"/>
      <c r="Y558" s="225"/>
      <c r="Z558" s="225"/>
    </row>
    <row r="559">
      <c r="A559" s="225"/>
      <c r="B559" s="225"/>
      <c r="C559" s="225"/>
      <c r="D559" s="225"/>
      <c r="E559" s="225"/>
      <c r="F559" s="225"/>
      <c r="G559" s="225"/>
      <c r="H559" s="225"/>
      <c r="I559" s="225"/>
      <c r="J559" s="225"/>
      <c r="K559" s="225"/>
      <c r="L559" s="225"/>
      <c r="M559" s="225"/>
      <c r="N559" s="225"/>
      <c r="O559" s="225"/>
      <c r="P559" s="225"/>
      <c r="Q559" s="225"/>
      <c r="R559" s="225"/>
      <c r="S559" s="225"/>
      <c r="T559" s="225"/>
      <c r="U559" s="225"/>
      <c r="V559" s="225"/>
      <c r="W559" s="225"/>
      <c r="X559" s="225"/>
      <c r="Y559" s="225"/>
      <c r="Z559" s="225"/>
    </row>
    <row r="560">
      <c r="A560" s="225"/>
      <c r="B560" s="225"/>
      <c r="C560" s="225"/>
      <c r="D560" s="225"/>
      <c r="E560" s="225"/>
      <c r="F560" s="225"/>
      <c r="G560" s="225"/>
      <c r="H560" s="225"/>
      <c r="I560" s="225"/>
      <c r="J560" s="225"/>
      <c r="K560" s="225"/>
      <c r="L560" s="225"/>
      <c r="M560" s="225"/>
      <c r="N560" s="225"/>
      <c r="O560" s="225"/>
      <c r="P560" s="225"/>
      <c r="Q560" s="225"/>
      <c r="R560" s="225"/>
      <c r="S560" s="225"/>
      <c r="T560" s="225"/>
      <c r="U560" s="225"/>
      <c r="V560" s="225"/>
      <c r="W560" s="225"/>
      <c r="X560" s="225"/>
      <c r="Y560" s="225"/>
      <c r="Z560" s="225"/>
    </row>
    <row r="561">
      <c r="A561" s="225"/>
      <c r="B561" s="225"/>
      <c r="C561" s="225"/>
      <c r="D561" s="225"/>
      <c r="E561" s="225"/>
      <c r="F561" s="225"/>
      <c r="G561" s="225"/>
      <c r="H561" s="225"/>
      <c r="I561" s="225"/>
      <c r="J561" s="225"/>
      <c r="K561" s="225"/>
      <c r="L561" s="225"/>
      <c r="M561" s="225"/>
      <c r="N561" s="225"/>
      <c r="O561" s="225"/>
      <c r="P561" s="225"/>
      <c r="Q561" s="225"/>
      <c r="R561" s="225"/>
      <c r="S561" s="225"/>
      <c r="T561" s="225"/>
      <c r="U561" s="225"/>
      <c r="V561" s="225"/>
      <c r="W561" s="225"/>
      <c r="X561" s="225"/>
      <c r="Y561" s="225"/>
      <c r="Z561" s="225"/>
    </row>
    <row r="562">
      <c r="A562" s="225"/>
      <c r="B562" s="225"/>
      <c r="C562" s="225"/>
      <c r="D562" s="225"/>
      <c r="E562" s="225"/>
      <c r="F562" s="225"/>
      <c r="G562" s="225"/>
      <c r="H562" s="225"/>
      <c r="I562" s="225"/>
      <c r="J562" s="225"/>
      <c r="K562" s="225"/>
      <c r="L562" s="225"/>
      <c r="M562" s="225"/>
      <c r="N562" s="225"/>
      <c r="O562" s="225"/>
      <c r="P562" s="225"/>
      <c r="Q562" s="225"/>
      <c r="R562" s="225"/>
      <c r="S562" s="225"/>
      <c r="T562" s="225"/>
      <c r="U562" s="225"/>
      <c r="V562" s="225"/>
      <c r="W562" s="225"/>
      <c r="X562" s="225"/>
      <c r="Y562" s="225"/>
      <c r="Z562" s="225"/>
    </row>
    <row r="563">
      <c r="A563" s="225"/>
      <c r="B563" s="225"/>
      <c r="C563" s="225"/>
      <c r="D563" s="225"/>
      <c r="E563" s="225"/>
      <c r="F563" s="225"/>
      <c r="G563" s="225"/>
      <c r="H563" s="225"/>
      <c r="I563" s="225"/>
      <c r="J563" s="225"/>
      <c r="K563" s="225"/>
      <c r="L563" s="225"/>
      <c r="M563" s="225"/>
      <c r="N563" s="225"/>
      <c r="O563" s="225"/>
      <c r="P563" s="225"/>
      <c r="Q563" s="225"/>
      <c r="R563" s="225"/>
      <c r="S563" s="225"/>
      <c r="T563" s="225"/>
      <c r="U563" s="225"/>
      <c r="V563" s="225"/>
      <c r="W563" s="225"/>
      <c r="X563" s="225"/>
      <c r="Y563" s="225"/>
      <c r="Z563" s="225"/>
    </row>
    <row r="564">
      <c r="A564" s="225"/>
      <c r="B564" s="225"/>
      <c r="C564" s="225"/>
      <c r="D564" s="225"/>
      <c r="E564" s="225"/>
      <c r="F564" s="225"/>
      <c r="G564" s="225"/>
      <c r="H564" s="225"/>
      <c r="I564" s="225"/>
      <c r="J564" s="225"/>
      <c r="K564" s="225"/>
      <c r="L564" s="225"/>
      <c r="M564" s="225"/>
      <c r="N564" s="225"/>
      <c r="O564" s="225"/>
      <c r="P564" s="225"/>
      <c r="Q564" s="225"/>
      <c r="R564" s="225"/>
      <c r="S564" s="225"/>
      <c r="T564" s="225"/>
      <c r="U564" s="225"/>
      <c r="V564" s="225"/>
      <c r="W564" s="225"/>
      <c r="X564" s="225"/>
      <c r="Y564" s="225"/>
      <c r="Z564" s="225"/>
    </row>
    <row r="565">
      <c r="A565" s="225"/>
      <c r="B565" s="225"/>
      <c r="C565" s="225"/>
      <c r="D565" s="225"/>
      <c r="E565" s="225"/>
      <c r="F565" s="225"/>
      <c r="G565" s="225"/>
      <c r="H565" s="225"/>
      <c r="I565" s="225"/>
      <c r="J565" s="225"/>
      <c r="K565" s="225"/>
      <c r="L565" s="225"/>
      <c r="M565" s="225"/>
      <c r="N565" s="225"/>
      <c r="O565" s="225"/>
      <c r="P565" s="225"/>
      <c r="Q565" s="225"/>
      <c r="R565" s="225"/>
      <c r="S565" s="225"/>
      <c r="T565" s="225"/>
      <c r="U565" s="225"/>
      <c r="V565" s="225"/>
      <c r="W565" s="225"/>
      <c r="X565" s="225"/>
      <c r="Y565" s="225"/>
      <c r="Z565" s="225"/>
    </row>
    <row r="566">
      <c r="A566" s="225"/>
      <c r="B566" s="225"/>
      <c r="C566" s="225"/>
      <c r="D566" s="225"/>
      <c r="E566" s="225"/>
      <c r="F566" s="225"/>
      <c r="G566" s="225"/>
      <c r="H566" s="225"/>
      <c r="I566" s="225"/>
      <c r="J566" s="225"/>
      <c r="K566" s="225"/>
      <c r="L566" s="225"/>
      <c r="M566" s="225"/>
      <c r="N566" s="225"/>
      <c r="O566" s="225"/>
      <c r="P566" s="225"/>
      <c r="Q566" s="225"/>
      <c r="R566" s="225"/>
      <c r="S566" s="225"/>
      <c r="T566" s="225"/>
      <c r="U566" s="225"/>
      <c r="V566" s="225"/>
      <c r="W566" s="225"/>
      <c r="X566" s="225"/>
      <c r="Y566" s="225"/>
      <c r="Z566" s="225"/>
    </row>
    <row r="567">
      <c r="A567" s="225"/>
      <c r="B567" s="225"/>
      <c r="C567" s="225"/>
      <c r="D567" s="225"/>
      <c r="E567" s="225"/>
      <c r="F567" s="225"/>
      <c r="G567" s="225"/>
      <c r="H567" s="225"/>
      <c r="I567" s="225"/>
      <c r="J567" s="225"/>
      <c r="K567" s="225"/>
      <c r="L567" s="225"/>
      <c r="M567" s="225"/>
      <c r="N567" s="225"/>
      <c r="O567" s="225"/>
      <c r="P567" s="225"/>
      <c r="Q567" s="225"/>
      <c r="R567" s="225"/>
      <c r="S567" s="225"/>
      <c r="T567" s="225"/>
      <c r="U567" s="225"/>
      <c r="V567" s="225"/>
      <c r="W567" s="225"/>
      <c r="X567" s="225"/>
      <c r="Y567" s="225"/>
      <c r="Z567" s="225"/>
    </row>
    <row r="568">
      <c r="A568" s="225"/>
      <c r="B568" s="225"/>
      <c r="C568" s="225"/>
      <c r="D568" s="225"/>
      <c r="E568" s="225"/>
      <c r="F568" s="225"/>
      <c r="G568" s="225"/>
      <c r="H568" s="225"/>
      <c r="I568" s="225"/>
      <c r="J568" s="225"/>
      <c r="K568" s="225"/>
      <c r="L568" s="225"/>
      <c r="M568" s="225"/>
      <c r="N568" s="225"/>
      <c r="O568" s="225"/>
      <c r="P568" s="225"/>
      <c r="Q568" s="225"/>
      <c r="R568" s="225"/>
      <c r="S568" s="225"/>
      <c r="T568" s="225"/>
      <c r="U568" s="225"/>
      <c r="V568" s="225"/>
      <c r="W568" s="225"/>
      <c r="X568" s="225"/>
      <c r="Y568" s="225"/>
      <c r="Z568" s="225"/>
    </row>
    <row r="569">
      <c r="A569" s="225"/>
      <c r="B569" s="225"/>
      <c r="C569" s="225"/>
      <c r="D569" s="225"/>
      <c r="E569" s="225"/>
      <c r="F569" s="225"/>
      <c r="G569" s="225"/>
      <c r="H569" s="225"/>
      <c r="I569" s="225"/>
      <c r="J569" s="225"/>
      <c r="K569" s="225"/>
      <c r="L569" s="225"/>
      <c r="M569" s="225"/>
      <c r="N569" s="225"/>
      <c r="O569" s="225"/>
      <c r="P569" s="225"/>
      <c r="Q569" s="225"/>
      <c r="R569" s="225"/>
      <c r="S569" s="225"/>
      <c r="T569" s="225"/>
      <c r="U569" s="225"/>
      <c r="V569" s="225"/>
      <c r="W569" s="225"/>
      <c r="X569" s="225"/>
      <c r="Y569" s="225"/>
      <c r="Z569" s="225"/>
    </row>
    <row r="570">
      <c r="A570" s="225"/>
      <c r="B570" s="225"/>
      <c r="C570" s="225"/>
      <c r="D570" s="225"/>
      <c r="E570" s="225"/>
      <c r="F570" s="225"/>
      <c r="G570" s="225"/>
      <c r="H570" s="225"/>
      <c r="I570" s="225"/>
      <c r="J570" s="225"/>
      <c r="K570" s="225"/>
      <c r="L570" s="225"/>
      <c r="M570" s="225"/>
      <c r="N570" s="225"/>
      <c r="O570" s="225"/>
      <c r="P570" s="225"/>
      <c r="Q570" s="225"/>
      <c r="R570" s="225"/>
      <c r="S570" s="225"/>
      <c r="T570" s="225"/>
      <c r="U570" s="225"/>
      <c r="V570" s="225"/>
      <c r="W570" s="225"/>
      <c r="X570" s="225"/>
      <c r="Y570" s="225"/>
      <c r="Z570" s="225"/>
    </row>
    <row r="571">
      <c r="A571" s="225"/>
      <c r="B571" s="225"/>
      <c r="C571" s="225"/>
      <c r="D571" s="225"/>
      <c r="E571" s="225"/>
      <c r="F571" s="225"/>
      <c r="G571" s="225"/>
      <c r="H571" s="225"/>
      <c r="I571" s="225"/>
      <c r="J571" s="225"/>
      <c r="K571" s="225"/>
      <c r="L571" s="225"/>
      <c r="M571" s="225"/>
      <c r="N571" s="225"/>
      <c r="O571" s="225"/>
      <c r="P571" s="225"/>
      <c r="Q571" s="225"/>
      <c r="R571" s="225"/>
      <c r="S571" s="225"/>
      <c r="T571" s="225"/>
      <c r="U571" s="225"/>
      <c r="V571" s="225"/>
      <c r="W571" s="225"/>
      <c r="X571" s="225"/>
      <c r="Y571" s="225"/>
      <c r="Z571" s="225"/>
    </row>
    <row r="572">
      <c r="A572" s="225"/>
      <c r="B572" s="225"/>
      <c r="C572" s="225"/>
      <c r="D572" s="225"/>
      <c r="E572" s="225"/>
      <c r="F572" s="225"/>
      <c r="G572" s="225"/>
      <c r="H572" s="225"/>
      <c r="I572" s="225"/>
      <c r="J572" s="225"/>
      <c r="K572" s="225"/>
      <c r="L572" s="225"/>
      <c r="M572" s="225"/>
      <c r="N572" s="225"/>
      <c r="O572" s="225"/>
      <c r="P572" s="225"/>
      <c r="Q572" s="225"/>
      <c r="R572" s="225"/>
      <c r="S572" s="225"/>
      <c r="T572" s="225"/>
      <c r="U572" s="225"/>
      <c r="V572" s="225"/>
      <c r="W572" s="225"/>
      <c r="X572" s="225"/>
      <c r="Y572" s="225"/>
      <c r="Z572" s="225"/>
    </row>
    <row r="573">
      <c r="A573" s="225"/>
      <c r="B573" s="225"/>
      <c r="C573" s="225"/>
      <c r="D573" s="225"/>
      <c r="E573" s="225"/>
      <c r="F573" s="225"/>
      <c r="G573" s="225"/>
      <c r="H573" s="225"/>
      <c r="I573" s="225"/>
      <c r="J573" s="225"/>
      <c r="K573" s="225"/>
      <c r="L573" s="225"/>
      <c r="M573" s="225"/>
      <c r="N573" s="225"/>
      <c r="O573" s="225"/>
      <c r="P573" s="225"/>
      <c r="Q573" s="225"/>
      <c r="R573" s="225"/>
      <c r="S573" s="225"/>
      <c r="T573" s="225"/>
      <c r="U573" s="225"/>
      <c r="V573" s="225"/>
      <c r="W573" s="225"/>
      <c r="X573" s="225"/>
      <c r="Y573" s="225"/>
      <c r="Z573" s="225"/>
    </row>
    <row r="574">
      <c r="A574" s="225"/>
      <c r="B574" s="225"/>
      <c r="C574" s="225"/>
      <c r="D574" s="225"/>
      <c r="E574" s="225"/>
      <c r="F574" s="225"/>
      <c r="G574" s="225"/>
      <c r="H574" s="225"/>
      <c r="I574" s="225"/>
      <c r="J574" s="225"/>
      <c r="K574" s="225"/>
      <c r="L574" s="225"/>
      <c r="M574" s="225"/>
      <c r="N574" s="225"/>
      <c r="O574" s="225"/>
      <c r="P574" s="225"/>
      <c r="Q574" s="225"/>
      <c r="R574" s="225"/>
      <c r="S574" s="225"/>
      <c r="T574" s="225"/>
      <c r="U574" s="225"/>
      <c r="V574" s="225"/>
      <c r="W574" s="225"/>
      <c r="X574" s="225"/>
      <c r="Y574" s="225"/>
      <c r="Z574" s="225"/>
    </row>
    <row r="575">
      <c r="A575" s="225"/>
      <c r="B575" s="225"/>
      <c r="C575" s="225"/>
      <c r="D575" s="225"/>
      <c r="E575" s="225"/>
      <c r="F575" s="225"/>
      <c r="G575" s="225"/>
      <c r="H575" s="225"/>
      <c r="I575" s="225"/>
      <c r="J575" s="225"/>
      <c r="K575" s="225"/>
      <c r="L575" s="225"/>
      <c r="M575" s="225"/>
      <c r="N575" s="225"/>
      <c r="O575" s="225"/>
      <c r="P575" s="225"/>
      <c r="Q575" s="225"/>
      <c r="R575" s="225"/>
      <c r="S575" s="225"/>
      <c r="T575" s="225"/>
      <c r="U575" s="225"/>
      <c r="V575" s="225"/>
      <c r="W575" s="225"/>
      <c r="X575" s="225"/>
      <c r="Y575" s="225"/>
      <c r="Z575" s="225"/>
    </row>
    <row r="576">
      <c r="A576" s="225"/>
      <c r="B576" s="225"/>
      <c r="C576" s="225"/>
      <c r="D576" s="225"/>
      <c r="E576" s="225"/>
      <c r="F576" s="225"/>
      <c r="G576" s="225"/>
      <c r="H576" s="225"/>
      <c r="I576" s="225"/>
      <c r="J576" s="225"/>
      <c r="K576" s="225"/>
      <c r="L576" s="225"/>
      <c r="M576" s="225"/>
      <c r="N576" s="225"/>
      <c r="O576" s="225"/>
      <c r="P576" s="225"/>
      <c r="Q576" s="225"/>
      <c r="R576" s="225"/>
      <c r="S576" s="225"/>
      <c r="T576" s="225"/>
      <c r="U576" s="225"/>
      <c r="V576" s="225"/>
      <c r="W576" s="225"/>
      <c r="X576" s="225"/>
      <c r="Y576" s="225"/>
      <c r="Z576" s="225"/>
    </row>
    <row r="577">
      <c r="A577" s="225"/>
      <c r="B577" s="225"/>
      <c r="C577" s="225"/>
      <c r="D577" s="225"/>
      <c r="E577" s="225"/>
      <c r="F577" s="225"/>
      <c r="G577" s="225"/>
      <c r="H577" s="225"/>
      <c r="I577" s="225"/>
      <c r="J577" s="225"/>
      <c r="K577" s="225"/>
      <c r="L577" s="225"/>
      <c r="M577" s="225"/>
      <c r="N577" s="225"/>
      <c r="O577" s="225"/>
      <c r="P577" s="225"/>
      <c r="Q577" s="225"/>
      <c r="R577" s="225"/>
      <c r="S577" s="225"/>
      <c r="T577" s="225"/>
      <c r="U577" s="225"/>
      <c r="V577" s="225"/>
      <c r="W577" s="225"/>
      <c r="X577" s="225"/>
      <c r="Y577" s="225"/>
      <c r="Z577" s="225"/>
    </row>
    <row r="578">
      <c r="A578" s="225"/>
      <c r="B578" s="225"/>
      <c r="C578" s="225"/>
      <c r="D578" s="225"/>
      <c r="E578" s="225"/>
      <c r="F578" s="225"/>
      <c r="G578" s="225"/>
      <c r="H578" s="225"/>
      <c r="I578" s="225"/>
      <c r="J578" s="225"/>
      <c r="K578" s="225"/>
      <c r="L578" s="225"/>
      <c r="M578" s="225"/>
      <c r="N578" s="225"/>
      <c r="O578" s="225"/>
      <c r="P578" s="225"/>
      <c r="Q578" s="225"/>
      <c r="R578" s="225"/>
      <c r="S578" s="225"/>
      <c r="T578" s="225"/>
      <c r="U578" s="225"/>
      <c r="V578" s="225"/>
      <c r="W578" s="225"/>
      <c r="X578" s="225"/>
      <c r="Y578" s="225"/>
      <c r="Z578" s="225"/>
    </row>
    <row r="579">
      <c r="A579" s="225"/>
      <c r="B579" s="225"/>
      <c r="C579" s="225"/>
      <c r="D579" s="225"/>
      <c r="E579" s="225"/>
      <c r="F579" s="225"/>
      <c r="G579" s="225"/>
      <c r="H579" s="225"/>
      <c r="I579" s="225"/>
      <c r="J579" s="225"/>
      <c r="K579" s="225"/>
      <c r="L579" s="225"/>
      <c r="M579" s="225"/>
      <c r="N579" s="225"/>
      <c r="O579" s="225"/>
      <c r="P579" s="225"/>
      <c r="Q579" s="225"/>
      <c r="R579" s="225"/>
      <c r="S579" s="225"/>
      <c r="T579" s="225"/>
      <c r="U579" s="225"/>
      <c r="V579" s="225"/>
      <c r="W579" s="225"/>
      <c r="X579" s="225"/>
      <c r="Y579" s="225"/>
      <c r="Z579" s="225"/>
    </row>
    <row r="580">
      <c r="A580" s="225"/>
      <c r="B580" s="225"/>
      <c r="C580" s="225"/>
      <c r="D580" s="225"/>
      <c r="E580" s="225"/>
      <c r="F580" s="225"/>
      <c r="G580" s="225"/>
      <c r="H580" s="225"/>
      <c r="I580" s="225"/>
      <c r="J580" s="225"/>
      <c r="K580" s="225"/>
      <c r="L580" s="225"/>
      <c r="M580" s="225"/>
      <c r="N580" s="225"/>
      <c r="O580" s="225"/>
      <c r="P580" s="225"/>
      <c r="Q580" s="225"/>
      <c r="R580" s="225"/>
      <c r="S580" s="225"/>
      <c r="T580" s="225"/>
      <c r="U580" s="225"/>
      <c r="V580" s="225"/>
      <c r="W580" s="225"/>
      <c r="X580" s="225"/>
      <c r="Y580" s="225"/>
      <c r="Z580" s="225"/>
    </row>
    <row r="581">
      <c r="A581" s="225"/>
      <c r="B581" s="225"/>
      <c r="C581" s="225"/>
      <c r="D581" s="225"/>
      <c r="E581" s="225"/>
      <c r="F581" s="225"/>
      <c r="G581" s="225"/>
      <c r="H581" s="225"/>
      <c r="I581" s="225"/>
      <c r="J581" s="225"/>
      <c r="K581" s="225"/>
      <c r="L581" s="225"/>
      <c r="M581" s="225"/>
      <c r="N581" s="225"/>
      <c r="O581" s="225"/>
      <c r="P581" s="225"/>
      <c r="Q581" s="225"/>
      <c r="R581" s="225"/>
      <c r="S581" s="225"/>
      <c r="T581" s="225"/>
      <c r="U581" s="225"/>
      <c r="V581" s="225"/>
      <c r="W581" s="225"/>
      <c r="X581" s="225"/>
      <c r="Y581" s="225"/>
      <c r="Z581" s="225"/>
    </row>
    <row r="582">
      <c r="A582" s="225"/>
      <c r="B582" s="225"/>
      <c r="C582" s="225"/>
      <c r="D582" s="225"/>
      <c r="E582" s="225"/>
      <c r="F582" s="225"/>
      <c r="G582" s="225"/>
      <c r="H582" s="225"/>
      <c r="I582" s="225"/>
      <c r="J582" s="225"/>
      <c r="K582" s="225"/>
      <c r="L582" s="225"/>
      <c r="M582" s="225"/>
      <c r="N582" s="225"/>
      <c r="O582" s="225"/>
      <c r="P582" s="225"/>
      <c r="Q582" s="225"/>
      <c r="R582" s="225"/>
      <c r="S582" s="225"/>
      <c r="T582" s="225"/>
      <c r="U582" s="225"/>
      <c r="V582" s="225"/>
      <c r="W582" s="225"/>
      <c r="X582" s="225"/>
      <c r="Y582" s="225"/>
      <c r="Z582" s="225"/>
    </row>
    <row r="583">
      <c r="A583" s="225"/>
      <c r="B583" s="225"/>
      <c r="C583" s="225"/>
      <c r="D583" s="225"/>
      <c r="E583" s="225"/>
      <c r="F583" s="225"/>
      <c r="G583" s="225"/>
      <c r="H583" s="225"/>
      <c r="I583" s="225"/>
      <c r="J583" s="225"/>
      <c r="K583" s="225"/>
      <c r="L583" s="225"/>
      <c r="M583" s="225"/>
      <c r="N583" s="225"/>
      <c r="O583" s="225"/>
      <c r="P583" s="225"/>
      <c r="Q583" s="225"/>
      <c r="R583" s="225"/>
      <c r="S583" s="225"/>
      <c r="T583" s="225"/>
      <c r="U583" s="225"/>
      <c r="V583" s="225"/>
      <c r="W583" s="225"/>
      <c r="X583" s="225"/>
      <c r="Y583" s="225"/>
      <c r="Z583" s="225"/>
    </row>
    <row r="584">
      <c r="A584" s="225"/>
      <c r="B584" s="225"/>
      <c r="C584" s="225"/>
      <c r="D584" s="225"/>
      <c r="E584" s="225"/>
      <c r="F584" s="225"/>
      <c r="G584" s="225"/>
      <c r="H584" s="225"/>
      <c r="I584" s="225"/>
      <c r="J584" s="225"/>
      <c r="K584" s="225"/>
      <c r="L584" s="225"/>
      <c r="M584" s="225"/>
      <c r="N584" s="225"/>
      <c r="O584" s="225"/>
      <c r="P584" s="225"/>
      <c r="Q584" s="225"/>
      <c r="R584" s="225"/>
      <c r="S584" s="225"/>
      <c r="T584" s="225"/>
      <c r="U584" s="225"/>
      <c r="V584" s="225"/>
      <c r="W584" s="225"/>
      <c r="X584" s="225"/>
      <c r="Y584" s="225"/>
      <c r="Z584" s="225"/>
    </row>
    <row r="585">
      <c r="A585" s="225"/>
      <c r="B585" s="225"/>
      <c r="C585" s="225"/>
      <c r="D585" s="225"/>
      <c r="E585" s="225"/>
      <c r="F585" s="225"/>
      <c r="G585" s="225"/>
      <c r="H585" s="225"/>
      <c r="I585" s="225"/>
      <c r="J585" s="225"/>
      <c r="K585" s="225"/>
      <c r="L585" s="225"/>
      <c r="M585" s="225"/>
      <c r="N585" s="225"/>
      <c r="O585" s="225"/>
      <c r="P585" s="225"/>
      <c r="Q585" s="225"/>
      <c r="R585" s="225"/>
      <c r="S585" s="225"/>
      <c r="T585" s="225"/>
      <c r="U585" s="225"/>
      <c r="V585" s="225"/>
      <c r="W585" s="225"/>
      <c r="X585" s="225"/>
      <c r="Y585" s="225"/>
      <c r="Z585" s="225"/>
    </row>
    <row r="586">
      <c r="A586" s="225"/>
      <c r="B586" s="225"/>
      <c r="C586" s="225"/>
      <c r="D586" s="225"/>
      <c r="E586" s="225"/>
      <c r="F586" s="225"/>
      <c r="G586" s="225"/>
      <c r="H586" s="225"/>
      <c r="I586" s="225"/>
      <c r="J586" s="225"/>
      <c r="K586" s="225"/>
      <c r="L586" s="225"/>
      <c r="M586" s="225"/>
      <c r="N586" s="225"/>
      <c r="O586" s="225"/>
      <c r="P586" s="225"/>
      <c r="Q586" s="225"/>
      <c r="R586" s="225"/>
      <c r="S586" s="225"/>
      <c r="T586" s="225"/>
      <c r="U586" s="225"/>
      <c r="V586" s="225"/>
      <c r="W586" s="225"/>
      <c r="X586" s="225"/>
      <c r="Y586" s="225"/>
      <c r="Z586" s="225"/>
    </row>
    <row r="587">
      <c r="A587" s="225"/>
      <c r="B587" s="225"/>
      <c r="C587" s="225"/>
      <c r="D587" s="225"/>
      <c r="E587" s="225"/>
      <c r="F587" s="225"/>
      <c r="G587" s="225"/>
      <c r="H587" s="225"/>
      <c r="I587" s="225"/>
      <c r="J587" s="225"/>
      <c r="K587" s="225"/>
      <c r="L587" s="225"/>
      <c r="M587" s="225"/>
      <c r="N587" s="225"/>
      <c r="O587" s="225"/>
      <c r="P587" s="225"/>
      <c r="Q587" s="225"/>
      <c r="R587" s="225"/>
      <c r="S587" s="225"/>
      <c r="T587" s="225"/>
      <c r="U587" s="225"/>
      <c r="V587" s="225"/>
      <c r="W587" s="225"/>
      <c r="X587" s="225"/>
      <c r="Y587" s="225"/>
      <c r="Z587" s="225"/>
    </row>
    <row r="588">
      <c r="A588" s="225"/>
      <c r="B588" s="225"/>
      <c r="C588" s="225"/>
      <c r="D588" s="225"/>
      <c r="E588" s="225"/>
      <c r="F588" s="225"/>
      <c r="G588" s="225"/>
      <c r="H588" s="225"/>
      <c r="I588" s="225"/>
      <c r="J588" s="225"/>
      <c r="K588" s="225"/>
      <c r="L588" s="225"/>
      <c r="M588" s="225"/>
      <c r="N588" s="225"/>
      <c r="O588" s="225"/>
      <c r="P588" s="225"/>
      <c r="Q588" s="225"/>
      <c r="R588" s="225"/>
      <c r="S588" s="225"/>
      <c r="T588" s="225"/>
      <c r="U588" s="225"/>
      <c r="V588" s="225"/>
      <c r="W588" s="225"/>
      <c r="X588" s="225"/>
      <c r="Y588" s="225"/>
      <c r="Z588" s="225"/>
    </row>
    <row r="589">
      <c r="A589" s="225"/>
      <c r="B589" s="225"/>
      <c r="C589" s="225"/>
      <c r="D589" s="225"/>
      <c r="E589" s="225"/>
      <c r="F589" s="225"/>
      <c r="G589" s="225"/>
      <c r="H589" s="225"/>
      <c r="I589" s="225"/>
      <c r="J589" s="225"/>
      <c r="K589" s="225"/>
      <c r="L589" s="225"/>
      <c r="M589" s="225"/>
      <c r="N589" s="225"/>
      <c r="O589" s="225"/>
      <c r="P589" s="225"/>
      <c r="Q589" s="225"/>
      <c r="R589" s="225"/>
      <c r="S589" s="225"/>
      <c r="T589" s="225"/>
      <c r="U589" s="225"/>
      <c r="V589" s="225"/>
      <c r="W589" s="225"/>
      <c r="X589" s="225"/>
      <c r="Y589" s="225"/>
      <c r="Z589" s="225"/>
    </row>
    <row r="590">
      <c r="A590" s="225"/>
      <c r="B590" s="225"/>
      <c r="C590" s="225"/>
      <c r="D590" s="225"/>
      <c r="E590" s="225"/>
      <c r="F590" s="225"/>
      <c r="G590" s="225"/>
      <c r="H590" s="225"/>
      <c r="I590" s="225"/>
      <c r="J590" s="225"/>
      <c r="K590" s="225"/>
      <c r="L590" s="225"/>
      <c r="M590" s="225"/>
      <c r="N590" s="225"/>
      <c r="O590" s="225"/>
      <c r="P590" s="225"/>
      <c r="Q590" s="225"/>
      <c r="R590" s="225"/>
      <c r="S590" s="225"/>
      <c r="T590" s="225"/>
      <c r="U590" s="225"/>
      <c r="V590" s="225"/>
      <c r="W590" s="225"/>
      <c r="X590" s="225"/>
      <c r="Y590" s="225"/>
      <c r="Z590" s="225"/>
    </row>
    <row r="591">
      <c r="A591" s="225"/>
      <c r="B591" s="225"/>
      <c r="C591" s="225"/>
      <c r="D591" s="225"/>
      <c r="E591" s="225"/>
      <c r="F591" s="225"/>
      <c r="G591" s="225"/>
      <c r="H591" s="225"/>
      <c r="I591" s="225"/>
      <c r="J591" s="225"/>
      <c r="K591" s="225"/>
      <c r="L591" s="225"/>
      <c r="M591" s="225"/>
      <c r="N591" s="225"/>
      <c r="O591" s="225"/>
      <c r="P591" s="225"/>
      <c r="Q591" s="225"/>
      <c r="R591" s="225"/>
      <c r="S591" s="225"/>
      <c r="T591" s="225"/>
      <c r="U591" s="225"/>
      <c r="V591" s="225"/>
      <c r="W591" s="225"/>
      <c r="X591" s="225"/>
      <c r="Y591" s="225"/>
      <c r="Z591" s="225"/>
    </row>
    <row r="592">
      <c r="A592" s="225"/>
      <c r="B592" s="225"/>
      <c r="C592" s="225"/>
      <c r="D592" s="225"/>
      <c r="E592" s="225"/>
      <c r="F592" s="225"/>
      <c r="G592" s="225"/>
      <c r="H592" s="225"/>
      <c r="I592" s="225"/>
      <c r="J592" s="225"/>
      <c r="K592" s="225"/>
      <c r="L592" s="225"/>
      <c r="M592" s="225"/>
      <c r="N592" s="225"/>
      <c r="O592" s="225"/>
      <c r="P592" s="225"/>
      <c r="Q592" s="225"/>
      <c r="R592" s="225"/>
      <c r="S592" s="225"/>
      <c r="T592" s="225"/>
      <c r="U592" s="225"/>
      <c r="V592" s="225"/>
      <c r="W592" s="225"/>
      <c r="X592" s="225"/>
      <c r="Y592" s="225"/>
      <c r="Z592" s="225"/>
    </row>
    <row r="593">
      <c r="A593" s="225"/>
      <c r="B593" s="225"/>
      <c r="C593" s="225"/>
      <c r="D593" s="225"/>
      <c r="E593" s="225"/>
      <c r="F593" s="225"/>
      <c r="G593" s="225"/>
      <c r="H593" s="225"/>
      <c r="I593" s="225"/>
      <c r="J593" s="225"/>
      <c r="K593" s="225"/>
      <c r="L593" s="225"/>
      <c r="M593" s="225"/>
      <c r="N593" s="225"/>
      <c r="O593" s="225"/>
      <c r="P593" s="225"/>
      <c r="Q593" s="225"/>
      <c r="R593" s="225"/>
      <c r="S593" s="225"/>
      <c r="T593" s="225"/>
      <c r="U593" s="225"/>
      <c r="V593" s="225"/>
      <c r="W593" s="225"/>
      <c r="X593" s="225"/>
      <c r="Y593" s="225"/>
      <c r="Z593" s="225"/>
    </row>
    <row r="594">
      <c r="A594" s="225"/>
      <c r="B594" s="225"/>
      <c r="C594" s="225"/>
      <c r="D594" s="225"/>
      <c r="E594" s="225"/>
      <c r="F594" s="225"/>
      <c r="G594" s="225"/>
      <c r="H594" s="225"/>
      <c r="I594" s="225"/>
      <c r="J594" s="225"/>
      <c r="K594" s="225"/>
      <c r="L594" s="225"/>
      <c r="M594" s="225"/>
      <c r="N594" s="225"/>
      <c r="O594" s="225"/>
      <c r="P594" s="225"/>
      <c r="Q594" s="225"/>
      <c r="R594" s="225"/>
      <c r="S594" s="225"/>
      <c r="T594" s="225"/>
      <c r="U594" s="225"/>
      <c r="V594" s="225"/>
      <c r="W594" s="225"/>
      <c r="X594" s="225"/>
      <c r="Y594" s="225"/>
      <c r="Z594" s="225"/>
    </row>
    <row r="595">
      <c r="A595" s="225"/>
      <c r="B595" s="225"/>
      <c r="C595" s="225"/>
      <c r="D595" s="225"/>
      <c r="E595" s="225"/>
      <c r="F595" s="225"/>
      <c r="G595" s="225"/>
      <c r="H595" s="225"/>
      <c r="I595" s="225"/>
      <c r="J595" s="225"/>
      <c r="K595" s="225"/>
      <c r="L595" s="225"/>
      <c r="M595" s="225"/>
      <c r="N595" s="225"/>
      <c r="O595" s="225"/>
      <c r="P595" s="225"/>
      <c r="Q595" s="225"/>
      <c r="R595" s="225"/>
      <c r="S595" s="225"/>
      <c r="T595" s="225"/>
      <c r="U595" s="225"/>
      <c r="V595" s="225"/>
      <c r="W595" s="225"/>
      <c r="X595" s="225"/>
      <c r="Y595" s="225"/>
      <c r="Z595" s="225"/>
    </row>
    <row r="596">
      <c r="A596" s="225"/>
      <c r="B596" s="225"/>
      <c r="C596" s="225"/>
      <c r="D596" s="225"/>
      <c r="E596" s="225"/>
      <c r="F596" s="225"/>
      <c r="G596" s="225"/>
      <c r="H596" s="225"/>
      <c r="I596" s="225"/>
      <c r="J596" s="225"/>
      <c r="K596" s="225"/>
      <c r="L596" s="225"/>
      <c r="M596" s="225"/>
      <c r="N596" s="225"/>
      <c r="O596" s="225"/>
      <c r="P596" s="225"/>
      <c r="Q596" s="225"/>
      <c r="R596" s="225"/>
      <c r="S596" s="225"/>
      <c r="T596" s="225"/>
      <c r="U596" s="225"/>
      <c r="V596" s="225"/>
      <c r="W596" s="225"/>
      <c r="X596" s="225"/>
      <c r="Y596" s="225"/>
      <c r="Z596" s="225"/>
    </row>
    <row r="597">
      <c r="A597" s="225"/>
      <c r="B597" s="225"/>
      <c r="C597" s="225"/>
      <c r="D597" s="225"/>
      <c r="E597" s="225"/>
      <c r="F597" s="225"/>
      <c r="G597" s="225"/>
      <c r="H597" s="225"/>
      <c r="I597" s="225"/>
      <c r="J597" s="225"/>
      <c r="K597" s="225"/>
      <c r="L597" s="225"/>
      <c r="M597" s="225"/>
      <c r="N597" s="225"/>
      <c r="O597" s="225"/>
      <c r="P597" s="225"/>
      <c r="Q597" s="225"/>
      <c r="R597" s="225"/>
      <c r="S597" s="225"/>
      <c r="T597" s="225"/>
      <c r="U597" s="225"/>
      <c r="V597" s="225"/>
      <c r="W597" s="225"/>
      <c r="X597" s="225"/>
      <c r="Y597" s="225"/>
      <c r="Z597" s="225"/>
    </row>
    <row r="598">
      <c r="A598" s="225"/>
      <c r="B598" s="225"/>
      <c r="C598" s="225"/>
      <c r="D598" s="225"/>
      <c r="E598" s="225"/>
      <c r="F598" s="225"/>
      <c r="G598" s="225"/>
      <c r="H598" s="225"/>
      <c r="I598" s="225"/>
      <c r="J598" s="225"/>
      <c r="K598" s="225"/>
      <c r="L598" s="225"/>
      <c r="M598" s="225"/>
      <c r="N598" s="225"/>
      <c r="O598" s="225"/>
      <c r="P598" s="225"/>
      <c r="Q598" s="225"/>
      <c r="R598" s="225"/>
      <c r="S598" s="225"/>
      <c r="T598" s="225"/>
      <c r="U598" s="225"/>
      <c r="V598" s="225"/>
      <c r="W598" s="225"/>
      <c r="X598" s="225"/>
      <c r="Y598" s="225"/>
      <c r="Z598" s="225"/>
    </row>
    <row r="599">
      <c r="A599" s="225"/>
      <c r="B599" s="225"/>
      <c r="C599" s="225"/>
      <c r="D599" s="225"/>
      <c r="E599" s="225"/>
      <c r="F599" s="225"/>
      <c r="G599" s="225"/>
      <c r="H599" s="225"/>
      <c r="I599" s="225"/>
      <c r="J599" s="225"/>
      <c r="K599" s="225"/>
      <c r="L599" s="225"/>
      <c r="M599" s="225"/>
      <c r="N599" s="225"/>
      <c r="O599" s="225"/>
      <c r="P599" s="225"/>
      <c r="Q599" s="225"/>
      <c r="R599" s="225"/>
      <c r="S599" s="225"/>
      <c r="T599" s="225"/>
      <c r="U599" s="225"/>
      <c r="V599" s="225"/>
      <c r="W599" s="225"/>
      <c r="X599" s="225"/>
      <c r="Y599" s="225"/>
      <c r="Z599" s="225"/>
    </row>
    <row r="600">
      <c r="A600" s="225"/>
      <c r="B600" s="225"/>
      <c r="C600" s="225"/>
      <c r="D600" s="225"/>
      <c r="E600" s="225"/>
      <c r="F600" s="225"/>
      <c r="G600" s="225"/>
      <c r="H600" s="225"/>
      <c r="I600" s="225"/>
      <c r="J600" s="225"/>
      <c r="K600" s="225"/>
      <c r="L600" s="225"/>
      <c r="M600" s="225"/>
      <c r="N600" s="225"/>
      <c r="O600" s="225"/>
      <c r="P600" s="225"/>
      <c r="Q600" s="225"/>
      <c r="R600" s="225"/>
      <c r="S600" s="225"/>
      <c r="T600" s="225"/>
      <c r="U600" s="225"/>
      <c r="V600" s="225"/>
      <c r="W600" s="225"/>
      <c r="X600" s="225"/>
      <c r="Y600" s="225"/>
      <c r="Z600" s="225"/>
    </row>
    <row r="601">
      <c r="A601" s="225"/>
      <c r="B601" s="225"/>
      <c r="C601" s="225"/>
      <c r="D601" s="225"/>
      <c r="E601" s="225"/>
      <c r="F601" s="225"/>
      <c r="G601" s="225"/>
      <c r="H601" s="225"/>
      <c r="I601" s="225"/>
      <c r="J601" s="225"/>
      <c r="K601" s="225"/>
      <c r="L601" s="225"/>
      <c r="M601" s="225"/>
      <c r="N601" s="225"/>
      <c r="O601" s="225"/>
      <c r="P601" s="225"/>
      <c r="Q601" s="225"/>
      <c r="R601" s="225"/>
      <c r="S601" s="225"/>
      <c r="T601" s="225"/>
      <c r="U601" s="225"/>
      <c r="V601" s="225"/>
      <c r="W601" s="225"/>
      <c r="X601" s="225"/>
      <c r="Y601" s="225"/>
      <c r="Z601" s="225"/>
    </row>
    <row r="602">
      <c r="A602" s="225"/>
      <c r="B602" s="225"/>
      <c r="C602" s="225"/>
      <c r="D602" s="225"/>
      <c r="E602" s="225"/>
      <c r="F602" s="225"/>
      <c r="G602" s="225"/>
      <c r="H602" s="225"/>
      <c r="I602" s="225"/>
      <c r="J602" s="225"/>
      <c r="K602" s="225"/>
      <c r="L602" s="225"/>
      <c r="M602" s="225"/>
      <c r="N602" s="225"/>
      <c r="O602" s="225"/>
      <c r="P602" s="225"/>
      <c r="Q602" s="225"/>
      <c r="R602" s="225"/>
      <c r="S602" s="225"/>
      <c r="T602" s="225"/>
      <c r="U602" s="225"/>
      <c r="V602" s="225"/>
      <c r="W602" s="225"/>
      <c r="X602" s="225"/>
      <c r="Y602" s="225"/>
      <c r="Z602" s="225"/>
    </row>
    <row r="603">
      <c r="A603" s="225"/>
      <c r="B603" s="225"/>
      <c r="C603" s="225"/>
      <c r="D603" s="225"/>
      <c r="E603" s="225"/>
      <c r="F603" s="225"/>
      <c r="G603" s="225"/>
      <c r="H603" s="225"/>
      <c r="I603" s="225"/>
      <c r="J603" s="225"/>
      <c r="K603" s="225"/>
      <c r="L603" s="225"/>
      <c r="M603" s="225"/>
      <c r="N603" s="225"/>
      <c r="O603" s="225"/>
      <c r="P603" s="225"/>
      <c r="Q603" s="225"/>
      <c r="R603" s="225"/>
      <c r="S603" s="225"/>
      <c r="T603" s="225"/>
      <c r="U603" s="225"/>
      <c r="V603" s="225"/>
      <c r="W603" s="225"/>
      <c r="X603" s="225"/>
      <c r="Y603" s="225"/>
      <c r="Z603" s="225"/>
    </row>
    <row r="604">
      <c r="A604" s="225"/>
      <c r="B604" s="225"/>
      <c r="C604" s="225"/>
      <c r="D604" s="225"/>
      <c r="E604" s="225"/>
      <c r="F604" s="225"/>
      <c r="G604" s="225"/>
      <c r="H604" s="225"/>
      <c r="I604" s="225"/>
      <c r="J604" s="225"/>
      <c r="K604" s="225"/>
      <c r="L604" s="225"/>
      <c r="M604" s="225"/>
      <c r="N604" s="225"/>
      <c r="O604" s="225"/>
      <c r="P604" s="225"/>
      <c r="Q604" s="225"/>
      <c r="R604" s="225"/>
      <c r="S604" s="225"/>
      <c r="T604" s="225"/>
      <c r="U604" s="225"/>
      <c r="V604" s="225"/>
      <c r="W604" s="225"/>
      <c r="X604" s="225"/>
      <c r="Y604" s="225"/>
      <c r="Z604" s="225"/>
    </row>
    <row r="605">
      <c r="A605" s="225"/>
      <c r="B605" s="225"/>
      <c r="C605" s="225"/>
      <c r="D605" s="225"/>
      <c r="E605" s="225"/>
      <c r="F605" s="225"/>
      <c r="G605" s="225"/>
      <c r="H605" s="225"/>
      <c r="I605" s="225"/>
      <c r="J605" s="225"/>
      <c r="K605" s="225"/>
      <c r="L605" s="225"/>
      <c r="M605" s="225"/>
      <c r="N605" s="225"/>
      <c r="O605" s="225"/>
      <c r="P605" s="225"/>
      <c r="Q605" s="225"/>
      <c r="R605" s="225"/>
      <c r="S605" s="225"/>
      <c r="T605" s="225"/>
      <c r="U605" s="225"/>
      <c r="V605" s="225"/>
      <c r="W605" s="225"/>
      <c r="X605" s="225"/>
      <c r="Y605" s="225"/>
      <c r="Z605" s="225"/>
    </row>
    <row r="606">
      <c r="A606" s="225"/>
      <c r="B606" s="225"/>
      <c r="C606" s="225"/>
      <c r="D606" s="225"/>
      <c r="E606" s="225"/>
      <c r="F606" s="225"/>
      <c r="G606" s="225"/>
      <c r="H606" s="225"/>
      <c r="I606" s="225"/>
      <c r="J606" s="225"/>
      <c r="K606" s="225"/>
      <c r="L606" s="225"/>
      <c r="M606" s="225"/>
      <c r="N606" s="225"/>
      <c r="O606" s="225"/>
      <c r="P606" s="225"/>
      <c r="Q606" s="225"/>
      <c r="R606" s="225"/>
      <c r="S606" s="225"/>
      <c r="T606" s="225"/>
      <c r="U606" s="225"/>
      <c r="V606" s="225"/>
      <c r="W606" s="225"/>
      <c r="X606" s="225"/>
      <c r="Y606" s="225"/>
      <c r="Z606" s="225"/>
    </row>
    <row r="607">
      <c r="A607" s="225"/>
      <c r="B607" s="225"/>
      <c r="C607" s="225"/>
      <c r="D607" s="225"/>
      <c r="E607" s="225"/>
      <c r="F607" s="225"/>
      <c r="G607" s="225"/>
      <c r="H607" s="225"/>
      <c r="I607" s="225"/>
      <c r="J607" s="225"/>
      <c r="K607" s="225"/>
      <c r="L607" s="225"/>
      <c r="M607" s="225"/>
      <c r="N607" s="225"/>
      <c r="O607" s="225"/>
      <c r="P607" s="225"/>
      <c r="Q607" s="225"/>
      <c r="R607" s="225"/>
      <c r="S607" s="225"/>
      <c r="T607" s="225"/>
      <c r="U607" s="225"/>
      <c r="V607" s="225"/>
      <c r="W607" s="225"/>
      <c r="X607" s="225"/>
      <c r="Y607" s="225"/>
      <c r="Z607" s="225"/>
    </row>
    <row r="608">
      <c r="A608" s="225"/>
      <c r="B608" s="225"/>
      <c r="C608" s="225"/>
      <c r="D608" s="225"/>
      <c r="E608" s="225"/>
      <c r="F608" s="225"/>
      <c r="G608" s="225"/>
      <c r="H608" s="225"/>
      <c r="I608" s="225"/>
      <c r="J608" s="225"/>
      <c r="K608" s="225"/>
      <c r="L608" s="225"/>
      <c r="M608" s="225"/>
      <c r="N608" s="225"/>
      <c r="O608" s="225"/>
      <c r="P608" s="225"/>
      <c r="Q608" s="225"/>
      <c r="R608" s="225"/>
      <c r="S608" s="225"/>
      <c r="T608" s="225"/>
      <c r="U608" s="225"/>
      <c r="V608" s="225"/>
      <c r="W608" s="225"/>
      <c r="X608" s="225"/>
      <c r="Y608" s="225"/>
      <c r="Z608" s="225"/>
    </row>
    <row r="609">
      <c r="A609" s="225"/>
      <c r="B609" s="225"/>
      <c r="C609" s="225"/>
      <c r="D609" s="225"/>
      <c r="E609" s="225"/>
      <c r="F609" s="225"/>
      <c r="G609" s="225"/>
      <c r="H609" s="225"/>
      <c r="I609" s="225"/>
      <c r="J609" s="225"/>
      <c r="K609" s="225"/>
      <c r="L609" s="225"/>
      <c r="M609" s="225"/>
      <c r="N609" s="225"/>
      <c r="O609" s="225"/>
      <c r="P609" s="225"/>
      <c r="Q609" s="225"/>
      <c r="R609" s="225"/>
      <c r="S609" s="225"/>
      <c r="T609" s="225"/>
      <c r="U609" s="225"/>
      <c r="V609" s="225"/>
      <c r="W609" s="225"/>
      <c r="X609" s="225"/>
      <c r="Y609" s="225"/>
      <c r="Z609" s="225"/>
    </row>
    <row r="610">
      <c r="A610" s="225"/>
      <c r="B610" s="225"/>
      <c r="C610" s="225"/>
      <c r="D610" s="225"/>
      <c r="E610" s="225"/>
      <c r="F610" s="225"/>
      <c r="G610" s="225"/>
      <c r="H610" s="225"/>
      <c r="I610" s="225"/>
      <c r="J610" s="225"/>
      <c r="K610" s="225"/>
      <c r="L610" s="225"/>
      <c r="M610" s="225"/>
      <c r="N610" s="225"/>
      <c r="O610" s="225"/>
      <c r="P610" s="225"/>
      <c r="Q610" s="225"/>
      <c r="R610" s="225"/>
      <c r="S610" s="225"/>
      <c r="T610" s="225"/>
      <c r="U610" s="225"/>
      <c r="V610" s="225"/>
      <c r="W610" s="225"/>
      <c r="X610" s="225"/>
      <c r="Y610" s="225"/>
      <c r="Z610" s="225"/>
    </row>
    <row r="611">
      <c r="A611" s="225"/>
      <c r="B611" s="225"/>
      <c r="C611" s="225"/>
      <c r="D611" s="225"/>
      <c r="E611" s="225"/>
      <c r="F611" s="225"/>
      <c r="G611" s="225"/>
      <c r="H611" s="225"/>
      <c r="I611" s="225"/>
      <c r="J611" s="225"/>
      <c r="K611" s="225"/>
      <c r="L611" s="225"/>
      <c r="M611" s="225"/>
      <c r="N611" s="225"/>
      <c r="O611" s="225"/>
      <c r="P611" s="225"/>
      <c r="Q611" s="225"/>
      <c r="R611" s="225"/>
      <c r="S611" s="225"/>
      <c r="T611" s="225"/>
      <c r="U611" s="225"/>
      <c r="V611" s="225"/>
      <c r="W611" s="225"/>
      <c r="X611" s="225"/>
      <c r="Y611" s="225"/>
      <c r="Z611" s="225"/>
    </row>
    <row r="612">
      <c r="A612" s="225"/>
      <c r="B612" s="225"/>
      <c r="C612" s="225"/>
      <c r="D612" s="225"/>
      <c r="E612" s="225"/>
      <c r="F612" s="225"/>
      <c r="G612" s="225"/>
      <c r="H612" s="225"/>
      <c r="I612" s="225"/>
      <c r="J612" s="225"/>
      <c r="K612" s="225"/>
      <c r="L612" s="225"/>
      <c r="M612" s="225"/>
      <c r="N612" s="225"/>
      <c r="O612" s="225"/>
      <c r="P612" s="225"/>
      <c r="Q612" s="225"/>
      <c r="R612" s="225"/>
      <c r="S612" s="225"/>
      <c r="T612" s="225"/>
      <c r="U612" s="225"/>
      <c r="V612" s="225"/>
      <c r="W612" s="225"/>
      <c r="X612" s="225"/>
      <c r="Y612" s="225"/>
      <c r="Z612" s="225"/>
    </row>
    <row r="613">
      <c r="A613" s="225"/>
      <c r="B613" s="225"/>
      <c r="C613" s="225"/>
      <c r="D613" s="225"/>
      <c r="E613" s="225"/>
      <c r="F613" s="225"/>
      <c r="G613" s="225"/>
      <c r="H613" s="225"/>
      <c r="I613" s="225"/>
      <c r="J613" s="225"/>
      <c r="K613" s="225"/>
      <c r="L613" s="225"/>
      <c r="M613" s="225"/>
      <c r="N613" s="225"/>
      <c r="O613" s="225"/>
      <c r="P613" s="225"/>
      <c r="Q613" s="225"/>
      <c r="R613" s="225"/>
      <c r="S613" s="225"/>
      <c r="T613" s="225"/>
      <c r="U613" s="225"/>
      <c r="V613" s="225"/>
      <c r="W613" s="225"/>
      <c r="X613" s="225"/>
      <c r="Y613" s="225"/>
      <c r="Z613" s="225"/>
    </row>
    <row r="614">
      <c r="A614" s="225"/>
      <c r="B614" s="225"/>
      <c r="C614" s="225"/>
      <c r="D614" s="225"/>
      <c r="E614" s="225"/>
      <c r="F614" s="225"/>
      <c r="G614" s="225"/>
      <c r="H614" s="225"/>
      <c r="I614" s="225"/>
      <c r="J614" s="225"/>
      <c r="K614" s="225"/>
      <c r="L614" s="225"/>
      <c r="M614" s="225"/>
      <c r="N614" s="225"/>
      <c r="O614" s="225"/>
      <c r="P614" s="225"/>
      <c r="Q614" s="225"/>
      <c r="R614" s="225"/>
      <c r="S614" s="225"/>
      <c r="T614" s="225"/>
      <c r="U614" s="225"/>
      <c r="V614" s="225"/>
      <c r="W614" s="225"/>
      <c r="X614" s="225"/>
      <c r="Y614" s="225"/>
      <c r="Z614" s="225"/>
    </row>
    <row r="615">
      <c r="A615" s="225"/>
      <c r="B615" s="225"/>
      <c r="C615" s="225"/>
      <c r="D615" s="225"/>
      <c r="E615" s="225"/>
      <c r="F615" s="225"/>
      <c r="G615" s="225"/>
      <c r="H615" s="225"/>
      <c r="I615" s="225"/>
      <c r="J615" s="225"/>
      <c r="K615" s="225"/>
      <c r="L615" s="225"/>
      <c r="M615" s="225"/>
      <c r="N615" s="225"/>
      <c r="O615" s="225"/>
      <c r="P615" s="225"/>
      <c r="Q615" s="225"/>
      <c r="R615" s="225"/>
      <c r="S615" s="225"/>
      <c r="T615" s="225"/>
      <c r="U615" s="225"/>
      <c r="V615" s="225"/>
      <c r="W615" s="225"/>
      <c r="X615" s="225"/>
      <c r="Y615" s="225"/>
      <c r="Z615" s="225"/>
    </row>
    <row r="616">
      <c r="A616" s="225"/>
      <c r="B616" s="225"/>
      <c r="C616" s="225"/>
      <c r="D616" s="225"/>
      <c r="E616" s="225"/>
      <c r="F616" s="225"/>
      <c r="G616" s="225"/>
      <c r="H616" s="225"/>
      <c r="I616" s="225"/>
      <c r="J616" s="225"/>
      <c r="K616" s="225"/>
      <c r="L616" s="225"/>
      <c r="M616" s="225"/>
      <c r="N616" s="225"/>
      <c r="O616" s="225"/>
      <c r="P616" s="225"/>
      <c r="Q616" s="225"/>
      <c r="R616" s="225"/>
      <c r="S616" s="225"/>
      <c r="T616" s="225"/>
      <c r="U616" s="225"/>
      <c r="V616" s="225"/>
      <c r="W616" s="225"/>
      <c r="X616" s="225"/>
      <c r="Y616" s="225"/>
      <c r="Z616" s="225"/>
    </row>
    <row r="617">
      <c r="A617" s="225"/>
      <c r="B617" s="225"/>
      <c r="C617" s="225"/>
      <c r="D617" s="225"/>
      <c r="E617" s="225"/>
      <c r="F617" s="225"/>
      <c r="G617" s="225"/>
      <c r="H617" s="225"/>
      <c r="I617" s="225"/>
      <c r="J617" s="225"/>
      <c r="K617" s="225"/>
      <c r="L617" s="225"/>
      <c r="M617" s="225"/>
      <c r="N617" s="225"/>
      <c r="O617" s="225"/>
      <c r="P617" s="225"/>
      <c r="Q617" s="225"/>
      <c r="R617" s="225"/>
      <c r="S617" s="225"/>
      <c r="T617" s="225"/>
      <c r="U617" s="225"/>
      <c r="V617" s="225"/>
      <c r="W617" s="225"/>
      <c r="X617" s="225"/>
      <c r="Y617" s="225"/>
      <c r="Z617" s="225"/>
    </row>
    <row r="618">
      <c r="A618" s="225"/>
      <c r="B618" s="225"/>
      <c r="C618" s="225"/>
      <c r="D618" s="225"/>
      <c r="E618" s="225"/>
      <c r="F618" s="225"/>
      <c r="G618" s="225"/>
      <c r="H618" s="225"/>
      <c r="I618" s="225"/>
      <c r="J618" s="225"/>
      <c r="K618" s="225"/>
      <c r="L618" s="225"/>
      <c r="M618" s="225"/>
      <c r="N618" s="225"/>
      <c r="O618" s="225"/>
      <c r="P618" s="225"/>
      <c r="Q618" s="225"/>
      <c r="R618" s="225"/>
      <c r="S618" s="225"/>
      <c r="T618" s="225"/>
      <c r="U618" s="225"/>
      <c r="V618" s="225"/>
      <c r="W618" s="225"/>
      <c r="X618" s="225"/>
      <c r="Y618" s="225"/>
      <c r="Z618" s="225"/>
    </row>
    <row r="619">
      <c r="A619" s="225"/>
      <c r="B619" s="225"/>
      <c r="C619" s="225"/>
      <c r="D619" s="225"/>
      <c r="E619" s="225"/>
      <c r="F619" s="225"/>
      <c r="G619" s="225"/>
      <c r="H619" s="225"/>
      <c r="I619" s="225"/>
      <c r="J619" s="225"/>
      <c r="K619" s="225"/>
      <c r="L619" s="225"/>
      <c r="M619" s="225"/>
      <c r="N619" s="225"/>
      <c r="O619" s="225"/>
      <c r="P619" s="225"/>
      <c r="Q619" s="225"/>
      <c r="R619" s="225"/>
      <c r="S619" s="225"/>
      <c r="T619" s="225"/>
      <c r="U619" s="225"/>
      <c r="V619" s="225"/>
      <c r="W619" s="225"/>
      <c r="X619" s="225"/>
      <c r="Y619" s="225"/>
      <c r="Z619" s="225"/>
    </row>
    <row r="620">
      <c r="A620" s="225"/>
      <c r="B620" s="225"/>
      <c r="C620" s="225"/>
      <c r="D620" s="225"/>
      <c r="E620" s="225"/>
      <c r="F620" s="225"/>
      <c r="G620" s="225"/>
      <c r="H620" s="225"/>
      <c r="I620" s="225"/>
      <c r="J620" s="225"/>
      <c r="K620" s="225"/>
      <c r="L620" s="225"/>
      <c r="M620" s="225"/>
      <c r="N620" s="225"/>
      <c r="O620" s="225"/>
      <c r="P620" s="225"/>
      <c r="Q620" s="225"/>
      <c r="R620" s="225"/>
      <c r="S620" s="225"/>
      <c r="T620" s="225"/>
      <c r="U620" s="225"/>
      <c r="V620" s="225"/>
      <c r="W620" s="225"/>
      <c r="X620" s="225"/>
      <c r="Y620" s="225"/>
      <c r="Z620" s="225"/>
    </row>
    <row r="621">
      <c r="A621" s="225"/>
      <c r="B621" s="225"/>
      <c r="C621" s="225"/>
      <c r="D621" s="225"/>
      <c r="E621" s="225"/>
      <c r="F621" s="225"/>
      <c r="G621" s="225"/>
      <c r="H621" s="225"/>
      <c r="I621" s="225"/>
      <c r="J621" s="225"/>
      <c r="K621" s="225"/>
      <c r="L621" s="225"/>
      <c r="M621" s="225"/>
      <c r="N621" s="225"/>
      <c r="O621" s="225"/>
      <c r="P621" s="225"/>
      <c r="Q621" s="225"/>
      <c r="R621" s="225"/>
      <c r="S621" s="225"/>
      <c r="T621" s="225"/>
      <c r="U621" s="225"/>
      <c r="V621" s="225"/>
      <c r="W621" s="225"/>
      <c r="X621" s="225"/>
      <c r="Y621" s="225"/>
      <c r="Z621" s="225"/>
    </row>
    <row r="622">
      <c r="A622" s="225"/>
      <c r="B622" s="225"/>
      <c r="C622" s="225"/>
      <c r="D622" s="225"/>
      <c r="E622" s="225"/>
      <c r="F622" s="225"/>
      <c r="G622" s="225"/>
      <c r="H622" s="225"/>
      <c r="I622" s="225"/>
      <c r="J622" s="225"/>
      <c r="K622" s="225"/>
      <c r="L622" s="225"/>
      <c r="M622" s="225"/>
      <c r="N622" s="225"/>
      <c r="O622" s="225"/>
      <c r="P622" s="225"/>
      <c r="Q622" s="225"/>
      <c r="R622" s="225"/>
      <c r="S622" s="225"/>
      <c r="T622" s="225"/>
      <c r="U622" s="225"/>
      <c r="V622" s="225"/>
      <c r="W622" s="225"/>
      <c r="X622" s="225"/>
      <c r="Y622" s="225"/>
      <c r="Z622" s="225"/>
    </row>
    <row r="623">
      <c r="A623" s="225"/>
      <c r="B623" s="225"/>
      <c r="C623" s="225"/>
      <c r="D623" s="225"/>
      <c r="E623" s="225"/>
      <c r="F623" s="225"/>
      <c r="G623" s="225"/>
      <c r="H623" s="225"/>
      <c r="I623" s="225"/>
      <c r="J623" s="225"/>
      <c r="K623" s="225"/>
      <c r="L623" s="225"/>
      <c r="M623" s="225"/>
      <c r="N623" s="225"/>
      <c r="O623" s="225"/>
      <c r="P623" s="225"/>
      <c r="Q623" s="225"/>
      <c r="R623" s="225"/>
      <c r="S623" s="225"/>
      <c r="T623" s="225"/>
      <c r="U623" s="225"/>
      <c r="V623" s="225"/>
      <c r="W623" s="225"/>
      <c r="X623" s="225"/>
      <c r="Y623" s="225"/>
      <c r="Z623" s="225"/>
    </row>
    <row r="624">
      <c r="A624" s="225"/>
      <c r="B624" s="225"/>
      <c r="C624" s="225"/>
      <c r="D624" s="225"/>
      <c r="E624" s="225"/>
      <c r="F624" s="225"/>
      <c r="G624" s="225"/>
      <c r="H624" s="225"/>
      <c r="I624" s="225"/>
      <c r="J624" s="225"/>
      <c r="K624" s="225"/>
      <c r="L624" s="225"/>
      <c r="M624" s="225"/>
      <c r="N624" s="225"/>
      <c r="O624" s="225"/>
      <c r="P624" s="225"/>
      <c r="Q624" s="225"/>
      <c r="R624" s="225"/>
      <c r="S624" s="225"/>
      <c r="T624" s="225"/>
      <c r="U624" s="225"/>
      <c r="V624" s="225"/>
      <c r="W624" s="225"/>
      <c r="X624" s="225"/>
      <c r="Y624" s="225"/>
      <c r="Z624" s="225"/>
    </row>
    <row r="625">
      <c r="A625" s="225"/>
      <c r="B625" s="225"/>
      <c r="C625" s="225"/>
      <c r="D625" s="225"/>
      <c r="E625" s="225"/>
      <c r="F625" s="225"/>
      <c r="G625" s="225"/>
      <c r="H625" s="225"/>
      <c r="I625" s="225"/>
      <c r="J625" s="225"/>
      <c r="K625" s="225"/>
      <c r="L625" s="225"/>
      <c r="M625" s="225"/>
      <c r="N625" s="225"/>
      <c r="O625" s="225"/>
      <c r="P625" s="225"/>
      <c r="Q625" s="225"/>
      <c r="R625" s="225"/>
      <c r="S625" s="225"/>
      <c r="T625" s="225"/>
      <c r="U625" s="225"/>
      <c r="V625" s="225"/>
      <c r="W625" s="225"/>
      <c r="X625" s="225"/>
      <c r="Y625" s="225"/>
      <c r="Z625" s="225"/>
    </row>
    <row r="626">
      <c r="A626" s="225"/>
      <c r="B626" s="225"/>
      <c r="C626" s="225"/>
      <c r="D626" s="225"/>
      <c r="E626" s="225"/>
      <c r="F626" s="225"/>
      <c r="G626" s="225"/>
      <c r="H626" s="225"/>
      <c r="I626" s="225"/>
      <c r="J626" s="225"/>
      <c r="K626" s="225"/>
      <c r="L626" s="225"/>
      <c r="M626" s="225"/>
      <c r="N626" s="225"/>
      <c r="O626" s="225"/>
      <c r="P626" s="225"/>
      <c r="Q626" s="225"/>
      <c r="R626" s="225"/>
      <c r="S626" s="225"/>
      <c r="T626" s="225"/>
      <c r="U626" s="225"/>
      <c r="V626" s="225"/>
      <c r="W626" s="225"/>
      <c r="X626" s="225"/>
      <c r="Y626" s="225"/>
      <c r="Z626" s="225"/>
    </row>
    <row r="627">
      <c r="A627" s="225"/>
      <c r="B627" s="225"/>
      <c r="C627" s="225"/>
      <c r="D627" s="225"/>
      <c r="E627" s="225"/>
      <c r="F627" s="225"/>
      <c r="G627" s="225"/>
      <c r="H627" s="225"/>
      <c r="I627" s="225"/>
      <c r="J627" s="225"/>
      <c r="K627" s="225"/>
      <c r="L627" s="225"/>
      <c r="M627" s="225"/>
      <c r="N627" s="225"/>
      <c r="O627" s="225"/>
      <c r="P627" s="225"/>
      <c r="Q627" s="225"/>
      <c r="R627" s="225"/>
      <c r="S627" s="225"/>
      <c r="T627" s="225"/>
      <c r="U627" s="225"/>
      <c r="V627" s="225"/>
      <c r="W627" s="225"/>
      <c r="X627" s="225"/>
      <c r="Y627" s="225"/>
      <c r="Z627" s="225"/>
    </row>
    <row r="628">
      <c r="A628" s="225"/>
      <c r="B628" s="225"/>
      <c r="C628" s="225"/>
      <c r="D628" s="225"/>
      <c r="E628" s="225"/>
      <c r="F628" s="225"/>
      <c r="G628" s="225"/>
      <c r="H628" s="225"/>
      <c r="I628" s="225"/>
      <c r="J628" s="225"/>
      <c r="K628" s="225"/>
      <c r="L628" s="225"/>
      <c r="M628" s="225"/>
      <c r="N628" s="225"/>
      <c r="O628" s="225"/>
      <c r="P628" s="225"/>
      <c r="Q628" s="225"/>
      <c r="R628" s="225"/>
      <c r="S628" s="225"/>
      <c r="T628" s="225"/>
      <c r="U628" s="225"/>
      <c r="V628" s="225"/>
      <c r="W628" s="225"/>
      <c r="X628" s="225"/>
      <c r="Y628" s="225"/>
      <c r="Z628" s="225"/>
    </row>
    <row r="629">
      <c r="A629" s="225"/>
      <c r="B629" s="225"/>
      <c r="C629" s="225"/>
      <c r="D629" s="225"/>
      <c r="E629" s="225"/>
      <c r="F629" s="225"/>
      <c r="G629" s="225"/>
      <c r="H629" s="225"/>
      <c r="I629" s="225"/>
      <c r="J629" s="225"/>
      <c r="K629" s="225"/>
      <c r="L629" s="225"/>
      <c r="M629" s="225"/>
      <c r="N629" s="225"/>
      <c r="O629" s="225"/>
      <c r="P629" s="225"/>
      <c r="Q629" s="225"/>
      <c r="R629" s="225"/>
      <c r="S629" s="225"/>
      <c r="T629" s="225"/>
      <c r="U629" s="225"/>
      <c r="V629" s="225"/>
      <c r="W629" s="225"/>
      <c r="X629" s="225"/>
      <c r="Y629" s="225"/>
      <c r="Z629" s="225"/>
    </row>
    <row r="630">
      <c r="A630" s="225"/>
      <c r="B630" s="225"/>
      <c r="C630" s="225"/>
      <c r="D630" s="225"/>
      <c r="E630" s="225"/>
      <c r="F630" s="225"/>
      <c r="G630" s="225"/>
      <c r="H630" s="225"/>
      <c r="I630" s="225"/>
      <c r="J630" s="225"/>
      <c r="K630" s="225"/>
      <c r="L630" s="225"/>
      <c r="M630" s="225"/>
      <c r="N630" s="225"/>
      <c r="O630" s="225"/>
      <c r="P630" s="225"/>
      <c r="Q630" s="225"/>
      <c r="R630" s="225"/>
      <c r="S630" s="225"/>
      <c r="T630" s="225"/>
      <c r="U630" s="225"/>
      <c r="V630" s="225"/>
      <c r="W630" s="225"/>
      <c r="X630" s="225"/>
      <c r="Y630" s="225"/>
      <c r="Z630" s="225"/>
    </row>
    <row r="631">
      <c r="A631" s="225"/>
      <c r="B631" s="225"/>
      <c r="C631" s="225"/>
      <c r="D631" s="225"/>
      <c r="E631" s="225"/>
      <c r="F631" s="225"/>
      <c r="G631" s="225"/>
      <c r="H631" s="225"/>
      <c r="I631" s="225"/>
      <c r="J631" s="225"/>
      <c r="K631" s="225"/>
      <c r="L631" s="225"/>
      <c r="M631" s="225"/>
      <c r="N631" s="225"/>
      <c r="O631" s="225"/>
      <c r="P631" s="225"/>
      <c r="Q631" s="225"/>
      <c r="R631" s="225"/>
      <c r="S631" s="225"/>
      <c r="T631" s="225"/>
      <c r="U631" s="225"/>
      <c r="V631" s="225"/>
      <c r="W631" s="225"/>
      <c r="X631" s="225"/>
      <c r="Y631" s="225"/>
      <c r="Z631" s="225"/>
    </row>
    <row r="632">
      <c r="A632" s="225"/>
      <c r="B632" s="225"/>
      <c r="C632" s="225"/>
      <c r="D632" s="225"/>
      <c r="E632" s="225"/>
      <c r="F632" s="225"/>
      <c r="G632" s="225"/>
      <c r="H632" s="225"/>
      <c r="I632" s="225"/>
      <c r="J632" s="225"/>
      <c r="K632" s="225"/>
      <c r="L632" s="225"/>
      <c r="M632" s="225"/>
      <c r="N632" s="225"/>
      <c r="O632" s="225"/>
      <c r="P632" s="225"/>
      <c r="Q632" s="225"/>
      <c r="R632" s="225"/>
      <c r="S632" s="225"/>
      <c r="T632" s="225"/>
      <c r="U632" s="225"/>
      <c r="V632" s="225"/>
      <c r="W632" s="225"/>
      <c r="X632" s="225"/>
      <c r="Y632" s="225"/>
      <c r="Z632" s="225"/>
    </row>
    <row r="633">
      <c r="A633" s="225"/>
      <c r="B633" s="225"/>
      <c r="C633" s="225"/>
      <c r="D633" s="225"/>
      <c r="E633" s="225"/>
      <c r="F633" s="225"/>
      <c r="G633" s="225"/>
      <c r="H633" s="225"/>
      <c r="I633" s="225"/>
      <c r="J633" s="225"/>
      <c r="K633" s="225"/>
      <c r="L633" s="225"/>
      <c r="M633" s="225"/>
      <c r="N633" s="225"/>
      <c r="O633" s="225"/>
      <c r="P633" s="225"/>
      <c r="Q633" s="225"/>
      <c r="R633" s="225"/>
      <c r="S633" s="225"/>
      <c r="T633" s="225"/>
      <c r="U633" s="225"/>
      <c r="V633" s="225"/>
      <c r="W633" s="225"/>
      <c r="X633" s="225"/>
      <c r="Y633" s="225"/>
      <c r="Z633" s="225"/>
    </row>
    <row r="634">
      <c r="A634" s="225"/>
      <c r="B634" s="225"/>
      <c r="C634" s="225"/>
      <c r="D634" s="225"/>
      <c r="E634" s="225"/>
      <c r="F634" s="225"/>
      <c r="G634" s="225"/>
      <c r="H634" s="225"/>
      <c r="I634" s="225"/>
      <c r="J634" s="225"/>
      <c r="K634" s="225"/>
      <c r="L634" s="225"/>
      <c r="M634" s="225"/>
      <c r="N634" s="225"/>
      <c r="O634" s="225"/>
      <c r="P634" s="225"/>
      <c r="Q634" s="225"/>
      <c r="R634" s="225"/>
      <c r="S634" s="225"/>
      <c r="T634" s="225"/>
      <c r="U634" s="225"/>
      <c r="V634" s="225"/>
      <c r="W634" s="225"/>
      <c r="X634" s="225"/>
      <c r="Y634" s="225"/>
      <c r="Z634" s="225"/>
    </row>
    <row r="635">
      <c r="A635" s="225"/>
      <c r="B635" s="225"/>
      <c r="C635" s="225"/>
      <c r="D635" s="225"/>
      <c r="E635" s="225"/>
      <c r="F635" s="225"/>
      <c r="G635" s="225"/>
      <c r="H635" s="225"/>
      <c r="I635" s="225"/>
      <c r="J635" s="225"/>
      <c r="K635" s="225"/>
      <c r="L635" s="225"/>
      <c r="M635" s="225"/>
      <c r="N635" s="225"/>
      <c r="O635" s="225"/>
      <c r="P635" s="225"/>
      <c r="Q635" s="225"/>
      <c r="R635" s="225"/>
      <c r="S635" s="225"/>
      <c r="T635" s="225"/>
      <c r="U635" s="225"/>
      <c r="V635" s="225"/>
      <c r="W635" s="225"/>
      <c r="X635" s="225"/>
      <c r="Y635" s="225"/>
      <c r="Z635" s="225"/>
    </row>
    <row r="636">
      <c r="A636" s="225"/>
      <c r="B636" s="225"/>
      <c r="C636" s="225"/>
      <c r="D636" s="225"/>
      <c r="E636" s="225"/>
      <c r="F636" s="225"/>
      <c r="G636" s="225"/>
      <c r="H636" s="225"/>
      <c r="I636" s="225"/>
      <c r="J636" s="225"/>
      <c r="K636" s="225"/>
      <c r="L636" s="225"/>
      <c r="M636" s="225"/>
      <c r="N636" s="225"/>
      <c r="O636" s="225"/>
      <c r="P636" s="225"/>
      <c r="Q636" s="225"/>
      <c r="R636" s="225"/>
      <c r="S636" s="225"/>
      <c r="T636" s="225"/>
      <c r="U636" s="225"/>
      <c r="V636" s="225"/>
      <c r="W636" s="225"/>
      <c r="X636" s="225"/>
      <c r="Y636" s="225"/>
      <c r="Z636" s="225"/>
    </row>
    <row r="637">
      <c r="A637" s="225"/>
      <c r="B637" s="225"/>
      <c r="C637" s="225"/>
      <c r="D637" s="225"/>
      <c r="E637" s="225"/>
      <c r="F637" s="225"/>
      <c r="G637" s="225"/>
      <c r="H637" s="225"/>
      <c r="I637" s="225"/>
      <c r="J637" s="225"/>
      <c r="K637" s="225"/>
      <c r="L637" s="225"/>
      <c r="M637" s="225"/>
      <c r="N637" s="225"/>
      <c r="O637" s="225"/>
      <c r="P637" s="225"/>
      <c r="Q637" s="225"/>
      <c r="R637" s="225"/>
      <c r="S637" s="225"/>
      <c r="T637" s="225"/>
      <c r="U637" s="225"/>
      <c r="V637" s="225"/>
      <c r="W637" s="225"/>
      <c r="X637" s="225"/>
      <c r="Y637" s="225"/>
      <c r="Z637" s="225"/>
    </row>
    <row r="638">
      <c r="A638" s="225"/>
      <c r="B638" s="225"/>
      <c r="C638" s="225"/>
      <c r="D638" s="225"/>
      <c r="E638" s="225"/>
      <c r="F638" s="225"/>
      <c r="G638" s="225"/>
      <c r="H638" s="225"/>
      <c r="I638" s="225"/>
      <c r="J638" s="225"/>
      <c r="K638" s="225"/>
      <c r="L638" s="225"/>
      <c r="M638" s="225"/>
      <c r="N638" s="225"/>
      <c r="O638" s="225"/>
      <c r="P638" s="225"/>
      <c r="Q638" s="225"/>
      <c r="R638" s="225"/>
      <c r="S638" s="225"/>
      <c r="T638" s="225"/>
      <c r="U638" s="225"/>
      <c r="V638" s="225"/>
      <c r="W638" s="225"/>
      <c r="X638" s="225"/>
      <c r="Y638" s="225"/>
      <c r="Z638" s="225"/>
    </row>
    <row r="639">
      <c r="A639" s="225"/>
      <c r="B639" s="225"/>
      <c r="C639" s="225"/>
      <c r="D639" s="225"/>
      <c r="E639" s="225"/>
      <c r="F639" s="225"/>
      <c r="G639" s="225"/>
      <c r="H639" s="225"/>
      <c r="I639" s="225"/>
      <c r="J639" s="225"/>
      <c r="K639" s="225"/>
      <c r="L639" s="225"/>
      <c r="M639" s="225"/>
      <c r="N639" s="225"/>
      <c r="O639" s="225"/>
      <c r="P639" s="225"/>
      <c r="Q639" s="225"/>
      <c r="R639" s="225"/>
      <c r="S639" s="225"/>
      <c r="T639" s="225"/>
      <c r="U639" s="225"/>
      <c r="V639" s="225"/>
      <c r="W639" s="225"/>
      <c r="X639" s="225"/>
      <c r="Y639" s="225"/>
      <c r="Z639" s="225"/>
    </row>
    <row r="640">
      <c r="A640" s="225"/>
      <c r="B640" s="225"/>
      <c r="C640" s="225"/>
      <c r="D640" s="225"/>
      <c r="E640" s="225"/>
      <c r="F640" s="225"/>
      <c r="G640" s="225"/>
      <c r="H640" s="225"/>
      <c r="I640" s="225"/>
      <c r="J640" s="225"/>
      <c r="K640" s="225"/>
      <c r="L640" s="225"/>
      <c r="M640" s="225"/>
      <c r="N640" s="225"/>
      <c r="O640" s="225"/>
      <c r="P640" s="225"/>
      <c r="Q640" s="225"/>
      <c r="R640" s="225"/>
      <c r="S640" s="225"/>
      <c r="T640" s="225"/>
      <c r="U640" s="225"/>
      <c r="V640" s="225"/>
      <c r="W640" s="225"/>
      <c r="X640" s="225"/>
      <c r="Y640" s="225"/>
      <c r="Z640" s="225"/>
    </row>
    <row r="641">
      <c r="A641" s="225"/>
      <c r="B641" s="225"/>
      <c r="C641" s="225"/>
      <c r="D641" s="225"/>
      <c r="E641" s="225"/>
      <c r="F641" s="225"/>
      <c r="G641" s="225"/>
      <c r="H641" s="225"/>
      <c r="I641" s="225"/>
      <c r="J641" s="225"/>
      <c r="K641" s="225"/>
      <c r="L641" s="225"/>
      <c r="M641" s="225"/>
      <c r="N641" s="225"/>
      <c r="O641" s="225"/>
      <c r="P641" s="225"/>
      <c r="Q641" s="225"/>
      <c r="R641" s="225"/>
      <c r="S641" s="225"/>
      <c r="T641" s="225"/>
      <c r="U641" s="225"/>
      <c r="V641" s="225"/>
      <c r="W641" s="225"/>
      <c r="X641" s="225"/>
      <c r="Y641" s="225"/>
      <c r="Z641" s="225"/>
    </row>
    <row r="642">
      <c r="A642" s="225"/>
      <c r="B642" s="225"/>
      <c r="C642" s="225"/>
      <c r="D642" s="225"/>
      <c r="E642" s="225"/>
      <c r="F642" s="225"/>
      <c r="G642" s="225"/>
      <c r="H642" s="225"/>
      <c r="I642" s="225"/>
      <c r="J642" s="225"/>
      <c r="K642" s="225"/>
      <c r="L642" s="225"/>
      <c r="M642" s="225"/>
      <c r="N642" s="225"/>
      <c r="O642" s="225"/>
      <c r="P642" s="225"/>
      <c r="Q642" s="225"/>
      <c r="R642" s="225"/>
      <c r="S642" s="225"/>
      <c r="T642" s="225"/>
      <c r="U642" s="225"/>
      <c r="V642" s="225"/>
      <c r="W642" s="225"/>
      <c r="X642" s="225"/>
      <c r="Y642" s="225"/>
      <c r="Z642" s="225"/>
    </row>
    <row r="643">
      <c r="A643" s="225"/>
      <c r="B643" s="225"/>
      <c r="C643" s="225"/>
      <c r="D643" s="225"/>
      <c r="E643" s="225"/>
      <c r="F643" s="225"/>
      <c r="G643" s="225"/>
      <c r="H643" s="225"/>
      <c r="I643" s="225"/>
      <c r="J643" s="225"/>
      <c r="K643" s="225"/>
      <c r="L643" s="225"/>
      <c r="M643" s="225"/>
      <c r="N643" s="225"/>
      <c r="O643" s="225"/>
      <c r="P643" s="225"/>
      <c r="Q643" s="225"/>
      <c r="R643" s="225"/>
      <c r="S643" s="225"/>
      <c r="T643" s="225"/>
      <c r="U643" s="225"/>
      <c r="V643" s="225"/>
      <c r="W643" s="225"/>
      <c r="X643" s="225"/>
      <c r="Y643" s="225"/>
      <c r="Z643" s="225"/>
    </row>
    <row r="644">
      <c r="A644" s="225"/>
      <c r="B644" s="225"/>
      <c r="C644" s="225"/>
      <c r="D644" s="225"/>
      <c r="E644" s="225"/>
      <c r="F644" s="225"/>
      <c r="G644" s="225"/>
      <c r="H644" s="225"/>
      <c r="I644" s="225"/>
      <c r="J644" s="225"/>
      <c r="K644" s="225"/>
      <c r="L644" s="225"/>
      <c r="M644" s="225"/>
      <c r="N644" s="225"/>
      <c r="O644" s="225"/>
      <c r="P644" s="225"/>
      <c r="Q644" s="225"/>
      <c r="R644" s="225"/>
      <c r="S644" s="225"/>
      <c r="T644" s="225"/>
      <c r="U644" s="225"/>
      <c r="V644" s="225"/>
      <c r="W644" s="225"/>
      <c r="X644" s="225"/>
      <c r="Y644" s="225"/>
      <c r="Z644" s="225"/>
    </row>
    <row r="645">
      <c r="A645" s="225"/>
      <c r="B645" s="225"/>
      <c r="C645" s="225"/>
      <c r="D645" s="225"/>
      <c r="E645" s="225"/>
      <c r="F645" s="225"/>
      <c r="G645" s="225"/>
      <c r="H645" s="225"/>
      <c r="I645" s="225"/>
      <c r="J645" s="225"/>
      <c r="K645" s="225"/>
      <c r="L645" s="225"/>
      <c r="M645" s="225"/>
      <c r="N645" s="225"/>
      <c r="O645" s="225"/>
      <c r="P645" s="225"/>
      <c r="Q645" s="225"/>
      <c r="R645" s="225"/>
      <c r="S645" s="225"/>
      <c r="T645" s="225"/>
      <c r="U645" s="225"/>
      <c r="V645" s="225"/>
      <c r="W645" s="225"/>
      <c r="X645" s="225"/>
      <c r="Y645" s="225"/>
      <c r="Z645" s="225"/>
    </row>
    <row r="646">
      <c r="A646" s="225"/>
      <c r="B646" s="225"/>
      <c r="C646" s="225"/>
      <c r="D646" s="225"/>
      <c r="E646" s="225"/>
      <c r="F646" s="225"/>
      <c r="G646" s="225"/>
      <c r="H646" s="225"/>
      <c r="I646" s="225"/>
      <c r="J646" s="225"/>
      <c r="K646" s="225"/>
      <c r="L646" s="225"/>
      <c r="M646" s="225"/>
      <c r="N646" s="225"/>
      <c r="O646" s="225"/>
      <c r="P646" s="225"/>
      <c r="Q646" s="225"/>
      <c r="R646" s="225"/>
      <c r="S646" s="225"/>
      <c r="T646" s="225"/>
      <c r="U646" s="225"/>
      <c r="V646" s="225"/>
      <c r="W646" s="225"/>
      <c r="X646" s="225"/>
      <c r="Y646" s="225"/>
      <c r="Z646" s="225"/>
    </row>
    <row r="647">
      <c r="A647" s="225"/>
      <c r="B647" s="225"/>
      <c r="C647" s="225"/>
      <c r="D647" s="225"/>
      <c r="E647" s="225"/>
      <c r="F647" s="225"/>
      <c r="G647" s="225"/>
      <c r="H647" s="225"/>
      <c r="I647" s="225"/>
      <c r="J647" s="225"/>
      <c r="K647" s="225"/>
      <c r="L647" s="225"/>
      <c r="M647" s="225"/>
      <c r="N647" s="225"/>
      <c r="O647" s="225"/>
      <c r="P647" s="225"/>
      <c r="Q647" s="225"/>
      <c r="R647" s="225"/>
      <c r="S647" s="225"/>
      <c r="T647" s="225"/>
      <c r="U647" s="225"/>
      <c r="V647" s="225"/>
      <c r="W647" s="225"/>
      <c r="X647" s="225"/>
      <c r="Y647" s="225"/>
      <c r="Z647" s="225"/>
    </row>
    <row r="648">
      <c r="A648" s="225"/>
      <c r="B648" s="225"/>
      <c r="C648" s="225"/>
      <c r="D648" s="225"/>
      <c r="E648" s="225"/>
      <c r="F648" s="225"/>
      <c r="G648" s="225"/>
      <c r="H648" s="225"/>
      <c r="I648" s="225"/>
      <c r="J648" s="225"/>
      <c r="K648" s="225"/>
      <c r="L648" s="225"/>
      <c r="M648" s="225"/>
      <c r="N648" s="225"/>
      <c r="O648" s="225"/>
      <c r="P648" s="225"/>
      <c r="Q648" s="225"/>
      <c r="R648" s="225"/>
      <c r="S648" s="225"/>
      <c r="T648" s="225"/>
      <c r="U648" s="225"/>
      <c r="V648" s="225"/>
      <c r="W648" s="225"/>
      <c r="X648" s="225"/>
      <c r="Y648" s="225"/>
      <c r="Z648" s="225"/>
    </row>
    <row r="649">
      <c r="A649" s="225"/>
      <c r="B649" s="225"/>
      <c r="C649" s="225"/>
      <c r="D649" s="225"/>
      <c r="E649" s="225"/>
      <c r="F649" s="225"/>
      <c r="G649" s="225"/>
      <c r="H649" s="225"/>
      <c r="I649" s="225"/>
      <c r="J649" s="225"/>
      <c r="K649" s="225"/>
      <c r="L649" s="225"/>
      <c r="M649" s="225"/>
      <c r="N649" s="225"/>
      <c r="O649" s="225"/>
      <c r="P649" s="225"/>
      <c r="Q649" s="225"/>
      <c r="R649" s="225"/>
      <c r="S649" s="225"/>
      <c r="T649" s="225"/>
      <c r="U649" s="225"/>
      <c r="V649" s="225"/>
      <c r="W649" s="225"/>
      <c r="X649" s="225"/>
      <c r="Y649" s="225"/>
      <c r="Z649" s="225"/>
    </row>
    <row r="650">
      <c r="A650" s="225"/>
      <c r="B650" s="225"/>
      <c r="C650" s="225"/>
      <c r="D650" s="225"/>
      <c r="E650" s="225"/>
      <c r="F650" s="225"/>
      <c r="G650" s="225"/>
      <c r="H650" s="225"/>
      <c r="I650" s="225"/>
      <c r="J650" s="225"/>
      <c r="K650" s="225"/>
      <c r="L650" s="225"/>
      <c r="M650" s="225"/>
      <c r="N650" s="225"/>
      <c r="O650" s="225"/>
      <c r="P650" s="225"/>
      <c r="Q650" s="225"/>
      <c r="R650" s="225"/>
      <c r="S650" s="225"/>
      <c r="T650" s="225"/>
      <c r="U650" s="225"/>
      <c r="V650" s="225"/>
      <c r="W650" s="225"/>
      <c r="X650" s="225"/>
      <c r="Y650" s="225"/>
      <c r="Z650" s="225"/>
    </row>
    <row r="651">
      <c r="A651" s="225"/>
      <c r="B651" s="225"/>
      <c r="C651" s="225"/>
      <c r="D651" s="225"/>
      <c r="E651" s="225"/>
      <c r="F651" s="225"/>
      <c r="G651" s="225"/>
      <c r="H651" s="225"/>
      <c r="I651" s="225"/>
      <c r="J651" s="225"/>
      <c r="K651" s="225"/>
      <c r="L651" s="225"/>
      <c r="M651" s="225"/>
      <c r="N651" s="225"/>
      <c r="O651" s="225"/>
      <c r="P651" s="225"/>
      <c r="Q651" s="225"/>
      <c r="R651" s="225"/>
      <c r="S651" s="225"/>
      <c r="T651" s="225"/>
      <c r="U651" s="225"/>
      <c r="V651" s="225"/>
      <c r="W651" s="225"/>
      <c r="X651" s="225"/>
      <c r="Y651" s="225"/>
      <c r="Z651" s="225"/>
    </row>
    <row r="652">
      <c r="A652" s="225"/>
      <c r="B652" s="225"/>
      <c r="C652" s="225"/>
      <c r="D652" s="225"/>
      <c r="E652" s="225"/>
      <c r="F652" s="225"/>
      <c r="G652" s="225"/>
      <c r="H652" s="225"/>
      <c r="I652" s="225"/>
      <c r="J652" s="225"/>
      <c r="K652" s="225"/>
      <c r="L652" s="225"/>
      <c r="M652" s="225"/>
      <c r="N652" s="225"/>
      <c r="O652" s="225"/>
      <c r="P652" s="225"/>
      <c r="Q652" s="225"/>
      <c r="R652" s="225"/>
      <c r="S652" s="225"/>
      <c r="T652" s="225"/>
      <c r="U652" s="225"/>
      <c r="V652" s="225"/>
      <c r="W652" s="225"/>
      <c r="X652" s="225"/>
      <c r="Y652" s="225"/>
      <c r="Z652" s="225"/>
    </row>
    <row r="653">
      <c r="A653" s="225"/>
      <c r="B653" s="225"/>
      <c r="C653" s="225"/>
      <c r="D653" s="225"/>
      <c r="E653" s="225"/>
      <c r="F653" s="225"/>
      <c r="G653" s="225"/>
      <c r="H653" s="225"/>
      <c r="I653" s="225"/>
      <c r="J653" s="225"/>
      <c r="K653" s="225"/>
      <c r="L653" s="225"/>
      <c r="M653" s="225"/>
      <c r="N653" s="225"/>
      <c r="O653" s="225"/>
      <c r="P653" s="225"/>
      <c r="Q653" s="225"/>
      <c r="R653" s="225"/>
      <c r="S653" s="225"/>
      <c r="T653" s="225"/>
      <c r="U653" s="225"/>
      <c r="V653" s="225"/>
      <c r="W653" s="225"/>
      <c r="X653" s="225"/>
      <c r="Y653" s="225"/>
      <c r="Z653" s="225"/>
    </row>
    <row r="654">
      <c r="A654" s="225"/>
      <c r="B654" s="225"/>
      <c r="C654" s="225"/>
      <c r="D654" s="225"/>
      <c r="E654" s="225"/>
      <c r="F654" s="225"/>
      <c r="G654" s="225"/>
      <c r="H654" s="225"/>
      <c r="I654" s="225"/>
      <c r="J654" s="225"/>
      <c r="K654" s="225"/>
      <c r="L654" s="225"/>
      <c r="M654" s="225"/>
      <c r="N654" s="225"/>
      <c r="O654" s="225"/>
      <c r="P654" s="225"/>
      <c r="Q654" s="225"/>
      <c r="R654" s="225"/>
      <c r="S654" s="225"/>
      <c r="T654" s="225"/>
      <c r="U654" s="225"/>
      <c r="V654" s="225"/>
      <c r="W654" s="225"/>
      <c r="X654" s="225"/>
      <c r="Y654" s="225"/>
      <c r="Z654" s="225"/>
    </row>
    <row r="655">
      <c r="A655" s="225"/>
      <c r="B655" s="225"/>
      <c r="C655" s="225"/>
      <c r="D655" s="225"/>
      <c r="E655" s="225"/>
      <c r="F655" s="225"/>
      <c r="G655" s="225"/>
      <c r="H655" s="225"/>
      <c r="I655" s="225"/>
      <c r="J655" s="225"/>
      <c r="K655" s="225"/>
      <c r="L655" s="225"/>
      <c r="M655" s="225"/>
      <c r="N655" s="225"/>
      <c r="O655" s="225"/>
      <c r="P655" s="225"/>
      <c r="Q655" s="225"/>
      <c r="R655" s="225"/>
      <c r="S655" s="225"/>
      <c r="T655" s="225"/>
      <c r="U655" s="225"/>
      <c r="V655" s="225"/>
      <c r="W655" s="225"/>
      <c r="X655" s="225"/>
      <c r="Y655" s="225"/>
      <c r="Z655" s="225"/>
    </row>
    <row r="656">
      <c r="A656" s="225"/>
      <c r="B656" s="225"/>
      <c r="C656" s="225"/>
      <c r="D656" s="225"/>
      <c r="E656" s="225"/>
      <c r="F656" s="225"/>
      <c r="G656" s="225"/>
      <c r="H656" s="225"/>
      <c r="I656" s="225"/>
      <c r="J656" s="225"/>
      <c r="K656" s="225"/>
      <c r="L656" s="225"/>
      <c r="M656" s="225"/>
      <c r="N656" s="225"/>
      <c r="O656" s="225"/>
      <c r="P656" s="225"/>
      <c r="Q656" s="225"/>
      <c r="R656" s="225"/>
      <c r="S656" s="225"/>
      <c r="T656" s="225"/>
      <c r="U656" s="225"/>
      <c r="V656" s="225"/>
      <c r="W656" s="225"/>
      <c r="X656" s="225"/>
      <c r="Y656" s="225"/>
      <c r="Z656" s="225"/>
    </row>
    <row r="657">
      <c r="A657" s="225"/>
      <c r="B657" s="225"/>
      <c r="C657" s="225"/>
      <c r="D657" s="225"/>
      <c r="E657" s="225"/>
      <c r="F657" s="225"/>
      <c r="G657" s="225"/>
      <c r="H657" s="225"/>
      <c r="I657" s="225"/>
      <c r="J657" s="225"/>
      <c r="K657" s="225"/>
      <c r="L657" s="225"/>
      <c r="M657" s="225"/>
      <c r="N657" s="225"/>
      <c r="O657" s="225"/>
      <c r="P657" s="225"/>
      <c r="Q657" s="225"/>
      <c r="R657" s="225"/>
      <c r="S657" s="225"/>
      <c r="T657" s="225"/>
      <c r="U657" s="225"/>
      <c r="V657" s="225"/>
      <c r="W657" s="225"/>
      <c r="X657" s="225"/>
      <c r="Y657" s="225"/>
      <c r="Z657" s="225"/>
    </row>
    <row r="658">
      <c r="A658" s="225"/>
      <c r="B658" s="225"/>
      <c r="C658" s="225"/>
      <c r="D658" s="225"/>
      <c r="E658" s="225"/>
      <c r="F658" s="225"/>
      <c r="G658" s="225"/>
      <c r="H658" s="225"/>
      <c r="I658" s="225"/>
      <c r="J658" s="225"/>
      <c r="K658" s="225"/>
      <c r="L658" s="225"/>
      <c r="M658" s="225"/>
      <c r="N658" s="225"/>
      <c r="O658" s="225"/>
      <c r="P658" s="225"/>
      <c r="Q658" s="225"/>
      <c r="R658" s="225"/>
      <c r="S658" s="225"/>
      <c r="T658" s="225"/>
      <c r="U658" s="225"/>
      <c r="V658" s="225"/>
      <c r="W658" s="225"/>
      <c r="X658" s="225"/>
      <c r="Y658" s="225"/>
      <c r="Z658" s="225"/>
    </row>
    <row r="659">
      <c r="A659" s="225"/>
      <c r="B659" s="225"/>
      <c r="C659" s="225"/>
      <c r="D659" s="225"/>
      <c r="E659" s="225"/>
      <c r="F659" s="225"/>
      <c r="G659" s="225"/>
      <c r="H659" s="225"/>
      <c r="I659" s="225"/>
      <c r="J659" s="225"/>
      <c r="K659" s="225"/>
      <c r="L659" s="225"/>
      <c r="M659" s="225"/>
      <c r="N659" s="225"/>
      <c r="O659" s="225"/>
      <c r="P659" s="225"/>
      <c r="Q659" s="225"/>
      <c r="R659" s="225"/>
      <c r="S659" s="225"/>
      <c r="T659" s="225"/>
      <c r="U659" s="225"/>
      <c r="V659" s="225"/>
      <c r="W659" s="225"/>
      <c r="X659" s="225"/>
      <c r="Y659" s="225"/>
      <c r="Z659" s="225"/>
    </row>
    <row r="660">
      <c r="A660" s="225"/>
      <c r="B660" s="225"/>
      <c r="C660" s="225"/>
      <c r="D660" s="225"/>
      <c r="E660" s="225"/>
      <c r="F660" s="225"/>
      <c r="G660" s="225"/>
      <c r="H660" s="225"/>
      <c r="I660" s="225"/>
      <c r="J660" s="225"/>
      <c r="K660" s="225"/>
      <c r="L660" s="225"/>
      <c r="M660" s="225"/>
      <c r="N660" s="225"/>
      <c r="O660" s="225"/>
      <c r="P660" s="225"/>
      <c r="Q660" s="225"/>
      <c r="R660" s="225"/>
      <c r="S660" s="225"/>
      <c r="T660" s="225"/>
      <c r="U660" s="225"/>
      <c r="V660" s="225"/>
      <c r="W660" s="225"/>
      <c r="X660" s="225"/>
      <c r="Y660" s="225"/>
      <c r="Z660" s="225"/>
    </row>
    <row r="661">
      <c r="A661" s="225"/>
      <c r="B661" s="225"/>
      <c r="C661" s="225"/>
      <c r="D661" s="225"/>
      <c r="E661" s="225"/>
      <c r="F661" s="225"/>
      <c r="G661" s="225"/>
      <c r="H661" s="225"/>
      <c r="I661" s="225"/>
      <c r="J661" s="225"/>
      <c r="K661" s="225"/>
      <c r="L661" s="225"/>
      <c r="M661" s="225"/>
      <c r="N661" s="225"/>
      <c r="O661" s="225"/>
      <c r="P661" s="225"/>
      <c r="Q661" s="225"/>
      <c r="R661" s="225"/>
      <c r="S661" s="225"/>
      <c r="T661" s="225"/>
      <c r="U661" s="225"/>
      <c r="V661" s="225"/>
      <c r="W661" s="225"/>
      <c r="X661" s="225"/>
      <c r="Y661" s="225"/>
      <c r="Z661" s="225"/>
    </row>
    <row r="662">
      <c r="A662" s="225"/>
      <c r="B662" s="225"/>
      <c r="C662" s="225"/>
      <c r="D662" s="225"/>
      <c r="E662" s="225"/>
      <c r="F662" s="225"/>
      <c r="G662" s="225"/>
      <c r="H662" s="225"/>
      <c r="I662" s="225"/>
      <c r="J662" s="225"/>
      <c r="K662" s="225"/>
      <c r="L662" s="225"/>
      <c r="M662" s="225"/>
      <c r="N662" s="225"/>
      <c r="O662" s="225"/>
      <c r="P662" s="225"/>
      <c r="Q662" s="225"/>
      <c r="R662" s="225"/>
      <c r="S662" s="225"/>
      <c r="T662" s="225"/>
      <c r="U662" s="225"/>
      <c r="V662" s="225"/>
      <c r="W662" s="225"/>
      <c r="X662" s="225"/>
      <c r="Y662" s="225"/>
      <c r="Z662" s="225"/>
    </row>
    <row r="663">
      <c r="A663" s="225"/>
      <c r="B663" s="225"/>
      <c r="C663" s="225"/>
      <c r="D663" s="225"/>
      <c r="E663" s="225"/>
      <c r="F663" s="225"/>
      <c r="G663" s="225"/>
      <c r="H663" s="225"/>
      <c r="I663" s="225"/>
      <c r="J663" s="225"/>
      <c r="K663" s="225"/>
      <c r="L663" s="225"/>
      <c r="M663" s="225"/>
      <c r="N663" s="225"/>
      <c r="O663" s="225"/>
      <c r="P663" s="225"/>
      <c r="Q663" s="225"/>
      <c r="R663" s="225"/>
      <c r="S663" s="225"/>
      <c r="T663" s="225"/>
      <c r="U663" s="225"/>
      <c r="V663" s="225"/>
      <c r="W663" s="225"/>
      <c r="X663" s="225"/>
      <c r="Y663" s="225"/>
      <c r="Z663" s="225"/>
    </row>
    <row r="664">
      <c r="A664" s="225"/>
      <c r="B664" s="225"/>
      <c r="C664" s="225"/>
      <c r="D664" s="225"/>
      <c r="E664" s="225"/>
      <c r="F664" s="225"/>
      <c r="G664" s="225"/>
      <c r="H664" s="225"/>
      <c r="I664" s="225"/>
      <c r="J664" s="225"/>
      <c r="K664" s="225"/>
      <c r="L664" s="225"/>
      <c r="M664" s="225"/>
      <c r="N664" s="225"/>
      <c r="O664" s="225"/>
      <c r="P664" s="225"/>
      <c r="Q664" s="225"/>
      <c r="R664" s="225"/>
      <c r="S664" s="225"/>
      <c r="T664" s="225"/>
      <c r="U664" s="225"/>
      <c r="V664" s="225"/>
      <c r="W664" s="225"/>
      <c r="X664" s="225"/>
      <c r="Y664" s="225"/>
      <c r="Z664" s="225"/>
    </row>
    <row r="665">
      <c r="A665" s="225"/>
      <c r="B665" s="225"/>
      <c r="C665" s="225"/>
      <c r="D665" s="225"/>
      <c r="E665" s="225"/>
      <c r="F665" s="225"/>
      <c r="G665" s="225"/>
      <c r="H665" s="225"/>
      <c r="I665" s="225"/>
      <c r="J665" s="225"/>
      <c r="K665" s="225"/>
      <c r="L665" s="225"/>
      <c r="M665" s="225"/>
      <c r="N665" s="225"/>
      <c r="O665" s="225"/>
      <c r="P665" s="225"/>
      <c r="Q665" s="225"/>
      <c r="R665" s="225"/>
      <c r="S665" s="225"/>
      <c r="T665" s="225"/>
      <c r="U665" s="225"/>
      <c r="V665" s="225"/>
      <c r="W665" s="225"/>
      <c r="X665" s="225"/>
      <c r="Y665" s="225"/>
      <c r="Z665" s="225"/>
    </row>
    <row r="666">
      <c r="A666" s="225"/>
      <c r="B666" s="225"/>
      <c r="C666" s="225"/>
      <c r="D666" s="225"/>
      <c r="E666" s="225"/>
      <c r="F666" s="225"/>
      <c r="G666" s="225"/>
      <c r="H666" s="225"/>
      <c r="I666" s="225"/>
      <c r="J666" s="225"/>
      <c r="K666" s="225"/>
      <c r="L666" s="225"/>
      <c r="M666" s="225"/>
      <c r="N666" s="225"/>
      <c r="O666" s="225"/>
      <c r="P666" s="225"/>
      <c r="Q666" s="225"/>
      <c r="R666" s="225"/>
      <c r="S666" s="225"/>
      <c r="T666" s="225"/>
      <c r="U666" s="225"/>
      <c r="V666" s="225"/>
      <c r="W666" s="225"/>
      <c r="X666" s="225"/>
      <c r="Y666" s="225"/>
      <c r="Z666" s="225"/>
    </row>
    <row r="667">
      <c r="A667" s="225"/>
      <c r="B667" s="225"/>
      <c r="C667" s="225"/>
      <c r="D667" s="225"/>
      <c r="E667" s="225"/>
      <c r="F667" s="225"/>
      <c r="G667" s="225"/>
      <c r="H667" s="225"/>
      <c r="I667" s="225"/>
      <c r="J667" s="225"/>
      <c r="K667" s="225"/>
      <c r="L667" s="225"/>
      <c r="M667" s="225"/>
      <c r="N667" s="225"/>
      <c r="O667" s="225"/>
      <c r="P667" s="225"/>
      <c r="Q667" s="225"/>
      <c r="R667" s="225"/>
      <c r="S667" s="225"/>
      <c r="T667" s="225"/>
      <c r="U667" s="225"/>
      <c r="V667" s="225"/>
      <c r="W667" s="225"/>
      <c r="X667" s="225"/>
      <c r="Y667" s="225"/>
      <c r="Z667" s="225"/>
    </row>
    <row r="668">
      <c r="A668" s="225"/>
      <c r="B668" s="225"/>
      <c r="C668" s="225"/>
      <c r="D668" s="225"/>
      <c r="E668" s="225"/>
      <c r="F668" s="225"/>
      <c r="G668" s="225"/>
      <c r="H668" s="225"/>
      <c r="I668" s="225"/>
      <c r="J668" s="225"/>
      <c r="K668" s="225"/>
      <c r="L668" s="225"/>
      <c r="M668" s="225"/>
      <c r="N668" s="225"/>
      <c r="O668" s="225"/>
      <c r="P668" s="225"/>
      <c r="Q668" s="225"/>
      <c r="R668" s="225"/>
      <c r="S668" s="225"/>
      <c r="T668" s="225"/>
      <c r="U668" s="225"/>
      <c r="V668" s="225"/>
      <c r="W668" s="225"/>
      <c r="X668" s="225"/>
      <c r="Y668" s="225"/>
      <c r="Z668" s="225"/>
    </row>
    <row r="669">
      <c r="A669" s="225"/>
      <c r="B669" s="225"/>
      <c r="C669" s="225"/>
      <c r="D669" s="225"/>
      <c r="E669" s="225"/>
      <c r="F669" s="225"/>
      <c r="G669" s="225"/>
      <c r="H669" s="225"/>
      <c r="I669" s="225"/>
      <c r="J669" s="225"/>
      <c r="K669" s="225"/>
      <c r="L669" s="225"/>
      <c r="M669" s="225"/>
      <c r="N669" s="225"/>
      <c r="O669" s="225"/>
      <c r="P669" s="225"/>
      <c r="Q669" s="225"/>
      <c r="R669" s="225"/>
      <c r="S669" s="225"/>
      <c r="T669" s="225"/>
      <c r="U669" s="225"/>
      <c r="V669" s="225"/>
      <c r="W669" s="225"/>
      <c r="X669" s="225"/>
      <c r="Y669" s="225"/>
      <c r="Z669" s="225"/>
    </row>
    <row r="670">
      <c r="A670" s="225"/>
      <c r="B670" s="225"/>
      <c r="C670" s="225"/>
      <c r="D670" s="225"/>
      <c r="E670" s="225"/>
      <c r="F670" s="225"/>
      <c r="G670" s="225"/>
      <c r="H670" s="225"/>
      <c r="I670" s="225"/>
      <c r="J670" s="225"/>
      <c r="K670" s="225"/>
      <c r="L670" s="225"/>
      <c r="M670" s="225"/>
      <c r="N670" s="225"/>
      <c r="O670" s="225"/>
      <c r="P670" s="225"/>
      <c r="Q670" s="225"/>
      <c r="R670" s="225"/>
      <c r="S670" s="225"/>
      <c r="T670" s="225"/>
      <c r="U670" s="225"/>
      <c r="V670" s="225"/>
      <c r="W670" s="225"/>
      <c r="X670" s="225"/>
      <c r="Y670" s="225"/>
      <c r="Z670" s="225"/>
    </row>
    <row r="671">
      <c r="A671" s="225"/>
      <c r="B671" s="225"/>
      <c r="C671" s="225"/>
      <c r="D671" s="225"/>
      <c r="E671" s="225"/>
      <c r="F671" s="225"/>
      <c r="G671" s="225"/>
      <c r="H671" s="225"/>
      <c r="I671" s="225"/>
      <c r="J671" s="225"/>
      <c r="K671" s="225"/>
      <c r="L671" s="225"/>
      <c r="M671" s="225"/>
      <c r="N671" s="225"/>
      <c r="O671" s="225"/>
      <c r="P671" s="225"/>
      <c r="Q671" s="225"/>
      <c r="R671" s="225"/>
      <c r="S671" s="225"/>
      <c r="T671" s="225"/>
      <c r="U671" s="225"/>
      <c r="V671" s="225"/>
      <c r="W671" s="225"/>
      <c r="X671" s="225"/>
      <c r="Y671" s="225"/>
      <c r="Z671" s="225"/>
    </row>
    <row r="672">
      <c r="A672" s="225"/>
      <c r="B672" s="225"/>
      <c r="C672" s="225"/>
      <c r="D672" s="225"/>
      <c r="E672" s="225"/>
      <c r="F672" s="225"/>
      <c r="G672" s="225"/>
      <c r="H672" s="225"/>
      <c r="I672" s="225"/>
      <c r="J672" s="225"/>
      <c r="K672" s="225"/>
      <c r="L672" s="225"/>
      <c r="M672" s="225"/>
      <c r="N672" s="225"/>
      <c r="O672" s="225"/>
      <c r="P672" s="225"/>
      <c r="Q672" s="225"/>
      <c r="R672" s="225"/>
      <c r="S672" s="225"/>
      <c r="T672" s="225"/>
      <c r="U672" s="225"/>
      <c r="V672" s="225"/>
      <c r="W672" s="225"/>
      <c r="X672" s="225"/>
      <c r="Y672" s="225"/>
      <c r="Z672" s="225"/>
    </row>
    <row r="673">
      <c r="A673" s="225"/>
      <c r="B673" s="225"/>
      <c r="C673" s="225"/>
      <c r="D673" s="225"/>
      <c r="E673" s="225"/>
      <c r="F673" s="225"/>
      <c r="G673" s="225"/>
      <c r="H673" s="225"/>
      <c r="I673" s="225"/>
      <c r="J673" s="225"/>
      <c r="K673" s="225"/>
      <c r="L673" s="225"/>
      <c r="M673" s="225"/>
      <c r="N673" s="225"/>
      <c r="O673" s="225"/>
      <c r="P673" s="225"/>
      <c r="Q673" s="225"/>
      <c r="R673" s="225"/>
      <c r="S673" s="225"/>
      <c r="T673" s="225"/>
      <c r="U673" s="225"/>
      <c r="V673" s="225"/>
      <c r="W673" s="225"/>
      <c r="X673" s="225"/>
      <c r="Y673" s="225"/>
      <c r="Z673" s="225"/>
    </row>
    <row r="674">
      <c r="A674" s="225"/>
      <c r="B674" s="225"/>
      <c r="C674" s="225"/>
      <c r="D674" s="225"/>
      <c r="E674" s="225"/>
      <c r="F674" s="225"/>
      <c r="G674" s="225"/>
      <c r="H674" s="225"/>
      <c r="I674" s="225"/>
      <c r="J674" s="225"/>
      <c r="K674" s="225"/>
      <c r="L674" s="225"/>
      <c r="M674" s="225"/>
      <c r="N674" s="225"/>
      <c r="O674" s="225"/>
      <c r="P674" s="225"/>
      <c r="Q674" s="225"/>
      <c r="R674" s="225"/>
      <c r="S674" s="225"/>
      <c r="T674" s="225"/>
      <c r="U674" s="225"/>
      <c r="V674" s="225"/>
      <c r="W674" s="225"/>
      <c r="X674" s="225"/>
      <c r="Y674" s="225"/>
      <c r="Z674" s="225"/>
    </row>
    <row r="675">
      <c r="A675" s="225"/>
      <c r="B675" s="225"/>
      <c r="C675" s="225"/>
      <c r="D675" s="225"/>
      <c r="E675" s="225"/>
      <c r="F675" s="225"/>
      <c r="G675" s="225"/>
      <c r="H675" s="225"/>
      <c r="I675" s="225"/>
      <c r="J675" s="225"/>
      <c r="K675" s="225"/>
      <c r="L675" s="225"/>
      <c r="M675" s="225"/>
      <c r="N675" s="225"/>
      <c r="O675" s="225"/>
      <c r="P675" s="225"/>
      <c r="Q675" s="225"/>
      <c r="R675" s="225"/>
      <c r="S675" s="225"/>
      <c r="T675" s="225"/>
      <c r="U675" s="225"/>
      <c r="V675" s="225"/>
      <c r="W675" s="225"/>
      <c r="X675" s="225"/>
      <c r="Y675" s="225"/>
      <c r="Z675" s="225"/>
    </row>
    <row r="676">
      <c r="A676" s="225"/>
      <c r="B676" s="225"/>
      <c r="C676" s="225"/>
      <c r="D676" s="225"/>
      <c r="E676" s="225"/>
      <c r="F676" s="225"/>
      <c r="G676" s="225"/>
      <c r="H676" s="225"/>
      <c r="I676" s="225"/>
      <c r="J676" s="225"/>
      <c r="K676" s="225"/>
      <c r="L676" s="225"/>
      <c r="M676" s="225"/>
      <c r="N676" s="225"/>
      <c r="O676" s="225"/>
      <c r="P676" s="225"/>
      <c r="Q676" s="225"/>
      <c r="R676" s="225"/>
      <c r="S676" s="225"/>
      <c r="T676" s="225"/>
      <c r="U676" s="225"/>
      <c r="V676" s="225"/>
      <c r="W676" s="225"/>
      <c r="X676" s="225"/>
      <c r="Y676" s="225"/>
      <c r="Z676" s="225"/>
    </row>
    <row r="677">
      <c r="A677" s="225"/>
      <c r="B677" s="225"/>
      <c r="C677" s="225"/>
      <c r="D677" s="225"/>
      <c r="E677" s="225"/>
      <c r="F677" s="225"/>
      <c r="G677" s="225"/>
      <c r="H677" s="225"/>
      <c r="I677" s="225"/>
      <c r="J677" s="225"/>
      <c r="K677" s="225"/>
      <c r="L677" s="225"/>
      <c r="M677" s="225"/>
      <c r="N677" s="225"/>
      <c r="O677" s="225"/>
      <c r="P677" s="225"/>
      <c r="Q677" s="225"/>
      <c r="R677" s="225"/>
      <c r="S677" s="225"/>
      <c r="T677" s="225"/>
      <c r="U677" s="225"/>
      <c r="V677" s="225"/>
      <c r="W677" s="225"/>
      <c r="X677" s="225"/>
      <c r="Y677" s="225"/>
      <c r="Z677" s="225"/>
    </row>
    <row r="678">
      <c r="A678" s="225"/>
      <c r="B678" s="225"/>
      <c r="C678" s="225"/>
      <c r="D678" s="225"/>
      <c r="E678" s="225"/>
      <c r="F678" s="225"/>
      <c r="G678" s="225"/>
      <c r="H678" s="225"/>
      <c r="I678" s="225"/>
      <c r="J678" s="225"/>
      <c r="K678" s="225"/>
      <c r="L678" s="225"/>
      <c r="M678" s="225"/>
      <c r="N678" s="225"/>
      <c r="O678" s="225"/>
      <c r="P678" s="225"/>
      <c r="Q678" s="225"/>
      <c r="R678" s="225"/>
      <c r="S678" s="225"/>
      <c r="T678" s="225"/>
      <c r="U678" s="225"/>
      <c r="V678" s="225"/>
      <c r="W678" s="225"/>
      <c r="X678" s="225"/>
      <c r="Y678" s="225"/>
      <c r="Z678" s="225"/>
    </row>
    <row r="679">
      <c r="A679" s="225"/>
      <c r="B679" s="225"/>
      <c r="C679" s="225"/>
      <c r="D679" s="225"/>
      <c r="E679" s="225"/>
      <c r="F679" s="225"/>
      <c r="G679" s="225"/>
      <c r="H679" s="225"/>
      <c r="I679" s="225"/>
      <c r="J679" s="225"/>
      <c r="K679" s="225"/>
      <c r="L679" s="225"/>
      <c r="M679" s="225"/>
      <c r="N679" s="225"/>
      <c r="O679" s="225"/>
      <c r="P679" s="225"/>
      <c r="Q679" s="225"/>
      <c r="R679" s="225"/>
      <c r="S679" s="225"/>
      <c r="T679" s="225"/>
      <c r="U679" s="225"/>
      <c r="V679" s="225"/>
      <c r="W679" s="225"/>
      <c r="X679" s="225"/>
      <c r="Y679" s="225"/>
      <c r="Z679" s="225"/>
    </row>
    <row r="680">
      <c r="A680" s="225"/>
      <c r="B680" s="225"/>
      <c r="C680" s="225"/>
      <c r="D680" s="225"/>
      <c r="E680" s="225"/>
      <c r="F680" s="225"/>
      <c r="G680" s="225"/>
      <c r="H680" s="225"/>
      <c r="I680" s="225"/>
      <c r="J680" s="225"/>
      <c r="K680" s="225"/>
      <c r="L680" s="225"/>
      <c r="M680" s="225"/>
      <c r="N680" s="225"/>
      <c r="O680" s="225"/>
      <c r="P680" s="225"/>
      <c r="Q680" s="225"/>
      <c r="R680" s="225"/>
      <c r="S680" s="225"/>
      <c r="T680" s="225"/>
      <c r="U680" s="225"/>
      <c r="V680" s="225"/>
      <c r="W680" s="225"/>
      <c r="X680" s="225"/>
      <c r="Y680" s="225"/>
      <c r="Z680" s="225"/>
    </row>
    <row r="681">
      <c r="A681" s="225"/>
      <c r="B681" s="225"/>
      <c r="C681" s="225"/>
      <c r="D681" s="225"/>
      <c r="E681" s="225"/>
      <c r="F681" s="225"/>
      <c r="G681" s="225"/>
      <c r="H681" s="225"/>
      <c r="I681" s="225"/>
      <c r="J681" s="225"/>
      <c r="K681" s="225"/>
      <c r="L681" s="225"/>
      <c r="M681" s="225"/>
      <c r="N681" s="225"/>
      <c r="O681" s="225"/>
      <c r="P681" s="225"/>
      <c r="Q681" s="225"/>
      <c r="R681" s="225"/>
      <c r="S681" s="225"/>
      <c r="T681" s="225"/>
      <c r="U681" s="225"/>
      <c r="V681" s="225"/>
      <c r="W681" s="225"/>
      <c r="X681" s="225"/>
      <c r="Y681" s="225"/>
      <c r="Z681" s="225"/>
    </row>
    <row r="682">
      <c r="A682" s="225"/>
      <c r="B682" s="225"/>
      <c r="C682" s="225"/>
      <c r="D682" s="225"/>
      <c r="E682" s="225"/>
      <c r="F682" s="225"/>
      <c r="G682" s="225"/>
      <c r="H682" s="225"/>
      <c r="I682" s="225"/>
      <c r="J682" s="225"/>
      <c r="K682" s="225"/>
      <c r="L682" s="225"/>
      <c r="M682" s="225"/>
      <c r="N682" s="225"/>
      <c r="O682" s="225"/>
      <c r="P682" s="225"/>
      <c r="Q682" s="225"/>
      <c r="R682" s="225"/>
      <c r="S682" s="225"/>
      <c r="T682" s="225"/>
      <c r="U682" s="225"/>
      <c r="V682" s="225"/>
      <c r="W682" s="225"/>
      <c r="X682" s="225"/>
      <c r="Y682" s="225"/>
      <c r="Z682" s="225"/>
    </row>
    <row r="683">
      <c r="A683" s="225"/>
      <c r="B683" s="225"/>
      <c r="C683" s="225"/>
      <c r="D683" s="225"/>
      <c r="E683" s="225"/>
      <c r="F683" s="225"/>
      <c r="G683" s="225"/>
      <c r="H683" s="225"/>
      <c r="I683" s="225"/>
      <c r="J683" s="225"/>
      <c r="K683" s="225"/>
      <c r="L683" s="225"/>
      <c r="M683" s="225"/>
      <c r="N683" s="225"/>
      <c r="O683" s="225"/>
      <c r="P683" s="225"/>
      <c r="Q683" s="225"/>
      <c r="R683" s="225"/>
      <c r="S683" s="225"/>
      <c r="T683" s="225"/>
      <c r="U683" s="225"/>
      <c r="V683" s="225"/>
      <c r="W683" s="225"/>
      <c r="X683" s="225"/>
      <c r="Y683" s="225"/>
      <c r="Z683" s="225"/>
    </row>
    <row r="684">
      <c r="A684" s="225"/>
      <c r="B684" s="225"/>
      <c r="C684" s="225"/>
      <c r="D684" s="225"/>
      <c r="E684" s="225"/>
      <c r="F684" s="225"/>
      <c r="G684" s="225"/>
      <c r="H684" s="225"/>
      <c r="I684" s="225"/>
      <c r="J684" s="225"/>
      <c r="K684" s="225"/>
      <c r="L684" s="225"/>
      <c r="M684" s="225"/>
      <c r="N684" s="225"/>
      <c r="O684" s="225"/>
      <c r="P684" s="225"/>
      <c r="Q684" s="225"/>
      <c r="R684" s="225"/>
      <c r="S684" s="225"/>
      <c r="T684" s="225"/>
      <c r="U684" s="225"/>
      <c r="V684" s="225"/>
      <c r="W684" s="225"/>
      <c r="X684" s="225"/>
      <c r="Y684" s="225"/>
      <c r="Z684" s="225"/>
    </row>
    <row r="685">
      <c r="A685" s="225"/>
      <c r="B685" s="225"/>
      <c r="C685" s="225"/>
      <c r="D685" s="225"/>
      <c r="E685" s="225"/>
      <c r="F685" s="225"/>
      <c r="G685" s="225"/>
      <c r="H685" s="225"/>
      <c r="I685" s="225"/>
      <c r="J685" s="225"/>
      <c r="K685" s="225"/>
      <c r="L685" s="225"/>
      <c r="M685" s="225"/>
      <c r="N685" s="225"/>
      <c r="O685" s="225"/>
      <c r="P685" s="225"/>
      <c r="Q685" s="225"/>
      <c r="R685" s="225"/>
      <c r="S685" s="225"/>
      <c r="T685" s="225"/>
      <c r="U685" s="225"/>
      <c r="V685" s="225"/>
      <c r="W685" s="225"/>
      <c r="X685" s="225"/>
      <c r="Y685" s="225"/>
      <c r="Z685" s="225"/>
    </row>
    <row r="686">
      <c r="A686" s="225"/>
      <c r="B686" s="225"/>
      <c r="C686" s="225"/>
      <c r="D686" s="225"/>
      <c r="E686" s="225"/>
      <c r="F686" s="225"/>
      <c r="G686" s="225"/>
      <c r="H686" s="225"/>
      <c r="I686" s="225"/>
      <c r="J686" s="225"/>
      <c r="K686" s="225"/>
      <c r="L686" s="225"/>
      <c r="M686" s="225"/>
      <c r="N686" s="225"/>
      <c r="O686" s="225"/>
      <c r="P686" s="225"/>
      <c r="Q686" s="225"/>
      <c r="R686" s="225"/>
      <c r="S686" s="225"/>
      <c r="T686" s="225"/>
      <c r="U686" s="225"/>
      <c r="V686" s="225"/>
      <c r="W686" s="225"/>
      <c r="X686" s="225"/>
      <c r="Y686" s="225"/>
      <c r="Z686" s="225"/>
    </row>
    <row r="687">
      <c r="A687" s="225"/>
      <c r="B687" s="225"/>
      <c r="C687" s="225"/>
      <c r="D687" s="225"/>
      <c r="E687" s="225"/>
      <c r="F687" s="225"/>
      <c r="G687" s="225"/>
      <c r="H687" s="225"/>
      <c r="I687" s="225"/>
      <c r="J687" s="225"/>
      <c r="K687" s="225"/>
      <c r="L687" s="225"/>
      <c r="M687" s="225"/>
      <c r="N687" s="225"/>
      <c r="O687" s="225"/>
      <c r="P687" s="225"/>
      <c r="Q687" s="225"/>
      <c r="R687" s="225"/>
      <c r="S687" s="225"/>
      <c r="T687" s="225"/>
      <c r="U687" s="225"/>
      <c r="V687" s="225"/>
      <c r="W687" s="225"/>
      <c r="X687" s="225"/>
      <c r="Y687" s="225"/>
      <c r="Z687" s="225"/>
    </row>
    <row r="688">
      <c r="A688" s="225"/>
      <c r="B688" s="225"/>
      <c r="C688" s="225"/>
      <c r="D688" s="225"/>
      <c r="E688" s="225"/>
      <c r="F688" s="225"/>
      <c r="G688" s="225"/>
      <c r="H688" s="225"/>
      <c r="I688" s="225"/>
      <c r="J688" s="225"/>
      <c r="K688" s="225"/>
      <c r="L688" s="225"/>
      <c r="M688" s="225"/>
      <c r="N688" s="225"/>
      <c r="O688" s="225"/>
      <c r="P688" s="225"/>
      <c r="Q688" s="225"/>
      <c r="R688" s="225"/>
      <c r="S688" s="225"/>
      <c r="T688" s="225"/>
      <c r="U688" s="225"/>
      <c r="V688" s="225"/>
      <c r="W688" s="225"/>
      <c r="X688" s="225"/>
      <c r="Y688" s="225"/>
      <c r="Z688" s="225"/>
    </row>
    <row r="689">
      <c r="A689" s="225"/>
      <c r="B689" s="225"/>
      <c r="C689" s="225"/>
      <c r="D689" s="225"/>
      <c r="E689" s="225"/>
      <c r="F689" s="225"/>
      <c r="G689" s="225"/>
      <c r="H689" s="225"/>
      <c r="I689" s="225"/>
      <c r="J689" s="225"/>
      <c r="K689" s="225"/>
      <c r="L689" s="225"/>
      <c r="M689" s="225"/>
      <c r="N689" s="225"/>
      <c r="O689" s="225"/>
      <c r="P689" s="225"/>
      <c r="Q689" s="225"/>
      <c r="R689" s="225"/>
      <c r="S689" s="225"/>
      <c r="T689" s="225"/>
      <c r="U689" s="225"/>
      <c r="V689" s="225"/>
      <c r="W689" s="225"/>
      <c r="X689" s="225"/>
      <c r="Y689" s="225"/>
      <c r="Z689" s="225"/>
    </row>
    <row r="690">
      <c r="A690" s="225"/>
      <c r="B690" s="225"/>
      <c r="C690" s="225"/>
      <c r="D690" s="225"/>
      <c r="E690" s="225"/>
      <c r="F690" s="225"/>
      <c r="G690" s="225"/>
      <c r="H690" s="225"/>
      <c r="I690" s="225"/>
      <c r="J690" s="225"/>
      <c r="K690" s="225"/>
      <c r="L690" s="225"/>
      <c r="M690" s="225"/>
      <c r="N690" s="225"/>
      <c r="O690" s="225"/>
      <c r="P690" s="225"/>
      <c r="Q690" s="225"/>
      <c r="R690" s="225"/>
      <c r="S690" s="225"/>
      <c r="T690" s="225"/>
      <c r="U690" s="225"/>
      <c r="V690" s="225"/>
      <c r="W690" s="225"/>
      <c r="X690" s="225"/>
      <c r="Y690" s="225"/>
      <c r="Z690" s="225"/>
    </row>
    <row r="691">
      <c r="A691" s="225"/>
      <c r="B691" s="225"/>
      <c r="C691" s="225"/>
      <c r="D691" s="225"/>
      <c r="E691" s="225"/>
      <c r="F691" s="225"/>
      <c r="G691" s="225"/>
      <c r="H691" s="225"/>
      <c r="I691" s="225"/>
      <c r="J691" s="225"/>
      <c r="K691" s="225"/>
      <c r="L691" s="225"/>
      <c r="M691" s="225"/>
      <c r="N691" s="225"/>
      <c r="O691" s="225"/>
      <c r="P691" s="225"/>
      <c r="Q691" s="225"/>
      <c r="R691" s="225"/>
      <c r="S691" s="225"/>
      <c r="T691" s="225"/>
      <c r="U691" s="225"/>
      <c r="V691" s="225"/>
      <c r="W691" s="225"/>
      <c r="X691" s="225"/>
      <c r="Y691" s="225"/>
      <c r="Z691" s="225"/>
    </row>
    <row r="692">
      <c r="A692" s="225"/>
      <c r="B692" s="225"/>
      <c r="C692" s="225"/>
      <c r="D692" s="225"/>
      <c r="E692" s="225"/>
      <c r="F692" s="225"/>
      <c r="G692" s="225"/>
      <c r="H692" s="225"/>
      <c r="I692" s="225"/>
      <c r="J692" s="225"/>
      <c r="K692" s="225"/>
      <c r="L692" s="225"/>
      <c r="M692" s="225"/>
      <c r="N692" s="225"/>
      <c r="O692" s="225"/>
      <c r="P692" s="225"/>
      <c r="Q692" s="225"/>
      <c r="R692" s="225"/>
      <c r="S692" s="225"/>
      <c r="T692" s="225"/>
      <c r="U692" s="225"/>
      <c r="V692" s="225"/>
      <c r="W692" s="225"/>
      <c r="X692" s="225"/>
      <c r="Y692" s="225"/>
      <c r="Z692" s="225"/>
    </row>
    <row r="693">
      <c r="A693" s="225"/>
      <c r="B693" s="225"/>
      <c r="C693" s="225"/>
      <c r="D693" s="225"/>
      <c r="E693" s="225"/>
      <c r="F693" s="225"/>
      <c r="G693" s="225"/>
      <c r="H693" s="225"/>
      <c r="I693" s="225"/>
      <c r="J693" s="225"/>
      <c r="K693" s="225"/>
      <c r="L693" s="225"/>
      <c r="M693" s="225"/>
      <c r="N693" s="225"/>
      <c r="O693" s="225"/>
      <c r="P693" s="225"/>
      <c r="Q693" s="225"/>
      <c r="R693" s="225"/>
      <c r="S693" s="225"/>
      <c r="T693" s="225"/>
      <c r="U693" s="225"/>
      <c r="V693" s="225"/>
      <c r="W693" s="225"/>
      <c r="X693" s="225"/>
      <c r="Y693" s="225"/>
      <c r="Z693" s="225"/>
    </row>
    <row r="694">
      <c r="A694" s="225"/>
      <c r="B694" s="225"/>
      <c r="C694" s="225"/>
      <c r="D694" s="225"/>
      <c r="E694" s="225"/>
      <c r="F694" s="225"/>
      <c r="G694" s="225"/>
      <c r="H694" s="225"/>
      <c r="I694" s="225"/>
      <c r="J694" s="225"/>
      <c r="K694" s="225"/>
      <c r="L694" s="225"/>
      <c r="M694" s="225"/>
      <c r="N694" s="225"/>
      <c r="O694" s="225"/>
      <c r="P694" s="225"/>
      <c r="Q694" s="225"/>
      <c r="R694" s="225"/>
      <c r="S694" s="225"/>
      <c r="T694" s="225"/>
      <c r="U694" s="225"/>
      <c r="V694" s="225"/>
      <c r="W694" s="225"/>
      <c r="X694" s="225"/>
      <c r="Y694" s="225"/>
      <c r="Z694" s="225"/>
    </row>
    <row r="695">
      <c r="A695" s="225"/>
      <c r="B695" s="225"/>
      <c r="C695" s="225"/>
      <c r="D695" s="225"/>
      <c r="E695" s="225"/>
      <c r="F695" s="225"/>
      <c r="G695" s="225"/>
      <c r="H695" s="225"/>
      <c r="I695" s="225"/>
      <c r="J695" s="225"/>
      <c r="K695" s="225"/>
      <c r="L695" s="225"/>
      <c r="M695" s="225"/>
      <c r="N695" s="225"/>
      <c r="O695" s="225"/>
      <c r="P695" s="225"/>
      <c r="Q695" s="225"/>
      <c r="R695" s="225"/>
      <c r="S695" s="225"/>
      <c r="T695" s="225"/>
      <c r="U695" s="225"/>
      <c r="V695" s="225"/>
      <c r="W695" s="225"/>
      <c r="X695" s="225"/>
      <c r="Y695" s="225"/>
      <c r="Z695" s="225"/>
    </row>
    <row r="696">
      <c r="A696" s="225"/>
      <c r="B696" s="225"/>
      <c r="C696" s="225"/>
      <c r="D696" s="225"/>
      <c r="E696" s="225"/>
      <c r="F696" s="225"/>
      <c r="G696" s="225"/>
      <c r="H696" s="225"/>
      <c r="I696" s="225"/>
      <c r="J696" s="225"/>
      <c r="K696" s="225"/>
      <c r="L696" s="225"/>
      <c r="M696" s="225"/>
      <c r="N696" s="225"/>
      <c r="O696" s="225"/>
      <c r="P696" s="225"/>
      <c r="Q696" s="225"/>
      <c r="R696" s="225"/>
      <c r="S696" s="225"/>
      <c r="T696" s="225"/>
      <c r="U696" s="225"/>
      <c r="V696" s="225"/>
      <c r="W696" s="225"/>
      <c r="X696" s="225"/>
      <c r="Y696" s="225"/>
      <c r="Z696" s="225"/>
    </row>
    <row r="697">
      <c r="A697" s="225"/>
      <c r="B697" s="225"/>
      <c r="C697" s="225"/>
      <c r="D697" s="225"/>
      <c r="E697" s="225"/>
      <c r="F697" s="225"/>
      <c r="G697" s="225"/>
      <c r="H697" s="225"/>
      <c r="I697" s="225"/>
      <c r="J697" s="225"/>
      <c r="K697" s="225"/>
      <c r="L697" s="225"/>
      <c r="M697" s="225"/>
      <c r="N697" s="225"/>
      <c r="O697" s="225"/>
      <c r="P697" s="225"/>
      <c r="Q697" s="225"/>
      <c r="R697" s="225"/>
      <c r="S697" s="225"/>
      <c r="T697" s="225"/>
      <c r="U697" s="225"/>
      <c r="V697" s="225"/>
      <c r="W697" s="225"/>
      <c r="X697" s="225"/>
      <c r="Y697" s="225"/>
      <c r="Z697" s="225"/>
    </row>
    <row r="698">
      <c r="A698" s="225"/>
      <c r="B698" s="225"/>
      <c r="C698" s="225"/>
      <c r="D698" s="225"/>
      <c r="E698" s="225"/>
      <c r="F698" s="225"/>
      <c r="G698" s="225"/>
      <c r="H698" s="225"/>
      <c r="I698" s="225"/>
      <c r="J698" s="225"/>
      <c r="K698" s="225"/>
      <c r="L698" s="225"/>
      <c r="M698" s="225"/>
      <c r="N698" s="225"/>
      <c r="O698" s="225"/>
      <c r="P698" s="225"/>
      <c r="Q698" s="225"/>
      <c r="R698" s="225"/>
      <c r="S698" s="225"/>
      <c r="T698" s="225"/>
      <c r="U698" s="225"/>
      <c r="V698" s="225"/>
      <c r="W698" s="225"/>
      <c r="X698" s="225"/>
      <c r="Y698" s="225"/>
      <c r="Z698" s="225"/>
    </row>
    <row r="699">
      <c r="A699" s="225"/>
      <c r="B699" s="225"/>
      <c r="C699" s="225"/>
      <c r="D699" s="225"/>
      <c r="E699" s="225"/>
      <c r="F699" s="225"/>
      <c r="G699" s="225"/>
      <c r="H699" s="225"/>
      <c r="I699" s="225"/>
      <c r="J699" s="225"/>
      <c r="K699" s="225"/>
      <c r="L699" s="225"/>
      <c r="M699" s="225"/>
      <c r="N699" s="225"/>
      <c r="O699" s="225"/>
      <c r="P699" s="225"/>
      <c r="Q699" s="225"/>
      <c r="R699" s="225"/>
      <c r="S699" s="225"/>
      <c r="T699" s="225"/>
      <c r="U699" s="225"/>
      <c r="V699" s="225"/>
      <c r="W699" s="225"/>
      <c r="X699" s="225"/>
      <c r="Y699" s="225"/>
      <c r="Z699" s="225"/>
    </row>
    <row r="700">
      <c r="A700" s="225"/>
      <c r="B700" s="225"/>
      <c r="C700" s="225"/>
      <c r="D700" s="225"/>
      <c r="E700" s="225"/>
      <c r="F700" s="225"/>
      <c r="G700" s="225"/>
      <c r="H700" s="225"/>
      <c r="I700" s="225"/>
      <c r="J700" s="225"/>
      <c r="K700" s="225"/>
      <c r="L700" s="225"/>
      <c r="M700" s="225"/>
      <c r="N700" s="225"/>
      <c r="O700" s="225"/>
      <c r="P700" s="225"/>
      <c r="Q700" s="225"/>
      <c r="R700" s="225"/>
      <c r="S700" s="225"/>
      <c r="T700" s="225"/>
      <c r="U700" s="225"/>
      <c r="V700" s="225"/>
      <c r="W700" s="225"/>
      <c r="X700" s="225"/>
      <c r="Y700" s="225"/>
      <c r="Z700" s="225"/>
    </row>
    <row r="701">
      <c r="A701" s="225"/>
      <c r="B701" s="225"/>
      <c r="C701" s="225"/>
      <c r="D701" s="225"/>
      <c r="E701" s="225"/>
      <c r="F701" s="225"/>
      <c r="G701" s="225"/>
      <c r="H701" s="225"/>
      <c r="I701" s="225"/>
      <c r="J701" s="225"/>
      <c r="K701" s="225"/>
      <c r="L701" s="225"/>
      <c r="M701" s="225"/>
      <c r="N701" s="225"/>
      <c r="O701" s="225"/>
      <c r="P701" s="225"/>
      <c r="Q701" s="225"/>
      <c r="R701" s="225"/>
      <c r="S701" s="225"/>
      <c r="T701" s="225"/>
      <c r="U701" s="225"/>
      <c r="V701" s="225"/>
      <c r="W701" s="225"/>
      <c r="X701" s="225"/>
      <c r="Y701" s="225"/>
      <c r="Z701" s="225"/>
    </row>
    <row r="702">
      <c r="A702" s="225"/>
      <c r="B702" s="225"/>
      <c r="C702" s="225"/>
      <c r="D702" s="225"/>
      <c r="E702" s="225"/>
      <c r="F702" s="225"/>
      <c r="G702" s="225"/>
      <c r="H702" s="225"/>
      <c r="I702" s="225"/>
      <c r="J702" s="225"/>
      <c r="K702" s="225"/>
      <c r="L702" s="225"/>
      <c r="M702" s="225"/>
      <c r="N702" s="225"/>
      <c r="O702" s="225"/>
      <c r="P702" s="225"/>
      <c r="Q702" s="225"/>
      <c r="R702" s="225"/>
      <c r="S702" s="225"/>
      <c r="T702" s="225"/>
      <c r="U702" s="225"/>
      <c r="V702" s="225"/>
      <c r="W702" s="225"/>
      <c r="X702" s="225"/>
      <c r="Y702" s="225"/>
      <c r="Z702" s="225"/>
    </row>
    <row r="703">
      <c r="A703" s="225"/>
      <c r="B703" s="225"/>
      <c r="C703" s="225"/>
      <c r="D703" s="225"/>
      <c r="E703" s="225"/>
      <c r="F703" s="225"/>
      <c r="G703" s="225"/>
      <c r="H703" s="225"/>
      <c r="I703" s="225"/>
      <c r="J703" s="225"/>
      <c r="K703" s="225"/>
      <c r="L703" s="225"/>
      <c r="M703" s="225"/>
      <c r="N703" s="225"/>
      <c r="O703" s="225"/>
      <c r="P703" s="225"/>
      <c r="Q703" s="225"/>
      <c r="R703" s="225"/>
      <c r="S703" s="225"/>
      <c r="T703" s="225"/>
      <c r="U703" s="225"/>
      <c r="V703" s="225"/>
      <c r="W703" s="225"/>
      <c r="X703" s="225"/>
      <c r="Y703" s="225"/>
      <c r="Z703" s="225"/>
    </row>
    <row r="704">
      <c r="A704" s="225"/>
      <c r="B704" s="225"/>
      <c r="C704" s="225"/>
      <c r="D704" s="225"/>
      <c r="E704" s="225"/>
      <c r="F704" s="225"/>
      <c r="G704" s="225"/>
      <c r="H704" s="225"/>
      <c r="I704" s="225"/>
      <c r="J704" s="225"/>
      <c r="K704" s="225"/>
      <c r="L704" s="225"/>
      <c r="M704" s="225"/>
      <c r="N704" s="225"/>
      <c r="O704" s="225"/>
      <c r="P704" s="225"/>
      <c r="Q704" s="225"/>
      <c r="R704" s="225"/>
      <c r="S704" s="225"/>
      <c r="T704" s="225"/>
      <c r="U704" s="225"/>
      <c r="V704" s="225"/>
      <c r="W704" s="225"/>
      <c r="X704" s="225"/>
      <c r="Y704" s="225"/>
      <c r="Z704" s="225"/>
    </row>
    <row r="705">
      <c r="A705" s="225"/>
      <c r="B705" s="225"/>
      <c r="C705" s="225"/>
      <c r="D705" s="225"/>
      <c r="E705" s="225"/>
      <c r="F705" s="225"/>
      <c r="G705" s="225"/>
      <c r="H705" s="225"/>
      <c r="I705" s="225"/>
      <c r="J705" s="225"/>
      <c r="K705" s="225"/>
      <c r="L705" s="225"/>
      <c r="M705" s="225"/>
      <c r="N705" s="225"/>
      <c r="O705" s="225"/>
      <c r="P705" s="225"/>
      <c r="Q705" s="225"/>
      <c r="R705" s="225"/>
      <c r="S705" s="225"/>
      <c r="T705" s="225"/>
      <c r="U705" s="225"/>
      <c r="V705" s="225"/>
      <c r="W705" s="225"/>
      <c r="X705" s="225"/>
      <c r="Y705" s="225"/>
      <c r="Z705" s="225"/>
    </row>
    <row r="706">
      <c r="A706" s="225"/>
      <c r="B706" s="225"/>
      <c r="C706" s="225"/>
      <c r="D706" s="225"/>
      <c r="E706" s="225"/>
      <c r="F706" s="225"/>
      <c r="G706" s="225"/>
      <c r="H706" s="225"/>
      <c r="I706" s="225"/>
      <c r="J706" s="225"/>
      <c r="K706" s="225"/>
      <c r="L706" s="225"/>
      <c r="M706" s="225"/>
      <c r="N706" s="225"/>
      <c r="O706" s="225"/>
      <c r="P706" s="225"/>
      <c r="Q706" s="225"/>
      <c r="R706" s="225"/>
      <c r="S706" s="225"/>
      <c r="T706" s="225"/>
      <c r="U706" s="225"/>
      <c r="V706" s="225"/>
      <c r="W706" s="225"/>
      <c r="X706" s="225"/>
      <c r="Y706" s="225"/>
      <c r="Z706" s="225"/>
    </row>
    <row r="707">
      <c r="A707" s="225"/>
      <c r="B707" s="225"/>
      <c r="C707" s="225"/>
      <c r="D707" s="225"/>
      <c r="E707" s="225"/>
      <c r="F707" s="225"/>
      <c r="G707" s="225"/>
      <c r="H707" s="225"/>
      <c r="I707" s="225"/>
      <c r="J707" s="225"/>
      <c r="K707" s="225"/>
      <c r="L707" s="225"/>
      <c r="M707" s="225"/>
      <c r="N707" s="225"/>
      <c r="O707" s="225"/>
      <c r="P707" s="225"/>
      <c r="Q707" s="225"/>
      <c r="R707" s="225"/>
      <c r="S707" s="225"/>
      <c r="T707" s="225"/>
      <c r="U707" s="225"/>
      <c r="V707" s="225"/>
      <c r="W707" s="225"/>
      <c r="X707" s="225"/>
      <c r="Y707" s="225"/>
      <c r="Z707" s="225"/>
    </row>
    <row r="708">
      <c r="A708" s="225"/>
      <c r="B708" s="225"/>
      <c r="C708" s="225"/>
      <c r="D708" s="225"/>
      <c r="E708" s="225"/>
      <c r="F708" s="225"/>
      <c r="G708" s="225"/>
      <c r="H708" s="225"/>
      <c r="I708" s="225"/>
      <c r="J708" s="225"/>
      <c r="K708" s="225"/>
      <c r="L708" s="225"/>
      <c r="M708" s="225"/>
      <c r="N708" s="225"/>
      <c r="O708" s="225"/>
      <c r="P708" s="225"/>
      <c r="Q708" s="225"/>
      <c r="R708" s="225"/>
      <c r="S708" s="225"/>
      <c r="T708" s="225"/>
      <c r="U708" s="225"/>
      <c r="V708" s="225"/>
      <c r="W708" s="225"/>
      <c r="X708" s="225"/>
      <c r="Y708" s="225"/>
      <c r="Z708" s="225"/>
    </row>
    <row r="709">
      <c r="A709" s="225"/>
      <c r="B709" s="225"/>
      <c r="C709" s="225"/>
      <c r="D709" s="225"/>
      <c r="E709" s="225"/>
      <c r="F709" s="225"/>
      <c r="G709" s="225"/>
      <c r="H709" s="225"/>
      <c r="I709" s="225"/>
      <c r="J709" s="225"/>
      <c r="K709" s="225"/>
      <c r="L709" s="225"/>
      <c r="M709" s="225"/>
      <c r="N709" s="225"/>
      <c r="O709" s="225"/>
      <c r="P709" s="225"/>
      <c r="Q709" s="225"/>
      <c r="R709" s="225"/>
      <c r="S709" s="225"/>
      <c r="T709" s="225"/>
      <c r="U709" s="225"/>
      <c r="V709" s="225"/>
      <c r="W709" s="225"/>
      <c r="X709" s="225"/>
      <c r="Y709" s="225"/>
      <c r="Z709" s="225"/>
    </row>
    <row r="710">
      <c r="A710" s="225"/>
      <c r="B710" s="225"/>
      <c r="C710" s="225"/>
      <c r="D710" s="225"/>
      <c r="E710" s="225"/>
      <c r="F710" s="225"/>
      <c r="G710" s="225"/>
      <c r="H710" s="225"/>
      <c r="I710" s="225"/>
      <c r="J710" s="225"/>
      <c r="K710" s="225"/>
      <c r="L710" s="225"/>
      <c r="M710" s="225"/>
      <c r="N710" s="225"/>
      <c r="O710" s="225"/>
      <c r="P710" s="225"/>
      <c r="Q710" s="225"/>
      <c r="R710" s="225"/>
      <c r="S710" s="225"/>
      <c r="T710" s="225"/>
      <c r="U710" s="225"/>
      <c r="V710" s="225"/>
      <c r="W710" s="225"/>
      <c r="X710" s="225"/>
      <c r="Y710" s="225"/>
      <c r="Z710" s="225"/>
    </row>
    <row r="711">
      <c r="A711" s="225"/>
      <c r="B711" s="225"/>
      <c r="C711" s="225"/>
      <c r="D711" s="225"/>
      <c r="E711" s="225"/>
      <c r="F711" s="225"/>
      <c r="G711" s="225"/>
      <c r="H711" s="225"/>
      <c r="I711" s="225"/>
      <c r="J711" s="225"/>
      <c r="K711" s="225"/>
      <c r="L711" s="225"/>
      <c r="M711" s="225"/>
      <c r="N711" s="225"/>
      <c r="O711" s="225"/>
      <c r="P711" s="225"/>
      <c r="Q711" s="225"/>
      <c r="R711" s="225"/>
      <c r="S711" s="225"/>
      <c r="T711" s="225"/>
      <c r="U711" s="225"/>
      <c r="V711" s="225"/>
      <c r="W711" s="225"/>
      <c r="X711" s="225"/>
      <c r="Y711" s="225"/>
      <c r="Z711" s="225"/>
    </row>
    <row r="712">
      <c r="A712" s="225"/>
      <c r="B712" s="225"/>
      <c r="C712" s="225"/>
      <c r="D712" s="225"/>
      <c r="E712" s="225"/>
      <c r="F712" s="225"/>
      <c r="G712" s="225"/>
      <c r="H712" s="225"/>
      <c r="I712" s="225"/>
      <c r="J712" s="225"/>
      <c r="K712" s="225"/>
      <c r="L712" s="225"/>
      <c r="M712" s="225"/>
      <c r="N712" s="225"/>
      <c r="O712" s="225"/>
      <c r="P712" s="225"/>
      <c r="Q712" s="225"/>
      <c r="R712" s="225"/>
      <c r="S712" s="225"/>
      <c r="T712" s="225"/>
      <c r="U712" s="225"/>
      <c r="V712" s="225"/>
      <c r="W712" s="225"/>
      <c r="X712" s="225"/>
      <c r="Y712" s="225"/>
      <c r="Z712" s="225"/>
    </row>
    <row r="713">
      <c r="A713" s="225"/>
      <c r="B713" s="225"/>
      <c r="C713" s="225"/>
      <c r="D713" s="225"/>
      <c r="E713" s="225"/>
      <c r="F713" s="225"/>
      <c r="G713" s="225"/>
      <c r="H713" s="225"/>
      <c r="I713" s="225"/>
      <c r="J713" s="225"/>
      <c r="K713" s="225"/>
      <c r="L713" s="225"/>
      <c r="M713" s="225"/>
      <c r="N713" s="225"/>
      <c r="O713" s="225"/>
      <c r="P713" s="225"/>
      <c r="Q713" s="225"/>
      <c r="R713" s="225"/>
      <c r="S713" s="225"/>
      <c r="T713" s="225"/>
      <c r="U713" s="225"/>
      <c r="V713" s="225"/>
      <c r="W713" s="225"/>
      <c r="X713" s="225"/>
      <c r="Y713" s="225"/>
      <c r="Z713" s="225"/>
    </row>
    <row r="714">
      <c r="A714" s="225"/>
      <c r="B714" s="225"/>
      <c r="C714" s="225"/>
      <c r="D714" s="225"/>
      <c r="E714" s="225"/>
      <c r="F714" s="225"/>
      <c r="G714" s="225"/>
      <c r="H714" s="225"/>
      <c r="I714" s="225"/>
      <c r="J714" s="225"/>
      <c r="K714" s="225"/>
      <c r="L714" s="225"/>
      <c r="M714" s="225"/>
      <c r="N714" s="225"/>
      <c r="O714" s="225"/>
      <c r="P714" s="225"/>
      <c r="Q714" s="225"/>
      <c r="R714" s="225"/>
      <c r="S714" s="225"/>
      <c r="T714" s="225"/>
      <c r="U714" s="225"/>
      <c r="V714" s="225"/>
      <c r="W714" s="225"/>
      <c r="X714" s="225"/>
      <c r="Y714" s="225"/>
      <c r="Z714" s="225"/>
    </row>
    <row r="715">
      <c r="A715" s="225"/>
      <c r="B715" s="225"/>
      <c r="C715" s="225"/>
      <c r="D715" s="225"/>
      <c r="E715" s="225"/>
      <c r="F715" s="225"/>
      <c r="G715" s="225"/>
      <c r="H715" s="225"/>
      <c r="I715" s="225"/>
      <c r="J715" s="225"/>
      <c r="K715" s="225"/>
      <c r="L715" s="225"/>
      <c r="M715" s="225"/>
      <c r="N715" s="225"/>
      <c r="O715" s="225"/>
      <c r="P715" s="225"/>
      <c r="Q715" s="225"/>
      <c r="R715" s="225"/>
      <c r="S715" s="225"/>
      <c r="T715" s="225"/>
      <c r="U715" s="225"/>
      <c r="V715" s="225"/>
      <c r="W715" s="225"/>
      <c r="X715" s="225"/>
      <c r="Y715" s="225"/>
      <c r="Z715" s="225"/>
    </row>
    <row r="716">
      <c r="A716" s="225"/>
      <c r="B716" s="225"/>
      <c r="C716" s="225"/>
      <c r="D716" s="225"/>
      <c r="E716" s="225"/>
      <c r="F716" s="225"/>
      <c r="G716" s="225"/>
      <c r="H716" s="225"/>
      <c r="I716" s="225"/>
      <c r="J716" s="225"/>
      <c r="K716" s="225"/>
      <c r="L716" s="225"/>
      <c r="M716" s="225"/>
      <c r="N716" s="225"/>
      <c r="O716" s="225"/>
      <c r="P716" s="225"/>
      <c r="Q716" s="225"/>
      <c r="R716" s="225"/>
      <c r="S716" s="225"/>
      <c r="T716" s="225"/>
      <c r="U716" s="225"/>
      <c r="V716" s="225"/>
      <c r="W716" s="225"/>
      <c r="X716" s="225"/>
      <c r="Y716" s="225"/>
      <c r="Z716" s="225"/>
    </row>
    <row r="717">
      <c r="A717" s="225"/>
      <c r="B717" s="225"/>
      <c r="C717" s="225"/>
      <c r="D717" s="225"/>
      <c r="E717" s="225"/>
      <c r="F717" s="225"/>
      <c r="G717" s="225"/>
      <c r="H717" s="225"/>
      <c r="I717" s="225"/>
      <c r="J717" s="225"/>
      <c r="K717" s="225"/>
      <c r="L717" s="225"/>
      <c r="M717" s="225"/>
      <c r="N717" s="225"/>
      <c r="O717" s="225"/>
      <c r="P717" s="225"/>
      <c r="Q717" s="225"/>
      <c r="R717" s="225"/>
      <c r="S717" s="225"/>
      <c r="T717" s="225"/>
      <c r="U717" s="225"/>
      <c r="V717" s="225"/>
      <c r="W717" s="225"/>
      <c r="X717" s="225"/>
      <c r="Y717" s="225"/>
      <c r="Z717" s="225"/>
    </row>
    <row r="718">
      <c r="A718" s="225"/>
      <c r="B718" s="225"/>
      <c r="C718" s="225"/>
      <c r="D718" s="225"/>
      <c r="E718" s="225"/>
      <c r="F718" s="225"/>
      <c r="G718" s="225"/>
      <c r="H718" s="225"/>
      <c r="I718" s="225"/>
      <c r="J718" s="225"/>
      <c r="K718" s="225"/>
      <c r="L718" s="225"/>
      <c r="M718" s="225"/>
      <c r="N718" s="225"/>
      <c r="O718" s="225"/>
      <c r="P718" s="225"/>
      <c r="Q718" s="225"/>
      <c r="R718" s="225"/>
      <c r="S718" s="225"/>
      <c r="T718" s="225"/>
      <c r="U718" s="225"/>
      <c r="V718" s="225"/>
      <c r="W718" s="225"/>
      <c r="X718" s="225"/>
      <c r="Y718" s="225"/>
      <c r="Z718" s="225"/>
    </row>
    <row r="719">
      <c r="A719" s="225"/>
      <c r="B719" s="225"/>
      <c r="C719" s="225"/>
      <c r="D719" s="225"/>
      <c r="E719" s="225"/>
      <c r="F719" s="225"/>
      <c r="G719" s="225"/>
      <c r="H719" s="225"/>
      <c r="I719" s="225"/>
      <c r="J719" s="225"/>
      <c r="K719" s="225"/>
      <c r="L719" s="225"/>
      <c r="M719" s="225"/>
      <c r="N719" s="225"/>
      <c r="O719" s="225"/>
      <c r="P719" s="225"/>
      <c r="Q719" s="225"/>
      <c r="R719" s="225"/>
      <c r="S719" s="225"/>
      <c r="T719" s="225"/>
      <c r="U719" s="225"/>
      <c r="V719" s="225"/>
      <c r="W719" s="225"/>
      <c r="X719" s="225"/>
      <c r="Y719" s="225"/>
      <c r="Z719" s="225"/>
    </row>
    <row r="720">
      <c r="A720" s="225"/>
      <c r="B720" s="225"/>
      <c r="C720" s="225"/>
      <c r="D720" s="225"/>
      <c r="E720" s="225"/>
      <c r="F720" s="225"/>
      <c r="G720" s="225"/>
      <c r="H720" s="225"/>
      <c r="I720" s="225"/>
      <c r="J720" s="225"/>
      <c r="K720" s="225"/>
      <c r="L720" s="225"/>
      <c r="M720" s="225"/>
      <c r="N720" s="225"/>
      <c r="O720" s="225"/>
      <c r="P720" s="225"/>
      <c r="Q720" s="225"/>
      <c r="R720" s="225"/>
      <c r="S720" s="225"/>
      <c r="T720" s="225"/>
      <c r="U720" s="225"/>
      <c r="V720" s="225"/>
      <c r="W720" s="225"/>
      <c r="X720" s="225"/>
      <c r="Y720" s="225"/>
      <c r="Z720" s="225"/>
    </row>
    <row r="721">
      <c r="A721" s="225"/>
      <c r="B721" s="225"/>
      <c r="C721" s="225"/>
      <c r="D721" s="225"/>
      <c r="E721" s="225"/>
      <c r="F721" s="225"/>
      <c r="G721" s="225"/>
      <c r="H721" s="225"/>
      <c r="I721" s="225"/>
      <c r="J721" s="225"/>
      <c r="K721" s="225"/>
      <c r="L721" s="225"/>
      <c r="M721" s="225"/>
      <c r="N721" s="225"/>
      <c r="O721" s="225"/>
      <c r="P721" s="225"/>
      <c r="Q721" s="225"/>
      <c r="R721" s="225"/>
      <c r="S721" s="225"/>
      <c r="T721" s="225"/>
      <c r="U721" s="225"/>
      <c r="V721" s="225"/>
      <c r="W721" s="225"/>
      <c r="X721" s="225"/>
      <c r="Y721" s="225"/>
      <c r="Z721" s="225"/>
    </row>
    <row r="722">
      <c r="A722" s="225"/>
      <c r="B722" s="225"/>
      <c r="C722" s="225"/>
      <c r="D722" s="225"/>
      <c r="E722" s="225"/>
      <c r="F722" s="225"/>
      <c r="G722" s="225"/>
      <c r="H722" s="225"/>
      <c r="I722" s="225"/>
      <c r="J722" s="225"/>
      <c r="K722" s="225"/>
      <c r="L722" s="225"/>
      <c r="M722" s="225"/>
      <c r="N722" s="225"/>
      <c r="O722" s="225"/>
      <c r="P722" s="225"/>
      <c r="Q722" s="225"/>
      <c r="R722" s="225"/>
      <c r="S722" s="225"/>
      <c r="T722" s="225"/>
      <c r="U722" s="225"/>
      <c r="V722" s="225"/>
      <c r="W722" s="225"/>
      <c r="X722" s="225"/>
      <c r="Y722" s="225"/>
      <c r="Z722" s="225"/>
    </row>
    <row r="723">
      <c r="A723" s="225"/>
      <c r="B723" s="225"/>
      <c r="C723" s="225"/>
      <c r="D723" s="225"/>
      <c r="E723" s="225"/>
      <c r="F723" s="225"/>
      <c r="G723" s="225"/>
      <c r="H723" s="225"/>
      <c r="I723" s="225"/>
      <c r="J723" s="225"/>
      <c r="K723" s="225"/>
      <c r="L723" s="225"/>
      <c r="M723" s="225"/>
      <c r="N723" s="225"/>
      <c r="O723" s="225"/>
      <c r="P723" s="225"/>
      <c r="Q723" s="225"/>
      <c r="R723" s="225"/>
      <c r="S723" s="225"/>
      <c r="T723" s="225"/>
      <c r="U723" s="225"/>
      <c r="V723" s="225"/>
      <c r="W723" s="225"/>
      <c r="X723" s="225"/>
      <c r="Y723" s="225"/>
      <c r="Z723" s="225"/>
    </row>
    <row r="724">
      <c r="A724" s="225"/>
      <c r="B724" s="225"/>
      <c r="C724" s="225"/>
      <c r="D724" s="225"/>
      <c r="E724" s="225"/>
      <c r="F724" s="225"/>
      <c r="G724" s="225"/>
      <c r="H724" s="225"/>
      <c r="I724" s="225"/>
      <c r="J724" s="225"/>
      <c r="K724" s="225"/>
      <c r="L724" s="225"/>
      <c r="M724" s="225"/>
      <c r="N724" s="225"/>
      <c r="O724" s="225"/>
      <c r="P724" s="225"/>
      <c r="Q724" s="225"/>
      <c r="R724" s="225"/>
      <c r="S724" s="225"/>
      <c r="T724" s="225"/>
      <c r="U724" s="225"/>
      <c r="V724" s="225"/>
      <c r="W724" s="225"/>
      <c r="X724" s="225"/>
      <c r="Y724" s="225"/>
      <c r="Z724" s="225"/>
    </row>
    <row r="725">
      <c r="A725" s="225"/>
      <c r="B725" s="225"/>
      <c r="C725" s="225"/>
      <c r="D725" s="225"/>
      <c r="E725" s="225"/>
      <c r="F725" s="225"/>
      <c r="G725" s="225"/>
      <c r="H725" s="225"/>
      <c r="I725" s="225"/>
      <c r="J725" s="225"/>
      <c r="K725" s="225"/>
      <c r="L725" s="225"/>
      <c r="M725" s="225"/>
      <c r="N725" s="225"/>
      <c r="O725" s="225"/>
      <c r="P725" s="225"/>
      <c r="Q725" s="225"/>
      <c r="R725" s="225"/>
      <c r="S725" s="225"/>
      <c r="T725" s="225"/>
      <c r="U725" s="225"/>
      <c r="V725" s="225"/>
      <c r="W725" s="225"/>
      <c r="X725" s="225"/>
      <c r="Y725" s="225"/>
      <c r="Z725" s="225"/>
    </row>
    <row r="726">
      <c r="A726" s="225"/>
      <c r="B726" s="225"/>
      <c r="C726" s="225"/>
      <c r="D726" s="225"/>
      <c r="E726" s="225"/>
      <c r="F726" s="225"/>
      <c r="G726" s="225"/>
      <c r="H726" s="225"/>
      <c r="I726" s="225"/>
      <c r="J726" s="225"/>
      <c r="K726" s="225"/>
      <c r="L726" s="225"/>
      <c r="M726" s="225"/>
      <c r="N726" s="225"/>
      <c r="O726" s="225"/>
      <c r="P726" s="225"/>
      <c r="Q726" s="225"/>
      <c r="R726" s="225"/>
      <c r="S726" s="225"/>
      <c r="T726" s="225"/>
      <c r="U726" s="225"/>
      <c r="V726" s="225"/>
      <c r="W726" s="225"/>
      <c r="X726" s="225"/>
      <c r="Y726" s="225"/>
      <c r="Z726" s="225"/>
    </row>
    <row r="727">
      <c r="A727" s="225"/>
      <c r="B727" s="225"/>
      <c r="C727" s="225"/>
      <c r="D727" s="225"/>
      <c r="E727" s="225"/>
      <c r="F727" s="225"/>
      <c r="G727" s="225"/>
      <c r="H727" s="225"/>
      <c r="I727" s="225"/>
      <c r="J727" s="225"/>
      <c r="K727" s="225"/>
      <c r="L727" s="225"/>
      <c r="M727" s="225"/>
      <c r="N727" s="225"/>
      <c r="O727" s="225"/>
      <c r="P727" s="225"/>
      <c r="Q727" s="225"/>
      <c r="R727" s="225"/>
      <c r="S727" s="225"/>
      <c r="T727" s="225"/>
      <c r="U727" s="225"/>
      <c r="V727" s="225"/>
      <c r="W727" s="225"/>
      <c r="X727" s="225"/>
      <c r="Y727" s="225"/>
      <c r="Z727" s="225"/>
    </row>
    <row r="728">
      <c r="A728" s="225"/>
      <c r="B728" s="225"/>
      <c r="C728" s="225"/>
      <c r="D728" s="225"/>
      <c r="E728" s="225"/>
      <c r="F728" s="225"/>
      <c r="G728" s="225"/>
      <c r="H728" s="225"/>
      <c r="I728" s="225"/>
      <c r="J728" s="225"/>
      <c r="K728" s="225"/>
      <c r="L728" s="225"/>
      <c r="M728" s="225"/>
      <c r="N728" s="225"/>
      <c r="O728" s="225"/>
      <c r="P728" s="225"/>
      <c r="Q728" s="225"/>
      <c r="R728" s="225"/>
      <c r="S728" s="225"/>
      <c r="T728" s="225"/>
      <c r="U728" s="225"/>
      <c r="V728" s="225"/>
      <c r="W728" s="225"/>
      <c r="X728" s="225"/>
      <c r="Y728" s="225"/>
      <c r="Z728" s="225"/>
    </row>
    <row r="729">
      <c r="A729" s="225"/>
      <c r="B729" s="225"/>
      <c r="C729" s="225"/>
      <c r="D729" s="225"/>
      <c r="E729" s="225"/>
      <c r="F729" s="225"/>
      <c r="G729" s="225"/>
      <c r="H729" s="225"/>
      <c r="I729" s="225"/>
      <c r="J729" s="225"/>
      <c r="K729" s="225"/>
      <c r="L729" s="225"/>
      <c r="M729" s="225"/>
      <c r="N729" s="225"/>
      <c r="O729" s="225"/>
      <c r="P729" s="225"/>
      <c r="Q729" s="225"/>
      <c r="R729" s="225"/>
      <c r="S729" s="225"/>
      <c r="T729" s="225"/>
      <c r="U729" s="225"/>
      <c r="V729" s="225"/>
      <c r="W729" s="225"/>
      <c r="X729" s="225"/>
      <c r="Y729" s="225"/>
      <c r="Z729" s="225"/>
    </row>
    <row r="730">
      <c r="A730" s="225"/>
      <c r="B730" s="225"/>
      <c r="C730" s="225"/>
      <c r="D730" s="225"/>
      <c r="E730" s="225"/>
      <c r="F730" s="225"/>
      <c r="G730" s="225"/>
      <c r="H730" s="225"/>
      <c r="I730" s="225"/>
      <c r="J730" s="225"/>
      <c r="K730" s="225"/>
      <c r="L730" s="225"/>
      <c r="M730" s="225"/>
      <c r="N730" s="225"/>
      <c r="O730" s="225"/>
      <c r="P730" s="225"/>
      <c r="Q730" s="225"/>
      <c r="R730" s="225"/>
      <c r="S730" s="225"/>
      <c r="T730" s="225"/>
      <c r="U730" s="225"/>
      <c r="V730" s="225"/>
      <c r="W730" s="225"/>
      <c r="X730" s="225"/>
      <c r="Y730" s="225"/>
      <c r="Z730" s="225"/>
    </row>
    <row r="731">
      <c r="A731" s="225"/>
      <c r="B731" s="225"/>
      <c r="C731" s="225"/>
      <c r="D731" s="225"/>
      <c r="E731" s="225"/>
      <c r="F731" s="225"/>
      <c r="G731" s="225"/>
      <c r="H731" s="225"/>
      <c r="I731" s="225"/>
      <c r="J731" s="225"/>
      <c r="K731" s="225"/>
      <c r="L731" s="225"/>
      <c r="M731" s="225"/>
      <c r="N731" s="225"/>
      <c r="O731" s="225"/>
      <c r="P731" s="225"/>
      <c r="Q731" s="225"/>
      <c r="R731" s="225"/>
      <c r="S731" s="225"/>
      <c r="T731" s="225"/>
      <c r="U731" s="225"/>
      <c r="V731" s="225"/>
      <c r="W731" s="225"/>
      <c r="X731" s="225"/>
      <c r="Y731" s="225"/>
      <c r="Z731" s="225"/>
    </row>
    <row r="732">
      <c r="A732" s="225"/>
      <c r="B732" s="225"/>
      <c r="C732" s="225"/>
      <c r="D732" s="225"/>
      <c r="E732" s="225"/>
      <c r="F732" s="225"/>
      <c r="G732" s="225"/>
      <c r="H732" s="225"/>
      <c r="I732" s="225"/>
      <c r="J732" s="225"/>
      <c r="K732" s="225"/>
      <c r="L732" s="225"/>
      <c r="M732" s="225"/>
      <c r="N732" s="225"/>
      <c r="O732" s="225"/>
      <c r="P732" s="225"/>
      <c r="Q732" s="225"/>
      <c r="R732" s="225"/>
      <c r="S732" s="225"/>
      <c r="T732" s="225"/>
      <c r="U732" s="225"/>
      <c r="V732" s="225"/>
      <c r="W732" s="225"/>
      <c r="X732" s="225"/>
      <c r="Y732" s="225"/>
      <c r="Z732" s="225"/>
    </row>
    <row r="733">
      <c r="A733" s="225"/>
      <c r="B733" s="225"/>
      <c r="C733" s="225"/>
      <c r="D733" s="225"/>
      <c r="E733" s="225"/>
      <c r="F733" s="225"/>
      <c r="G733" s="225"/>
      <c r="H733" s="225"/>
      <c r="I733" s="225"/>
      <c r="J733" s="225"/>
      <c r="K733" s="225"/>
      <c r="L733" s="225"/>
      <c r="M733" s="225"/>
      <c r="N733" s="225"/>
      <c r="O733" s="225"/>
      <c r="P733" s="225"/>
      <c r="Q733" s="225"/>
      <c r="R733" s="225"/>
      <c r="S733" s="225"/>
      <c r="T733" s="225"/>
      <c r="U733" s="225"/>
      <c r="V733" s="225"/>
      <c r="W733" s="225"/>
      <c r="X733" s="225"/>
      <c r="Y733" s="225"/>
      <c r="Z733" s="225"/>
    </row>
    <row r="734">
      <c r="A734" s="225"/>
      <c r="B734" s="225"/>
      <c r="C734" s="225"/>
      <c r="D734" s="225"/>
      <c r="E734" s="225"/>
      <c r="F734" s="225"/>
      <c r="G734" s="225"/>
      <c r="H734" s="225"/>
      <c r="I734" s="225"/>
      <c r="J734" s="225"/>
      <c r="K734" s="225"/>
      <c r="L734" s="225"/>
      <c r="M734" s="225"/>
      <c r="N734" s="225"/>
      <c r="O734" s="225"/>
      <c r="P734" s="225"/>
      <c r="Q734" s="225"/>
      <c r="R734" s="225"/>
      <c r="S734" s="225"/>
      <c r="T734" s="225"/>
      <c r="U734" s="225"/>
      <c r="V734" s="225"/>
      <c r="W734" s="225"/>
      <c r="X734" s="225"/>
      <c r="Y734" s="225"/>
      <c r="Z734" s="225"/>
    </row>
    <row r="735">
      <c r="A735" s="225"/>
      <c r="B735" s="225"/>
      <c r="C735" s="225"/>
      <c r="D735" s="225"/>
      <c r="E735" s="225"/>
      <c r="F735" s="225"/>
      <c r="G735" s="225"/>
      <c r="H735" s="225"/>
      <c r="I735" s="225"/>
      <c r="J735" s="225"/>
      <c r="K735" s="225"/>
      <c r="L735" s="225"/>
      <c r="M735" s="225"/>
      <c r="N735" s="225"/>
      <c r="O735" s="225"/>
      <c r="P735" s="225"/>
      <c r="Q735" s="225"/>
      <c r="R735" s="225"/>
      <c r="S735" s="225"/>
      <c r="T735" s="225"/>
      <c r="U735" s="225"/>
      <c r="V735" s="225"/>
      <c r="W735" s="225"/>
      <c r="X735" s="225"/>
      <c r="Y735" s="225"/>
      <c r="Z735" s="225"/>
    </row>
    <row r="736">
      <c r="A736" s="225"/>
      <c r="B736" s="225"/>
      <c r="C736" s="225"/>
      <c r="D736" s="225"/>
      <c r="E736" s="225"/>
      <c r="F736" s="225"/>
      <c r="G736" s="225"/>
      <c r="H736" s="225"/>
      <c r="I736" s="225"/>
      <c r="J736" s="225"/>
      <c r="K736" s="225"/>
      <c r="L736" s="225"/>
      <c r="M736" s="225"/>
      <c r="N736" s="225"/>
      <c r="O736" s="225"/>
      <c r="P736" s="225"/>
      <c r="Q736" s="225"/>
      <c r="R736" s="225"/>
      <c r="S736" s="225"/>
      <c r="T736" s="225"/>
      <c r="U736" s="225"/>
      <c r="V736" s="225"/>
      <c r="W736" s="225"/>
      <c r="X736" s="225"/>
      <c r="Y736" s="225"/>
      <c r="Z736" s="225"/>
    </row>
    <row r="737">
      <c r="A737" s="225"/>
      <c r="B737" s="225"/>
      <c r="C737" s="225"/>
      <c r="D737" s="225"/>
      <c r="E737" s="225"/>
      <c r="F737" s="225"/>
      <c r="G737" s="225"/>
      <c r="H737" s="225"/>
      <c r="I737" s="225"/>
      <c r="J737" s="225"/>
      <c r="K737" s="225"/>
      <c r="L737" s="225"/>
      <c r="M737" s="225"/>
      <c r="N737" s="225"/>
      <c r="O737" s="225"/>
      <c r="P737" s="225"/>
      <c r="Q737" s="225"/>
      <c r="R737" s="225"/>
      <c r="S737" s="225"/>
      <c r="T737" s="225"/>
      <c r="U737" s="225"/>
      <c r="V737" s="225"/>
      <c r="W737" s="225"/>
      <c r="X737" s="225"/>
      <c r="Y737" s="225"/>
      <c r="Z737" s="225"/>
    </row>
    <row r="738">
      <c r="A738" s="225"/>
      <c r="B738" s="225"/>
      <c r="C738" s="225"/>
      <c r="D738" s="225"/>
      <c r="E738" s="225"/>
      <c r="F738" s="225"/>
      <c r="G738" s="225"/>
      <c r="H738" s="225"/>
      <c r="I738" s="225"/>
      <c r="J738" s="225"/>
      <c r="K738" s="225"/>
      <c r="L738" s="225"/>
      <c r="M738" s="225"/>
      <c r="N738" s="225"/>
      <c r="O738" s="225"/>
      <c r="P738" s="225"/>
      <c r="Q738" s="225"/>
      <c r="R738" s="225"/>
      <c r="S738" s="225"/>
      <c r="T738" s="225"/>
      <c r="U738" s="225"/>
      <c r="V738" s="225"/>
      <c r="W738" s="225"/>
      <c r="X738" s="225"/>
      <c r="Y738" s="225"/>
      <c r="Z738" s="225"/>
    </row>
    <row r="739">
      <c r="A739" s="225"/>
      <c r="B739" s="225"/>
      <c r="C739" s="225"/>
      <c r="D739" s="225"/>
      <c r="E739" s="225"/>
      <c r="F739" s="225"/>
      <c r="G739" s="225"/>
      <c r="H739" s="225"/>
      <c r="I739" s="225"/>
      <c r="J739" s="225"/>
      <c r="K739" s="225"/>
      <c r="L739" s="225"/>
      <c r="M739" s="225"/>
      <c r="N739" s="225"/>
      <c r="O739" s="225"/>
      <c r="P739" s="225"/>
      <c r="Q739" s="225"/>
      <c r="R739" s="225"/>
      <c r="S739" s="225"/>
      <c r="T739" s="225"/>
      <c r="U739" s="225"/>
      <c r="V739" s="225"/>
      <c r="W739" s="225"/>
      <c r="X739" s="225"/>
      <c r="Y739" s="225"/>
      <c r="Z739" s="225"/>
    </row>
    <row r="740">
      <c r="A740" s="225"/>
      <c r="B740" s="225"/>
      <c r="C740" s="225"/>
      <c r="D740" s="225"/>
      <c r="E740" s="225"/>
      <c r="F740" s="225"/>
      <c r="G740" s="225"/>
      <c r="H740" s="225"/>
      <c r="I740" s="225"/>
      <c r="J740" s="225"/>
      <c r="K740" s="225"/>
      <c r="L740" s="225"/>
      <c r="M740" s="225"/>
      <c r="N740" s="225"/>
      <c r="O740" s="225"/>
      <c r="P740" s="225"/>
      <c r="Q740" s="225"/>
      <c r="R740" s="225"/>
      <c r="S740" s="225"/>
      <c r="T740" s="225"/>
      <c r="U740" s="225"/>
      <c r="V740" s="225"/>
      <c r="W740" s="225"/>
      <c r="X740" s="225"/>
      <c r="Y740" s="225"/>
      <c r="Z740" s="225"/>
    </row>
    <row r="741">
      <c r="A741" s="225"/>
      <c r="B741" s="225"/>
      <c r="C741" s="225"/>
      <c r="D741" s="225"/>
      <c r="E741" s="225"/>
      <c r="F741" s="225"/>
      <c r="G741" s="225"/>
      <c r="H741" s="225"/>
      <c r="I741" s="225"/>
      <c r="J741" s="225"/>
      <c r="K741" s="225"/>
      <c r="L741" s="225"/>
      <c r="M741" s="225"/>
      <c r="N741" s="225"/>
      <c r="O741" s="225"/>
      <c r="P741" s="225"/>
      <c r="Q741" s="225"/>
      <c r="R741" s="225"/>
      <c r="S741" s="225"/>
      <c r="T741" s="225"/>
      <c r="U741" s="225"/>
      <c r="V741" s="225"/>
      <c r="W741" s="225"/>
      <c r="X741" s="225"/>
      <c r="Y741" s="225"/>
      <c r="Z741" s="225"/>
    </row>
    <row r="742">
      <c r="A742" s="225"/>
      <c r="B742" s="225"/>
      <c r="C742" s="225"/>
      <c r="D742" s="225"/>
      <c r="E742" s="225"/>
      <c r="F742" s="225"/>
      <c r="G742" s="225"/>
      <c r="H742" s="225"/>
      <c r="I742" s="225"/>
      <c r="J742" s="225"/>
      <c r="K742" s="225"/>
      <c r="L742" s="225"/>
      <c r="M742" s="225"/>
      <c r="N742" s="225"/>
      <c r="O742" s="225"/>
      <c r="P742" s="225"/>
      <c r="Q742" s="225"/>
      <c r="R742" s="225"/>
      <c r="S742" s="225"/>
      <c r="T742" s="225"/>
      <c r="U742" s="225"/>
      <c r="V742" s="225"/>
      <c r="W742" s="225"/>
      <c r="X742" s="225"/>
      <c r="Y742" s="225"/>
      <c r="Z742" s="225"/>
    </row>
    <row r="743">
      <c r="A743" s="225"/>
      <c r="B743" s="225"/>
      <c r="C743" s="225"/>
      <c r="D743" s="225"/>
      <c r="E743" s="225"/>
      <c r="F743" s="225"/>
      <c r="G743" s="225"/>
      <c r="H743" s="225"/>
      <c r="I743" s="225"/>
      <c r="J743" s="225"/>
      <c r="K743" s="225"/>
      <c r="L743" s="225"/>
      <c r="M743" s="225"/>
      <c r="N743" s="225"/>
      <c r="O743" s="225"/>
      <c r="P743" s="225"/>
      <c r="Q743" s="225"/>
      <c r="R743" s="225"/>
      <c r="S743" s="225"/>
      <c r="T743" s="225"/>
      <c r="U743" s="225"/>
      <c r="V743" s="225"/>
      <c r="W743" s="225"/>
      <c r="X743" s="225"/>
      <c r="Y743" s="225"/>
      <c r="Z743" s="225"/>
    </row>
    <row r="744">
      <c r="A744" s="225"/>
      <c r="B744" s="225"/>
      <c r="C744" s="225"/>
      <c r="D744" s="225"/>
      <c r="E744" s="225"/>
      <c r="F744" s="225"/>
      <c r="G744" s="225"/>
      <c r="H744" s="225"/>
      <c r="I744" s="225"/>
      <c r="J744" s="225"/>
      <c r="K744" s="225"/>
      <c r="L744" s="225"/>
      <c r="M744" s="225"/>
      <c r="N744" s="225"/>
      <c r="O744" s="225"/>
      <c r="P744" s="225"/>
      <c r="Q744" s="225"/>
      <c r="R744" s="225"/>
      <c r="S744" s="225"/>
      <c r="T744" s="225"/>
      <c r="U744" s="225"/>
      <c r="V744" s="225"/>
      <c r="W744" s="225"/>
      <c r="X744" s="225"/>
      <c r="Y744" s="225"/>
      <c r="Z744" s="225"/>
    </row>
    <row r="745">
      <c r="A745" s="225"/>
      <c r="B745" s="225"/>
      <c r="C745" s="225"/>
      <c r="D745" s="225"/>
      <c r="E745" s="225"/>
      <c r="F745" s="225"/>
      <c r="G745" s="225"/>
      <c r="H745" s="225"/>
      <c r="I745" s="225"/>
      <c r="J745" s="225"/>
      <c r="K745" s="225"/>
      <c r="L745" s="225"/>
      <c r="M745" s="225"/>
      <c r="N745" s="225"/>
      <c r="O745" s="225"/>
      <c r="P745" s="225"/>
      <c r="Q745" s="225"/>
      <c r="R745" s="225"/>
      <c r="S745" s="225"/>
      <c r="T745" s="225"/>
      <c r="U745" s="225"/>
      <c r="V745" s="225"/>
      <c r="W745" s="225"/>
      <c r="X745" s="225"/>
      <c r="Y745" s="225"/>
      <c r="Z745" s="225"/>
    </row>
    <row r="746">
      <c r="A746" s="225"/>
      <c r="B746" s="225"/>
      <c r="C746" s="225"/>
      <c r="D746" s="225"/>
      <c r="E746" s="225"/>
      <c r="F746" s="225"/>
      <c r="G746" s="225"/>
      <c r="H746" s="225"/>
      <c r="I746" s="225"/>
      <c r="J746" s="225"/>
      <c r="K746" s="225"/>
      <c r="L746" s="225"/>
      <c r="M746" s="225"/>
      <c r="N746" s="225"/>
      <c r="O746" s="225"/>
      <c r="P746" s="225"/>
      <c r="Q746" s="225"/>
      <c r="R746" s="225"/>
      <c r="S746" s="225"/>
      <c r="T746" s="225"/>
      <c r="U746" s="225"/>
      <c r="V746" s="225"/>
      <c r="W746" s="225"/>
      <c r="X746" s="225"/>
      <c r="Y746" s="225"/>
      <c r="Z746" s="225"/>
    </row>
    <row r="747">
      <c r="A747" s="225"/>
      <c r="B747" s="225"/>
      <c r="C747" s="225"/>
      <c r="D747" s="225"/>
      <c r="E747" s="225"/>
      <c r="F747" s="225"/>
      <c r="G747" s="225"/>
      <c r="H747" s="225"/>
      <c r="I747" s="225"/>
      <c r="J747" s="225"/>
      <c r="K747" s="225"/>
      <c r="L747" s="225"/>
      <c r="M747" s="225"/>
      <c r="N747" s="225"/>
      <c r="O747" s="225"/>
      <c r="P747" s="225"/>
      <c r="Q747" s="225"/>
      <c r="R747" s="225"/>
      <c r="S747" s="225"/>
      <c r="T747" s="225"/>
      <c r="U747" s="225"/>
      <c r="V747" s="225"/>
      <c r="W747" s="225"/>
      <c r="X747" s="225"/>
      <c r="Y747" s="225"/>
      <c r="Z747" s="225"/>
    </row>
    <row r="748">
      <c r="A748" s="225"/>
      <c r="B748" s="225"/>
      <c r="C748" s="225"/>
      <c r="D748" s="225"/>
      <c r="E748" s="225"/>
      <c r="F748" s="225"/>
      <c r="G748" s="225"/>
      <c r="H748" s="225"/>
      <c r="I748" s="225"/>
      <c r="J748" s="225"/>
      <c r="K748" s="225"/>
      <c r="L748" s="225"/>
      <c r="M748" s="225"/>
      <c r="N748" s="225"/>
      <c r="O748" s="225"/>
      <c r="P748" s="225"/>
      <c r="Q748" s="225"/>
      <c r="R748" s="225"/>
      <c r="S748" s="225"/>
      <c r="T748" s="225"/>
      <c r="U748" s="225"/>
      <c r="V748" s="225"/>
      <c r="W748" s="225"/>
      <c r="X748" s="225"/>
      <c r="Y748" s="225"/>
      <c r="Z748" s="225"/>
    </row>
    <row r="749">
      <c r="A749" s="225"/>
      <c r="B749" s="225"/>
      <c r="C749" s="225"/>
      <c r="D749" s="225"/>
      <c r="E749" s="225"/>
      <c r="F749" s="225"/>
      <c r="G749" s="225"/>
      <c r="H749" s="225"/>
      <c r="I749" s="225"/>
      <c r="J749" s="225"/>
      <c r="K749" s="225"/>
      <c r="L749" s="225"/>
      <c r="M749" s="225"/>
      <c r="N749" s="225"/>
      <c r="O749" s="225"/>
      <c r="P749" s="225"/>
      <c r="Q749" s="225"/>
      <c r="R749" s="225"/>
      <c r="S749" s="225"/>
      <c r="T749" s="225"/>
      <c r="U749" s="225"/>
      <c r="V749" s="225"/>
      <c r="W749" s="225"/>
      <c r="X749" s="225"/>
      <c r="Y749" s="225"/>
      <c r="Z749" s="225"/>
    </row>
    <row r="750">
      <c r="A750" s="225"/>
      <c r="B750" s="225"/>
      <c r="C750" s="225"/>
      <c r="D750" s="225"/>
      <c r="E750" s="225"/>
      <c r="F750" s="225"/>
      <c r="G750" s="225"/>
      <c r="H750" s="225"/>
      <c r="I750" s="225"/>
      <c r="J750" s="225"/>
      <c r="K750" s="225"/>
      <c r="L750" s="225"/>
      <c r="M750" s="225"/>
      <c r="N750" s="225"/>
      <c r="O750" s="225"/>
      <c r="P750" s="225"/>
      <c r="Q750" s="225"/>
      <c r="R750" s="225"/>
      <c r="S750" s="225"/>
      <c r="T750" s="225"/>
      <c r="U750" s="225"/>
      <c r="V750" s="225"/>
      <c r="W750" s="225"/>
      <c r="X750" s="225"/>
      <c r="Y750" s="225"/>
      <c r="Z750" s="225"/>
    </row>
    <row r="751">
      <c r="A751" s="225"/>
      <c r="B751" s="225"/>
      <c r="C751" s="225"/>
      <c r="D751" s="225"/>
      <c r="E751" s="225"/>
      <c r="F751" s="225"/>
      <c r="G751" s="225"/>
      <c r="H751" s="225"/>
      <c r="I751" s="225"/>
      <c r="J751" s="225"/>
      <c r="K751" s="225"/>
      <c r="L751" s="225"/>
      <c r="M751" s="225"/>
      <c r="N751" s="225"/>
      <c r="O751" s="225"/>
      <c r="P751" s="225"/>
      <c r="Q751" s="225"/>
      <c r="R751" s="225"/>
      <c r="S751" s="225"/>
      <c r="T751" s="225"/>
      <c r="U751" s="225"/>
      <c r="V751" s="225"/>
      <c r="W751" s="225"/>
      <c r="X751" s="225"/>
      <c r="Y751" s="225"/>
      <c r="Z751" s="225"/>
    </row>
    <row r="752">
      <c r="A752" s="225"/>
      <c r="B752" s="225"/>
      <c r="C752" s="225"/>
      <c r="D752" s="225"/>
      <c r="E752" s="225"/>
      <c r="F752" s="225"/>
      <c r="G752" s="225"/>
      <c r="H752" s="225"/>
      <c r="I752" s="225"/>
      <c r="J752" s="225"/>
      <c r="K752" s="225"/>
      <c r="L752" s="225"/>
      <c r="M752" s="225"/>
      <c r="N752" s="225"/>
      <c r="O752" s="225"/>
      <c r="P752" s="225"/>
      <c r="Q752" s="225"/>
      <c r="R752" s="225"/>
      <c r="S752" s="225"/>
      <c r="T752" s="225"/>
      <c r="U752" s="225"/>
      <c r="V752" s="225"/>
      <c r="W752" s="225"/>
      <c r="X752" s="225"/>
      <c r="Y752" s="225"/>
      <c r="Z752" s="225"/>
    </row>
    <row r="753">
      <c r="A753" s="225"/>
      <c r="B753" s="225"/>
      <c r="C753" s="225"/>
      <c r="D753" s="225"/>
      <c r="E753" s="225"/>
      <c r="F753" s="225"/>
      <c r="G753" s="225"/>
      <c r="H753" s="225"/>
      <c r="I753" s="225"/>
      <c r="J753" s="225"/>
      <c r="K753" s="225"/>
      <c r="L753" s="225"/>
      <c r="M753" s="225"/>
      <c r="N753" s="225"/>
      <c r="O753" s="225"/>
      <c r="P753" s="225"/>
      <c r="Q753" s="225"/>
      <c r="R753" s="225"/>
      <c r="S753" s="225"/>
      <c r="T753" s="225"/>
      <c r="U753" s="225"/>
      <c r="V753" s="225"/>
      <c r="W753" s="225"/>
      <c r="X753" s="225"/>
      <c r="Y753" s="225"/>
      <c r="Z753" s="225"/>
    </row>
    <row r="754">
      <c r="A754" s="225"/>
      <c r="B754" s="225"/>
      <c r="C754" s="225"/>
      <c r="D754" s="225"/>
      <c r="E754" s="225"/>
      <c r="F754" s="225"/>
      <c r="G754" s="225"/>
      <c r="H754" s="225"/>
      <c r="I754" s="225"/>
      <c r="J754" s="225"/>
      <c r="K754" s="225"/>
      <c r="L754" s="225"/>
      <c r="M754" s="225"/>
      <c r="N754" s="225"/>
      <c r="O754" s="225"/>
      <c r="P754" s="225"/>
      <c r="Q754" s="225"/>
      <c r="R754" s="225"/>
      <c r="S754" s="225"/>
      <c r="T754" s="225"/>
      <c r="U754" s="225"/>
      <c r="V754" s="225"/>
      <c r="W754" s="225"/>
      <c r="X754" s="225"/>
      <c r="Y754" s="225"/>
      <c r="Z754" s="225"/>
    </row>
    <row r="755">
      <c r="A755" s="225"/>
      <c r="B755" s="225"/>
      <c r="C755" s="225"/>
      <c r="D755" s="225"/>
      <c r="E755" s="225"/>
      <c r="F755" s="225"/>
      <c r="G755" s="225"/>
      <c r="H755" s="225"/>
      <c r="I755" s="225"/>
      <c r="J755" s="225"/>
      <c r="K755" s="225"/>
      <c r="L755" s="225"/>
      <c r="M755" s="225"/>
      <c r="N755" s="225"/>
      <c r="O755" s="225"/>
      <c r="P755" s="225"/>
      <c r="Q755" s="225"/>
      <c r="R755" s="225"/>
      <c r="S755" s="225"/>
      <c r="T755" s="225"/>
      <c r="U755" s="225"/>
      <c r="V755" s="225"/>
      <c r="W755" s="225"/>
      <c r="X755" s="225"/>
      <c r="Y755" s="225"/>
      <c r="Z755" s="225"/>
    </row>
    <row r="756">
      <c r="A756" s="225"/>
      <c r="B756" s="225"/>
      <c r="C756" s="225"/>
      <c r="D756" s="225"/>
      <c r="E756" s="225"/>
      <c r="F756" s="225"/>
      <c r="G756" s="225"/>
      <c r="H756" s="225"/>
      <c r="I756" s="225"/>
      <c r="J756" s="225"/>
      <c r="K756" s="225"/>
      <c r="L756" s="225"/>
      <c r="M756" s="225"/>
      <c r="N756" s="225"/>
      <c r="O756" s="225"/>
      <c r="P756" s="225"/>
      <c r="Q756" s="225"/>
      <c r="R756" s="225"/>
      <c r="S756" s="225"/>
      <c r="T756" s="225"/>
      <c r="U756" s="225"/>
      <c r="V756" s="225"/>
      <c r="W756" s="225"/>
      <c r="X756" s="225"/>
      <c r="Y756" s="225"/>
      <c r="Z756" s="225"/>
    </row>
    <row r="757">
      <c r="A757" s="225"/>
      <c r="B757" s="225"/>
      <c r="C757" s="225"/>
      <c r="D757" s="225"/>
      <c r="E757" s="225"/>
      <c r="F757" s="225"/>
      <c r="G757" s="225"/>
      <c r="H757" s="225"/>
      <c r="I757" s="225"/>
      <c r="J757" s="225"/>
      <c r="K757" s="225"/>
      <c r="L757" s="225"/>
      <c r="M757" s="225"/>
      <c r="N757" s="225"/>
      <c r="O757" s="225"/>
      <c r="P757" s="225"/>
      <c r="Q757" s="225"/>
      <c r="R757" s="225"/>
      <c r="S757" s="225"/>
      <c r="T757" s="225"/>
      <c r="U757" s="225"/>
      <c r="V757" s="225"/>
      <c r="W757" s="225"/>
      <c r="X757" s="225"/>
      <c r="Y757" s="225"/>
      <c r="Z757" s="225"/>
    </row>
    <row r="758">
      <c r="A758" s="225"/>
      <c r="B758" s="225"/>
      <c r="C758" s="225"/>
      <c r="D758" s="225"/>
      <c r="E758" s="225"/>
      <c r="F758" s="225"/>
      <c r="G758" s="225"/>
      <c r="H758" s="225"/>
      <c r="I758" s="225"/>
      <c r="J758" s="225"/>
      <c r="K758" s="225"/>
      <c r="L758" s="225"/>
      <c r="M758" s="225"/>
      <c r="N758" s="225"/>
      <c r="O758" s="225"/>
      <c r="P758" s="225"/>
      <c r="Q758" s="225"/>
      <c r="R758" s="225"/>
      <c r="S758" s="225"/>
      <c r="T758" s="225"/>
      <c r="U758" s="225"/>
      <c r="V758" s="225"/>
      <c r="W758" s="225"/>
      <c r="X758" s="225"/>
      <c r="Y758" s="225"/>
      <c r="Z758" s="225"/>
    </row>
    <row r="759">
      <c r="A759" s="225"/>
      <c r="B759" s="225"/>
      <c r="C759" s="225"/>
      <c r="D759" s="225"/>
      <c r="E759" s="225"/>
      <c r="F759" s="225"/>
      <c r="G759" s="225"/>
      <c r="H759" s="225"/>
      <c r="I759" s="225"/>
      <c r="J759" s="225"/>
      <c r="K759" s="225"/>
      <c r="L759" s="225"/>
      <c r="M759" s="225"/>
      <c r="N759" s="225"/>
      <c r="O759" s="225"/>
      <c r="P759" s="225"/>
      <c r="Q759" s="225"/>
      <c r="R759" s="225"/>
      <c r="S759" s="225"/>
      <c r="T759" s="225"/>
      <c r="U759" s="225"/>
      <c r="V759" s="225"/>
      <c r="W759" s="225"/>
      <c r="X759" s="225"/>
      <c r="Y759" s="225"/>
      <c r="Z759" s="225"/>
    </row>
    <row r="760">
      <c r="A760" s="225"/>
      <c r="B760" s="225"/>
      <c r="C760" s="225"/>
      <c r="D760" s="225"/>
      <c r="E760" s="225"/>
      <c r="F760" s="225"/>
      <c r="G760" s="225"/>
      <c r="H760" s="225"/>
      <c r="I760" s="225"/>
      <c r="J760" s="225"/>
      <c r="K760" s="225"/>
      <c r="L760" s="225"/>
      <c r="M760" s="225"/>
      <c r="N760" s="225"/>
      <c r="O760" s="225"/>
      <c r="P760" s="225"/>
      <c r="Q760" s="225"/>
      <c r="R760" s="225"/>
      <c r="S760" s="225"/>
      <c r="T760" s="225"/>
      <c r="U760" s="225"/>
      <c r="V760" s="225"/>
      <c r="W760" s="225"/>
      <c r="X760" s="225"/>
      <c r="Y760" s="225"/>
      <c r="Z760" s="225"/>
    </row>
    <row r="761">
      <c r="A761" s="225"/>
      <c r="B761" s="225"/>
      <c r="C761" s="225"/>
      <c r="D761" s="225"/>
      <c r="E761" s="225"/>
      <c r="F761" s="225"/>
      <c r="G761" s="225"/>
      <c r="H761" s="225"/>
      <c r="I761" s="225"/>
      <c r="J761" s="225"/>
      <c r="K761" s="225"/>
      <c r="L761" s="225"/>
      <c r="M761" s="225"/>
      <c r="N761" s="225"/>
      <c r="O761" s="225"/>
      <c r="P761" s="225"/>
      <c r="Q761" s="225"/>
      <c r="R761" s="225"/>
      <c r="S761" s="225"/>
      <c r="T761" s="225"/>
      <c r="U761" s="225"/>
      <c r="V761" s="225"/>
      <c r="W761" s="225"/>
      <c r="X761" s="225"/>
      <c r="Y761" s="225"/>
      <c r="Z761" s="225"/>
    </row>
    <row r="762">
      <c r="A762" s="225"/>
      <c r="B762" s="225"/>
      <c r="C762" s="225"/>
      <c r="D762" s="225"/>
      <c r="E762" s="225"/>
      <c r="F762" s="225"/>
      <c r="G762" s="225"/>
      <c r="H762" s="225"/>
      <c r="I762" s="225"/>
      <c r="J762" s="225"/>
      <c r="K762" s="225"/>
      <c r="L762" s="225"/>
      <c r="M762" s="225"/>
      <c r="N762" s="225"/>
      <c r="O762" s="225"/>
      <c r="P762" s="225"/>
      <c r="Q762" s="225"/>
      <c r="R762" s="225"/>
      <c r="S762" s="225"/>
      <c r="T762" s="225"/>
      <c r="U762" s="225"/>
      <c r="V762" s="225"/>
      <c r="W762" s="225"/>
      <c r="X762" s="225"/>
      <c r="Y762" s="225"/>
      <c r="Z762" s="225"/>
    </row>
    <row r="763">
      <c r="A763" s="225"/>
      <c r="B763" s="225"/>
      <c r="C763" s="225"/>
      <c r="D763" s="225"/>
      <c r="E763" s="225"/>
      <c r="F763" s="225"/>
      <c r="G763" s="225"/>
      <c r="H763" s="225"/>
      <c r="I763" s="225"/>
      <c r="J763" s="225"/>
      <c r="K763" s="225"/>
      <c r="L763" s="225"/>
      <c r="M763" s="225"/>
      <c r="N763" s="225"/>
      <c r="O763" s="225"/>
      <c r="P763" s="225"/>
      <c r="Q763" s="225"/>
      <c r="R763" s="225"/>
      <c r="S763" s="225"/>
      <c r="T763" s="225"/>
      <c r="U763" s="225"/>
      <c r="V763" s="225"/>
      <c r="W763" s="225"/>
      <c r="X763" s="225"/>
      <c r="Y763" s="225"/>
      <c r="Z763" s="225"/>
    </row>
    <row r="764">
      <c r="A764" s="225"/>
      <c r="B764" s="225"/>
      <c r="C764" s="225"/>
      <c r="D764" s="225"/>
      <c r="E764" s="225"/>
      <c r="F764" s="225"/>
      <c r="G764" s="225"/>
      <c r="H764" s="225"/>
      <c r="I764" s="225"/>
      <c r="J764" s="225"/>
      <c r="K764" s="225"/>
      <c r="L764" s="225"/>
      <c r="M764" s="225"/>
      <c r="N764" s="225"/>
      <c r="O764" s="225"/>
      <c r="P764" s="225"/>
      <c r="Q764" s="225"/>
      <c r="R764" s="225"/>
      <c r="S764" s="225"/>
      <c r="T764" s="225"/>
      <c r="U764" s="225"/>
      <c r="V764" s="225"/>
      <c r="W764" s="225"/>
      <c r="X764" s="225"/>
      <c r="Y764" s="225"/>
      <c r="Z764" s="225"/>
    </row>
    <row r="765">
      <c r="A765" s="225"/>
      <c r="B765" s="225"/>
      <c r="C765" s="225"/>
      <c r="D765" s="225"/>
      <c r="E765" s="225"/>
      <c r="F765" s="225"/>
      <c r="G765" s="225"/>
      <c r="H765" s="225"/>
      <c r="I765" s="225"/>
      <c r="J765" s="225"/>
      <c r="K765" s="225"/>
      <c r="L765" s="225"/>
      <c r="M765" s="225"/>
      <c r="N765" s="225"/>
      <c r="O765" s="225"/>
      <c r="P765" s="225"/>
      <c r="Q765" s="225"/>
      <c r="R765" s="225"/>
      <c r="S765" s="225"/>
      <c r="T765" s="225"/>
      <c r="U765" s="225"/>
      <c r="V765" s="225"/>
      <c r="W765" s="225"/>
      <c r="X765" s="225"/>
      <c r="Y765" s="225"/>
      <c r="Z765" s="225"/>
    </row>
    <row r="766">
      <c r="A766" s="225"/>
      <c r="B766" s="225"/>
      <c r="C766" s="225"/>
      <c r="D766" s="225"/>
      <c r="E766" s="225"/>
      <c r="F766" s="225"/>
      <c r="G766" s="225"/>
      <c r="H766" s="225"/>
      <c r="I766" s="225"/>
      <c r="J766" s="225"/>
      <c r="K766" s="225"/>
      <c r="L766" s="225"/>
      <c r="M766" s="225"/>
      <c r="N766" s="225"/>
      <c r="O766" s="225"/>
      <c r="P766" s="225"/>
      <c r="Q766" s="225"/>
      <c r="R766" s="225"/>
      <c r="S766" s="225"/>
      <c r="T766" s="225"/>
      <c r="U766" s="225"/>
      <c r="V766" s="225"/>
      <c r="W766" s="225"/>
      <c r="X766" s="225"/>
      <c r="Y766" s="225"/>
      <c r="Z766" s="225"/>
    </row>
    <row r="767">
      <c r="A767" s="225"/>
      <c r="B767" s="225"/>
      <c r="C767" s="225"/>
      <c r="D767" s="225"/>
      <c r="E767" s="225"/>
      <c r="F767" s="225"/>
      <c r="G767" s="225"/>
      <c r="H767" s="225"/>
      <c r="I767" s="225"/>
      <c r="J767" s="225"/>
      <c r="K767" s="225"/>
      <c r="L767" s="225"/>
      <c r="M767" s="225"/>
      <c r="N767" s="225"/>
      <c r="O767" s="225"/>
      <c r="P767" s="225"/>
      <c r="Q767" s="225"/>
      <c r="R767" s="225"/>
      <c r="S767" s="225"/>
      <c r="T767" s="225"/>
      <c r="U767" s="225"/>
      <c r="V767" s="225"/>
      <c r="W767" s="225"/>
      <c r="X767" s="225"/>
      <c r="Y767" s="225"/>
      <c r="Z767" s="225"/>
    </row>
    <row r="768">
      <c r="A768" s="225"/>
      <c r="B768" s="225"/>
      <c r="C768" s="225"/>
      <c r="D768" s="225"/>
      <c r="E768" s="225"/>
      <c r="F768" s="225"/>
      <c r="G768" s="225"/>
      <c r="H768" s="225"/>
      <c r="I768" s="225"/>
      <c r="J768" s="225"/>
      <c r="K768" s="225"/>
      <c r="L768" s="225"/>
      <c r="M768" s="225"/>
      <c r="N768" s="225"/>
      <c r="O768" s="225"/>
      <c r="P768" s="225"/>
      <c r="Q768" s="225"/>
      <c r="R768" s="225"/>
      <c r="S768" s="225"/>
      <c r="T768" s="225"/>
      <c r="U768" s="225"/>
      <c r="V768" s="225"/>
      <c r="W768" s="225"/>
      <c r="X768" s="225"/>
      <c r="Y768" s="225"/>
      <c r="Z768" s="225"/>
    </row>
    <row r="769">
      <c r="A769" s="225"/>
      <c r="B769" s="225"/>
      <c r="C769" s="225"/>
      <c r="D769" s="225"/>
      <c r="E769" s="225"/>
      <c r="F769" s="225"/>
      <c r="G769" s="225"/>
      <c r="H769" s="225"/>
      <c r="I769" s="225"/>
      <c r="J769" s="225"/>
      <c r="K769" s="225"/>
      <c r="L769" s="225"/>
      <c r="M769" s="225"/>
      <c r="N769" s="225"/>
      <c r="O769" s="225"/>
      <c r="P769" s="225"/>
      <c r="Q769" s="225"/>
      <c r="R769" s="225"/>
      <c r="S769" s="225"/>
      <c r="T769" s="225"/>
      <c r="U769" s="225"/>
      <c r="V769" s="225"/>
      <c r="W769" s="225"/>
      <c r="X769" s="225"/>
      <c r="Y769" s="225"/>
      <c r="Z769" s="225"/>
    </row>
    <row r="770">
      <c r="A770" s="225"/>
      <c r="B770" s="225"/>
      <c r="C770" s="225"/>
      <c r="D770" s="225"/>
      <c r="E770" s="225"/>
      <c r="F770" s="225"/>
      <c r="G770" s="225"/>
      <c r="H770" s="225"/>
      <c r="I770" s="225"/>
      <c r="J770" s="225"/>
      <c r="K770" s="225"/>
      <c r="L770" s="225"/>
      <c r="M770" s="225"/>
      <c r="N770" s="225"/>
      <c r="O770" s="225"/>
      <c r="P770" s="225"/>
      <c r="Q770" s="225"/>
      <c r="R770" s="225"/>
      <c r="S770" s="225"/>
      <c r="T770" s="225"/>
      <c r="U770" s="225"/>
      <c r="V770" s="225"/>
      <c r="W770" s="225"/>
      <c r="X770" s="225"/>
      <c r="Y770" s="225"/>
      <c r="Z770" s="225"/>
    </row>
    <row r="771">
      <c r="A771" s="225"/>
      <c r="B771" s="225"/>
      <c r="C771" s="225"/>
      <c r="D771" s="225"/>
      <c r="E771" s="225"/>
      <c r="F771" s="225"/>
      <c r="G771" s="225"/>
      <c r="H771" s="225"/>
      <c r="I771" s="225"/>
      <c r="J771" s="225"/>
      <c r="K771" s="225"/>
      <c r="L771" s="225"/>
      <c r="M771" s="225"/>
      <c r="N771" s="225"/>
      <c r="O771" s="225"/>
      <c r="P771" s="225"/>
      <c r="Q771" s="225"/>
      <c r="R771" s="225"/>
      <c r="S771" s="225"/>
      <c r="T771" s="225"/>
      <c r="U771" s="225"/>
      <c r="V771" s="225"/>
      <c r="W771" s="225"/>
      <c r="X771" s="225"/>
      <c r="Y771" s="225"/>
      <c r="Z771" s="225"/>
    </row>
    <row r="772">
      <c r="A772" s="225"/>
      <c r="B772" s="225"/>
      <c r="C772" s="225"/>
      <c r="D772" s="225"/>
      <c r="E772" s="225"/>
      <c r="F772" s="225"/>
      <c r="G772" s="225"/>
      <c r="H772" s="225"/>
      <c r="I772" s="225"/>
      <c r="J772" s="225"/>
      <c r="K772" s="225"/>
      <c r="L772" s="225"/>
      <c r="M772" s="225"/>
      <c r="N772" s="225"/>
      <c r="O772" s="225"/>
      <c r="P772" s="225"/>
      <c r="Q772" s="225"/>
      <c r="R772" s="225"/>
      <c r="S772" s="225"/>
      <c r="T772" s="225"/>
      <c r="U772" s="225"/>
      <c r="V772" s="225"/>
      <c r="W772" s="225"/>
      <c r="X772" s="225"/>
      <c r="Y772" s="225"/>
      <c r="Z772" s="225"/>
    </row>
    <row r="773">
      <c r="A773" s="225"/>
      <c r="B773" s="225"/>
      <c r="C773" s="225"/>
      <c r="D773" s="225"/>
      <c r="E773" s="225"/>
      <c r="F773" s="225"/>
      <c r="G773" s="225"/>
      <c r="H773" s="225"/>
      <c r="I773" s="225"/>
      <c r="J773" s="225"/>
      <c r="K773" s="225"/>
      <c r="L773" s="225"/>
      <c r="M773" s="225"/>
      <c r="N773" s="225"/>
      <c r="O773" s="225"/>
      <c r="P773" s="225"/>
      <c r="Q773" s="225"/>
      <c r="R773" s="225"/>
      <c r="S773" s="225"/>
      <c r="T773" s="225"/>
      <c r="U773" s="225"/>
      <c r="V773" s="225"/>
      <c r="W773" s="225"/>
      <c r="X773" s="225"/>
      <c r="Y773" s="225"/>
      <c r="Z773" s="225"/>
    </row>
    <row r="774">
      <c r="A774" s="225"/>
      <c r="B774" s="225"/>
      <c r="C774" s="225"/>
      <c r="D774" s="225"/>
      <c r="E774" s="225"/>
      <c r="F774" s="225"/>
      <c r="G774" s="225"/>
      <c r="H774" s="225"/>
      <c r="I774" s="225"/>
      <c r="J774" s="225"/>
      <c r="K774" s="225"/>
      <c r="L774" s="225"/>
      <c r="M774" s="225"/>
      <c r="N774" s="225"/>
      <c r="O774" s="225"/>
      <c r="P774" s="225"/>
      <c r="Q774" s="225"/>
      <c r="R774" s="225"/>
      <c r="S774" s="225"/>
      <c r="T774" s="225"/>
      <c r="U774" s="225"/>
      <c r="V774" s="225"/>
      <c r="W774" s="225"/>
      <c r="X774" s="225"/>
      <c r="Y774" s="225"/>
      <c r="Z774" s="225"/>
    </row>
    <row r="775">
      <c r="A775" s="225"/>
      <c r="B775" s="225"/>
      <c r="C775" s="225"/>
      <c r="D775" s="225"/>
      <c r="E775" s="225"/>
      <c r="F775" s="225"/>
      <c r="G775" s="225"/>
      <c r="H775" s="225"/>
      <c r="I775" s="225"/>
      <c r="J775" s="225"/>
      <c r="K775" s="225"/>
      <c r="L775" s="225"/>
      <c r="M775" s="225"/>
      <c r="N775" s="225"/>
      <c r="O775" s="225"/>
      <c r="P775" s="225"/>
      <c r="Q775" s="225"/>
      <c r="R775" s="225"/>
      <c r="S775" s="225"/>
      <c r="T775" s="225"/>
      <c r="U775" s="225"/>
      <c r="V775" s="225"/>
      <c r="W775" s="225"/>
      <c r="X775" s="225"/>
      <c r="Y775" s="225"/>
      <c r="Z775" s="225"/>
    </row>
    <row r="776">
      <c r="A776" s="225"/>
      <c r="B776" s="225"/>
      <c r="C776" s="225"/>
      <c r="D776" s="225"/>
      <c r="E776" s="225"/>
      <c r="F776" s="225"/>
      <c r="G776" s="225"/>
      <c r="H776" s="225"/>
      <c r="I776" s="225"/>
      <c r="J776" s="225"/>
      <c r="K776" s="225"/>
      <c r="L776" s="225"/>
      <c r="M776" s="225"/>
      <c r="N776" s="225"/>
      <c r="O776" s="225"/>
      <c r="P776" s="225"/>
      <c r="Q776" s="225"/>
      <c r="R776" s="225"/>
      <c r="S776" s="225"/>
      <c r="T776" s="225"/>
      <c r="U776" s="225"/>
      <c r="V776" s="225"/>
      <c r="W776" s="225"/>
      <c r="X776" s="225"/>
      <c r="Y776" s="225"/>
      <c r="Z776" s="225"/>
    </row>
    <row r="777">
      <c r="A777" s="225"/>
      <c r="B777" s="225"/>
      <c r="C777" s="225"/>
      <c r="D777" s="225"/>
      <c r="E777" s="225"/>
      <c r="F777" s="225"/>
      <c r="G777" s="225"/>
      <c r="H777" s="225"/>
      <c r="I777" s="225"/>
      <c r="J777" s="225"/>
      <c r="K777" s="225"/>
      <c r="L777" s="225"/>
      <c r="M777" s="225"/>
      <c r="N777" s="225"/>
      <c r="O777" s="225"/>
      <c r="P777" s="225"/>
      <c r="Q777" s="225"/>
      <c r="R777" s="225"/>
      <c r="S777" s="225"/>
      <c r="T777" s="225"/>
      <c r="U777" s="225"/>
      <c r="V777" s="225"/>
      <c r="W777" s="225"/>
      <c r="X777" s="225"/>
      <c r="Y777" s="225"/>
      <c r="Z777" s="225"/>
    </row>
    <row r="778">
      <c r="A778" s="225"/>
      <c r="B778" s="225"/>
      <c r="C778" s="225"/>
      <c r="D778" s="225"/>
      <c r="E778" s="225"/>
      <c r="F778" s="225"/>
      <c r="G778" s="225"/>
      <c r="H778" s="225"/>
      <c r="I778" s="225"/>
      <c r="J778" s="225"/>
      <c r="K778" s="225"/>
      <c r="L778" s="225"/>
      <c r="M778" s="225"/>
      <c r="N778" s="225"/>
      <c r="O778" s="225"/>
      <c r="P778" s="225"/>
      <c r="Q778" s="225"/>
      <c r="R778" s="225"/>
      <c r="S778" s="225"/>
      <c r="T778" s="225"/>
      <c r="U778" s="225"/>
      <c r="V778" s="225"/>
      <c r="W778" s="225"/>
      <c r="X778" s="225"/>
      <c r="Y778" s="225"/>
      <c r="Z778" s="225"/>
    </row>
    <row r="779">
      <c r="A779" s="225"/>
      <c r="B779" s="225"/>
      <c r="C779" s="225"/>
      <c r="D779" s="225"/>
      <c r="E779" s="225"/>
      <c r="F779" s="225"/>
      <c r="G779" s="225"/>
      <c r="H779" s="225"/>
      <c r="I779" s="225"/>
      <c r="J779" s="225"/>
      <c r="K779" s="225"/>
      <c r="L779" s="225"/>
      <c r="M779" s="225"/>
      <c r="N779" s="225"/>
      <c r="O779" s="225"/>
      <c r="P779" s="225"/>
      <c r="Q779" s="225"/>
      <c r="R779" s="225"/>
      <c r="S779" s="225"/>
      <c r="T779" s="225"/>
      <c r="U779" s="225"/>
      <c r="V779" s="225"/>
      <c r="W779" s="225"/>
      <c r="X779" s="225"/>
      <c r="Y779" s="225"/>
      <c r="Z779" s="225"/>
    </row>
    <row r="780">
      <c r="A780" s="225"/>
      <c r="B780" s="225"/>
      <c r="C780" s="225"/>
      <c r="D780" s="225"/>
      <c r="E780" s="225"/>
      <c r="F780" s="225"/>
      <c r="G780" s="225"/>
      <c r="H780" s="225"/>
      <c r="I780" s="225"/>
      <c r="J780" s="225"/>
      <c r="K780" s="225"/>
      <c r="L780" s="225"/>
      <c r="M780" s="225"/>
      <c r="N780" s="225"/>
      <c r="O780" s="225"/>
      <c r="P780" s="225"/>
      <c r="Q780" s="225"/>
      <c r="R780" s="225"/>
      <c r="S780" s="225"/>
      <c r="T780" s="225"/>
      <c r="U780" s="225"/>
      <c r="V780" s="225"/>
      <c r="W780" s="225"/>
      <c r="X780" s="225"/>
      <c r="Y780" s="225"/>
      <c r="Z780" s="225"/>
    </row>
    <row r="781">
      <c r="A781" s="225"/>
      <c r="B781" s="225"/>
      <c r="C781" s="225"/>
      <c r="D781" s="225"/>
      <c r="E781" s="225"/>
      <c r="F781" s="225"/>
      <c r="G781" s="225"/>
      <c r="H781" s="225"/>
      <c r="I781" s="225"/>
      <c r="J781" s="225"/>
      <c r="K781" s="225"/>
      <c r="L781" s="225"/>
      <c r="M781" s="225"/>
      <c r="N781" s="225"/>
      <c r="O781" s="225"/>
      <c r="P781" s="225"/>
      <c r="Q781" s="225"/>
      <c r="R781" s="225"/>
      <c r="S781" s="225"/>
      <c r="T781" s="225"/>
      <c r="U781" s="225"/>
      <c r="V781" s="225"/>
      <c r="W781" s="225"/>
      <c r="X781" s="225"/>
      <c r="Y781" s="225"/>
      <c r="Z781" s="225"/>
    </row>
    <row r="782">
      <c r="A782" s="225"/>
      <c r="B782" s="225"/>
      <c r="C782" s="225"/>
      <c r="D782" s="225"/>
      <c r="E782" s="225"/>
      <c r="F782" s="225"/>
      <c r="G782" s="225"/>
      <c r="H782" s="225"/>
      <c r="I782" s="225"/>
      <c r="J782" s="225"/>
      <c r="K782" s="225"/>
      <c r="L782" s="225"/>
      <c r="M782" s="225"/>
      <c r="N782" s="225"/>
      <c r="O782" s="225"/>
      <c r="P782" s="225"/>
      <c r="Q782" s="225"/>
      <c r="R782" s="225"/>
      <c r="S782" s="225"/>
      <c r="T782" s="225"/>
      <c r="U782" s="225"/>
      <c r="V782" s="225"/>
      <c r="W782" s="225"/>
      <c r="X782" s="225"/>
      <c r="Y782" s="225"/>
      <c r="Z782" s="225"/>
    </row>
    <row r="783">
      <c r="A783" s="225"/>
      <c r="B783" s="225"/>
      <c r="C783" s="225"/>
      <c r="D783" s="225"/>
      <c r="E783" s="225"/>
      <c r="F783" s="225"/>
      <c r="G783" s="225"/>
      <c r="H783" s="225"/>
      <c r="I783" s="225"/>
      <c r="J783" s="225"/>
      <c r="K783" s="225"/>
      <c r="L783" s="225"/>
      <c r="M783" s="225"/>
      <c r="N783" s="225"/>
      <c r="O783" s="225"/>
      <c r="P783" s="225"/>
      <c r="Q783" s="225"/>
      <c r="R783" s="225"/>
      <c r="S783" s="225"/>
      <c r="T783" s="225"/>
      <c r="U783" s="225"/>
      <c r="V783" s="225"/>
      <c r="W783" s="225"/>
      <c r="X783" s="225"/>
      <c r="Y783" s="225"/>
      <c r="Z783" s="225"/>
    </row>
    <row r="784">
      <c r="A784" s="225"/>
      <c r="B784" s="225"/>
      <c r="C784" s="225"/>
      <c r="D784" s="225"/>
      <c r="E784" s="225"/>
      <c r="F784" s="225"/>
      <c r="G784" s="225"/>
      <c r="H784" s="225"/>
      <c r="I784" s="225"/>
      <c r="J784" s="225"/>
      <c r="K784" s="225"/>
      <c r="L784" s="225"/>
      <c r="M784" s="225"/>
      <c r="N784" s="225"/>
      <c r="O784" s="225"/>
      <c r="P784" s="225"/>
      <c r="Q784" s="225"/>
      <c r="R784" s="225"/>
      <c r="S784" s="225"/>
      <c r="T784" s="225"/>
      <c r="U784" s="225"/>
      <c r="V784" s="225"/>
      <c r="W784" s="225"/>
      <c r="X784" s="225"/>
      <c r="Y784" s="225"/>
      <c r="Z784" s="225"/>
    </row>
    <row r="785">
      <c r="A785" s="225"/>
      <c r="B785" s="225"/>
      <c r="C785" s="225"/>
      <c r="D785" s="225"/>
      <c r="E785" s="225"/>
      <c r="F785" s="225"/>
      <c r="G785" s="225"/>
      <c r="H785" s="225"/>
      <c r="I785" s="225"/>
      <c r="J785" s="225"/>
      <c r="K785" s="225"/>
      <c r="L785" s="225"/>
      <c r="M785" s="225"/>
      <c r="N785" s="225"/>
      <c r="O785" s="225"/>
      <c r="P785" s="225"/>
      <c r="Q785" s="225"/>
      <c r="R785" s="225"/>
      <c r="S785" s="225"/>
      <c r="T785" s="225"/>
      <c r="U785" s="225"/>
      <c r="V785" s="225"/>
      <c r="W785" s="225"/>
      <c r="X785" s="225"/>
      <c r="Y785" s="225"/>
      <c r="Z785" s="225"/>
    </row>
    <row r="786">
      <c r="A786" s="225"/>
      <c r="B786" s="225"/>
      <c r="C786" s="225"/>
      <c r="D786" s="225"/>
      <c r="E786" s="225"/>
      <c r="F786" s="225"/>
      <c r="G786" s="225"/>
      <c r="H786" s="225"/>
      <c r="I786" s="225"/>
      <c r="J786" s="225"/>
      <c r="K786" s="225"/>
      <c r="L786" s="225"/>
      <c r="M786" s="225"/>
      <c r="N786" s="225"/>
      <c r="O786" s="225"/>
      <c r="P786" s="225"/>
      <c r="Q786" s="225"/>
      <c r="R786" s="225"/>
      <c r="S786" s="225"/>
      <c r="T786" s="225"/>
      <c r="U786" s="225"/>
      <c r="V786" s="225"/>
      <c r="W786" s="225"/>
      <c r="X786" s="225"/>
      <c r="Y786" s="225"/>
      <c r="Z786" s="225"/>
    </row>
    <row r="787">
      <c r="A787" s="225"/>
      <c r="B787" s="225"/>
      <c r="C787" s="225"/>
      <c r="D787" s="225"/>
      <c r="E787" s="225"/>
      <c r="F787" s="225"/>
      <c r="G787" s="225"/>
      <c r="H787" s="225"/>
      <c r="I787" s="225"/>
      <c r="J787" s="225"/>
      <c r="K787" s="225"/>
      <c r="L787" s="225"/>
      <c r="M787" s="225"/>
      <c r="N787" s="225"/>
      <c r="O787" s="225"/>
      <c r="P787" s="225"/>
      <c r="Q787" s="225"/>
      <c r="R787" s="225"/>
      <c r="S787" s="225"/>
      <c r="T787" s="225"/>
      <c r="U787" s="225"/>
      <c r="V787" s="225"/>
      <c r="W787" s="225"/>
      <c r="X787" s="225"/>
      <c r="Y787" s="225"/>
      <c r="Z787" s="225"/>
    </row>
    <row r="788">
      <c r="A788" s="225"/>
      <c r="B788" s="225"/>
      <c r="C788" s="225"/>
      <c r="D788" s="225"/>
      <c r="E788" s="225"/>
      <c r="F788" s="225"/>
      <c r="G788" s="225"/>
      <c r="H788" s="225"/>
      <c r="I788" s="225"/>
      <c r="J788" s="225"/>
      <c r="K788" s="225"/>
      <c r="L788" s="225"/>
      <c r="M788" s="225"/>
      <c r="N788" s="225"/>
      <c r="O788" s="225"/>
      <c r="P788" s="225"/>
      <c r="Q788" s="225"/>
      <c r="R788" s="225"/>
      <c r="S788" s="225"/>
      <c r="T788" s="225"/>
      <c r="U788" s="225"/>
      <c r="V788" s="225"/>
      <c r="W788" s="225"/>
      <c r="X788" s="225"/>
      <c r="Y788" s="225"/>
      <c r="Z788" s="225"/>
    </row>
    <row r="789">
      <c r="A789" s="225"/>
      <c r="B789" s="225"/>
      <c r="C789" s="225"/>
      <c r="D789" s="225"/>
      <c r="E789" s="225"/>
      <c r="F789" s="225"/>
      <c r="G789" s="225"/>
      <c r="H789" s="225"/>
      <c r="I789" s="225"/>
      <c r="J789" s="225"/>
      <c r="K789" s="225"/>
      <c r="L789" s="225"/>
      <c r="M789" s="225"/>
      <c r="N789" s="225"/>
      <c r="O789" s="225"/>
      <c r="P789" s="225"/>
      <c r="Q789" s="225"/>
      <c r="R789" s="225"/>
      <c r="S789" s="225"/>
      <c r="T789" s="225"/>
      <c r="U789" s="225"/>
      <c r="V789" s="225"/>
      <c r="W789" s="225"/>
      <c r="X789" s="225"/>
      <c r="Y789" s="225"/>
      <c r="Z789" s="225"/>
    </row>
    <row r="790">
      <c r="A790" s="225"/>
      <c r="B790" s="225"/>
      <c r="C790" s="225"/>
      <c r="D790" s="225"/>
      <c r="E790" s="225"/>
      <c r="F790" s="225"/>
      <c r="G790" s="225"/>
      <c r="H790" s="225"/>
      <c r="I790" s="225"/>
      <c r="J790" s="225"/>
      <c r="K790" s="225"/>
      <c r="L790" s="225"/>
      <c r="M790" s="225"/>
      <c r="N790" s="225"/>
      <c r="O790" s="225"/>
      <c r="P790" s="225"/>
      <c r="Q790" s="225"/>
      <c r="R790" s="225"/>
      <c r="S790" s="225"/>
      <c r="T790" s="225"/>
      <c r="U790" s="225"/>
      <c r="V790" s="225"/>
      <c r="W790" s="225"/>
      <c r="X790" s="225"/>
      <c r="Y790" s="225"/>
      <c r="Z790" s="225"/>
    </row>
    <row r="791">
      <c r="A791" s="225"/>
      <c r="B791" s="225"/>
      <c r="C791" s="225"/>
      <c r="D791" s="225"/>
      <c r="E791" s="225"/>
      <c r="F791" s="225"/>
      <c r="G791" s="225"/>
      <c r="H791" s="225"/>
      <c r="I791" s="225"/>
      <c r="J791" s="225"/>
      <c r="K791" s="225"/>
      <c r="L791" s="225"/>
      <c r="M791" s="225"/>
      <c r="N791" s="225"/>
      <c r="O791" s="225"/>
      <c r="P791" s="225"/>
      <c r="Q791" s="225"/>
      <c r="R791" s="225"/>
      <c r="S791" s="225"/>
      <c r="T791" s="225"/>
      <c r="U791" s="225"/>
      <c r="V791" s="225"/>
      <c r="W791" s="225"/>
      <c r="X791" s="225"/>
      <c r="Y791" s="225"/>
      <c r="Z791" s="225"/>
    </row>
    <row r="792">
      <c r="A792" s="225"/>
      <c r="B792" s="225"/>
      <c r="C792" s="225"/>
      <c r="D792" s="225"/>
      <c r="E792" s="225"/>
      <c r="F792" s="225"/>
      <c r="G792" s="225"/>
      <c r="H792" s="225"/>
      <c r="I792" s="225"/>
      <c r="J792" s="225"/>
      <c r="K792" s="225"/>
      <c r="L792" s="225"/>
      <c r="M792" s="225"/>
      <c r="N792" s="225"/>
      <c r="O792" s="225"/>
      <c r="P792" s="225"/>
      <c r="Q792" s="225"/>
      <c r="R792" s="225"/>
      <c r="S792" s="225"/>
      <c r="T792" s="225"/>
      <c r="U792" s="225"/>
      <c r="V792" s="225"/>
      <c r="W792" s="225"/>
      <c r="X792" s="225"/>
      <c r="Y792" s="225"/>
      <c r="Z792" s="225"/>
    </row>
    <row r="793">
      <c r="A793" s="225"/>
      <c r="B793" s="225"/>
      <c r="C793" s="225"/>
      <c r="D793" s="225"/>
      <c r="E793" s="225"/>
      <c r="F793" s="225"/>
      <c r="G793" s="225"/>
      <c r="H793" s="225"/>
      <c r="I793" s="225"/>
      <c r="J793" s="225"/>
      <c r="K793" s="225"/>
      <c r="L793" s="225"/>
      <c r="M793" s="225"/>
      <c r="N793" s="225"/>
      <c r="O793" s="225"/>
      <c r="P793" s="225"/>
      <c r="Q793" s="225"/>
      <c r="R793" s="225"/>
      <c r="S793" s="225"/>
      <c r="T793" s="225"/>
      <c r="U793" s="225"/>
      <c r="V793" s="225"/>
      <c r="W793" s="225"/>
      <c r="X793" s="225"/>
      <c r="Y793" s="225"/>
      <c r="Z793" s="225"/>
    </row>
    <row r="794">
      <c r="A794" s="225"/>
      <c r="B794" s="225"/>
      <c r="C794" s="225"/>
      <c r="D794" s="225"/>
      <c r="E794" s="225"/>
      <c r="F794" s="225"/>
      <c r="G794" s="225"/>
      <c r="H794" s="225"/>
      <c r="I794" s="225"/>
      <c r="J794" s="225"/>
      <c r="K794" s="225"/>
      <c r="L794" s="225"/>
      <c r="M794" s="225"/>
      <c r="N794" s="225"/>
      <c r="O794" s="225"/>
      <c r="P794" s="225"/>
      <c r="Q794" s="225"/>
      <c r="R794" s="225"/>
      <c r="S794" s="225"/>
      <c r="T794" s="225"/>
      <c r="U794" s="225"/>
      <c r="V794" s="225"/>
      <c r="W794" s="225"/>
      <c r="X794" s="225"/>
      <c r="Y794" s="225"/>
      <c r="Z794" s="225"/>
    </row>
    <row r="795">
      <c r="A795" s="225"/>
      <c r="B795" s="225"/>
      <c r="C795" s="225"/>
      <c r="D795" s="225"/>
      <c r="E795" s="225"/>
      <c r="F795" s="225"/>
      <c r="G795" s="225"/>
      <c r="H795" s="225"/>
      <c r="I795" s="225"/>
      <c r="J795" s="225"/>
      <c r="K795" s="225"/>
      <c r="L795" s="225"/>
      <c r="M795" s="225"/>
      <c r="N795" s="225"/>
      <c r="O795" s="225"/>
      <c r="P795" s="225"/>
      <c r="Q795" s="225"/>
      <c r="R795" s="225"/>
      <c r="S795" s="225"/>
      <c r="T795" s="225"/>
      <c r="U795" s="225"/>
      <c r="V795" s="225"/>
      <c r="W795" s="225"/>
      <c r="X795" s="225"/>
      <c r="Y795" s="225"/>
      <c r="Z795" s="225"/>
    </row>
    <row r="796">
      <c r="A796" s="225"/>
      <c r="B796" s="225"/>
      <c r="C796" s="225"/>
      <c r="D796" s="225"/>
      <c r="E796" s="225"/>
      <c r="F796" s="225"/>
      <c r="G796" s="225"/>
      <c r="H796" s="225"/>
      <c r="I796" s="225"/>
      <c r="J796" s="225"/>
      <c r="K796" s="225"/>
      <c r="L796" s="225"/>
      <c r="M796" s="225"/>
      <c r="N796" s="225"/>
      <c r="O796" s="225"/>
      <c r="P796" s="225"/>
      <c r="Q796" s="225"/>
      <c r="R796" s="225"/>
      <c r="S796" s="225"/>
      <c r="T796" s="225"/>
      <c r="U796" s="225"/>
      <c r="V796" s="225"/>
      <c r="W796" s="225"/>
      <c r="X796" s="225"/>
      <c r="Y796" s="225"/>
      <c r="Z796" s="225"/>
    </row>
    <row r="797">
      <c r="A797" s="225"/>
      <c r="B797" s="225"/>
      <c r="C797" s="225"/>
      <c r="D797" s="225"/>
      <c r="E797" s="225"/>
      <c r="F797" s="225"/>
      <c r="G797" s="225"/>
      <c r="H797" s="225"/>
      <c r="I797" s="225"/>
      <c r="J797" s="225"/>
      <c r="K797" s="225"/>
      <c r="L797" s="225"/>
      <c r="M797" s="225"/>
      <c r="N797" s="225"/>
      <c r="O797" s="225"/>
      <c r="P797" s="225"/>
      <c r="Q797" s="225"/>
      <c r="R797" s="225"/>
      <c r="S797" s="225"/>
      <c r="T797" s="225"/>
      <c r="U797" s="225"/>
      <c r="V797" s="225"/>
      <c r="W797" s="225"/>
      <c r="X797" s="225"/>
      <c r="Y797" s="225"/>
      <c r="Z797" s="225"/>
    </row>
    <row r="798">
      <c r="A798" s="225"/>
      <c r="B798" s="225"/>
      <c r="C798" s="225"/>
      <c r="D798" s="225"/>
      <c r="E798" s="225"/>
      <c r="F798" s="225"/>
      <c r="G798" s="225"/>
      <c r="H798" s="225"/>
      <c r="I798" s="225"/>
      <c r="J798" s="225"/>
      <c r="K798" s="225"/>
      <c r="L798" s="225"/>
      <c r="M798" s="225"/>
      <c r="N798" s="225"/>
      <c r="O798" s="225"/>
      <c r="P798" s="225"/>
      <c r="Q798" s="225"/>
      <c r="R798" s="225"/>
      <c r="S798" s="225"/>
      <c r="T798" s="225"/>
      <c r="U798" s="225"/>
      <c r="V798" s="225"/>
      <c r="W798" s="225"/>
      <c r="X798" s="225"/>
      <c r="Y798" s="225"/>
      <c r="Z798" s="225"/>
    </row>
    <row r="799">
      <c r="A799" s="225"/>
      <c r="B799" s="225"/>
      <c r="C799" s="225"/>
      <c r="D799" s="225"/>
      <c r="E799" s="225"/>
      <c r="F799" s="225"/>
      <c r="G799" s="225"/>
      <c r="H799" s="225"/>
      <c r="I799" s="225"/>
      <c r="J799" s="225"/>
      <c r="K799" s="225"/>
      <c r="L799" s="225"/>
      <c r="M799" s="225"/>
      <c r="N799" s="225"/>
      <c r="O799" s="225"/>
      <c r="P799" s="225"/>
      <c r="Q799" s="225"/>
      <c r="R799" s="225"/>
      <c r="S799" s="225"/>
      <c r="T799" s="225"/>
      <c r="U799" s="225"/>
      <c r="V799" s="225"/>
      <c r="W799" s="225"/>
      <c r="X799" s="225"/>
      <c r="Y799" s="225"/>
      <c r="Z799" s="225"/>
    </row>
    <row r="800">
      <c r="A800" s="225"/>
      <c r="B800" s="225"/>
      <c r="C800" s="225"/>
      <c r="D800" s="225"/>
      <c r="E800" s="225"/>
      <c r="F800" s="225"/>
      <c r="G800" s="225"/>
      <c r="H800" s="225"/>
      <c r="I800" s="225"/>
      <c r="J800" s="225"/>
      <c r="K800" s="225"/>
      <c r="L800" s="225"/>
      <c r="M800" s="225"/>
      <c r="N800" s="225"/>
      <c r="O800" s="225"/>
      <c r="P800" s="225"/>
      <c r="Q800" s="225"/>
      <c r="R800" s="225"/>
      <c r="S800" s="225"/>
      <c r="T800" s="225"/>
      <c r="U800" s="225"/>
      <c r="V800" s="225"/>
      <c r="W800" s="225"/>
      <c r="X800" s="225"/>
      <c r="Y800" s="225"/>
      <c r="Z800" s="225"/>
    </row>
    <row r="801">
      <c r="A801" s="225"/>
      <c r="B801" s="225"/>
      <c r="C801" s="225"/>
      <c r="D801" s="225"/>
      <c r="E801" s="225"/>
      <c r="F801" s="225"/>
      <c r="G801" s="225"/>
      <c r="H801" s="225"/>
      <c r="I801" s="225"/>
      <c r="J801" s="225"/>
      <c r="K801" s="225"/>
      <c r="L801" s="225"/>
      <c r="M801" s="225"/>
      <c r="N801" s="225"/>
      <c r="O801" s="225"/>
      <c r="P801" s="225"/>
      <c r="Q801" s="225"/>
      <c r="R801" s="225"/>
      <c r="S801" s="225"/>
      <c r="T801" s="225"/>
      <c r="U801" s="225"/>
      <c r="V801" s="225"/>
      <c r="W801" s="225"/>
      <c r="X801" s="225"/>
      <c r="Y801" s="225"/>
      <c r="Z801" s="225"/>
    </row>
    <row r="802">
      <c r="A802" s="225"/>
      <c r="B802" s="225"/>
      <c r="C802" s="225"/>
      <c r="D802" s="225"/>
      <c r="E802" s="225"/>
      <c r="F802" s="225"/>
      <c r="G802" s="225"/>
      <c r="H802" s="225"/>
      <c r="I802" s="225"/>
      <c r="J802" s="225"/>
      <c r="K802" s="225"/>
      <c r="L802" s="225"/>
      <c r="M802" s="225"/>
      <c r="N802" s="225"/>
      <c r="O802" s="225"/>
      <c r="P802" s="225"/>
      <c r="Q802" s="225"/>
      <c r="R802" s="225"/>
      <c r="S802" s="225"/>
      <c r="T802" s="225"/>
      <c r="U802" s="225"/>
      <c r="V802" s="225"/>
      <c r="W802" s="225"/>
      <c r="X802" s="225"/>
      <c r="Y802" s="225"/>
      <c r="Z802" s="225"/>
    </row>
    <row r="803">
      <c r="A803" s="225"/>
      <c r="B803" s="225"/>
      <c r="C803" s="225"/>
      <c r="D803" s="225"/>
      <c r="E803" s="225"/>
      <c r="F803" s="225"/>
      <c r="G803" s="225"/>
      <c r="H803" s="225"/>
      <c r="I803" s="225"/>
      <c r="J803" s="225"/>
      <c r="K803" s="225"/>
      <c r="L803" s="225"/>
      <c r="M803" s="225"/>
      <c r="N803" s="225"/>
      <c r="O803" s="225"/>
      <c r="P803" s="225"/>
      <c r="Q803" s="225"/>
      <c r="R803" s="225"/>
      <c r="S803" s="225"/>
      <c r="T803" s="225"/>
      <c r="U803" s="225"/>
      <c r="V803" s="225"/>
      <c r="W803" s="225"/>
      <c r="X803" s="225"/>
      <c r="Y803" s="225"/>
      <c r="Z803" s="225"/>
    </row>
    <row r="804">
      <c r="A804" s="225"/>
      <c r="B804" s="225"/>
      <c r="C804" s="225"/>
      <c r="D804" s="225"/>
      <c r="E804" s="225"/>
      <c r="F804" s="225"/>
      <c r="G804" s="225"/>
      <c r="H804" s="225"/>
      <c r="I804" s="225"/>
      <c r="J804" s="225"/>
      <c r="K804" s="225"/>
      <c r="L804" s="225"/>
      <c r="M804" s="225"/>
      <c r="N804" s="225"/>
      <c r="O804" s="225"/>
      <c r="P804" s="225"/>
      <c r="Q804" s="225"/>
      <c r="R804" s="225"/>
      <c r="S804" s="225"/>
      <c r="T804" s="225"/>
      <c r="U804" s="225"/>
      <c r="V804" s="225"/>
      <c r="W804" s="225"/>
      <c r="X804" s="225"/>
      <c r="Y804" s="225"/>
      <c r="Z804" s="225"/>
    </row>
    <row r="805">
      <c r="A805" s="225"/>
      <c r="B805" s="225"/>
      <c r="C805" s="225"/>
      <c r="D805" s="225"/>
      <c r="E805" s="225"/>
      <c r="F805" s="225"/>
      <c r="G805" s="225"/>
      <c r="H805" s="225"/>
      <c r="I805" s="225"/>
      <c r="J805" s="225"/>
      <c r="K805" s="225"/>
      <c r="L805" s="225"/>
      <c r="M805" s="225"/>
      <c r="N805" s="225"/>
      <c r="O805" s="225"/>
      <c r="P805" s="225"/>
      <c r="Q805" s="225"/>
      <c r="R805" s="225"/>
      <c r="S805" s="225"/>
      <c r="T805" s="225"/>
      <c r="U805" s="225"/>
      <c r="V805" s="225"/>
      <c r="W805" s="225"/>
      <c r="X805" s="225"/>
      <c r="Y805" s="225"/>
      <c r="Z805" s="225"/>
    </row>
    <row r="806">
      <c r="A806" s="225"/>
      <c r="B806" s="225"/>
      <c r="C806" s="225"/>
      <c r="D806" s="225"/>
      <c r="E806" s="225"/>
      <c r="F806" s="225"/>
      <c r="G806" s="225"/>
      <c r="H806" s="225"/>
      <c r="I806" s="225"/>
      <c r="J806" s="225"/>
      <c r="K806" s="225"/>
      <c r="L806" s="225"/>
      <c r="M806" s="225"/>
      <c r="N806" s="225"/>
      <c r="O806" s="225"/>
      <c r="P806" s="225"/>
      <c r="Q806" s="225"/>
      <c r="R806" s="225"/>
      <c r="S806" s="225"/>
      <c r="T806" s="225"/>
      <c r="U806" s="225"/>
      <c r="V806" s="225"/>
      <c r="W806" s="225"/>
      <c r="X806" s="225"/>
      <c r="Y806" s="225"/>
      <c r="Z806" s="225"/>
    </row>
    <row r="807">
      <c r="A807" s="225"/>
      <c r="B807" s="225"/>
      <c r="C807" s="225"/>
      <c r="D807" s="225"/>
      <c r="E807" s="225"/>
      <c r="F807" s="225"/>
      <c r="G807" s="225"/>
      <c r="H807" s="225"/>
      <c r="I807" s="225"/>
      <c r="J807" s="225"/>
      <c r="K807" s="225"/>
      <c r="L807" s="225"/>
      <c r="M807" s="225"/>
      <c r="N807" s="225"/>
      <c r="O807" s="225"/>
      <c r="P807" s="225"/>
      <c r="Q807" s="225"/>
      <c r="R807" s="225"/>
      <c r="S807" s="225"/>
      <c r="T807" s="225"/>
      <c r="U807" s="225"/>
      <c r="V807" s="225"/>
      <c r="W807" s="225"/>
      <c r="X807" s="225"/>
      <c r="Y807" s="225"/>
      <c r="Z807" s="225"/>
    </row>
    <row r="808">
      <c r="A808" s="225"/>
      <c r="B808" s="225"/>
      <c r="C808" s="225"/>
      <c r="D808" s="225"/>
      <c r="E808" s="225"/>
      <c r="F808" s="225"/>
      <c r="G808" s="225"/>
      <c r="H808" s="225"/>
      <c r="I808" s="225"/>
      <c r="J808" s="225"/>
      <c r="K808" s="225"/>
      <c r="L808" s="225"/>
      <c r="M808" s="225"/>
      <c r="N808" s="225"/>
      <c r="O808" s="225"/>
      <c r="P808" s="225"/>
      <c r="Q808" s="225"/>
      <c r="R808" s="225"/>
      <c r="S808" s="225"/>
      <c r="T808" s="225"/>
      <c r="U808" s="225"/>
      <c r="V808" s="225"/>
      <c r="W808" s="225"/>
      <c r="X808" s="225"/>
      <c r="Y808" s="225"/>
      <c r="Z808" s="225"/>
    </row>
    <row r="809">
      <c r="A809" s="225"/>
      <c r="B809" s="225"/>
      <c r="C809" s="225"/>
      <c r="D809" s="225"/>
      <c r="E809" s="225"/>
      <c r="F809" s="225"/>
      <c r="G809" s="225"/>
      <c r="H809" s="225"/>
      <c r="I809" s="225"/>
      <c r="J809" s="225"/>
      <c r="K809" s="225"/>
      <c r="L809" s="225"/>
      <c r="M809" s="225"/>
      <c r="N809" s="225"/>
      <c r="O809" s="225"/>
      <c r="P809" s="225"/>
      <c r="Q809" s="225"/>
      <c r="R809" s="225"/>
      <c r="S809" s="225"/>
      <c r="T809" s="225"/>
      <c r="U809" s="225"/>
      <c r="V809" s="225"/>
      <c r="W809" s="225"/>
      <c r="X809" s="225"/>
      <c r="Y809" s="225"/>
      <c r="Z809" s="225"/>
    </row>
    <row r="810">
      <c r="A810" s="225"/>
      <c r="B810" s="225"/>
      <c r="C810" s="225"/>
      <c r="D810" s="225"/>
      <c r="E810" s="225"/>
      <c r="F810" s="225"/>
      <c r="G810" s="225"/>
      <c r="H810" s="225"/>
      <c r="I810" s="225"/>
      <c r="J810" s="225"/>
      <c r="K810" s="225"/>
      <c r="L810" s="225"/>
      <c r="M810" s="225"/>
      <c r="N810" s="225"/>
      <c r="O810" s="225"/>
      <c r="P810" s="225"/>
      <c r="Q810" s="225"/>
      <c r="R810" s="225"/>
      <c r="S810" s="225"/>
      <c r="T810" s="225"/>
      <c r="U810" s="225"/>
      <c r="V810" s="225"/>
      <c r="W810" s="225"/>
      <c r="X810" s="225"/>
      <c r="Y810" s="225"/>
      <c r="Z810" s="225"/>
    </row>
    <row r="811">
      <c r="A811" s="225"/>
      <c r="B811" s="225"/>
      <c r="C811" s="225"/>
      <c r="D811" s="225"/>
      <c r="E811" s="225"/>
      <c r="F811" s="225"/>
      <c r="G811" s="225"/>
      <c r="H811" s="225"/>
      <c r="I811" s="225"/>
      <c r="J811" s="225"/>
      <c r="K811" s="225"/>
      <c r="L811" s="225"/>
      <c r="M811" s="225"/>
      <c r="N811" s="225"/>
      <c r="O811" s="225"/>
      <c r="P811" s="225"/>
      <c r="Q811" s="225"/>
      <c r="R811" s="225"/>
      <c r="S811" s="225"/>
      <c r="T811" s="225"/>
      <c r="U811" s="225"/>
      <c r="V811" s="225"/>
      <c r="W811" s="225"/>
      <c r="X811" s="225"/>
      <c r="Y811" s="225"/>
      <c r="Z811" s="225"/>
    </row>
    <row r="812">
      <c r="A812" s="225"/>
      <c r="B812" s="225"/>
      <c r="C812" s="225"/>
      <c r="D812" s="225"/>
      <c r="E812" s="225"/>
      <c r="F812" s="225"/>
      <c r="G812" s="225"/>
      <c r="H812" s="225"/>
      <c r="I812" s="225"/>
      <c r="J812" s="225"/>
      <c r="K812" s="225"/>
      <c r="L812" s="225"/>
      <c r="M812" s="225"/>
      <c r="N812" s="225"/>
      <c r="O812" s="225"/>
      <c r="P812" s="225"/>
      <c r="Q812" s="225"/>
      <c r="R812" s="225"/>
      <c r="S812" s="225"/>
      <c r="T812" s="225"/>
      <c r="U812" s="225"/>
      <c r="V812" s="225"/>
      <c r="W812" s="225"/>
      <c r="X812" s="225"/>
      <c r="Y812" s="225"/>
      <c r="Z812" s="225"/>
    </row>
    <row r="813">
      <c r="A813" s="225"/>
      <c r="B813" s="225"/>
      <c r="C813" s="225"/>
      <c r="D813" s="225"/>
      <c r="E813" s="225"/>
      <c r="F813" s="225"/>
      <c r="G813" s="225"/>
      <c r="H813" s="225"/>
      <c r="I813" s="225"/>
      <c r="J813" s="225"/>
      <c r="K813" s="225"/>
      <c r="L813" s="225"/>
      <c r="M813" s="225"/>
      <c r="N813" s="225"/>
      <c r="O813" s="225"/>
      <c r="P813" s="225"/>
      <c r="Q813" s="225"/>
      <c r="R813" s="225"/>
      <c r="S813" s="225"/>
      <c r="T813" s="225"/>
      <c r="U813" s="225"/>
      <c r="V813" s="225"/>
      <c r="W813" s="225"/>
      <c r="X813" s="225"/>
      <c r="Y813" s="225"/>
      <c r="Z813" s="225"/>
    </row>
    <row r="814">
      <c r="A814" s="225"/>
      <c r="B814" s="225"/>
      <c r="C814" s="225"/>
      <c r="D814" s="225"/>
      <c r="E814" s="225"/>
      <c r="F814" s="225"/>
      <c r="G814" s="225"/>
      <c r="H814" s="225"/>
      <c r="I814" s="225"/>
      <c r="J814" s="225"/>
      <c r="K814" s="225"/>
      <c r="L814" s="225"/>
      <c r="M814" s="225"/>
      <c r="N814" s="225"/>
      <c r="O814" s="225"/>
      <c r="P814" s="225"/>
      <c r="Q814" s="225"/>
      <c r="R814" s="225"/>
      <c r="S814" s="225"/>
      <c r="T814" s="225"/>
      <c r="U814" s="225"/>
      <c r="V814" s="225"/>
      <c r="W814" s="225"/>
      <c r="X814" s="225"/>
      <c r="Y814" s="225"/>
      <c r="Z814" s="225"/>
    </row>
    <row r="815">
      <c r="A815" s="225"/>
      <c r="B815" s="225"/>
      <c r="C815" s="225"/>
      <c r="D815" s="225"/>
      <c r="E815" s="225"/>
      <c r="F815" s="225"/>
      <c r="G815" s="225"/>
      <c r="H815" s="225"/>
      <c r="I815" s="225"/>
      <c r="J815" s="225"/>
      <c r="K815" s="225"/>
      <c r="L815" s="225"/>
      <c r="M815" s="225"/>
      <c r="N815" s="225"/>
      <c r="O815" s="225"/>
      <c r="P815" s="225"/>
      <c r="Q815" s="225"/>
      <c r="R815" s="225"/>
      <c r="S815" s="225"/>
      <c r="T815" s="225"/>
      <c r="U815" s="225"/>
      <c r="V815" s="225"/>
      <c r="W815" s="225"/>
      <c r="X815" s="225"/>
      <c r="Y815" s="225"/>
      <c r="Z815" s="225"/>
    </row>
    <row r="816">
      <c r="A816" s="225"/>
      <c r="B816" s="225"/>
      <c r="C816" s="225"/>
      <c r="D816" s="225"/>
      <c r="E816" s="225"/>
      <c r="F816" s="225"/>
      <c r="G816" s="225"/>
      <c r="H816" s="225"/>
      <c r="I816" s="225"/>
      <c r="J816" s="225"/>
      <c r="K816" s="225"/>
      <c r="L816" s="225"/>
      <c r="M816" s="225"/>
      <c r="N816" s="225"/>
      <c r="O816" s="225"/>
      <c r="P816" s="225"/>
      <c r="Q816" s="225"/>
      <c r="R816" s="225"/>
      <c r="S816" s="225"/>
      <c r="T816" s="225"/>
      <c r="U816" s="225"/>
      <c r="V816" s="225"/>
      <c r="W816" s="225"/>
      <c r="X816" s="225"/>
      <c r="Y816" s="225"/>
      <c r="Z816" s="225"/>
    </row>
    <row r="817">
      <c r="A817" s="225"/>
      <c r="B817" s="225"/>
      <c r="C817" s="225"/>
      <c r="D817" s="225"/>
      <c r="E817" s="225"/>
      <c r="F817" s="225"/>
      <c r="G817" s="225"/>
      <c r="H817" s="225"/>
      <c r="I817" s="225"/>
      <c r="J817" s="225"/>
      <c r="K817" s="225"/>
      <c r="L817" s="225"/>
      <c r="M817" s="225"/>
      <c r="N817" s="225"/>
      <c r="O817" s="225"/>
      <c r="P817" s="225"/>
      <c r="Q817" s="225"/>
      <c r="R817" s="225"/>
      <c r="S817" s="225"/>
      <c r="T817" s="225"/>
      <c r="U817" s="225"/>
      <c r="V817" s="225"/>
      <c r="W817" s="225"/>
      <c r="X817" s="225"/>
      <c r="Y817" s="225"/>
      <c r="Z817" s="225"/>
    </row>
    <row r="818">
      <c r="A818" s="225"/>
      <c r="B818" s="225"/>
      <c r="C818" s="225"/>
      <c r="D818" s="225"/>
      <c r="E818" s="225"/>
      <c r="F818" s="225"/>
      <c r="G818" s="225"/>
      <c r="H818" s="225"/>
      <c r="I818" s="225"/>
      <c r="J818" s="225"/>
      <c r="K818" s="225"/>
      <c r="L818" s="225"/>
      <c r="M818" s="225"/>
      <c r="N818" s="225"/>
      <c r="O818" s="225"/>
      <c r="P818" s="225"/>
      <c r="Q818" s="225"/>
      <c r="R818" s="225"/>
      <c r="S818" s="225"/>
      <c r="T818" s="225"/>
      <c r="U818" s="225"/>
      <c r="V818" s="225"/>
      <c r="W818" s="225"/>
      <c r="X818" s="225"/>
      <c r="Y818" s="225"/>
      <c r="Z818" s="225"/>
    </row>
    <row r="819">
      <c r="A819" s="225"/>
      <c r="B819" s="225"/>
      <c r="C819" s="225"/>
      <c r="D819" s="225"/>
      <c r="E819" s="225"/>
      <c r="F819" s="225"/>
      <c r="G819" s="225"/>
      <c r="H819" s="225"/>
      <c r="I819" s="225"/>
      <c r="J819" s="225"/>
      <c r="K819" s="225"/>
      <c r="L819" s="225"/>
      <c r="M819" s="225"/>
      <c r="N819" s="225"/>
      <c r="O819" s="225"/>
      <c r="P819" s="225"/>
      <c r="Q819" s="225"/>
      <c r="R819" s="225"/>
      <c r="S819" s="225"/>
      <c r="T819" s="225"/>
      <c r="U819" s="225"/>
      <c r="V819" s="225"/>
      <c r="W819" s="225"/>
      <c r="X819" s="225"/>
      <c r="Y819" s="225"/>
      <c r="Z819" s="225"/>
    </row>
    <row r="820">
      <c r="A820" s="225"/>
      <c r="B820" s="225"/>
      <c r="C820" s="225"/>
      <c r="D820" s="225"/>
      <c r="E820" s="225"/>
      <c r="F820" s="225"/>
      <c r="G820" s="225"/>
      <c r="H820" s="225"/>
      <c r="I820" s="225"/>
      <c r="J820" s="225"/>
      <c r="K820" s="225"/>
      <c r="L820" s="225"/>
      <c r="M820" s="225"/>
      <c r="N820" s="225"/>
      <c r="O820" s="225"/>
      <c r="P820" s="225"/>
      <c r="Q820" s="225"/>
      <c r="R820" s="225"/>
      <c r="S820" s="225"/>
      <c r="T820" s="225"/>
      <c r="U820" s="225"/>
      <c r="V820" s="225"/>
      <c r="W820" s="225"/>
      <c r="X820" s="225"/>
      <c r="Y820" s="225"/>
      <c r="Z820" s="225"/>
    </row>
    <row r="821">
      <c r="A821" s="225"/>
      <c r="B821" s="225"/>
      <c r="C821" s="225"/>
      <c r="D821" s="225"/>
      <c r="E821" s="225"/>
      <c r="F821" s="225"/>
      <c r="G821" s="225"/>
      <c r="H821" s="225"/>
      <c r="I821" s="225"/>
      <c r="J821" s="225"/>
      <c r="K821" s="225"/>
      <c r="L821" s="225"/>
      <c r="M821" s="225"/>
      <c r="N821" s="225"/>
      <c r="O821" s="225"/>
      <c r="P821" s="225"/>
      <c r="Q821" s="225"/>
      <c r="R821" s="225"/>
      <c r="S821" s="225"/>
      <c r="T821" s="225"/>
      <c r="U821" s="225"/>
      <c r="V821" s="225"/>
      <c r="W821" s="225"/>
      <c r="X821" s="225"/>
      <c r="Y821" s="225"/>
      <c r="Z821" s="225"/>
    </row>
    <row r="822">
      <c r="A822" s="225"/>
      <c r="B822" s="225"/>
      <c r="C822" s="225"/>
      <c r="D822" s="225"/>
      <c r="E822" s="225"/>
      <c r="F822" s="225"/>
      <c r="G822" s="225"/>
      <c r="H822" s="225"/>
      <c r="I822" s="225"/>
      <c r="J822" s="225"/>
      <c r="K822" s="225"/>
      <c r="L822" s="225"/>
      <c r="M822" s="225"/>
      <c r="N822" s="225"/>
      <c r="O822" s="225"/>
      <c r="P822" s="225"/>
      <c r="Q822" s="225"/>
      <c r="R822" s="225"/>
      <c r="S822" s="225"/>
      <c r="T822" s="225"/>
      <c r="U822" s="225"/>
      <c r="V822" s="225"/>
      <c r="W822" s="225"/>
      <c r="X822" s="225"/>
      <c r="Y822" s="225"/>
      <c r="Z822" s="225"/>
    </row>
    <row r="823">
      <c r="A823" s="225"/>
      <c r="B823" s="225"/>
      <c r="C823" s="225"/>
      <c r="D823" s="225"/>
      <c r="E823" s="225"/>
      <c r="F823" s="225"/>
      <c r="G823" s="225"/>
      <c r="H823" s="225"/>
      <c r="I823" s="225"/>
      <c r="J823" s="225"/>
      <c r="K823" s="225"/>
      <c r="L823" s="225"/>
      <c r="M823" s="225"/>
      <c r="N823" s="225"/>
      <c r="O823" s="225"/>
      <c r="P823" s="225"/>
      <c r="Q823" s="225"/>
      <c r="R823" s="225"/>
      <c r="S823" s="225"/>
      <c r="T823" s="225"/>
      <c r="U823" s="225"/>
      <c r="V823" s="225"/>
      <c r="W823" s="225"/>
      <c r="X823" s="225"/>
      <c r="Y823" s="225"/>
      <c r="Z823" s="225"/>
    </row>
    <row r="824">
      <c r="A824" s="225"/>
      <c r="B824" s="225"/>
      <c r="C824" s="225"/>
      <c r="D824" s="225"/>
      <c r="E824" s="225"/>
      <c r="F824" s="225"/>
      <c r="G824" s="225"/>
      <c r="H824" s="225"/>
      <c r="I824" s="225"/>
      <c r="J824" s="225"/>
      <c r="K824" s="225"/>
      <c r="L824" s="225"/>
      <c r="M824" s="225"/>
      <c r="N824" s="225"/>
      <c r="O824" s="225"/>
      <c r="P824" s="225"/>
      <c r="Q824" s="225"/>
      <c r="R824" s="225"/>
      <c r="S824" s="225"/>
      <c r="T824" s="225"/>
      <c r="U824" s="225"/>
      <c r="V824" s="225"/>
      <c r="W824" s="225"/>
      <c r="X824" s="225"/>
      <c r="Y824" s="225"/>
      <c r="Z824" s="225"/>
    </row>
    <row r="825">
      <c r="A825" s="225"/>
      <c r="B825" s="225"/>
      <c r="C825" s="225"/>
      <c r="D825" s="225"/>
      <c r="E825" s="225"/>
      <c r="F825" s="225"/>
      <c r="G825" s="225"/>
      <c r="H825" s="225"/>
      <c r="I825" s="225"/>
      <c r="J825" s="225"/>
      <c r="K825" s="225"/>
      <c r="L825" s="225"/>
      <c r="M825" s="225"/>
      <c r="N825" s="225"/>
      <c r="O825" s="225"/>
      <c r="P825" s="225"/>
      <c r="Q825" s="225"/>
      <c r="R825" s="225"/>
      <c r="S825" s="225"/>
      <c r="T825" s="225"/>
      <c r="U825" s="225"/>
      <c r="V825" s="225"/>
      <c r="W825" s="225"/>
      <c r="X825" s="225"/>
      <c r="Y825" s="225"/>
      <c r="Z825" s="225"/>
    </row>
    <row r="826">
      <c r="A826" s="225"/>
      <c r="B826" s="225"/>
      <c r="C826" s="225"/>
      <c r="D826" s="225"/>
      <c r="E826" s="225"/>
      <c r="F826" s="225"/>
      <c r="G826" s="225"/>
      <c r="H826" s="225"/>
      <c r="I826" s="225"/>
      <c r="J826" s="225"/>
      <c r="K826" s="225"/>
      <c r="L826" s="225"/>
      <c r="M826" s="225"/>
      <c r="N826" s="225"/>
      <c r="O826" s="225"/>
      <c r="P826" s="225"/>
      <c r="Q826" s="225"/>
      <c r="R826" s="225"/>
      <c r="S826" s="225"/>
      <c r="T826" s="225"/>
      <c r="U826" s="225"/>
      <c r="V826" s="225"/>
      <c r="W826" s="225"/>
      <c r="X826" s="225"/>
      <c r="Y826" s="225"/>
      <c r="Z826" s="225"/>
    </row>
    <row r="827">
      <c r="A827" s="225"/>
      <c r="B827" s="225"/>
      <c r="C827" s="225"/>
      <c r="D827" s="225"/>
      <c r="E827" s="225"/>
      <c r="F827" s="225"/>
      <c r="G827" s="225"/>
      <c r="H827" s="225"/>
      <c r="I827" s="225"/>
      <c r="J827" s="225"/>
      <c r="K827" s="225"/>
      <c r="L827" s="225"/>
      <c r="M827" s="225"/>
      <c r="N827" s="225"/>
      <c r="O827" s="225"/>
      <c r="P827" s="225"/>
      <c r="Q827" s="225"/>
      <c r="R827" s="225"/>
      <c r="S827" s="225"/>
      <c r="T827" s="225"/>
      <c r="U827" s="225"/>
      <c r="V827" s="225"/>
      <c r="W827" s="225"/>
      <c r="X827" s="225"/>
      <c r="Y827" s="225"/>
      <c r="Z827" s="225"/>
    </row>
    <row r="828">
      <c r="A828" s="225"/>
      <c r="B828" s="225"/>
      <c r="C828" s="225"/>
      <c r="D828" s="225"/>
      <c r="E828" s="225"/>
      <c r="F828" s="225"/>
      <c r="G828" s="225"/>
      <c r="H828" s="225"/>
      <c r="I828" s="225"/>
      <c r="J828" s="225"/>
      <c r="K828" s="225"/>
      <c r="L828" s="225"/>
      <c r="M828" s="225"/>
      <c r="N828" s="225"/>
      <c r="O828" s="225"/>
      <c r="P828" s="225"/>
      <c r="Q828" s="225"/>
      <c r="R828" s="225"/>
      <c r="S828" s="225"/>
      <c r="T828" s="225"/>
      <c r="U828" s="225"/>
      <c r="V828" s="225"/>
      <c r="W828" s="225"/>
      <c r="X828" s="225"/>
      <c r="Y828" s="225"/>
      <c r="Z828" s="225"/>
    </row>
    <row r="829">
      <c r="A829" s="225"/>
      <c r="B829" s="225"/>
      <c r="C829" s="225"/>
      <c r="D829" s="225"/>
      <c r="E829" s="225"/>
      <c r="F829" s="225"/>
      <c r="G829" s="225"/>
      <c r="H829" s="225"/>
      <c r="I829" s="225"/>
      <c r="J829" s="225"/>
      <c r="K829" s="225"/>
      <c r="L829" s="225"/>
      <c r="M829" s="225"/>
      <c r="N829" s="225"/>
      <c r="O829" s="225"/>
      <c r="P829" s="225"/>
      <c r="Q829" s="225"/>
      <c r="R829" s="225"/>
      <c r="S829" s="225"/>
      <c r="T829" s="225"/>
      <c r="U829" s="225"/>
      <c r="V829" s="225"/>
      <c r="W829" s="225"/>
      <c r="X829" s="225"/>
      <c r="Y829" s="225"/>
      <c r="Z829" s="225"/>
    </row>
    <row r="830">
      <c r="A830" s="225"/>
      <c r="B830" s="225"/>
      <c r="C830" s="225"/>
      <c r="D830" s="225"/>
      <c r="E830" s="225"/>
      <c r="F830" s="225"/>
      <c r="G830" s="225"/>
      <c r="H830" s="225"/>
      <c r="I830" s="225"/>
      <c r="J830" s="225"/>
      <c r="K830" s="225"/>
      <c r="L830" s="225"/>
      <c r="M830" s="225"/>
      <c r="N830" s="225"/>
      <c r="O830" s="225"/>
      <c r="P830" s="225"/>
      <c r="Q830" s="225"/>
      <c r="R830" s="225"/>
      <c r="S830" s="225"/>
      <c r="T830" s="225"/>
      <c r="U830" s="225"/>
      <c r="V830" s="225"/>
      <c r="W830" s="225"/>
      <c r="X830" s="225"/>
      <c r="Y830" s="225"/>
      <c r="Z830" s="225"/>
    </row>
    <row r="831">
      <c r="A831" s="225"/>
      <c r="B831" s="225"/>
      <c r="C831" s="225"/>
      <c r="D831" s="225"/>
      <c r="E831" s="225"/>
      <c r="F831" s="225"/>
      <c r="G831" s="225"/>
      <c r="H831" s="225"/>
      <c r="I831" s="225"/>
      <c r="J831" s="225"/>
      <c r="K831" s="225"/>
      <c r="L831" s="225"/>
      <c r="M831" s="225"/>
      <c r="N831" s="225"/>
      <c r="O831" s="225"/>
      <c r="P831" s="225"/>
      <c r="Q831" s="225"/>
      <c r="R831" s="225"/>
      <c r="S831" s="225"/>
      <c r="T831" s="225"/>
      <c r="U831" s="225"/>
      <c r="V831" s="225"/>
      <c r="W831" s="225"/>
      <c r="X831" s="225"/>
      <c r="Y831" s="225"/>
      <c r="Z831" s="225"/>
    </row>
    <row r="832">
      <c r="A832" s="225"/>
      <c r="B832" s="225"/>
      <c r="C832" s="225"/>
      <c r="D832" s="225"/>
      <c r="E832" s="225"/>
      <c r="F832" s="225"/>
      <c r="G832" s="225"/>
      <c r="H832" s="225"/>
      <c r="I832" s="225"/>
      <c r="J832" s="225"/>
      <c r="K832" s="225"/>
      <c r="L832" s="225"/>
      <c r="M832" s="225"/>
      <c r="N832" s="225"/>
      <c r="O832" s="225"/>
      <c r="P832" s="225"/>
      <c r="Q832" s="225"/>
      <c r="R832" s="225"/>
      <c r="S832" s="225"/>
      <c r="T832" s="225"/>
      <c r="U832" s="225"/>
      <c r="V832" s="225"/>
      <c r="W832" s="225"/>
      <c r="X832" s="225"/>
      <c r="Y832" s="225"/>
      <c r="Z832" s="225"/>
    </row>
    <row r="833">
      <c r="A833" s="225"/>
      <c r="B833" s="225"/>
      <c r="C833" s="225"/>
      <c r="D833" s="225"/>
      <c r="E833" s="225"/>
      <c r="F833" s="225"/>
      <c r="G833" s="225"/>
      <c r="H833" s="225"/>
      <c r="I833" s="225"/>
      <c r="J833" s="225"/>
      <c r="K833" s="225"/>
      <c r="L833" s="225"/>
      <c r="M833" s="225"/>
      <c r="N833" s="225"/>
      <c r="O833" s="225"/>
      <c r="P833" s="225"/>
      <c r="Q833" s="225"/>
      <c r="R833" s="225"/>
      <c r="S833" s="225"/>
      <c r="T833" s="225"/>
      <c r="U833" s="225"/>
      <c r="V833" s="225"/>
      <c r="W833" s="225"/>
      <c r="X833" s="225"/>
      <c r="Y833" s="225"/>
      <c r="Z833" s="225"/>
    </row>
    <row r="834">
      <c r="A834" s="225"/>
      <c r="B834" s="225"/>
      <c r="C834" s="225"/>
      <c r="D834" s="225"/>
      <c r="E834" s="225"/>
      <c r="F834" s="225"/>
      <c r="G834" s="225"/>
      <c r="H834" s="225"/>
      <c r="I834" s="225"/>
      <c r="J834" s="225"/>
      <c r="K834" s="225"/>
      <c r="L834" s="225"/>
      <c r="M834" s="225"/>
      <c r="N834" s="225"/>
      <c r="O834" s="225"/>
      <c r="P834" s="225"/>
      <c r="Q834" s="225"/>
      <c r="R834" s="225"/>
      <c r="S834" s="225"/>
      <c r="T834" s="225"/>
      <c r="U834" s="225"/>
      <c r="V834" s="225"/>
      <c r="W834" s="225"/>
      <c r="X834" s="225"/>
      <c r="Y834" s="225"/>
      <c r="Z834" s="225"/>
    </row>
    <row r="835">
      <c r="A835" s="225"/>
      <c r="B835" s="225"/>
      <c r="C835" s="225"/>
      <c r="D835" s="225"/>
      <c r="E835" s="225"/>
      <c r="F835" s="225"/>
      <c r="G835" s="225"/>
      <c r="H835" s="225"/>
      <c r="I835" s="225"/>
      <c r="J835" s="225"/>
      <c r="K835" s="225"/>
      <c r="L835" s="225"/>
      <c r="M835" s="225"/>
      <c r="N835" s="225"/>
      <c r="O835" s="225"/>
      <c r="P835" s="225"/>
      <c r="Q835" s="225"/>
      <c r="R835" s="225"/>
      <c r="S835" s="225"/>
      <c r="T835" s="225"/>
      <c r="U835" s="225"/>
      <c r="V835" s="225"/>
      <c r="W835" s="225"/>
      <c r="X835" s="225"/>
      <c r="Y835" s="225"/>
      <c r="Z835" s="225"/>
    </row>
    <row r="836">
      <c r="A836" s="225"/>
      <c r="B836" s="225"/>
      <c r="C836" s="225"/>
      <c r="D836" s="225"/>
      <c r="E836" s="225"/>
      <c r="F836" s="225"/>
      <c r="G836" s="225"/>
      <c r="H836" s="225"/>
      <c r="I836" s="225"/>
      <c r="J836" s="225"/>
      <c r="K836" s="225"/>
      <c r="L836" s="225"/>
      <c r="M836" s="225"/>
      <c r="N836" s="225"/>
      <c r="O836" s="225"/>
      <c r="P836" s="225"/>
      <c r="Q836" s="225"/>
      <c r="R836" s="225"/>
      <c r="S836" s="225"/>
      <c r="T836" s="225"/>
      <c r="U836" s="225"/>
      <c r="V836" s="225"/>
      <c r="W836" s="225"/>
      <c r="X836" s="225"/>
      <c r="Y836" s="225"/>
      <c r="Z836" s="225"/>
    </row>
    <row r="837">
      <c r="A837" s="225"/>
      <c r="B837" s="225"/>
      <c r="C837" s="225"/>
      <c r="D837" s="225"/>
      <c r="E837" s="225"/>
      <c r="F837" s="225"/>
      <c r="G837" s="225"/>
      <c r="H837" s="225"/>
      <c r="I837" s="225"/>
      <c r="J837" s="225"/>
      <c r="K837" s="225"/>
      <c r="L837" s="225"/>
      <c r="M837" s="225"/>
      <c r="N837" s="225"/>
      <c r="O837" s="225"/>
      <c r="P837" s="225"/>
      <c r="Q837" s="225"/>
      <c r="R837" s="225"/>
      <c r="S837" s="225"/>
      <c r="T837" s="225"/>
      <c r="U837" s="225"/>
      <c r="V837" s="225"/>
      <c r="W837" s="225"/>
      <c r="X837" s="225"/>
      <c r="Y837" s="225"/>
      <c r="Z837" s="225"/>
    </row>
    <row r="838">
      <c r="A838" s="225"/>
      <c r="B838" s="225"/>
      <c r="C838" s="225"/>
      <c r="D838" s="225"/>
      <c r="E838" s="225"/>
      <c r="F838" s="225"/>
      <c r="G838" s="225"/>
      <c r="H838" s="225"/>
      <c r="I838" s="225"/>
      <c r="J838" s="225"/>
      <c r="K838" s="225"/>
      <c r="L838" s="225"/>
      <c r="M838" s="225"/>
      <c r="N838" s="225"/>
      <c r="O838" s="225"/>
      <c r="P838" s="225"/>
      <c r="Q838" s="225"/>
      <c r="R838" s="225"/>
      <c r="S838" s="225"/>
      <c r="T838" s="225"/>
      <c r="U838" s="225"/>
      <c r="V838" s="225"/>
      <c r="W838" s="225"/>
      <c r="X838" s="225"/>
      <c r="Y838" s="225"/>
      <c r="Z838" s="225"/>
    </row>
    <row r="839">
      <c r="A839" s="225"/>
      <c r="B839" s="225"/>
      <c r="C839" s="225"/>
      <c r="D839" s="225"/>
      <c r="E839" s="225"/>
      <c r="F839" s="225"/>
      <c r="G839" s="225"/>
      <c r="H839" s="225"/>
      <c r="I839" s="225"/>
      <c r="J839" s="225"/>
      <c r="K839" s="225"/>
      <c r="L839" s="225"/>
      <c r="M839" s="225"/>
      <c r="N839" s="225"/>
      <c r="O839" s="225"/>
      <c r="P839" s="225"/>
      <c r="Q839" s="225"/>
      <c r="R839" s="225"/>
      <c r="S839" s="225"/>
      <c r="T839" s="225"/>
      <c r="U839" s="225"/>
      <c r="V839" s="225"/>
      <c r="W839" s="225"/>
      <c r="X839" s="225"/>
      <c r="Y839" s="225"/>
      <c r="Z839" s="225"/>
    </row>
    <row r="840">
      <c r="A840" s="225"/>
      <c r="B840" s="225"/>
      <c r="C840" s="225"/>
      <c r="D840" s="225"/>
      <c r="E840" s="225"/>
      <c r="F840" s="225"/>
      <c r="G840" s="225"/>
      <c r="H840" s="225"/>
      <c r="I840" s="225"/>
      <c r="J840" s="225"/>
      <c r="K840" s="225"/>
      <c r="L840" s="225"/>
      <c r="M840" s="225"/>
      <c r="N840" s="225"/>
      <c r="O840" s="225"/>
      <c r="P840" s="225"/>
      <c r="Q840" s="225"/>
      <c r="R840" s="225"/>
      <c r="S840" s="225"/>
      <c r="T840" s="225"/>
      <c r="U840" s="225"/>
      <c r="V840" s="225"/>
      <c r="W840" s="225"/>
      <c r="X840" s="225"/>
      <c r="Y840" s="225"/>
      <c r="Z840" s="225"/>
    </row>
    <row r="841">
      <c r="A841" s="225"/>
      <c r="B841" s="225"/>
      <c r="C841" s="225"/>
      <c r="D841" s="225"/>
      <c r="E841" s="225"/>
      <c r="F841" s="225"/>
      <c r="G841" s="225"/>
      <c r="H841" s="225"/>
      <c r="I841" s="225"/>
      <c r="J841" s="225"/>
      <c r="K841" s="225"/>
      <c r="L841" s="225"/>
      <c r="M841" s="225"/>
      <c r="N841" s="225"/>
      <c r="O841" s="225"/>
      <c r="P841" s="225"/>
      <c r="Q841" s="225"/>
      <c r="R841" s="225"/>
      <c r="S841" s="225"/>
      <c r="T841" s="225"/>
      <c r="U841" s="225"/>
      <c r="V841" s="225"/>
      <c r="W841" s="225"/>
      <c r="X841" s="225"/>
      <c r="Y841" s="225"/>
      <c r="Z841" s="225"/>
    </row>
    <row r="842">
      <c r="A842" s="225"/>
      <c r="B842" s="225"/>
      <c r="C842" s="225"/>
      <c r="D842" s="225"/>
      <c r="E842" s="225"/>
      <c r="F842" s="225"/>
      <c r="G842" s="225"/>
      <c r="H842" s="225"/>
      <c r="I842" s="225"/>
      <c r="J842" s="225"/>
      <c r="K842" s="225"/>
      <c r="L842" s="225"/>
      <c r="M842" s="225"/>
      <c r="N842" s="225"/>
      <c r="O842" s="225"/>
      <c r="P842" s="225"/>
      <c r="Q842" s="225"/>
      <c r="R842" s="225"/>
      <c r="S842" s="225"/>
      <c r="T842" s="225"/>
      <c r="U842" s="225"/>
      <c r="V842" s="225"/>
      <c r="W842" s="225"/>
      <c r="X842" s="225"/>
      <c r="Y842" s="225"/>
      <c r="Z842" s="225"/>
    </row>
    <row r="843">
      <c r="A843" s="225"/>
      <c r="B843" s="225"/>
      <c r="C843" s="225"/>
      <c r="D843" s="225"/>
      <c r="E843" s="225"/>
      <c r="F843" s="225"/>
      <c r="G843" s="225"/>
      <c r="H843" s="225"/>
      <c r="I843" s="225"/>
      <c r="J843" s="225"/>
      <c r="K843" s="225"/>
      <c r="L843" s="225"/>
      <c r="M843" s="225"/>
      <c r="N843" s="225"/>
      <c r="O843" s="225"/>
      <c r="P843" s="225"/>
      <c r="Q843" s="225"/>
      <c r="R843" s="225"/>
      <c r="S843" s="225"/>
      <c r="T843" s="225"/>
      <c r="U843" s="225"/>
      <c r="V843" s="225"/>
      <c r="W843" s="225"/>
      <c r="X843" s="225"/>
      <c r="Y843" s="225"/>
      <c r="Z843" s="225"/>
    </row>
    <row r="844">
      <c r="A844" s="225"/>
      <c r="B844" s="225"/>
      <c r="C844" s="225"/>
      <c r="D844" s="225"/>
      <c r="E844" s="225"/>
      <c r="F844" s="225"/>
      <c r="G844" s="225"/>
      <c r="H844" s="225"/>
      <c r="I844" s="225"/>
      <c r="J844" s="225"/>
      <c r="K844" s="225"/>
      <c r="L844" s="225"/>
      <c r="M844" s="225"/>
      <c r="N844" s="225"/>
      <c r="O844" s="225"/>
      <c r="P844" s="225"/>
      <c r="Q844" s="225"/>
      <c r="R844" s="225"/>
      <c r="S844" s="225"/>
      <c r="T844" s="225"/>
      <c r="U844" s="225"/>
      <c r="V844" s="225"/>
      <c r="W844" s="225"/>
      <c r="X844" s="225"/>
      <c r="Y844" s="225"/>
      <c r="Z844" s="225"/>
    </row>
    <row r="845">
      <c r="A845" s="225"/>
      <c r="B845" s="225"/>
      <c r="C845" s="225"/>
      <c r="D845" s="225"/>
      <c r="E845" s="225"/>
      <c r="F845" s="225"/>
      <c r="G845" s="225"/>
      <c r="H845" s="225"/>
      <c r="I845" s="225"/>
      <c r="J845" s="225"/>
      <c r="K845" s="225"/>
      <c r="L845" s="225"/>
      <c r="M845" s="225"/>
      <c r="N845" s="225"/>
      <c r="O845" s="225"/>
      <c r="P845" s="225"/>
      <c r="Q845" s="225"/>
      <c r="R845" s="225"/>
      <c r="S845" s="225"/>
      <c r="T845" s="225"/>
      <c r="U845" s="225"/>
      <c r="V845" s="225"/>
      <c r="W845" s="225"/>
      <c r="X845" s="225"/>
      <c r="Y845" s="225"/>
      <c r="Z845" s="225"/>
    </row>
    <row r="846">
      <c r="A846" s="225"/>
      <c r="B846" s="225"/>
      <c r="C846" s="225"/>
      <c r="D846" s="225"/>
      <c r="E846" s="225"/>
      <c r="F846" s="225"/>
      <c r="G846" s="225"/>
      <c r="H846" s="225"/>
      <c r="I846" s="225"/>
      <c r="J846" s="225"/>
      <c r="K846" s="225"/>
      <c r="L846" s="225"/>
      <c r="M846" s="225"/>
      <c r="N846" s="225"/>
      <c r="O846" s="225"/>
      <c r="P846" s="225"/>
      <c r="Q846" s="225"/>
      <c r="R846" s="225"/>
      <c r="S846" s="225"/>
      <c r="T846" s="225"/>
      <c r="U846" s="225"/>
      <c r="V846" s="225"/>
      <c r="W846" s="225"/>
      <c r="X846" s="225"/>
      <c r="Y846" s="225"/>
      <c r="Z846" s="225"/>
    </row>
    <row r="847">
      <c r="A847" s="225"/>
      <c r="B847" s="225"/>
      <c r="C847" s="225"/>
      <c r="D847" s="225"/>
      <c r="E847" s="225"/>
      <c r="F847" s="225"/>
      <c r="G847" s="225"/>
      <c r="H847" s="225"/>
      <c r="I847" s="225"/>
      <c r="J847" s="225"/>
      <c r="K847" s="225"/>
      <c r="L847" s="225"/>
      <c r="M847" s="225"/>
      <c r="N847" s="225"/>
      <c r="O847" s="225"/>
      <c r="P847" s="225"/>
      <c r="Q847" s="225"/>
      <c r="R847" s="225"/>
      <c r="S847" s="225"/>
      <c r="T847" s="225"/>
      <c r="U847" s="225"/>
      <c r="V847" s="225"/>
      <c r="W847" s="225"/>
      <c r="X847" s="225"/>
      <c r="Y847" s="225"/>
      <c r="Z847" s="225"/>
    </row>
    <row r="848">
      <c r="A848" s="225"/>
      <c r="B848" s="225"/>
      <c r="C848" s="225"/>
      <c r="D848" s="225"/>
      <c r="E848" s="225"/>
      <c r="F848" s="225"/>
      <c r="G848" s="225"/>
      <c r="H848" s="225"/>
      <c r="I848" s="225"/>
      <c r="J848" s="225"/>
      <c r="K848" s="225"/>
      <c r="L848" s="225"/>
      <c r="M848" s="225"/>
      <c r="N848" s="225"/>
      <c r="O848" s="225"/>
      <c r="P848" s="225"/>
      <c r="Q848" s="225"/>
      <c r="R848" s="225"/>
      <c r="S848" s="225"/>
      <c r="T848" s="225"/>
      <c r="U848" s="225"/>
      <c r="V848" s="225"/>
      <c r="W848" s="225"/>
      <c r="X848" s="225"/>
      <c r="Y848" s="225"/>
      <c r="Z848" s="225"/>
    </row>
    <row r="849">
      <c r="A849" s="225"/>
      <c r="B849" s="225"/>
      <c r="C849" s="225"/>
      <c r="D849" s="225"/>
      <c r="E849" s="225"/>
      <c r="F849" s="225"/>
      <c r="G849" s="225"/>
      <c r="H849" s="225"/>
      <c r="I849" s="225"/>
      <c r="J849" s="225"/>
      <c r="K849" s="225"/>
      <c r="L849" s="225"/>
      <c r="M849" s="225"/>
      <c r="N849" s="225"/>
      <c r="O849" s="225"/>
      <c r="P849" s="225"/>
      <c r="Q849" s="225"/>
      <c r="R849" s="225"/>
      <c r="S849" s="225"/>
      <c r="T849" s="225"/>
      <c r="U849" s="225"/>
      <c r="V849" s="225"/>
      <c r="W849" s="225"/>
      <c r="X849" s="225"/>
      <c r="Y849" s="225"/>
      <c r="Z849" s="225"/>
    </row>
    <row r="850">
      <c r="A850" s="225"/>
      <c r="B850" s="225"/>
      <c r="C850" s="225"/>
      <c r="D850" s="225"/>
      <c r="E850" s="225"/>
      <c r="F850" s="225"/>
      <c r="G850" s="225"/>
      <c r="H850" s="225"/>
      <c r="I850" s="225"/>
      <c r="J850" s="225"/>
      <c r="K850" s="225"/>
      <c r="L850" s="225"/>
      <c r="M850" s="225"/>
      <c r="N850" s="225"/>
      <c r="O850" s="225"/>
      <c r="P850" s="225"/>
      <c r="Q850" s="225"/>
      <c r="R850" s="225"/>
      <c r="S850" s="225"/>
      <c r="T850" s="225"/>
      <c r="U850" s="225"/>
      <c r="V850" s="225"/>
      <c r="W850" s="225"/>
      <c r="X850" s="225"/>
      <c r="Y850" s="225"/>
      <c r="Z850" s="225"/>
    </row>
    <row r="851">
      <c r="A851" s="225"/>
      <c r="B851" s="225"/>
      <c r="C851" s="225"/>
      <c r="D851" s="225"/>
      <c r="E851" s="225"/>
      <c r="F851" s="225"/>
      <c r="G851" s="225"/>
      <c r="H851" s="225"/>
      <c r="I851" s="225"/>
      <c r="J851" s="225"/>
      <c r="K851" s="225"/>
      <c r="L851" s="225"/>
      <c r="M851" s="225"/>
      <c r="N851" s="225"/>
      <c r="O851" s="225"/>
      <c r="P851" s="225"/>
      <c r="Q851" s="225"/>
      <c r="R851" s="225"/>
      <c r="S851" s="225"/>
      <c r="T851" s="225"/>
      <c r="U851" s="225"/>
      <c r="V851" s="225"/>
      <c r="W851" s="225"/>
      <c r="X851" s="225"/>
      <c r="Y851" s="225"/>
      <c r="Z851" s="225"/>
    </row>
    <row r="852">
      <c r="A852" s="225"/>
      <c r="B852" s="225"/>
      <c r="C852" s="225"/>
      <c r="D852" s="225"/>
      <c r="E852" s="225"/>
      <c r="F852" s="225"/>
      <c r="G852" s="225"/>
      <c r="H852" s="225"/>
      <c r="I852" s="225"/>
      <c r="J852" s="225"/>
      <c r="K852" s="225"/>
      <c r="L852" s="225"/>
      <c r="M852" s="225"/>
      <c r="N852" s="225"/>
      <c r="O852" s="225"/>
      <c r="P852" s="225"/>
      <c r="Q852" s="225"/>
      <c r="R852" s="225"/>
      <c r="S852" s="225"/>
      <c r="T852" s="225"/>
      <c r="U852" s="225"/>
      <c r="V852" s="225"/>
      <c r="W852" s="225"/>
      <c r="X852" s="225"/>
      <c r="Y852" s="225"/>
      <c r="Z852" s="225"/>
    </row>
    <row r="853">
      <c r="A853" s="225"/>
      <c r="B853" s="225"/>
      <c r="C853" s="225"/>
      <c r="D853" s="225"/>
      <c r="E853" s="225"/>
      <c r="F853" s="225"/>
      <c r="G853" s="225"/>
      <c r="H853" s="225"/>
      <c r="I853" s="225"/>
      <c r="J853" s="225"/>
      <c r="K853" s="225"/>
      <c r="L853" s="225"/>
      <c r="M853" s="225"/>
      <c r="N853" s="225"/>
      <c r="O853" s="225"/>
      <c r="P853" s="225"/>
      <c r="Q853" s="225"/>
      <c r="R853" s="225"/>
      <c r="S853" s="225"/>
      <c r="T853" s="225"/>
      <c r="U853" s="225"/>
      <c r="V853" s="225"/>
      <c r="W853" s="225"/>
      <c r="X853" s="225"/>
      <c r="Y853" s="225"/>
      <c r="Z853" s="225"/>
    </row>
    <row r="854">
      <c r="A854" s="225"/>
      <c r="B854" s="225"/>
      <c r="C854" s="225"/>
      <c r="D854" s="225"/>
      <c r="E854" s="225"/>
      <c r="F854" s="225"/>
      <c r="G854" s="225"/>
      <c r="H854" s="225"/>
      <c r="I854" s="225"/>
      <c r="J854" s="225"/>
      <c r="K854" s="225"/>
      <c r="L854" s="225"/>
      <c r="M854" s="225"/>
      <c r="N854" s="225"/>
      <c r="O854" s="225"/>
      <c r="P854" s="225"/>
      <c r="Q854" s="225"/>
      <c r="R854" s="225"/>
      <c r="S854" s="225"/>
      <c r="T854" s="225"/>
      <c r="U854" s="225"/>
      <c r="V854" s="225"/>
      <c r="W854" s="225"/>
      <c r="X854" s="225"/>
      <c r="Y854" s="225"/>
      <c r="Z854" s="225"/>
    </row>
    <row r="855">
      <c r="A855" s="225"/>
      <c r="B855" s="225"/>
      <c r="C855" s="225"/>
      <c r="D855" s="225"/>
      <c r="E855" s="225"/>
      <c r="F855" s="225"/>
      <c r="G855" s="225"/>
      <c r="H855" s="225"/>
      <c r="I855" s="225"/>
      <c r="J855" s="225"/>
      <c r="K855" s="225"/>
      <c r="L855" s="225"/>
      <c r="M855" s="225"/>
      <c r="N855" s="225"/>
      <c r="O855" s="225"/>
      <c r="P855" s="225"/>
      <c r="Q855" s="225"/>
      <c r="R855" s="225"/>
      <c r="S855" s="225"/>
      <c r="T855" s="225"/>
      <c r="U855" s="225"/>
      <c r="V855" s="225"/>
      <c r="W855" s="225"/>
      <c r="X855" s="225"/>
      <c r="Y855" s="225"/>
      <c r="Z855" s="225"/>
    </row>
    <row r="856">
      <c r="A856" s="225"/>
      <c r="B856" s="225"/>
      <c r="C856" s="225"/>
      <c r="D856" s="225"/>
      <c r="E856" s="225"/>
      <c r="F856" s="225"/>
      <c r="G856" s="225"/>
      <c r="H856" s="225"/>
      <c r="I856" s="225"/>
      <c r="J856" s="225"/>
      <c r="K856" s="225"/>
      <c r="L856" s="225"/>
      <c r="M856" s="225"/>
      <c r="N856" s="225"/>
      <c r="O856" s="225"/>
      <c r="P856" s="225"/>
      <c r="Q856" s="225"/>
      <c r="R856" s="225"/>
      <c r="S856" s="225"/>
      <c r="T856" s="225"/>
      <c r="U856" s="225"/>
      <c r="V856" s="225"/>
      <c r="W856" s="225"/>
      <c r="X856" s="225"/>
      <c r="Y856" s="225"/>
      <c r="Z856" s="225"/>
    </row>
    <row r="857">
      <c r="A857" s="225"/>
      <c r="B857" s="225"/>
      <c r="C857" s="225"/>
      <c r="D857" s="225"/>
      <c r="E857" s="225"/>
      <c r="F857" s="225"/>
      <c r="G857" s="225"/>
      <c r="H857" s="225"/>
      <c r="I857" s="225"/>
      <c r="J857" s="225"/>
      <c r="K857" s="225"/>
      <c r="L857" s="225"/>
      <c r="M857" s="225"/>
      <c r="N857" s="225"/>
      <c r="O857" s="225"/>
      <c r="P857" s="225"/>
      <c r="Q857" s="225"/>
      <c r="R857" s="225"/>
      <c r="S857" s="225"/>
      <c r="T857" s="225"/>
      <c r="U857" s="225"/>
      <c r="V857" s="225"/>
      <c r="W857" s="225"/>
      <c r="X857" s="225"/>
      <c r="Y857" s="225"/>
      <c r="Z857" s="225"/>
    </row>
    <row r="858">
      <c r="A858" s="225"/>
      <c r="B858" s="225"/>
      <c r="C858" s="225"/>
      <c r="D858" s="225"/>
      <c r="E858" s="225"/>
      <c r="F858" s="225"/>
      <c r="G858" s="225"/>
      <c r="H858" s="225"/>
      <c r="I858" s="225"/>
      <c r="J858" s="225"/>
      <c r="K858" s="225"/>
      <c r="L858" s="225"/>
      <c r="M858" s="225"/>
      <c r="N858" s="225"/>
      <c r="O858" s="225"/>
      <c r="P858" s="225"/>
      <c r="Q858" s="225"/>
      <c r="R858" s="225"/>
      <c r="S858" s="225"/>
      <c r="T858" s="225"/>
      <c r="U858" s="225"/>
      <c r="V858" s="225"/>
      <c r="W858" s="225"/>
      <c r="X858" s="225"/>
      <c r="Y858" s="225"/>
      <c r="Z858" s="225"/>
    </row>
    <row r="859">
      <c r="A859" s="225"/>
      <c r="B859" s="225"/>
      <c r="C859" s="225"/>
      <c r="D859" s="225"/>
      <c r="E859" s="225"/>
      <c r="F859" s="225"/>
      <c r="G859" s="225"/>
      <c r="H859" s="225"/>
      <c r="I859" s="225"/>
      <c r="J859" s="225"/>
      <c r="K859" s="225"/>
      <c r="L859" s="225"/>
      <c r="M859" s="225"/>
      <c r="N859" s="225"/>
      <c r="O859" s="225"/>
      <c r="P859" s="225"/>
      <c r="Q859" s="225"/>
      <c r="R859" s="225"/>
      <c r="S859" s="225"/>
      <c r="T859" s="225"/>
      <c r="U859" s="225"/>
      <c r="V859" s="225"/>
      <c r="W859" s="225"/>
      <c r="X859" s="225"/>
      <c r="Y859" s="225"/>
      <c r="Z859" s="225"/>
    </row>
    <row r="860">
      <c r="A860" s="225"/>
      <c r="B860" s="225"/>
      <c r="C860" s="225"/>
      <c r="D860" s="225"/>
      <c r="E860" s="225"/>
      <c r="F860" s="225"/>
      <c r="G860" s="225"/>
      <c r="H860" s="225"/>
      <c r="I860" s="225"/>
      <c r="J860" s="225"/>
      <c r="K860" s="225"/>
      <c r="L860" s="225"/>
      <c r="M860" s="225"/>
      <c r="N860" s="225"/>
      <c r="O860" s="225"/>
      <c r="P860" s="225"/>
      <c r="Q860" s="225"/>
      <c r="R860" s="225"/>
      <c r="S860" s="225"/>
      <c r="T860" s="225"/>
      <c r="U860" s="225"/>
      <c r="V860" s="225"/>
      <c r="W860" s="225"/>
      <c r="X860" s="225"/>
      <c r="Y860" s="225"/>
      <c r="Z860" s="225"/>
    </row>
    <row r="861">
      <c r="A861" s="225"/>
      <c r="B861" s="225"/>
      <c r="C861" s="225"/>
      <c r="D861" s="225"/>
      <c r="E861" s="225"/>
      <c r="F861" s="225"/>
      <c r="G861" s="225"/>
      <c r="H861" s="225"/>
      <c r="I861" s="225"/>
      <c r="J861" s="225"/>
      <c r="K861" s="225"/>
      <c r="L861" s="225"/>
      <c r="M861" s="225"/>
      <c r="N861" s="225"/>
      <c r="O861" s="225"/>
      <c r="P861" s="225"/>
      <c r="Q861" s="225"/>
      <c r="R861" s="225"/>
      <c r="S861" s="225"/>
      <c r="T861" s="225"/>
      <c r="U861" s="225"/>
      <c r="V861" s="225"/>
      <c r="W861" s="225"/>
      <c r="X861" s="225"/>
      <c r="Y861" s="225"/>
      <c r="Z861" s="225"/>
    </row>
    <row r="862">
      <c r="A862" s="225"/>
      <c r="B862" s="225"/>
      <c r="C862" s="225"/>
      <c r="D862" s="225"/>
      <c r="E862" s="225"/>
      <c r="F862" s="225"/>
      <c r="G862" s="225"/>
      <c r="H862" s="225"/>
      <c r="I862" s="225"/>
      <c r="J862" s="225"/>
      <c r="K862" s="225"/>
      <c r="L862" s="225"/>
      <c r="M862" s="225"/>
      <c r="N862" s="225"/>
      <c r="O862" s="225"/>
      <c r="P862" s="225"/>
      <c r="Q862" s="225"/>
      <c r="R862" s="225"/>
      <c r="S862" s="225"/>
      <c r="T862" s="225"/>
      <c r="U862" s="225"/>
      <c r="V862" s="225"/>
      <c r="W862" s="225"/>
      <c r="X862" s="225"/>
      <c r="Y862" s="225"/>
      <c r="Z862" s="225"/>
    </row>
    <row r="863">
      <c r="A863" s="225"/>
      <c r="B863" s="225"/>
      <c r="C863" s="225"/>
      <c r="D863" s="225"/>
      <c r="E863" s="225"/>
      <c r="F863" s="225"/>
      <c r="G863" s="225"/>
      <c r="H863" s="225"/>
      <c r="I863" s="225"/>
      <c r="J863" s="225"/>
      <c r="K863" s="225"/>
      <c r="L863" s="225"/>
      <c r="M863" s="225"/>
      <c r="N863" s="225"/>
      <c r="O863" s="225"/>
      <c r="P863" s="225"/>
      <c r="Q863" s="225"/>
      <c r="R863" s="225"/>
      <c r="S863" s="225"/>
      <c r="T863" s="225"/>
      <c r="U863" s="225"/>
      <c r="V863" s="225"/>
      <c r="W863" s="225"/>
      <c r="X863" s="225"/>
      <c r="Y863" s="225"/>
      <c r="Z863" s="225"/>
    </row>
    <row r="864">
      <c r="A864" s="225"/>
      <c r="B864" s="225"/>
      <c r="C864" s="225"/>
      <c r="D864" s="225"/>
      <c r="E864" s="225"/>
      <c r="F864" s="225"/>
      <c r="G864" s="225"/>
      <c r="H864" s="225"/>
      <c r="I864" s="225"/>
      <c r="J864" s="225"/>
      <c r="K864" s="225"/>
      <c r="L864" s="225"/>
      <c r="M864" s="225"/>
      <c r="N864" s="225"/>
      <c r="O864" s="225"/>
      <c r="P864" s="225"/>
      <c r="Q864" s="225"/>
      <c r="R864" s="225"/>
      <c r="S864" s="225"/>
      <c r="T864" s="225"/>
      <c r="U864" s="225"/>
      <c r="V864" s="225"/>
      <c r="W864" s="225"/>
      <c r="X864" s="225"/>
      <c r="Y864" s="225"/>
      <c r="Z864" s="225"/>
    </row>
    <row r="865">
      <c r="A865" s="225"/>
      <c r="B865" s="225"/>
      <c r="C865" s="225"/>
      <c r="D865" s="225"/>
      <c r="E865" s="225"/>
      <c r="F865" s="225"/>
      <c r="G865" s="225"/>
      <c r="H865" s="225"/>
      <c r="I865" s="225"/>
      <c r="J865" s="225"/>
      <c r="K865" s="225"/>
      <c r="L865" s="225"/>
      <c r="M865" s="225"/>
      <c r="N865" s="225"/>
      <c r="O865" s="225"/>
      <c r="P865" s="225"/>
      <c r="Q865" s="225"/>
      <c r="R865" s="225"/>
      <c r="S865" s="225"/>
      <c r="T865" s="225"/>
      <c r="U865" s="225"/>
      <c r="V865" s="225"/>
      <c r="W865" s="225"/>
      <c r="X865" s="225"/>
      <c r="Y865" s="225"/>
      <c r="Z865" s="225"/>
    </row>
    <row r="866">
      <c r="A866" s="225"/>
      <c r="B866" s="225"/>
      <c r="C866" s="225"/>
      <c r="D866" s="225"/>
      <c r="E866" s="225"/>
      <c r="F866" s="225"/>
      <c r="G866" s="225"/>
      <c r="H866" s="225"/>
      <c r="I866" s="225"/>
      <c r="J866" s="225"/>
      <c r="K866" s="225"/>
      <c r="L866" s="225"/>
      <c r="M866" s="225"/>
      <c r="N866" s="225"/>
      <c r="O866" s="225"/>
      <c r="P866" s="225"/>
      <c r="Q866" s="225"/>
      <c r="R866" s="225"/>
      <c r="S866" s="225"/>
      <c r="T866" s="225"/>
      <c r="U866" s="225"/>
      <c r="V866" s="225"/>
      <c r="W866" s="225"/>
      <c r="X866" s="225"/>
      <c r="Y866" s="225"/>
      <c r="Z866" s="225"/>
    </row>
    <row r="867">
      <c r="A867" s="225"/>
      <c r="B867" s="225"/>
      <c r="C867" s="225"/>
      <c r="D867" s="225"/>
      <c r="E867" s="225"/>
      <c r="F867" s="225"/>
      <c r="G867" s="225"/>
      <c r="H867" s="225"/>
      <c r="I867" s="225"/>
      <c r="J867" s="225"/>
      <c r="K867" s="225"/>
      <c r="L867" s="225"/>
      <c r="M867" s="225"/>
      <c r="N867" s="225"/>
      <c r="O867" s="225"/>
      <c r="P867" s="225"/>
      <c r="Q867" s="225"/>
      <c r="R867" s="225"/>
      <c r="S867" s="225"/>
      <c r="T867" s="225"/>
      <c r="U867" s="225"/>
      <c r="V867" s="225"/>
      <c r="W867" s="225"/>
      <c r="X867" s="225"/>
      <c r="Y867" s="225"/>
      <c r="Z867" s="225"/>
    </row>
    <row r="868">
      <c r="A868" s="225"/>
      <c r="B868" s="225"/>
      <c r="C868" s="225"/>
      <c r="D868" s="225"/>
      <c r="E868" s="225"/>
      <c r="F868" s="225"/>
      <c r="G868" s="225"/>
      <c r="H868" s="225"/>
      <c r="I868" s="225"/>
      <c r="J868" s="225"/>
      <c r="K868" s="225"/>
      <c r="L868" s="225"/>
      <c r="M868" s="225"/>
      <c r="N868" s="225"/>
      <c r="O868" s="225"/>
      <c r="P868" s="225"/>
      <c r="Q868" s="225"/>
      <c r="R868" s="225"/>
      <c r="S868" s="225"/>
      <c r="T868" s="225"/>
      <c r="U868" s="225"/>
      <c r="V868" s="225"/>
      <c r="W868" s="225"/>
      <c r="X868" s="225"/>
      <c r="Y868" s="225"/>
      <c r="Z868" s="225"/>
    </row>
    <row r="869">
      <c r="A869" s="225"/>
      <c r="B869" s="225"/>
      <c r="C869" s="225"/>
      <c r="D869" s="225"/>
      <c r="E869" s="225"/>
      <c r="F869" s="225"/>
      <c r="G869" s="225"/>
      <c r="H869" s="225"/>
      <c r="I869" s="225"/>
      <c r="J869" s="225"/>
      <c r="K869" s="225"/>
      <c r="L869" s="225"/>
      <c r="M869" s="225"/>
      <c r="N869" s="225"/>
      <c r="O869" s="225"/>
      <c r="P869" s="225"/>
      <c r="Q869" s="225"/>
      <c r="R869" s="225"/>
      <c r="S869" s="225"/>
      <c r="T869" s="225"/>
      <c r="U869" s="225"/>
      <c r="V869" s="225"/>
      <c r="W869" s="225"/>
      <c r="X869" s="225"/>
      <c r="Y869" s="225"/>
      <c r="Z869" s="225"/>
    </row>
    <row r="870">
      <c r="A870" s="225"/>
      <c r="B870" s="225"/>
      <c r="C870" s="225"/>
      <c r="D870" s="225"/>
      <c r="E870" s="225"/>
      <c r="F870" s="225"/>
      <c r="G870" s="225"/>
      <c r="H870" s="225"/>
      <c r="I870" s="225"/>
      <c r="J870" s="225"/>
      <c r="K870" s="225"/>
      <c r="L870" s="225"/>
      <c r="M870" s="225"/>
      <c r="N870" s="225"/>
      <c r="O870" s="225"/>
      <c r="P870" s="225"/>
      <c r="Q870" s="225"/>
      <c r="R870" s="225"/>
      <c r="S870" s="225"/>
      <c r="T870" s="225"/>
      <c r="U870" s="225"/>
      <c r="V870" s="225"/>
      <c r="W870" s="225"/>
      <c r="X870" s="225"/>
      <c r="Y870" s="225"/>
      <c r="Z870" s="225"/>
    </row>
    <row r="871">
      <c r="A871" s="225"/>
      <c r="B871" s="225"/>
      <c r="C871" s="225"/>
      <c r="D871" s="225"/>
      <c r="E871" s="225"/>
      <c r="F871" s="225"/>
      <c r="G871" s="225"/>
      <c r="H871" s="225"/>
      <c r="I871" s="225"/>
      <c r="J871" s="225"/>
      <c r="K871" s="225"/>
      <c r="L871" s="225"/>
      <c r="M871" s="225"/>
      <c r="N871" s="225"/>
      <c r="O871" s="225"/>
      <c r="P871" s="225"/>
      <c r="Q871" s="225"/>
      <c r="R871" s="225"/>
      <c r="S871" s="225"/>
      <c r="T871" s="225"/>
      <c r="U871" s="225"/>
      <c r="V871" s="225"/>
      <c r="W871" s="225"/>
      <c r="X871" s="225"/>
      <c r="Y871" s="225"/>
      <c r="Z871" s="225"/>
    </row>
    <row r="872">
      <c r="A872" s="225"/>
      <c r="B872" s="225"/>
      <c r="C872" s="225"/>
      <c r="D872" s="225"/>
      <c r="E872" s="225"/>
      <c r="F872" s="225"/>
      <c r="G872" s="225"/>
      <c r="H872" s="225"/>
      <c r="I872" s="225"/>
      <c r="J872" s="225"/>
      <c r="K872" s="225"/>
      <c r="L872" s="225"/>
      <c r="M872" s="225"/>
      <c r="N872" s="225"/>
      <c r="O872" s="225"/>
      <c r="P872" s="225"/>
      <c r="Q872" s="225"/>
      <c r="R872" s="225"/>
      <c r="S872" s="225"/>
      <c r="T872" s="225"/>
      <c r="U872" s="225"/>
      <c r="V872" s="225"/>
      <c r="W872" s="225"/>
      <c r="X872" s="225"/>
      <c r="Y872" s="225"/>
      <c r="Z872" s="225"/>
    </row>
    <row r="873">
      <c r="A873" s="225"/>
      <c r="B873" s="225"/>
      <c r="C873" s="225"/>
      <c r="D873" s="225"/>
      <c r="E873" s="225"/>
      <c r="F873" s="225"/>
      <c r="G873" s="225"/>
      <c r="H873" s="225"/>
      <c r="I873" s="225"/>
      <c r="J873" s="225"/>
      <c r="K873" s="225"/>
      <c r="L873" s="225"/>
      <c r="M873" s="225"/>
      <c r="N873" s="225"/>
      <c r="O873" s="225"/>
      <c r="P873" s="225"/>
      <c r="Q873" s="225"/>
      <c r="R873" s="225"/>
      <c r="S873" s="225"/>
      <c r="T873" s="225"/>
      <c r="U873" s="225"/>
      <c r="V873" s="225"/>
      <c r="W873" s="225"/>
      <c r="X873" s="225"/>
      <c r="Y873" s="225"/>
      <c r="Z873" s="225"/>
    </row>
    <row r="874">
      <c r="A874" s="225"/>
      <c r="B874" s="225"/>
      <c r="C874" s="225"/>
      <c r="D874" s="225"/>
      <c r="E874" s="225"/>
      <c r="F874" s="225"/>
      <c r="G874" s="225"/>
      <c r="H874" s="225"/>
      <c r="I874" s="225"/>
      <c r="J874" s="225"/>
      <c r="K874" s="225"/>
      <c r="L874" s="225"/>
      <c r="M874" s="225"/>
      <c r="N874" s="225"/>
      <c r="O874" s="225"/>
      <c r="P874" s="225"/>
      <c r="Q874" s="225"/>
      <c r="R874" s="225"/>
      <c r="S874" s="225"/>
      <c r="T874" s="225"/>
      <c r="U874" s="225"/>
      <c r="V874" s="225"/>
      <c r="W874" s="225"/>
      <c r="X874" s="225"/>
      <c r="Y874" s="225"/>
      <c r="Z874" s="225"/>
    </row>
    <row r="875">
      <c r="A875" s="225"/>
      <c r="B875" s="225"/>
      <c r="C875" s="225"/>
      <c r="D875" s="225"/>
      <c r="E875" s="225"/>
      <c r="F875" s="225"/>
      <c r="G875" s="225"/>
      <c r="H875" s="225"/>
      <c r="I875" s="225"/>
      <c r="J875" s="225"/>
      <c r="K875" s="225"/>
      <c r="L875" s="225"/>
      <c r="M875" s="225"/>
      <c r="N875" s="225"/>
      <c r="O875" s="225"/>
      <c r="P875" s="225"/>
      <c r="Q875" s="225"/>
      <c r="R875" s="225"/>
      <c r="S875" s="225"/>
      <c r="T875" s="225"/>
      <c r="U875" s="225"/>
      <c r="V875" s="225"/>
      <c r="W875" s="225"/>
      <c r="X875" s="225"/>
      <c r="Y875" s="225"/>
      <c r="Z875" s="225"/>
    </row>
    <row r="876">
      <c r="A876" s="225"/>
      <c r="B876" s="225"/>
      <c r="C876" s="225"/>
      <c r="D876" s="225"/>
      <c r="E876" s="225"/>
      <c r="F876" s="225"/>
      <c r="G876" s="225"/>
      <c r="H876" s="225"/>
      <c r="I876" s="225"/>
      <c r="J876" s="225"/>
      <c r="K876" s="225"/>
      <c r="L876" s="225"/>
      <c r="M876" s="225"/>
      <c r="N876" s="225"/>
      <c r="O876" s="225"/>
      <c r="P876" s="225"/>
      <c r="Q876" s="225"/>
      <c r="R876" s="225"/>
      <c r="S876" s="225"/>
      <c r="T876" s="225"/>
      <c r="U876" s="225"/>
      <c r="V876" s="225"/>
      <c r="W876" s="225"/>
      <c r="X876" s="225"/>
      <c r="Y876" s="225"/>
      <c r="Z876" s="225"/>
    </row>
    <row r="877">
      <c r="A877" s="225"/>
      <c r="B877" s="225"/>
      <c r="C877" s="225"/>
      <c r="D877" s="225"/>
      <c r="E877" s="225"/>
      <c r="F877" s="225"/>
      <c r="G877" s="225"/>
      <c r="H877" s="225"/>
      <c r="I877" s="225"/>
      <c r="J877" s="225"/>
      <c r="K877" s="225"/>
      <c r="L877" s="225"/>
      <c r="M877" s="225"/>
      <c r="N877" s="225"/>
      <c r="O877" s="225"/>
      <c r="P877" s="225"/>
      <c r="Q877" s="225"/>
      <c r="R877" s="225"/>
      <c r="S877" s="225"/>
      <c r="T877" s="225"/>
      <c r="U877" s="225"/>
      <c r="V877" s="225"/>
      <c r="W877" s="225"/>
      <c r="X877" s="225"/>
      <c r="Y877" s="225"/>
      <c r="Z877" s="225"/>
    </row>
    <row r="878">
      <c r="A878" s="225"/>
      <c r="B878" s="225"/>
      <c r="C878" s="225"/>
      <c r="D878" s="225"/>
      <c r="E878" s="225"/>
      <c r="F878" s="225"/>
      <c r="G878" s="225"/>
      <c r="H878" s="225"/>
      <c r="I878" s="225"/>
      <c r="J878" s="225"/>
      <c r="K878" s="225"/>
      <c r="L878" s="225"/>
      <c r="M878" s="225"/>
      <c r="N878" s="225"/>
      <c r="O878" s="225"/>
      <c r="P878" s="225"/>
      <c r="Q878" s="225"/>
      <c r="R878" s="225"/>
      <c r="S878" s="225"/>
      <c r="T878" s="225"/>
      <c r="U878" s="225"/>
      <c r="V878" s="225"/>
      <c r="W878" s="225"/>
      <c r="X878" s="225"/>
      <c r="Y878" s="225"/>
      <c r="Z878" s="225"/>
    </row>
    <row r="879">
      <c r="A879" s="225"/>
      <c r="B879" s="225"/>
      <c r="C879" s="225"/>
      <c r="D879" s="225"/>
      <c r="E879" s="225"/>
      <c r="F879" s="225"/>
      <c r="G879" s="225"/>
      <c r="H879" s="225"/>
      <c r="I879" s="225"/>
      <c r="J879" s="225"/>
      <c r="K879" s="225"/>
      <c r="L879" s="225"/>
      <c r="M879" s="225"/>
      <c r="N879" s="225"/>
      <c r="O879" s="225"/>
      <c r="P879" s="225"/>
      <c r="Q879" s="225"/>
      <c r="R879" s="225"/>
      <c r="S879" s="225"/>
      <c r="T879" s="225"/>
      <c r="U879" s="225"/>
      <c r="V879" s="225"/>
      <c r="W879" s="225"/>
      <c r="X879" s="225"/>
      <c r="Y879" s="225"/>
      <c r="Z879" s="225"/>
    </row>
    <row r="880">
      <c r="A880" s="225"/>
      <c r="B880" s="225"/>
      <c r="C880" s="225"/>
      <c r="D880" s="225"/>
      <c r="E880" s="225"/>
      <c r="F880" s="225"/>
      <c r="G880" s="225"/>
      <c r="H880" s="225"/>
      <c r="I880" s="225"/>
      <c r="J880" s="225"/>
      <c r="K880" s="225"/>
      <c r="L880" s="225"/>
      <c r="M880" s="225"/>
      <c r="N880" s="225"/>
      <c r="O880" s="225"/>
      <c r="P880" s="225"/>
      <c r="Q880" s="225"/>
      <c r="R880" s="225"/>
      <c r="S880" s="225"/>
      <c r="T880" s="225"/>
      <c r="U880" s="225"/>
      <c r="V880" s="225"/>
      <c r="W880" s="225"/>
      <c r="X880" s="225"/>
      <c r="Y880" s="225"/>
      <c r="Z880" s="225"/>
    </row>
    <row r="881">
      <c r="A881" s="225"/>
      <c r="B881" s="225"/>
      <c r="C881" s="225"/>
      <c r="D881" s="225"/>
      <c r="E881" s="225"/>
      <c r="F881" s="225"/>
      <c r="G881" s="225"/>
      <c r="H881" s="225"/>
      <c r="I881" s="225"/>
      <c r="J881" s="225"/>
      <c r="K881" s="225"/>
      <c r="L881" s="225"/>
      <c r="M881" s="225"/>
      <c r="N881" s="225"/>
      <c r="O881" s="225"/>
      <c r="P881" s="225"/>
      <c r="Q881" s="225"/>
      <c r="R881" s="225"/>
      <c r="S881" s="225"/>
      <c r="T881" s="225"/>
      <c r="U881" s="225"/>
      <c r="V881" s="225"/>
      <c r="W881" s="225"/>
      <c r="X881" s="225"/>
      <c r="Y881" s="225"/>
      <c r="Z881" s="225"/>
    </row>
    <row r="882">
      <c r="A882" s="225"/>
      <c r="B882" s="225"/>
      <c r="C882" s="225"/>
      <c r="D882" s="225"/>
      <c r="E882" s="225"/>
      <c r="F882" s="225"/>
      <c r="G882" s="225"/>
      <c r="H882" s="225"/>
      <c r="I882" s="225"/>
      <c r="J882" s="225"/>
      <c r="K882" s="225"/>
      <c r="L882" s="225"/>
      <c r="M882" s="225"/>
      <c r="N882" s="225"/>
      <c r="O882" s="225"/>
      <c r="P882" s="225"/>
      <c r="Q882" s="225"/>
      <c r="R882" s="225"/>
      <c r="S882" s="225"/>
      <c r="T882" s="225"/>
      <c r="U882" s="225"/>
      <c r="V882" s="225"/>
      <c r="W882" s="225"/>
      <c r="X882" s="225"/>
      <c r="Y882" s="225"/>
      <c r="Z882" s="225"/>
    </row>
    <row r="883">
      <c r="A883" s="225"/>
      <c r="B883" s="225"/>
      <c r="C883" s="225"/>
      <c r="D883" s="225"/>
      <c r="E883" s="225"/>
      <c r="F883" s="225"/>
      <c r="G883" s="225"/>
      <c r="H883" s="225"/>
      <c r="I883" s="225"/>
      <c r="J883" s="225"/>
      <c r="K883" s="225"/>
      <c r="L883" s="225"/>
      <c r="M883" s="225"/>
      <c r="N883" s="225"/>
      <c r="O883" s="225"/>
      <c r="P883" s="225"/>
      <c r="Q883" s="225"/>
      <c r="R883" s="225"/>
      <c r="S883" s="225"/>
      <c r="T883" s="225"/>
      <c r="U883" s="225"/>
      <c r="V883" s="225"/>
      <c r="W883" s="225"/>
      <c r="X883" s="225"/>
      <c r="Y883" s="225"/>
      <c r="Z883" s="225"/>
    </row>
    <row r="884">
      <c r="A884" s="225"/>
      <c r="B884" s="225"/>
      <c r="C884" s="225"/>
      <c r="D884" s="225"/>
      <c r="E884" s="225"/>
      <c r="F884" s="225"/>
      <c r="G884" s="225"/>
      <c r="H884" s="225"/>
      <c r="I884" s="225"/>
      <c r="J884" s="225"/>
      <c r="K884" s="225"/>
      <c r="L884" s="225"/>
      <c r="M884" s="225"/>
      <c r="N884" s="225"/>
      <c r="O884" s="225"/>
      <c r="P884" s="225"/>
      <c r="Q884" s="225"/>
      <c r="R884" s="225"/>
      <c r="S884" s="225"/>
      <c r="T884" s="225"/>
      <c r="U884" s="225"/>
      <c r="V884" s="225"/>
      <c r="W884" s="225"/>
      <c r="X884" s="225"/>
      <c r="Y884" s="225"/>
      <c r="Z884" s="225"/>
    </row>
    <row r="885">
      <c r="A885" s="225"/>
      <c r="B885" s="225"/>
      <c r="C885" s="225"/>
      <c r="D885" s="225"/>
      <c r="E885" s="225"/>
      <c r="F885" s="225"/>
      <c r="G885" s="225"/>
      <c r="H885" s="225"/>
      <c r="I885" s="225"/>
      <c r="J885" s="225"/>
      <c r="K885" s="225"/>
      <c r="L885" s="225"/>
      <c r="M885" s="225"/>
      <c r="N885" s="225"/>
      <c r="O885" s="225"/>
      <c r="P885" s="225"/>
      <c r="Q885" s="225"/>
      <c r="R885" s="225"/>
      <c r="S885" s="225"/>
      <c r="T885" s="225"/>
      <c r="U885" s="225"/>
      <c r="V885" s="225"/>
      <c r="W885" s="225"/>
      <c r="X885" s="225"/>
      <c r="Y885" s="225"/>
      <c r="Z885" s="225"/>
    </row>
    <row r="886">
      <c r="A886" s="225"/>
      <c r="B886" s="225"/>
      <c r="C886" s="225"/>
      <c r="D886" s="225"/>
      <c r="E886" s="225"/>
      <c r="F886" s="225"/>
      <c r="G886" s="225"/>
      <c r="H886" s="225"/>
      <c r="I886" s="225"/>
      <c r="J886" s="225"/>
      <c r="K886" s="225"/>
      <c r="L886" s="225"/>
      <c r="M886" s="225"/>
      <c r="N886" s="225"/>
      <c r="O886" s="225"/>
      <c r="P886" s="225"/>
      <c r="Q886" s="225"/>
      <c r="R886" s="225"/>
      <c r="S886" s="225"/>
      <c r="T886" s="225"/>
      <c r="U886" s="225"/>
      <c r="V886" s="225"/>
      <c r="W886" s="225"/>
      <c r="X886" s="225"/>
      <c r="Y886" s="225"/>
      <c r="Z886" s="225"/>
    </row>
    <row r="887">
      <c r="A887" s="225"/>
      <c r="B887" s="225"/>
      <c r="C887" s="225"/>
      <c r="D887" s="225"/>
      <c r="E887" s="225"/>
      <c r="F887" s="225"/>
      <c r="G887" s="225"/>
      <c r="H887" s="225"/>
      <c r="I887" s="225"/>
      <c r="J887" s="225"/>
      <c r="K887" s="225"/>
      <c r="L887" s="225"/>
      <c r="M887" s="225"/>
      <c r="N887" s="225"/>
      <c r="O887" s="225"/>
      <c r="P887" s="225"/>
      <c r="Q887" s="225"/>
      <c r="R887" s="225"/>
      <c r="S887" s="225"/>
      <c r="T887" s="225"/>
      <c r="U887" s="225"/>
      <c r="V887" s="225"/>
      <c r="W887" s="225"/>
      <c r="X887" s="225"/>
      <c r="Y887" s="225"/>
      <c r="Z887" s="225"/>
    </row>
    <row r="888">
      <c r="A888" s="225"/>
      <c r="B888" s="225"/>
      <c r="C888" s="225"/>
      <c r="D888" s="225"/>
      <c r="E888" s="225"/>
      <c r="F888" s="225"/>
      <c r="G888" s="225"/>
      <c r="H888" s="225"/>
      <c r="I888" s="225"/>
      <c r="J888" s="225"/>
      <c r="K888" s="225"/>
      <c r="L888" s="225"/>
      <c r="M888" s="225"/>
      <c r="N888" s="225"/>
      <c r="O888" s="225"/>
      <c r="P888" s="225"/>
      <c r="Q888" s="225"/>
      <c r="R888" s="225"/>
      <c r="S888" s="225"/>
      <c r="T888" s="225"/>
      <c r="U888" s="225"/>
      <c r="V888" s="225"/>
      <c r="W888" s="225"/>
      <c r="X888" s="225"/>
      <c r="Y888" s="225"/>
      <c r="Z888" s="225"/>
    </row>
    <row r="889">
      <c r="A889" s="225"/>
      <c r="B889" s="225"/>
      <c r="C889" s="225"/>
      <c r="D889" s="225"/>
      <c r="E889" s="225"/>
      <c r="F889" s="225"/>
      <c r="G889" s="225"/>
      <c r="H889" s="225"/>
      <c r="I889" s="225"/>
      <c r="J889" s="225"/>
      <c r="K889" s="225"/>
      <c r="L889" s="225"/>
      <c r="M889" s="225"/>
      <c r="N889" s="225"/>
      <c r="O889" s="225"/>
      <c r="P889" s="225"/>
      <c r="Q889" s="225"/>
      <c r="R889" s="225"/>
      <c r="S889" s="225"/>
      <c r="T889" s="225"/>
      <c r="U889" s="225"/>
      <c r="V889" s="225"/>
      <c r="W889" s="225"/>
      <c r="X889" s="225"/>
      <c r="Y889" s="225"/>
      <c r="Z889" s="225"/>
    </row>
    <row r="890">
      <c r="A890" s="225"/>
      <c r="B890" s="225"/>
      <c r="C890" s="225"/>
      <c r="D890" s="225"/>
      <c r="E890" s="225"/>
      <c r="F890" s="225"/>
      <c r="G890" s="225"/>
      <c r="H890" s="225"/>
      <c r="I890" s="225"/>
      <c r="J890" s="225"/>
      <c r="K890" s="225"/>
      <c r="L890" s="225"/>
      <c r="M890" s="225"/>
      <c r="N890" s="225"/>
      <c r="O890" s="225"/>
      <c r="P890" s="225"/>
      <c r="Q890" s="225"/>
      <c r="R890" s="225"/>
      <c r="S890" s="225"/>
      <c r="T890" s="225"/>
      <c r="U890" s="225"/>
      <c r="V890" s="225"/>
      <c r="W890" s="225"/>
      <c r="X890" s="225"/>
      <c r="Y890" s="225"/>
      <c r="Z890" s="225"/>
    </row>
    <row r="891">
      <c r="A891" s="225"/>
      <c r="B891" s="225"/>
      <c r="C891" s="225"/>
      <c r="D891" s="225"/>
      <c r="E891" s="225"/>
      <c r="F891" s="225"/>
      <c r="G891" s="225"/>
      <c r="H891" s="225"/>
      <c r="I891" s="225"/>
      <c r="J891" s="225"/>
      <c r="K891" s="225"/>
      <c r="L891" s="225"/>
      <c r="M891" s="225"/>
      <c r="N891" s="225"/>
      <c r="O891" s="225"/>
      <c r="P891" s="225"/>
      <c r="Q891" s="225"/>
      <c r="R891" s="225"/>
      <c r="S891" s="225"/>
      <c r="T891" s="225"/>
      <c r="U891" s="225"/>
      <c r="V891" s="225"/>
      <c r="W891" s="225"/>
      <c r="X891" s="225"/>
      <c r="Y891" s="225"/>
      <c r="Z891" s="225"/>
    </row>
    <row r="892">
      <c r="A892" s="225"/>
      <c r="B892" s="225"/>
      <c r="C892" s="225"/>
      <c r="D892" s="225"/>
      <c r="E892" s="225"/>
      <c r="F892" s="225"/>
      <c r="G892" s="225"/>
      <c r="H892" s="225"/>
      <c r="I892" s="225"/>
      <c r="J892" s="225"/>
      <c r="K892" s="225"/>
      <c r="L892" s="225"/>
      <c r="M892" s="225"/>
      <c r="N892" s="225"/>
      <c r="O892" s="225"/>
      <c r="P892" s="225"/>
      <c r="Q892" s="225"/>
      <c r="R892" s="225"/>
      <c r="S892" s="225"/>
      <c r="T892" s="225"/>
      <c r="U892" s="225"/>
      <c r="V892" s="225"/>
      <c r="W892" s="225"/>
      <c r="X892" s="225"/>
      <c r="Y892" s="225"/>
      <c r="Z892" s="225"/>
    </row>
    <row r="893">
      <c r="A893" s="225"/>
      <c r="B893" s="225"/>
      <c r="C893" s="225"/>
      <c r="D893" s="225"/>
      <c r="E893" s="225"/>
      <c r="F893" s="225"/>
      <c r="G893" s="225"/>
      <c r="H893" s="225"/>
      <c r="I893" s="225"/>
      <c r="J893" s="225"/>
      <c r="K893" s="225"/>
      <c r="L893" s="225"/>
      <c r="M893" s="225"/>
      <c r="N893" s="225"/>
      <c r="O893" s="225"/>
      <c r="P893" s="225"/>
      <c r="Q893" s="225"/>
      <c r="R893" s="225"/>
      <c r="S893" s="225"/>
      <c r="T893" s="225"/>
      <c r="U893" s="225"/>
      <c r="V893" s="225"/>
      <c r="W893" s="225"/>
      <c r="X893" s="225"/>
      <c r="Y893" s="225"/>
      <c r="Z893" s="225"/>
    </row>
    <row r="894">
      <c r="A894" s="225"/>
      <c r="B894" s="225"/>
      <c r="C894" s="225"/>
      <c r="D894" s="225"/>
      <c r="E894" s="225"/>
      <c r="F894" s="225"/>
      <c r="G894" s="225"/>
      <c r="H894" s="225"/>
      <c r="I894" s="225"/>
      <c r="J894" s="225"/>
      <c r="K894" s="225"/>
      <c r="L894" s="225"/>
      <c r="M894" s="225"/>
      <c r="N894" s="225"/>
      <c r="O894" s="225"/>
      <c r="P894" s="225"/>
      <c r="Q894" s="225"/>
      <c r="R894" s="225"/>
      <c r="S894" s="225"/>
      <c r="T894" s="225"/>
      <c r="U894" s="225"/>
      <c r="V894" s="225"/>
      <c r="W894" s="225"/>
      <c r="X894" s="225"/>
      <c r="Y894" s="225"/>
      <c r="Z894" s="225"/>
    </row>
    <row r="895">
      <c r="A895" s="225"/>
      <c r="B895" s="225"/>
      <c r="C895" s="225"/>
      <c r="D895" s="225"/>
      <c r="E895" s="225"/>
      <c r="F895" s="225"/>
      <c r="G895" s="225"/>
      <c r="H895" s="225"/>
      <c r="I895" s="225"/>
      <c r="J895" s="225"/>
      <c r="K895" s="225"/>
      <c r="L895" s="225"/>
      <c r="M895" s="225"/>
      <c r="N895" s="225"/>
      <c r="O895" s="225"/>
      <c r="P895" s="225"/>
      <c r="Q895" s="225"/>
      <c r="R895" s="225"/>
      <c r="S895" s="225"/>
      <c r="T895" s="225"/>
      <c r="U895" s="225"/>
      <c r="V895" s="225"/>
      <c r="W895" s="225"/>
      <c r="X895" s="225"/>
      <c r="Y895" s="225"/>
      <c r="Z895" s="225"/>
    </row>
    <row r="896">
      <c r="A896" s="225"/>
      <c r="B896" s="225"/>
      <c r="C896" s="225"/>
      <c r="D896" s="225"/>
      <c r="E896" s="225"/>
      <c r="F896" s="225"/>
      <c r="G896" s="225"/>
      <c r="H896" s="225"/>
      <c r="I896" s="225"/>
      <c r="J896" s="225"/>
      <c r="K896" s="225"/>
      <c r="L896" s="225"/>
      <c r="M896" s="225"/>
      <c r="N896" s="225"/>
      <c r="O896" s="225"/>
      <c r="P896" s="225"/>
      <c r="Q896" s="225"/>
      <c r="R896" s="225"/>
      <c r="S896" s="225"/>
      <c r="T896" s="225"/>
      <c r="U896" s="225"/>
      <c r="V896" s="225"/>
      <c r="W896" s="225"/>
      <c r="X896" s="225"/>
      <c r="Y896" s="225"/>
      <c r="Z896" s="225"/>
    </row>
    <row r="897">
      <c r="A897" s="225"/>
      <c r="B897" s="225"/>
      <c r="C897" s="225"/>
      <c r="D897" s="225"/>
      <c r="E897" s="225"/>
      <c r="F897" s="225"/>
      <c r="G897" s="225"/>
      <c r="H897" s="225"/>
      <c r="I897" s="225"/>
      <c r="J897" s="225"/>
      <c r="K897" s="225"/>
      <c r="L897" s="225"/>
      <c r="M897" s="225"/>
      <c r="N897" s="225"/>
      <c r="O897" s="225"/>
      <c r="P897" s="225"/>
      <c r="Q897" s="225"/>
      <c r="R897" s="225"/>
      <c r="S897" s="225"/>
      <c r="T897" s="225"/>
      <c r="U897" s="225"/>
      <c r="V897" s="225"/>
      <c r="W897" s="225"/>
      <c r="X897" s="225"/>
      <c r="Y897" s="225"/>
      <c r="Z897" s="225"/>
    </row>
    <row r="898">
      <c r="A898" s="225"/>
      <c r="B898" s="225"/>
      <c r="C898" s="225"/>
      <c r="D898" s="225"/>
      <c r="E898" s="225"/>
      <c r="F898" s="225"/>
      <c r="G898" s="225"/>
      <c r="H898" s="225"/>
      <c r="I898" s="225"/>
      <c r="J898" s="225"/>
      <c r="K898" s="225"/>
      <c r="L898" s="225"/>
      <c r="M898" s="225"/>
      <c r="N898" s="225"/>
      <c r="O898" s="225"/>
      <c r="P898" s="225"/>
      <c r="Q898" s="225"/>
      <c r="R898" s="225"/>
      <c r="S898" s="225"/>
      <c r="T898" s="225"/>
      <c r="U898" s="225"/>
      <c r="V898" s="225"/>
      <c r="W898" s="225"/>
      <c r="X898" s="225"/>
      <c r="Y898" s="225"/>
      <c r="Z898" s="225"/>
    </row>
    <row r="899">
      <c r="A899" s="225"/>
      <c r="B899" s="225"/>
      <c r="C899" s="225"/>
      <c r="D899" s="225"/>
      <c r="E899" s="225"/>
      <c r="F899" s="225"/>
      <c r="G899" s="225"/>
      <c r="H899" s="225"/>
      <c r="I899" s="225"/>
      <c r="J899" s="225"/>
      <c r="K899" s="225"/>
      <c r="L899" s="225"/>
      <c r="M899" s="225"/>
      <c r="N899" s="225"/>
      <c r="O899" s="225"/>
      <c r="P899" s="225"/>
      <c r="Q899" s="225"/>
      <c r="R899" s="225"/>
      <c r="S899" s="225"/>
      <c r="T899" s="225"/>
      <c r="U899" s="225"/>
      <c r="V899" s="225"/>
      <c r="W899" s="225"/>
      <c r="X899" s="225"/>
      <c r="Y899" s="225"/>
      <c r="Z899" s="225"/>
    </row>
    <row r="900">
      <c r="A900" s="225"/>
      <c r="B900" s="225"/>
      <c r="C900" s="225"/>
      <c r="D900" s="225"/>
      <c r="E900" s="225"/>
      <c r="F900" s="225"/>
      <c r="G900" s="225"/>
      <c r="H900" s="225"/>
      <c r="I900" s="225"/>
      <c r="J900" s="225"/>
      <c r="K900" s="225"/>
      <c r="L900" s="225"/>
      <c r="M900" s="225"/>
      <c r="N900" s="225"/>
      <c r="O900" s="225"/>
      <c r="P900" s="225"/>
      <c r="Q900" s="225"/>
      <c r="R900" s="225"/>
      <c r="S900" s="225"/>
      <c r="T900" s="225"/>
      <c r="U900" s="225"/>
      <c r="V900" s="225"/>
      <c r="W900" s="225"/>
      <c r="X900" s="225"/>
      <c r="Y900" s="225"/>
      <c r="Z900" s="225"/>
    </row>
    <row r="901">
      <c r="A901" s="225"/>
      <c r="B901" s="225"/>
      <c r="C901" s="225"/>
      <c r="D901" s="225"/>
      <c r="E901" s="225"/>
      <c r="F901" s="225"/>
      <c r="G901" s="225"/>
      <c r="H901" s="225"/>
      <c r="I901" s="225"/>
      <c r="J901" s="225"/>
      <c r="K901" s="225"/>
      <c r="L901" s="225"/>
      <c r="M901" s="225"/>
      <c r="N901" s="225"/>
      <c r="O901" s="225"/>
      <c r="P901" s="225"/>
      <c r="Q901" s="225"/>
      <c r="R901" s="225"/>
      <c r="S901" s="225"/>
      <c r="T901" s="225"/>
      <c r="U901" s="225"/>
      <c r="V901" s="225"/>
      <c r="W901" s="225"/>
      <c r="X901" s="225"/>
      <c r="Y901" s="225"/>
      <c r="Z901" s="225"/>
    </row>
    <row r="902">
      <c r="A902" s="225"/>
      <c r="B902" s="225"/>
      <c r="C902" s="225"/>
      <c r="D902" s="225"/>
      <c r="E902" s="225"/>
      <c r="F902" s="225"/>
      <c r="G902" s="225"/>
      <c r="H902" s="225"/>
      <c r="I902" s="225"/>
      <c r="J902" s="225"/>
      <c r="K902" s="225"/>
      <c r="L902" s="225"/>
      <c r="M902" s="225"/>
      <c r="N902" s="225"/>
      <c r="O902" s="225"/>
      <c r="P902" s="225"/>
      <c r="Q902" s="225"/>
      <c r="R902" s="225"/>
      <c r="S902" s="225"/>
      <c r="T902" s="225"/>
      <c r="U902" s="225"/>
      <c r="V902" s="225"/>
      <c r="W902" s="225"/>
      <c r="X902" s="225"/>
      <c r="Y902" s="225"/>
      <c r="Z902" s="225"/>
    </row>
    <row r="903">
      <c r="A903" s="225"/>
      <c r="B903" s="225"/>
      <c r="C903" s="225"/>
      <c r="D903" s="225"/>
      <c r="E903" s="225"/>
      <c r="F903" s="225"/>
      <c r="G903" s="225"/>
      <c r="H903" s="225"/>
      <c r="I903" s="225"/>
      <c r="J903" s="225"/>
      <c r="K903" s="225"/>
      <c r="L903" s="225"/>
      <c r="M903" s="225"/>
      <c r="N903" s="225"/>
      <c r="O903" s="225"/>
      <c r="P903" s="225"/>
      <c r="Q903" s="225"/>
      <c r="R903" s="225"/>
      <c r="S903" s="225"/>
      <c r="T903" s="225"/>
      <c r="U903" s="225"/>
      <c r="V903" s="225"/>
      <c r="W903" s="225"/>
      <c r="X903" s="225"/>
      <c r="Y903" s="225"/>
      <c r="Z903" s="225"/>
    </row>
    <row r="904">
      <c r="A904" s="225"/>
      <c r="B904" s="225"/>
      <c r="C904" s="225"/>
      <c r="D904" s="225"/>
      <c r="E904" s="225"/>
      <c r="F904" s="225"/>
      <c r="G904" s="225"/>
      <c r="H904" s="225"/>
      <c r="I904" s="225"/>
      <c r="J904" s="225"/>
      <c r="K904" s="225"/>
      <c r="L904" s="225"/>
      <c r="M904" s="225"/>
      <c r="N904" s="225"/>
      <c r="O904" s="225"/>
      <c r="P904" s="225"/>
      <c r="Q904" s="225"/>
      <c r="R904" s="225"/>
      <c r="S904" s="225"/>
      <c r="T904" s="225"/>
      <c r="U904" s="225"/>
      <c r="V904" s="225"/>
      <c r="W904" s="225"/>
      <c r="X904" s="225"/>
      <c r="Y904" s="225"/>
      <c r="Z904" s="225"/>
    </row>
    <row r="905">
      <c r="A905" s="225"/>
      <c r="B905" s="225"/>
      <c r="C905" s="225"/>
      <c r="D905" s="225"/>
      <c r="E905" s="225"/>
      <c r="F905" s="225"/>
      <c r="G905" s="225"/>
      <c r="H905" s="225"/>
      <c r="I905" s="225"/>
      <c r="J905" s="225"/>
      <c r="K905" s="225"/>
      <c r="L905" s="225"/>
      <c r="M905" s="225"/>
      <c r="N905" s="225"/>
      <c r="O905" s="225"/>
      <c r="P905" s="225"/>
      <c r="Q905" s="225"/>
      <c r="R905" s="225"/>
      <c r="S905" s="225"/>
      <c r="T905" s="225"/>
      <c r="U905" s="225"/>
      <c r="V905" s="225"/>
      <c r="W905" s="225"/>
      <c r="X905" s="225"/>
      <c r="Y905" s="225"/>
      <c r="Z905" s="225"/>
    </row>
    <row r="906">
      <c r="A906" s="225"/>
      <c r="B906" s="225"/>
      <c r="C906" s="225"/>
      <c r="D906" s="225"/>
      <c r="E906" s="225"/>
      <c r="F906" s="225"/>
      <c r="G906" s="225"/>
      <c r="H906" s="225"/>
      <c r="I906" s="225"/>
      <c r="J906" s="225"/>
      <c r="K906" s="225"/>
      <c r="L906" s="225"/>
      <c r="M906" s="225"/>
      <c r="N906" s="225"/>
      <c r="O906" s="225"/>
      <c r="P906" s="225"/>
      <c r="Q906" s="225"/>
      <c r="R906" s="225"/>
      <c r="S906" s="225"/>
      <c r="T906" s="225"/>
      <c r="U906" s="225"/>
      <c r="V906" s="225"/>
      <c r="W906" s="225"/>
      <c r="X906" s="225"/>
      <c r="Y906" s="225"/>
      <c r="Z906" s="225"/>
    </row>
    <row r="907">
      <c r="A907" s="225"/>
      <c r="B907" s="225"/>
      <c r="C907" s="225"/>
      <c r="D907" s="225"/>
      <c r="E907" s="225"/>
      <c r="F907" s="225"/>
      <c r="G907" s="225"/>
      <c r="H907" s="225"/>
      <c r="I907" s="225"/>
      <c r="J907" s="225"/>
      <c r="K907" s="225"/>
      <c r="L907" s="225"/>
      <c r="M907" s="225"/>
      <c r="N907" s="225"/>
      <c r="O907" s="225"/>
      <c r="P907" s="225"/>
      <c r="Q907" s="225"/>
      <c r="R907" s="225"/>
      <c r="S907" s="225"/>
      <c r="T907" s="225"/>
      <c r="U907" s="225"/>
      <c r="V907" s="225"/>
      <c r="W907" s="225"/>
      <c r="X907" s="225"/>
      <c r="Y907" s="225"/>
      <c r="Z907" s="225"/>
    </row>
    <row r="908">
      <c r="A908" s="225"/>
      <c r="B908" s="225"/>
      <c r="C908" s="225"/>
      <c r="D908" s="225"/>
      <c r="E908" s="225"/>
      <c r="F908" s="225"/>
      <c r="G908" s="225"/>
      <c r="H908" s="225"/>
      <c r="I908" s="225"/>
      <c r="J908" s="225"/>
      <c r="K908" s="225"/>
      <c r="L908" s="225"/>
      <c r="M908" s="225"/>
      <c r="N908" s="225"/>
      <c r="O908" s="225"/>
      <c r="P908" s="225"/>
      <c r="Q908" s="225"/>
      <c r="R908" s="225"/>
      <c r="S908" s="225"/>
      <c r="T908" s="225"/>
      <c r="U908" s="225"/>
      <c r="V908" s="225"/>
      <c r="W908" s="225"/>
      <c r="X908" s="225"/>
      <c r="Y908" s="225"/>
      <c r="Z908" s="225"/>
    </row>
    <row r="909">
      <c r="A909" s="225"/>
      <c r="B909" s="225"/>
      <c r="C909" s="225"/>
      <c r="D909" s="225"/>
      <c r="E909" s="225"/>
      <c r="F909" s="225"/>
      <c r="G909" s="225"/>
      <c r="H909" s="225"/>
      <c r="I909" s="225"/>
      <c r="J909" s="225"/>
      <c r="K909" s="225"/>
      <c r="L909" s="225"/>
      <c r="M909" s="225"/>
      <c r="N909" s="225"/>
      <c r="O909" s="225"/>
      <c r="P909" s="225"/>
      <c r="Q909" s="225"/>
      <c r="R909" s="225"/>
      <c r="S909" s="225"/>
      <c r="T909" s="225"/>
      <c r="U909" s="225"/>
      <c r="V909" s="225"/>
      <c r="W909" s="225"/>
      <c r="X909" s="225"/>
      <c r="Y909" s="225"/>
      <c r="Z909" s="225"/>
    </row>
    <row r="910">
      <c r="A910" s="225"/>
      <c r="B910" s="225"/>
      <c r="C910" s="225"/>
      <c r="D910" s="225"/>
      <c r="E910" s="225"/>
      <c r="F910" s="225"/>
      <c r="G910" s="225"/>
      <c r="H910" s="225"/>
      <c r="I910" s="225"/>
      <c r="J910" s="225"/>
      <c r="K910" s="225"/>
      <c r="L910" s="225"/>
      <c r="M910" s="225"/>
      <c r="N910" s="225"/>
      <c r="O910" s="225"/>
      <c r="P910" s="225"/>
      <c r="Q910" s="225"/>
      <c r="R910" s="225"/>
      <c r="S910" s="225"/>
      <c r="T910" s="225"/>
      <c r="U910" s="225"/>
      <c r="V910" s="225"/>
      <c r="W910" s="225"/>
      <c r="X910" s="225"/>
      <c r="Y910" s="225"/>
      <c r="Z910" s="225"/>
    </row>
    <row r="911">
      <c r="A911" s="225"/>
      <c r="B911" s="225"/>
      <c r="C911" s="225"/>
      <c r="D911" s="225"/>
      <c r="E911" s="225"/>
      <c r="F911" s="225"/>
      <c r="G911" s="225"/>
      <c r="H911" s="225"/>
      <c r="I911" s="225"/>
      <c r="J911" s="225"/>
      <c r="K911" s="225"/>
      <c r="L911" s="225"/>
      <c r="M911" s="225"/>
      <c r="N911" s="225"/>
      <c r="O911" s="225"/>
      <c r="P911" s="225"/>
      <c r="Q911" s="225"/>
      <c r="R911" s="225"/>
      <c r="S911" s="225"/>
      <c r="T911" s="225"/>
      <c r="U911" s="225"/>
      <c r="V911" s="225"/>
      <c r="W911" s="225"/>
      <c r="X911" s="225"/>
      <c r="Y911" s="225"/>
      <c r="Z911" s="225"/>
    </row>
    <row r="912">
      <c r="A912" s="225"/>
      <c r="B912" s="225"/>
      <c r="C912" s="225"/>
      <c r="D912" s="225"/>
      <c r="E912" s="225"/>
      <c r="F912" s="225"/>
      <c r="G912" s="225"/>
      <c r="H912" s="225"/>
      <c r="I912" s="225"/>
      <c r="J912" s="225"/>
      <c r="K912" s="225"/>
      <c r="L912" s="225"/>
      <c r="M912" s="225"/>
      <c r="N912" s="225"/>
      <c r="O912" s="225"/>
      <c r="P912" s="225"/>
      <c r="Q912" s="225"/>
      <c r="R912" s="225"/>
      <c r="S912" s="225"/>
      <c r="T912" s="225"/>
      <c r="U912" s="225"/>
      <c r="V912" s="225"/>
      <c r="W912" s="225"/>
      <c r="X912" s="225"/>
      <c r="Y912" s="225"/>
      <c r="Z912" s="225"/>
    </row>
    <row r="913">
      <c r="A913" s="225"/>
      <c r="B913" s="225"/>
      <c r="C913" s="225"/>
      <c r="D913" s="225"/>
      <c r="E913" s="225"/>
      <c r="F913" s="225"/>
      <c r="G913" s="225"/>
      <c r="H913" s="225"/>
      <c r="I913" s="225"/>
      <c r="J913" s="225"/>
      <c r="K913" s="225"/>
      <c r="L913" s="225"/>
      <c r="M913" s="225"/>
      <c r="N913" s="225"/>
      <c r="O913" s="225"/>
      <c r="P913" s="225"/>
      <c r="Q913" s="225"/>
      <c r="R913" s="225"/>
      <c r="S913" s="225"/>
      <c r="T913" s="225"/>
      <c r="U913" s="225"/>
      <c r="V913" s="225"/>
      <c r="W913" s="225"/>
      <c r="X913" s="225"/>
      <c r="Y913" s="225"/>
      <c r="Z913" s="225"/>
    </row>
    <row r="914">
      <c r="A914" s="225"/>
      <c r="B914" s="225"/>
      <c r="C914" s="225"/>
      <c r="D914" s="225"/>
      <c r="E914" s="225"/>
      <c r="F914" s="225"/>
      <c r="G914" s="225"/>
      <c r="H914" s="225"/>
      <c r="I914" s="225"/>
      <c r="J914" s="225"/>
      <c r="K914" s="225"/>
      <c r="L914" s="225"/>
      <c r="M914" s="225"/>
      <c r="N914" s="225"/>
      <c r="O914" s="225"/>
      <c r="P914" s="225"/>
      <c r="Q914" s="225"/>
      <c r="R914" s="225"/>
      <c r="S914" s="225"/>
      <c r="T914" s="225"/>
      <c r="U914" s="225"/>
      <c r="V914" s="225"/>
      <c r="W914" s="225"/>
      <c r="X914" s="225"/>
      <c r="Y914" s="225"/>
      <c r="Z914" s="225"/>
    </row>
    <row r="915">
      <c r="A915" s="225"/>
      <c r="B915" s="225"/>
      <c r="C915" s="225"/>
      <c r="D915" s="225"/>
      <c r="E915" s="225"/>
      <c r="F915" s="225"/>
      <c r="G915" s="225"/>
      <c r="H915" s="225"/>
      <c r="I915" s="225"/>
      <c r="J915" s="225"/>
      <c r="K915" s="225"/>
      <c r="L915" s="225"/>
      <c r="M915" s="225"/>
      <c r="N915" s="225"/>
      <c r="O915" s="225"/>
      <c r="P915" s="225"/>
      <c r="Q915" s="225"/>
      <c r="R915" s="225"/>
      <c r="S915" s="225"/>
      <c r="T915" s="225"/>
      <c r="U915" s="225"/>
      <c r="V915" s="225"/>
      <c r="W915" s="225"/>
      <c r="X915" s="225"/>
      <c r="Y915" s="225"/>
      <c r="Z915" s="225"/>
    </row>
    <row r="916">
      <c r="A916" s="225"/>
      <c r="B916" s="225"/>
      <c r="C916" s="225"/>
      <c r="D916" s="225"/>
      <c r="E916" s="225"/>
      <c r="F916" s="225"/>
      <c r="G916" s="225"/>
      <c r="H916" s="225"/>
      <c r="I916" s="225"/>
      <c r="J916" s="225"/>
      <c r="K916" s="225"/>
      <c r="L916" s="225"/>
      <c r="M916" s="225"/>
      <c r="N916" s="225"/>
      <c r="O916" s="225"/>
      <c r="P916" s="225"/>
      <c r="Q916" s="225"/>
      <c r="R916" s="225"/>
      <c r="S916" s="225"/>
      <c r="T916" s="225"/>
      <c r="U916" s="225"/>
      <c r="V916" s="225"/>
      <c r="W916" s="225"/>
      <c r="X916" s="225"/>
      <c r="Y916" s="225"/>
      <c r="Z916" s="225"/>
    </row>
    <row r="917">
      <c r="A917" s="225"/>
      <c r="B917" s="225"/>
      <c r="C917" s="225"/>
      <c r="D917" s="225"/>
      <c r="E917" s="225"/>
      <c r="F917" s="225"/>
      <c r="G917" s="225"/>
      <c r="H917" s="225"/>
      <c r="I917" s="225"/>
      <c r="J917" s="225"/>
      <c r="K917" s="225"/>
      <c r="L917" s="225"/>
      <c r="M917" s="225"/>
      <c r="N917" s="225"/>
      <c r="O917" s="225"/>
      <c r="P917" s="225"/>
      <c r="Q917" s="225"/>
      <c r="R917" s="225"/>
      <c r="S917" s="225"/>
      <c r="T917" s="225"/>
      <c r="U917" s="225"/>
      <c r="V917" s="225"/>
      <c r="W917" s="225"/>
      <c r="X917" s="225"/>
      <c r="Y917" s="225"/>
      <c r="Z917" s="225"/>
    </row>
    <row r="918">
      <c r="A918" s="225"/>
      <c r="B918" s="225"/>
      <c r="C918" s="225"/>
      <c r="D918" s="225"/>
      <c r="E918" s="225"/>
      <c r="F918" s="225"/>
      <c r="G918" s="225"/>
      <c r="H918" s="225"/>
      <c r="I918" s="225"/>
      <c r="J918" s="225"/>
      <c r="K918" s="225"/>
      <c r="L918" s="225"/>
      <c r="M918" s="225"/>
      <c r="N918" s="225"/>
      <c r="O918" s="225"/>
      <c r="P918" s="225"/>
      <c r="Q918" s="225"/>
      <c r="R918" s="225"/>
      <c r="S918" s="225"/>
      <c r="T918" s="225"/>
      <c r="U918" s="225"/>
      <c r="V918" s="225"/>
      <c r="W918" s="225"/>
      <c r="X918" s="225"/>
      <c r="Y918" s="225"/>
      <c r="Z918" s="225"/>
    </row>
    <row r="919">
      <c r="A919" s="225"/>
      <c r="B919" s="225"/>
      <c r="C919" s="225"/>
      <c r="D919" s="225"/>
      <c r="E919" s="225"/>
      <c r="F919" s="225"/>
      <c r="G919" s="225"/>
      <c r="H919" s="225"/>
      <c r="I919" s="225"/>
      <c r="J919" s="225"/>
      <c r="K919" s="225"/>
      <c r="L919" s="225"/>
      <c r="M919" s="225"/>
      <c r="N919" s="225"/>
      <c r="O919" s="225"/>
      <c r="P919" s="225"/>
      <c r="Q919" s="225"/>
      <c r="R919" s="225"/>
      <c r="S919" s="225"/>
      <c r="T919" s="225"/>
      <c r="U919" s="225"/>
      <c r="V919" s="225"/>
      <c r="W919" s="225"/>
      <c r="X919" s="225"/>
      <c r="Y919" s="225"/>
      <c r="Z919" s="225"/>
    </row>
    <row r="920">
      <c r="A920" s="225"/>
      <c r="B920" s="225"/>
      <c r="C920" s="225"/>
      <c r="D920" s="225"/>
      <c r="E920" s="225"/>
      <c r="F920" s="225"/>
      <c r="G920" s="225"/>
      <c r="H920" s="225"/>
      <c r="I920" s="225"/>
      <c r="J920" s="225"/>
      <c r="K920" s="225"/>
      <c r="L920" s="225"/>
      <c r="M920" s="225"/>
      <c r="N920" s="225"/>
      <c r="O920" s="225"/>
      <c r="P920" s="225"/>
      <c r="Q920" s="225"/>
      <c r="R920" s="225"/>
      <c r="S920" s="225"/>
      <c r="T920" s="225"/>
      <c r="U920" s="225"/>
      <c r="V920" s="225"/>
      <c r="W920" s="225"/>
      <c r="X920" s="225"/>
      <c r="Y920" s="225"/>
      <c r="Z920" s="225"/>
    </row>
    <row r="921">
      <c r="A921" s="225"/>
      <c r="B921" s="225"/>
      <c r="C921" s="225"/>
      <c r="D921" s="225"/>
      <c r="E921" s="225"/>
      <c r="F921" s="225"/>
      <c r="G921" s="225"/>
      <c r="H921" s="225"/>
      <c r="I921" s="225"/>
      <c r="J921" s="225"/>
      <c r="K921" s="225"/>
      <c r="L921" s="225"/>
      <c r="M921" s="225"/>
      <c r="N921" s="225"/>
      <c r="O921" s="225"/>
      <c r="P921" s="225"/>
      <c r="Q921" s="225"/>
      <c r="R921" s="225"/>
      <c r="S921" s="225"/>
      <c r="T921" s="225"/>
      <c r="U921" s="225"/>
      <c r="V921" s="225"/>
      <c r="W921" s="225"/>
      <c r="X921" s="225"/>
      <c r="Y921" s="225"/>
      <c r="Z921" s="225"/>
    </row>
    <row r="922">
      <c r="A922" s="225"/>
      <c r="B922" s="225"/>
      <c r="C922" s="225"/>
      <c r="D922" s="225"/>
      <c r="E922" s="225"/>
      <c r="F922" s="225"/>
      <c r="G922" s="225"/>
      <c r="H922" s="225"/>
      <c r="I922" s="225"/>
      <c r="J922" s="225"/>
      <c r="K922" s="225"/>
      <c r="L922" s="225"/>
      <c r="M922" s="225"/>
      <c r="N922" s="225"/>
      <c r="O922" s="225"/>
      <c r="P922" s="225"/>
      <c r="Q922" s="225"/>
      <c r="R922" s="225"/>
      <c r="S922" s="225"/>
      <c r="T922" s="225"/>
      <c r="U922" s="225"/>
      <c r="V922" s="225"/>
      <c r="W922" s="225"/>
      <c r="X922" s="225"/>
      <c r="Y922" s="225"/>
      <c r="Z922" s="225"/>
    </row>
    <row r="923">
      <c r="A923" s="225"/>
      <c r="B923" s="225"/>
      <c r="C923" s="225"/>
      <c r="D923" s="225"/>
      <c r="E923" s="225"/>
      <c r="F923" s="225"/>
      <c r="G923" s="225"/>
      <c r="H923" s="225"/>
      <c r="I923" s="225"/>
      <c r="J923" s="225"/>
      <c r="K923" s="225"/>
      <c r="L923" s="225"/>
      <c r="M923" s="225"/>
      <c r="N923" s="225"/>
      <c r="O923" s="225"/>
      <c r="P923" s="225"/>
      <c r="Q923" s="225"/>
      <c r="R923" s="225"/>
      <c r="S923" s="225"/>
      <c r="T923" s="225"/>
      <c r="U923" s="225"/>
      <c r="V923" s="225"/>
      <c r="W923" s="225"/>
      <c r="X923" s="225"/>
      <c r="Y923" s="225"/>
      <c r="Z923" s="225"/>
    </row>
    <row r="924">
      <c r="A924" s="225"/>
      <c r="B924" s="225"/>
      <c r="C924" s="225"/>
      <c r="D924" s="225"/>
      <c r="E924" s="225"/>
      <c r="F924" s="225"/>
      <c r="G924" s="225"/>
      <c r="H924" s="225"/>
      <c r="I924" s="225"/>
      <c r="J924" s="225"/>
      <c r="K924" s="225"/>
      <c r="L924" s="225"/>
      <c r="M924" s="225"/>
      <c r="N924" s="225"/>
      <c r="O924" s="225"/>
      <c r="P924" s="225"/>
      <c r="Q924" s="225"/>
      <c r="R924" s="225"/>
      <c r="S924" s="225"/>
      <c r="T924" s="225"/>
      <c r="U924" s="225"/>
      <c r="V924" s="225"/>
      <c r="W924" s="225"/>
      <c r="X924" s="225"/>
      <c r="Y924" s="225"/>
      <c r="Z924" s="225"/>
    </row>
    <row r="925">
      <c r="A925" s="225"/>
      <c r="B925" s="225"/>
      <c r="C925" s="225"/>
      <c r="D925" s="225"/>
      <c r="E925" s="225"/>
      <c r="F925" s="225"/>
      <c r="G925" s="225"/>
      <c r="H925" s="225"/>
      <c r="I925" s="225"/>
      <c r="J925" s="225"/>
      <c r="K925" s="225"/>
      <c r="L925" s="225"/>
      <c r="M925" s="225"/>
      <c r="N925" s="225"/>
      <c r="O925" s="225"/>
      <c r="P925" s="225"/>
      <c r="Q925" s="225"/>
      <c r="R925" s="225"/>
      <c r="S925" s="225"/>
      <c r="T925" s="225"/>
      <c r="U925" s="225"/>
      <c r="V925" s="225"/>
      <c r="W925" s="225"/>
      <c r="X925" s="225"/>
      <c r="Y925" s="225"/>
      <c r="Z925" s="225"/>
    </row>
    <row r="926">
      <c r="A926" s="225"/>
      <c r="B926" s="225"/>
      <c r="C926" s="225"/>
      <c r="D926" s="225"/>
      <c r="E926" s="225"/>
      <c r="F926" s="225"/>
      <c r="G926" s="225"/>
      <c r="H926" s="225"/>
      <c r="I926" s="225"/>
      <c r="J926" s="225"/>
      <c r="K926" s="225"/>
      <c r="L926" s="225"/>
      <c r="M926" s="225"/>
      <c r="N926" s="225"/>
      <c r="O926" s="225"/>
      <c r="P926" s="225"/>
      <c r="Q926" s="225"/>
      <c r="R926" s="225"/>
      <c r="S926" s="225"/>
      <c r="T926" s="225"/>
      <c r="U926" s="225"/>
      <c r="V926" s="225"/>
      <c r="W926" s="225"/>
      <c r="X926" s="225"/>
      <c r="Y926" s="225"/>
      <c r="Z926" s="225"/>
    </row>
    <row r="927">
      <c r="A927" s="225"/>
      <c r="B927" s="225"/>
      <c r="C927" s="225"/>
      <c r="D927" s="225"/>
      <c r="E927" s="225"/>
      <c r="F927" s="225"/>
      <c r="G927" s="225"/>
      <c r="H927" s="225"/>
      <c r="I927" s="225"/>
      <c r="J927" s="225"/>
      <c r="K927" s="225"/>
      <c r="L927" s="225"/>
      <c r="M927" s="225"/>
      <c r="N927" s="225"/>
      <c r="O927" s="225"/>
      <c r="P927" s="225"/>
      <c r="Q927" s="225"/>
      <c r="R927" s="225"/>
      <c r="S927" s="225"/>
      <c r="T927" s="225"/>
      <c r="U927" s="225"/>
      <c r="V927" s="225"/>
      <c r="W927" s="225"/>
      <c r="X927" s="225"/>
      <c r="Y927" s="225"/>
      <c r="Z927" s="225"/>
    </row>
    <row r="928">
      <c r="A928" s="225"/>
      <c r="B928" s="225"/>
      <c r="C928" s="225"/>
      <c r="D928" s="225"/>
      <c r="E928" s="225"/>
      <c r="F928" s="225"/>
      <c r="G928" s="225"/>
      <c r="H928" s="225"/>
      <c r="I928" s="225"/>
      <c r="J928" s="225"/>
      <c r="K928" s="225"/>
      <c r="L928" s="225"/>
      <c r="M928" s="225"/>
      <c r="N928" s="225"/>
      <c r="O928" s="225"/>
      <c r="P928" s="225"/>
      <c r="Q928" s="225"/>
      <c r="R928" s="225"/>
      <c r="S928" s="225"/>
      <c r="T928" s="225"/>
      <c r="U928" s="225"/>
      <c r="V928" s="225"/>
      <c r="W928" s="225"/>
      <c r="X928" s="225"/>
      <c r="Y928" s="225"/>
      <c r="Z928" s="225"/>
    </row>
    <row r="929">
      <c r="A929" s="225"/>
      <c r="B929" s="225"/>
      <c r="C929" s="225"/>
      <c r="D929" s="225"/>
      <c r="E929" s="225"/>
      <c r="F929" s="225"/>
      <c r="G929" s="225"/>
      <c r="H929" s="225"/>
      <c r="I929" s="225"/>
      <c r="J929" s="225"/>
      <c r="K929" s="225"/>
      <c r="L929" s="225"/>
      <c r="M929" s="225"/>
      <c r="N929" s="225"/>
      <c r="O929" s="225"/>
      <c r="P929" s="225"/>
      <c r="Q929" s="225"/>
      <c r="R929" s="225"/>
      <c r="S929" s="225"/>
      <c r="T929" s="225"/>
      <c r="U929" s="225"/>
      <c r="V929" s="225"/>
      <c r="W929" s="225"/>
      <c r="X929" s="225"/>
      <c r="Y929" s="225"/>
      <c r="Z929" s="225"/>
    </row>
    <row r="930">
      <c r="A930" s="225"/>
      <c r="B930" s="225"/>
      <c r="C930" s="225"/>
      <c r="D930" s="225"/>
      <c r="E930" s="225"/>
      <c r="F930" s="225"/>
      <c r="G930" s="225"/>
      <c r="H930" s="225"/>
      <c r="I930" s="225"/>
      <c r="J930" s="225"/>
      <c r="K930" s="225"/>
      <c r="L930" s="225"/>
      <c r="M930" s="225"/>
      <c r="N930" s="225"/>
      <c r="O930" s="225"/>
      <c r="P930" s="225"/>
      <c r="Q930" s="225"/>
      <c r="R930" s="225"/>
      <c r="S930" s="225"/>
      <c r="T930" s="225"/>
      <c r="U930" s="225"/>
      <c r="V930" s="225"/>
      <c r="W930" s="225"/>
      <c r="X930" s="225"/>
      <c r="Y930" s="225"/>
      <c r="Z930" s="225"/>
    </row>
    <row r="931">
      <c r="A931" s="225"/>
      <c r="B931" s="225"/>
      <c r="C931" s="225"/>
      <c r="D931" s="225"/>
      <c r="E931" s="225"/>
      <c r="F931" s="225"/>
      <c r="G931" s="225"/>
      <c r="H931" s="225"/>
      <c r="I931" s="225"/>
      <c r="J931" s="225"/>
      <c r="K931" s="225"/>
      <c r="L931" s="225"/>
      <c r="M931" s="225"/>
      <c r="N931" s="225"/>
      <c r="O931" s="225"/>
      <c r="P931" s="225"/>
      <c r="Q931" s="225"/>
      <c r="R931" s="225"/>
      <c r="S931" s="225"/>
      <c r="T931" s="225"/>
      <c r="U931" s="225"/>
      <c r="V931" s="225"/>
      <c r="W931" s="225"/>
      <c r="X931" s="225"/>
      <c r="Y931" s="225"/>
      <c r="Z931" s="225"/>
    </row>
    <row r="932">
      <c r="A932" s="225"/>
      <c r="B932" s="225"/>
      <c r="C932" s="225"/>
      <c r="D932" s="225"/>
      <c r="E932" s="225"/>
      <c r="F932" s="225"/>
      <c r="G932" s="225"/>
      <c r="H932" s="225"/>
      <c r="I932" s="225"/>
      <c r="J932" s="225"/>
      <c r="K932" s="225"/>
      <c r="L932" s="225"/>
      <c r="M932" s="225"/>
      <c r="N932" s="225"/>
      <c r="O932" s="225"/>
      <c r="P932" s="225"/>
      <c r="Q932" s="225"/>
      <c r="R932" s="225"/>
      <c r="S932" s="225"/>
      <c r="T932" s="225"/>
      <c r="U932" s="225"/>
      <c r="V932" s="225"/>
      <c r="W932" s="225"/>
      <c r="X932" s="225"/>
      <c r="Y932" s="225"/>
      <c r="Z932" s="225"/>
    </row>
    <row r="933">
      <c r="A933" s="225"/>
      <c r="B933" s="225"/>
      <c r="C933" s="225"/>
      <c r="D933" s="225"/>
      <c r="E933" s="225"/>
      <c r="F933" s="225"/>
      <c r="G933" s="225"/>
      <c r="H933" s="225"/>
      <c r="I933" s="225"/>
      <c r="J933" s="225"/>
      <c r="K933" s="225"/>
      <c r="L933" s="225"/>
      <c r="M933" s="225"/>
      <c r="N933" s="225"/>
      <c r="O933" s="225"/>
      <c r="P933" s="225"/>
      <c r="Q933" s="225"/>
      <c r="R933" s="225"/>
      <c r="S933" s="225"/>
      <c r="T933" s="225"/>
      <c r="U933" s="225"/>
      <c r="V933" s="225"/>
      <c r="W933" s="225"/>
      <c r="X933" s="225"/>
      <c r="Y933" s="225"/>
      <c r="Z933" s="225"/>
    </row>
    <row r="934">
      <c r="A934" s="225"/>
      <c r="B934" s="225"/>
      <c r="C934" s="225"/>
      <c r="D934" s="225"/>
      <c r="E934" s="225"/>
      <c r="F934" s="225"/>
      <c r="G934" s="225"/>
      <c r="H934" s="225"/>
      <c r="I934" s="225"/>
      <c r="J934" s="225"/>
      <c r="K934" s="225"/>
      <c r="L934" s="225"/>
      <c r="M934" s="225"/>
      <c r="N934" s="225"/>
      <c r="O934" s="225"/>
      <c r="P934" s="225"/>
      <c r="Q934" s="225"/>
      <c r="R934" s="225"/>
      <c r="S934" s="225"/>
      <c r="T934" s="225"/>
      <c r="U934" s="225"/>
      <c r="V934" s="225"/>
      <c r="W934" s="225"/>
      <c r="X934" s="225"/>
      <c r="Y934" s="225"/>
      <c r="Z934" s="225"/>
    </row>
    <row r="935">
      <c r="A935" s="225"/>
      <c r="B935" s="225"/>
      <c r="C935" s="225"/>
      <c r="D935" s="225"/>
      <c r="E935" s="225"/>
      <c r="F935" s="225"/>
      <c r="G935" s="225"/>
      <c r="H935" s="225"/>
      <c r="I935" s="225"/>
      <c r="J935" s="225"/>
      <c r="K935" s="225"/>
      <c r="L935" s="225"/>
      <c r="M935" s="225"/>
      <c r="N935" s="225"/>
      <c r="O935" s="225"/>
      <c r="P935" s="225"/>
      <c r="Q935" s="225"/>
      <c r="R935" s="225"/>
      <c r="S935" s="225"/>
      <c r="T935" s="225"/>
      <c r="U935" s="225"/>
      <c r="V935" s="225"/>
      <c r="W935" s="225"/>
      <c r="X935" s="225"/>
      <c r="Y935" s="225"/>
      <c r="Z935" s="225"/>
    </row>
    <row r="936">
      <c r="A936" s="225"/>
      <c r="B936" s="225"/>
      <c r="C936" s="225"/>
      <c r="D936" s="225"/>
      <c r="E936" s="225"/>
      <c r="F936" s="225"/>
      <c r="G936" s="225"/>
      <c r="H936" s="225"/>
      <c r="I936" s="225"/>
      <c r="J936" s="225"/>
      <c r="K936" s="225"/>
      <c r="L936" s="225"/>
      <c r="M936" s="225"/>
      <c r="N936" s="225"/>
      <c r="O936" s="225"/>
      <c r="P936" s="225"/>
      <c r="Q936" s="225"/>
      <c r="R936" s="225"/>
      <c r="S936" s="225"/>
      <c r="T936" s="225"/>
      <c r="U936" s="225"/>
      <c r="V936" s="225"/>
      <c r="W936" s="225"/>
      <c r="X936" s="225"/>
      <c r="Y936" s="225"/>
      <c r="Z936" s="225"/>
    </row>
    <row r="937">
      <c r="A937" s="225"/>
      <c r="B937" s="225"/>
      <c r="C937" s="225"/>
      <c r="D937" s="225"/>
      <c r="E937" s="225"/>
      <c r="F937" s="225"/>
      <c r="G937" s="225"/>
      <c r="H937" s="225"/>
      <c r="I937" s="225"/>
      <c r="J937" s="225"/>
      <c r="K937" s="225"/>
      <c r="L937" s="225"/>
      <c r="M937" s="225"/>
      <c r="N937" s="225"/>
      <c r="O937" s="225"/>
      <c r="P937" s="225"/>
      <c r="Q937" s="225"/>
      <c r="R937" s="225"/>
      <c r="S937" s="225"/>
      <c r="T937" s="225"/>
      <c r="U937" s="225"/>
      <c r="V937" s="225"/>
      <c r="W937" s="225"/>
      <c r="X937" s="225"/>
      <c r="Y937" s="225"/>
      <c r="Z937" s="225"/>
    </row>
    <row r="938">
      <c r="A938" s="225"/>
      <c r="B938" s="225"/>
      <c r="C938" s="225"/>
      <c r="D938" s="225"/>
      <c r="E938" s="225"/>
      <c r="F938" s="225"/>
      <c r="G938" s="225"/>
      <c r="H938" s="225"/>
      <c r="I938" s="225"/>
      <c r="J938" s="225"/>
      <c r="K938" s="225"/>
      <c r="L938" s="225"/>
      <c r="M938" s="225"/>
      <c r="N938" s="225"/>
      <c r="O938" s="225"/>
      <c r="P938" s="225"/>
      <c r="Q938" s="225"/>
      <c r="R938" s="225"/>
      <c r="S938" s="225"/>
      <c r="T938" s="225"/>
      <c r="U938" s="225"/>
      <c r="V938" s="225"/>
      <c r="W938" s="225"/>
      <c r="X938" s="225"/>
      <c r="Y938" s="225"/>
      <c r="Z938" s="225"/>
    </row>
    <row r="939">
      <c r="A939" s="225"/>
      <c r="B939" s="225"/>
      <c r="C939" s="225"/>
      <c r="D939" s="225"/>
      <c r="E939" s="225"/>
      <c r="F939" s="225"/>
      <c r="G939" s="225"/>
      <c r="H939" s="225"/>
      <c r="I939" s="225"/>
      <c r="J939" s="225"/>
      <c r="K939" s="225"/>
      <c r="L939" s="225"/>
      <c r="M939" s="225"/>
      <c r="N939" s="225"/>
      <c r="O939" s="225"/>
      <c r="P939" s="225"/>
      <c r="Q939" s="225"/>
      <c r="R939" s="225"/>
      <c r="S939" s="225"/>
      <c r="T939" s="225"/>
      <c r="U939" s="225"/>
      <c r="V939" s="225"/>
      <c r="W939" s="225"/>
      <c r="X939" s="225"/>
      <c r="Y939" s="225"/>
      <c r="Z939" s="225"/>
    </row>
    <row r="940">
      <c r="A940" s="225"/>
      <c r="B940" s="225"/>
      <c r="C940" s="225"/>
      <c r="D940" s="225"/>
      <c r="E940" s="225"/>
      <c r="F940" s="225"/>
      <c r="G940" s="225"/>
      <c r="H940" s="225"/>
      <c r="I940" s="225"/>
      <c r="J940" s="225"/>
      <c r="K940" s="225"/>
      <c r="L940" s="225"/>
      <c r="M940" s="225"/>
      <c r="N940" s="225"/>
      <c r="O940" s="225"/>
      <c r="P940" s="225"/>
      <c r="Q940" s="225"/>
      <c r="R940" s="225"/>
      <c r="S940" s="225"/>
      <c r="T940" s="225"/>
      <c r="U940" s="225"/>
      <c r="V940" s="225"/>
      <c r="W940" s="225"/>
      <c r="X940" s="225"/>
      <c r="Y940" s="225"/>
      <c r="Z940" s="225"/>
    </row>
    <row r="941">
      <c r="A941" s="225"/>
      <c r="B941" s="225"/>
      <c r="C941" s="225"/>
      <c r="D941" s="225"/>
      <c r="E941" s="225"/>
      <c r="F941" s="225"/>
      <c r="G941" s="225"/>
      <c r="H941" s="225"/>
      <c r="I941" s="225"/>
      <c r="J941" s="225"/>
      <c r="K941" s="225"/>
      <c r="L941" s="225"/>
      <c r="M941" s="225"/>
      <c r="N941" s="225"/>
      <c r="O941" s="225"/>
      <c r="P941" s="225"/>
      <c r="Q941" s="225"/>
      <c r="R941" s="225"/>
      <c r="S941" s="225"/>
      <c r="T941" s="225"/>
      <c r="U941" s="225"/>
      <c r="V941" s="225"/>
      <c r="W941" s="225"/>
      <c r="X941" s="225"/>
      <c r="Y941" s="225"/>
      <c r="Z941" s="225"/>
    </row>
    <row r="942">
      <c r="A942" s="225"/>
      <c r="B942" s="225"/>
      <c r="C942" s="225"/>
      <c r="D942" s="225"/>
      <c r="E942" s="225"/>
      <c r="F942" s="225"/>
      <c r="G942" s="225"/>
      <c r="H942" s="225"/>
      <c r="I942" s="225"/>
      <c r="J942" s="225"/>
      <c r="K942" s="225"/>
      <c r="L942" s="225"/>
      <c r="M942" s="225"/>
      <c r="N942" s="225"/>
      <c r="O942" s="225"/>
      <c r="P942" s="225"/>
      <c r="Q942" s="225"/>
      <c r="R942" s="225"/>
      <c r="S942" s="225"/>
      <c r="T942" s="225"/>
      <c r="U942" s="225"/>
      <c r="V942" s="225"/>
      <c r="W942" s="225"/>
      <c r="X942" s="225"/>
      <c r="Y942" s="225"/>
      <c r="Z942" s="225"/>
    </row>
    <row r="943">
      <c r="A943" s="225"/>
      <c r="B943" s="225"/>
      <c r="C943" s="225"/>
      <c r="D943" s="225"/>
      <c r="E943" s="225"/>
      <c r="F943" s="225"/>
      <c r="G943" s="225"/>
      <c r="H943" s="225"/>
      <c r="I943" s="225"/>
      <c r="J943" s="225"/>
      <c r="K943" s="225"/>
      <c r="L943" s="225"/>
      <c r="M943" s="225"/>
      <c r="N943" s="225"/>
      <c r="O943" s="225"/>
      <c r="P943" s="225"/>
      <c r="Q943" s="225"/>
      <c r="R943" s="225"/>
      <c r="S943" s="225"/>
      <c r="T943" s="225"/>
      <c r="U943" s="225"/>
      <c r="V943" s="225"/>
      <c r="W943" s="225"/>
      <c r="X943" s="225"/>
      <c r="Y943" s="225"/>
      <c r="Z943" s="225"/>
    </row>
    <row r="944">
      <c r="A944" s="225"/>
      <c r="B944" s="225"/>
      <c r="C944" s="225"/>
      <c r="D944" s="225"/>
      <c r="E944" s="225"/>
      <c r="F944" s="225"/>
      <c r="G944" s="225"/>
      <c r="H944" s="225"/>
      <c r="I944" s="225"/>
      <c r="J944" s="225"/>
      <c r="K944" s="225"/>
      <c r="L944" s="225"/>
      <c r="M944" s="225"/>
      <c r="N944" s="225"/>
      <c r="O944" s="225"/>
      <c r="P944" s="225"/>
      <c r="Q944" s="225"/>
      <c r="R944" s="225"/>
      <c r="S944" s="225"/>
      <c r="T944" s="225"/>
      <c r="U944" s="225"/>
      <c r="V944" s="225"/>
      <c r="W944" s="225"/>
      <c r="X944" s="225"/>
      <c r="Y944" s="225"/>
      <c r="Z944" s="225"/>
    </row>
    <row r="945">
      <c r="A945" s="225"/>
      <c r="B945" s="225"/>
      <c r="C945" s="225"/>
      <c r="D945" s="225"/>
      <c r="E945" s="225"/>
      <c r="F945" s="225"/>
      <c r="G945" s="225"/>
      <c r="H945" s="225"/>
      <c r="I945" s="225"/>
      <c r="J945" s="225"/>
      <c r="K945" s="225"/>
      <c r="L945" s="225"/>
      <c r="M945" s="225"/>
      <c r="N945" s="225"/>
      <c r="O945" s="225"/>
      <c r="P945" s="225"/>
      <c r="Q945" s="225"/>
      <c r="R945" s="225"/>
      <c r="S945" s="225"/>
      <c r="T945" s="225"/>
      <c r="U945" s="225"/>
      <c r="V945" s="225"/>
      <c r="W945" s="225"/>
      <c r="X945" s="225"/>
      <c r="Y945" s="225"/>
      <c r="Z945" s="225"/>
    </row>
    <row r="946">
      <c r="A946" s="225"/>
      <c r="B946" s="225"/>
      <c r="C946" s="225"/>
      <c r="D946" s="225"/>
      <c r="E946" s="225"/>
      <c r="F946" s="225"/>
      <c r="G946" s="225"/>
      <c r="H946" s="225"/>
      <c r="I946" s="225"/>
      <c r="J946" s="225"/>
      <c r="K946" s="225"/>
      <c r="L946" s="225"/>
      <c r="M946" s="225"/>
      <c r="N946" s="225"/>
      <c r="O946" s="225"/>
      <c r="P946" s="225"/>
      <c r="Q946" s="225"/>
      <c r="R946" s="225"/>
      <c r="S946" s="225"/>
      <c r="T946" s="225"/>
      <c r="U946" s="225"/>
      <c r="V946" s="225"/>
      <c r="W946" s="225"/>
      <c r="X946" s="225"/>
      <c r="Y946" s="225"/>
      <c r="Z946" s="225"/>
    </row>
    <row r="947">
      <c r="A947" s="225"/>
      <c r="B947" s="225"/>
      <c r="C947" s="225"/>
      <c r="D947" s="225"/>
      <c r="E947" s="225"/>
      <c r="F947" s="225"/>
      <c r="G947" s="225"/>
      <c r="H947" s="225"/>
      <c r="I947" s="225"/>
      <c r="J947" s="225"/>
      <c r="K947" s="225"/>
      <c r="L947" s="225"/>
      <c r="M947" s="225"/>
      <c r="N947" s="225"/>
      <c r="O947" s="225"/>
      <c r="P947" s="225"/>
      <c r="Q947" s="225"/>
      <c r="R947" s="225"/>
      <c r="S947" s="225"/>
      <c r="T947" s="225"/>
      <c r="U947" s="225"/>
      <c r="V947" s="225"/>
      <c r="W947" s="225"/>
      <c r="X947" s="225"/>
      <c r="Y947" s="225"/>
      <c r="Z947" s="225"/>
    </row>
    <row r="948">
      <c r="A948" s="225"/>
      <c r="B948" s="225"/>
      <c r="C948" s="225"/>
      <c r="D948" s="225"/>
      <c r="E948" s="225"/>
      <c r="F948" s="225"/>
      <c r="G948" s="225"/>
      <c r="H948" s="225"/>
      <c r="I948" s="225"/>
      <c r="J948" s="225"/>
      <c r="K948" s="225"/>
      <c r="L948" s="225"/>
      <c r="M948" s="225"/>
      <c r="N948" s="225"/>
      <c r="O948" s="225"/>
      <c r="P948" s="225"/>
      <c r="Q948" s="225"/>
      <c r="R948" s="225"/>
      <c r="S948" s="225"/>
      <c r="T948" s="225"/>
      <c r="U948" s="225"/>
      <c r="V948" s="225"/>
      <c r="W948" s="225"/>
      <c r="X948" s="225"/>
      <c r="Y948" s="225"/>
      <c r="Z948" s="225"/>
    </row>
    <row r="949">
      <c r="A949" s="225"/>
      <c r="B949" s="225"/>
      <c r="C949" s="225"/>
      <c r="D949" s="225"/>
      <c r="E949" s="225"/>
      <c r="F949" s="225"/>
      <c r="G949" s="225"/>
      <c r="H949" s="225"/>
      <c r="I949" s="225"/>
      <c r="J949" s="225"/>
      <c r="K949" s="225"/>
      <c r="L949" s="225"/>
      <c r="M949" s="225"/>
      <c r="N949" s="225"/>
      <c r="O949" s="225"/>
      <c r="P949" s="225"/>
      <c r="Q949" s="225"/>
      <c r="R949" s="225"/>
      <c r="S949" s="225"/>
      <c r="T949" s="225"/>
      <c r="U949" s="225"/>
      <c r="V949" s="225"/>
      <c r="W949" s="225"/>
      <c r="X949" s="225"/>
      <c r="Y949" s="225"/>
      <c r="Z949" s="225"/>
    </row>
    <row r="950">
      <c r="A950" s="225"/>
      <c r="B950" s="225"/>
      <c r="C950" s="225"/>
      <c r="D950" s="225"/>
      <c r="E950" s="225"/>
      <c r="F950" s="225"/>
      <c r="G950" s="225"/>
      <c r="H950" s="225"/>
      <c r="I950" s="225"/>
      <c r="J950" s="225"/>
      <c r="K950" s="225"/>
      <c r="L950" s="225"/>
      <c r="M950" s="225"/>
      <c r="N950" s="225"/>
      <c r="O950" s="225"/>
      <c r="P950" s="225"/>
      <c r="Q950" s="225"/>
      <c r="R950" s="225"/>
      <c r="S950" s="225"/>
      <c r="T950" s="225"/>
      <c r="U950" s="225"/>
      <c r="V950" s="225"/>
      <c r="W950" s="225"/>
      <c r="X950" s="225"/>
      <c r="Y950" s="225"/>
      <c r="Z950" s="225"/>
    </row>
    <row r="951">
      <c r="A951" s="225"/>
      <c r="B951" s="225"/>
      <c r="C951" s="225"/>
      <c r="D951" s="225"/>
      <c r="E951" s="225"/>
      <c r="F951" s="225"/>
      <c r="G951" s="225"/>
      <c r="H951" s="225"/>
      <c r="I951" s="225"/>
      <c r="J951" s="225"/>
      <c r="K951" s="225"/>
      <c r="L951" s="225"/>
      <c r="M951" s="225"/>
      <c r="N951" s="225"/>
      <c r="O951" s="225"/>
      <c r="P951" s="225"/>
      <c r="Q951" s="225"/>
      <c r="R951" s="225"/>
      <c r="S951" s="225"/>
      <c r="T951" s="225"/>
      <c r="U951" s="225"/>
      <c r="V951" s="225"/>
      <c r="W951" s="225"/>
      <c r="X951" s="225"/>
      <c r="Y951" s="225"/>
      <c r="Z951" s="225"/>
    </row>
    <row r="952">
      <c r="A952" s="225"/>
      <c r="B952" s="225"/>
      <c r="C952" s="225"/>
      <c r="D952" s="225"/>
      <c r="E952" s="225"/>
      <c r="F952" s="225"/>
      <c r="G952" s="225"/>
      <c r="H952" s="225"/>
      <c r="I952" s="225"/>
      <c r="J952" s="225"/>
      <c r="K952" s="225"/>
      <c r="L952" s="225"/>
      <c r="M952" s="225"/>
      <c r="N952" s="225"/>
      <c r="O952" s="225"/>
      <c r="P952" s="225"/>
      <c r="Q952" s="225"/>
      <c r="R952" s="225"/>
      <c r="S952" s="225"/>
      <c r="T952" s="225"/>
      <c r="U952" s="225"/>
      <c r="V952" s="225"/>
      <c r="W952" s="225"/>
      <c r="X952" s="225"/>
      <c r="Y952" s="225"/>
      <c r="Z952" s="225"/>
    </row>
    <row r="953">
      <c r="A953" s="225"/>
      <c r="B953" s="225"/>
      <c r="C953" s="225"/>
      <c r="D953" s="225"/>
      <c r="E953" s="225"/>
      <c r="F953" s="225"/>
      <c r="G953" s="225"/>
      <c r="H953" s="225"/>
      <c r="I953" s="225"/>
      <c r="J953" s="225"/>
      <c r="K953" s="225"/>
      <c r="L953" s="225"/>
      <c r="M953" s="225"/>
      <c r="N953" s="225"/>
      <c r="O953" s="225"/>
      <c r="P953" s="225"/>
      <c r="Q953" s="225"/>
      <c r="R953" s="225"/>
      <c r="S953" s="225"/>
      <c r="T953" s="225"/>
      <c r="U953" s="225"/>
      <c r="V953" s="225"/>
      <c r="W953" s="225"/>
      <c r="X953" s="225"/>
      <c r="Y953" s="225"/>
      <c r="Z953" s="225"/>
    </row>
    <row r="954">
      <c r="A954" s="225"/>
      <c r="B954" s="225"/>
      <c r="C954" s="225"/>
      <c r="D954" s="225"/>
      <c r="E954" s="225"/>
      <c r="F954" s="225"/>
      <c r="G954" s="225"/>
      <c r="H954" s="225"/>
      <c r="I954" s="225"/>
      <c r="J954" s="225"/>
      <c r="K954" s="225"/>
      <c r="L954" s="225"/>
      <c r="M954" s="225"/>
      <c r="N954" s="225"/>
      <c r="O954" s="225"/>
      <c r="P954" s="225"/>
      <c r="Q954" s="225"/>
      <c r="R954" s="225"/>
      <c r="S954" s="225"/>
      <c r="T954" s="225"/>
      <c r="U954" s="225"/>
      <c r="V954" s="225"/>
      <c r="W954" s="225"/>
      <c r="X954" s="225"/>
      <c r="Y954" s="225"/>
      <c r="Z954" s="225"/>
    </row>
    <row r="955">
      <c r="A955" s="225"/>
      <c r="B955" s="225"/>
      <c r="C955" s="225"/>
      <c r="D955" s="225"/>
      <c r="E955" s="225"/>
      <c r="F955" s="225"/>
      <c r="G955" s="225"/>
      <c r="H955" s="225"/>
      <c r="I955" s="225"/>
      <c r="J955" s="225"/>
      <c r="K955" s="225"/>
      <c r="L955" s="225"/>
      <c r="M955" s="225"/>
      <c r="N955" s="225"/>
      <c r="O955" s="225"/>
      <c r="P955" s="225"/>
      <c r="Q955" s="225"/>
      <c r="R955" s="225"/>
      <c r="S955" s="225"/>
      <c r="T955" s="225"/>
      <c r="U955" s="225"/>
      <c r="V955" s="225"/>
      <c r="W955" s="225"/>
      <c r="X955" s="225"/>
      <c r="Y955" s="225"/>
      <c r="Z955" s="225"/>
    </row>
    <row r="956">
      <c r="A956" s="225"/>
      <c r="B956" s="225"/>
      <c r="C956" s="225"/>
      <c r="D956" s="225"/>
      <c r="E956" s="225"/>
      <c r="F956" s="225"/>
      <c r="G956" s="225"/>
      <c r="H956" s="225"/>
      <c r="I956" s="225"/>
      <c r="J956" s="225"/>
      <c r="K956" s="225"/>
      <c r="L956" s="225"/>
      <c r="M956" s="225"/>
      <c r="N956" s="225"/>
      <c r="O956" s="225"/>
      <c r="P956" s="225"/>
      <c r="Q956" s="225"/>
      <c r="R956" s="225"/>
      <c r="S956" s="225"/>
      <c r="T956" s="225"/>
      <c r="U956" s="225"/>
      <c r="V956" s="225"/>
      <c r="W956" s="225"/>
      <c r="X956" s="225"/>
      <c r="Y956" s="225"/>
      <c r="Z956" s="225"/>
    </row>
    <row r="957">
      <c r="A957" s="225"/>
      <c r="B957" s="225"/>
      <c r="C957" s="225"/>
      <c r="D957" s="225"/>
      <c r="E957" s="225"/>
      <c r="F957" s="225"/>
      <c r="G957" s="225"/>
      <c r="H957" s="225"/>
      <c r="I957" s="225"/>
      <c r="J957" s="225"/>
      <c r="K957" s="225"/>
      <c r="L957" s="225"/>
      <c r="M957" s="225"/>
      <c r="N957" s="225"/>
      <c r="O957" s="225"/>
      <c r="P957" s="225"/>
      <c r="Q957" s="225"/>
      <c r="R957" s="225"/>
      <c r="S957" s="225"/>
      <c r="T957" s="225"/>
      <c r="U957" s="225"/>
      <c r="V957" s="225"/>
      <c r="W957" s="225"/>
      <c r="X957" s="225"/>
      <c r="Y957" s="225"/>
      <c r="Z957" s="225"/>
    </row>
    <row r="958">
      <c r="A958" s="225"/>
      <c r="B958" s="225"/>
      <c r="C958" s="225"/>
      <c r="D958" s="225"/>
      <c r="E958" s="225"/>
      <c r="F958" s="225"/>
      <c r="G958" s="225"/>
      <c r="H958" s="225"/>
      <c r="I958" s="225"/>
      <c r="J958" s="225"/>
      <c r="K958" s="225"/>
      <c r="L958" s="225"/>
      <c r="M958" s="225"/>
      <c r="N958" s="225"/>
      <c r="O958" s="225"/>
      <c r="P958" s="225"/>
      <c r="Q958" s="225"/>
      <c r="R958" s="225"/>
      <c r="S958" s="225"/>
      <c r="T958" s="225"/>
      <c r="U958" s="225"/>
      <c r="V958" s="225"/>
      <c r="W958" s="225"/>
      <c r="X958" s="225"/>
      <c r="Y958" s="225"/>
      <c r="Z958" s="225"/>
    </row>
    <row r="959">
      <c r="A959" s="225"/>
      <c r="B959" s="225"/>
      <c r="C959" s="225"/>
      <c r="D959" s="225"/>
      <c r="E959" s="225"/>
      <c r="F959" s="225"/>
      <c r="G959" s="225"/>
      <c r="H959" s="225"/>
      <c r="I959" s="225"/>
      <c r="J959" s="225"/>
      <c r="K959" s="225"/>
      <c r="L959" s="225"/>
      <c r="M959" s="225"/>
      <c r="N959" s="225"/>
      <c r="O959" s="225"/>
      <c r="P959" s="225"/>
      <c r="Q959" s="225"/>
      <c r="R959" s="225"/>
      <c r="S959" s="225"/>
      <c r="T959" s="225"/>
      <c r="U959" s="225"/>
      <c r="V959" s="225"/>
      <c r="W959" s="225"/>
      <c r="X959" s="225"/>
      <c r="Y959" s="225"/>
      <c r="Z959" s="225"/>
    </row>
    <row r="960">
      <c r="A960" s="225"/>
      <c r="B960" s="225"/>
      <c r="C960" s="225"/>
      <c r="D960" s="225"/>
      <c r="E960" s="225"/>
      <c r="F960" s="225"/>
      <c r="G960" s="225"/>
      <c r="H960" s="225"/>
      <c r="I960" s="225"/>
      <c r="J960" s="225"/>
      <c r="K960" s="225"/>
      <c r="L960" s="225"/>
      <c r="M960" s="225"/>
      <c r="N960" s="225"/>
      <c r="O960" s="225"/>
      <c r="P960" s="225"/>
      <c r="Q960" s="225"/>
      <c r="R960" s="225"/>
      <c r="S960" s="225"/>
      <c r="T960" s="225"/>
      <c r="U960" s="225"/>
      <c r="V960" s="225"/>
      <c r="W960" s="225"/>
      <c r="X960" s="225"/>
      <c r="Y960" s="225"/>
      <c r="Z960" s="225"/>
    </row>
    <row r="961">
      <c r="A961" s="225"/>
      <c r="B961" s="225"/>
      <c r="C961" s="225"/>
      <c r="D961" s="225"/>
      <c r="E961" s="225"/>
      <c r="F961" s="225"/>
      <c r="G961" s="225"/>
      <c r="H961" s="225"/>
      <c r="I961" s="225"/>
      <c r="J961" s="225"/>
      <c r="K961" s="225"/>
      <c r="L961" s="225"/>
      <c r="M961" s="225"/>
      <c r="N961" s="225"/>
      <c r="O961" s="225"/>
      <c r="P961" s="225"/>
      <c r="Q961" s="225"/>
      <c r="R961" s="225"/>
      <c r="S961" s="225"/>
      <c r="T961" s="225"/>
      <c r="U961" s="225"/>
      <c r="V961" s="225"/>
      <c r="W961" s="225"/>
      <c r="X961" s="225"/>
      <c r="Y961" s="225"/>
      <c r="Z961" s="225"/>
    </row>
    <row r="962">
      <c r="A962" s="225"/>
      <c r="B962" s="225"/>
      <c r="C962" s="225"/>
      <c r="D962" s="225"/>
      <c r="E962" s="225"/>
      <c r="F962" s="225"/>
      <c r="G962" s="225"/>
      <c r="H962" s="225"/>
      <c r="I962" s="225"/>
      <c r="J962" s="225"/>
      <c r="K962" s="225"/>
      <c r="L962" s="225"/>
      <c r="M962" s="225"/>
      <c r="N962" s="225"/>
      <c r="O962" s="225"/>
      <c r="P962" s="225"/>
      <c r="Q962" s="225"/>
      <c r="R962" s="225"/>
      <c r="S962" s="225"/>
      <c r="T962" s="225"/>
      <c r="U962" s="225"/>
      <c r="V962" s="225"/>
      <c r="W962" s="225"/>
      <c r="X962" s="225"/>
      <c r="Y962" s="225"/>
      <c r="Z962" s="225"/>
    </row>
    <row r="963">
      <c r="A963" s="225"/>
      <c r="B963" s="225"/>
      <c r="C963" s="225"/>
      <c r="D963" s="225"/>
      <c r="E963" s="225"/>
      <c r="F963" s="225"/>
      <c r="G963" s="225"/>
      <c r="H963" s="225"/>
      <c r="I963" s="225"/>
      <c r="J963" s="225"/>
      <c r="K963" s="225"/>
      <c r="L963" s="225"/>
      <c r="M963" s="225"/>
      <c r="N963" s="225"/>
      <c r="O963" s="225"/>
      <c r="P963" s="225"/>
      <c r="Q963" s="225"/>
      <c r="R963" s="225"/>
      <c r="S963" s="225"/>
      <c r="T963" s="225"/>
      <c r="U963" s="225"/>
      <c r="V963" s="225"/>
      <c r="W963" s="225"/>
      <c r="X963" s="225"/>
      <c r="Y963" s="225"/>
      <c r="Z963" s="225"/>
    </row>
    <row r="964">
      <c r="A964" s="225"/>
      <c r="B964" s="225"/>
      <c r="C964" s="225"/>
      <c r="D964" s="225"/>
      <c r="E964" s="225"/>
      <c r="F964" s="225"/>
      <c r="G964" s="225"/>
      <c r="H964" s="225"/>
      <c r="I964" s="225"/>
      <c r="J964" s="225"/>
      <c r="K964" s="225"/>
      <c r="L964" s="225"/>
      <c r="M964" s="225"/>
      <c r="N964" s="225"/>
      <c r="O964" s="225"/>
      <c r="P964" s="225"/>
      <c r="Q964" s="225"/>
      <c r="R964" s="225"/>
      <c r="S964" s="225"/>
      <c r="T964" s="225"/>
      <c r="U964" s="225"/>
      <c r="V964" s="225"/>
      <c r="W964" s="225"/>
      <c r="X964" s="225"/>
      <c r="Y964" s="225"/>
      <c r="Z964" s="225"/>
    </row>
    <row r="965">
      <c r="A965" s="225"/>
      <c r="B965" s="225"/>
      <c r="C965" s="225"/>
      <c r="D965" s="225"/>
      <c r="E965" s="225"/>
      <c r="F965" s="225"/>
      <c r="G965" s="225"/>
      <c r="H965" s="225"/>
      <c r="I965" s="225"/>
      <c r="J965" s="225"/>
      <c r="K965" s="225"/>
      <c r="L965" s="225"/>
      <c r="M965" s="225"/>
      <c r="N965" s="225"/>
      <c r="O965" s="225"/>
      <c r="P965" s="225"/>
      <c r="Q965" s="225"/>
      <c r="R965" s="225"/>
      <c r="S965" s="225"/>
      <c r="T965" s="225"/>
      <c r="U965" s="225"/>
      <c r="V965" s="225"/>
      <c r="W965" s="225"/>
      <c r="X965" s="225"/>
      <c r="Y965" s="225"/>
      <c r="Z965" s="225"/>
    </row>
    <row r="966">
      <c r="A966" s="225"/>
      <c r="B966" s="225"/>
      <c r="C966" s="225"/>
      <c r="D966" s="225"/>
      <c r="E966" s="225"/>
      <c r="F966" s="225"/>
      <c r="G966" s="225"/>
      <c r="H966" s="225"/>
      <c r="I966" s="225"/>
      <c r="J966" s="225"/>
      <c r="K966" s="225"/>
      <c r="L966" s="225"/>
      <c r="M966" s="225"/>
      <c r="N966" s="225"/>
      <c r="O966" s="225"/>
      <c r="P966" s="225"/>
      <c r="Q966" s="225"/>
      <c r="R966" s="225"/>
      <c r="S966" s="225"/>
      <c r="T966" s="225"/>
      <c r="U966" s="225"/>
      <c r="V966" s="225"/>
      <c r="W966" s="225"/>
      <c r="X966" s="225"/>
      <c r="Y966" s="225"/>
      <c r="Z966" s="225"/>
    </row>
    <row r="967">
      <c r="A967" s="225"/>
      <c r="B967" s="225"/>
      <c r="C967" s="225"/>
      <c r="D967" s="225"/>
      <c r="E967" s="225"/>
      <c r="F967" s="225"/>
      <c r="G967" s="225"/>
      <c r="H967" s="225"/>
      <c r="I967" s="225"/>
      <c r="J967" s="225"/>
      <c r="K967" s="225"/>
      <c r="L967" s="225"/>
      <c r="M967" s="225"/>
      <c r="N967" s="225"/>
      <c r="O967" s="225"/>
      <c r="P967" s="225"/>
      <c r="Q967" s="225"/>
      <c r="R967" s="225"/>
      <c r="S967" s="225"/>
      <c r="T967" s="225"/>
      <c r="U967" s="225"/>
      <c r="V967" s="225"/>
      <c r="W967" s="225"/>
      <c r="X967" s="225"/>
      <c r="Y967" s="225"/>
      <c r="Z967" s="225"/>
    </row>
    <row r="968">
      <c r="A968" s="225"/>
      <c r="B968" s="225"/>
      <c r="C968" s="225"/>
      <c r="D968" s="225"/>
      <c r="E968" s="225"/>
      <c r="F968" s="225"/>
      <c r="G968" s="225"/>
      <c r="H968" s="225"/>
      <c r="I968" s="225"/>
      <c r="J968" s="225"/>
      <c r="K968" s="225"/>
      <c r="L968" s="225"/>
      <c r="M968" s="225"/>
      <c r="N968" s="225"/>
      <c r="O968" s="225"/>
      <c r="P968" s="225"/>
      <c r="Q968" s="225"/>
      <c r="R968" s="225"/>
      <c r="S968" s="225"/>
      <c r="T968" s="225"/>
      <c r="U968" s="225"/>
      <c r="V968" s="225"/>
      <c r="W968" s="225"/>
      <c r="X968" s="225"/>
      <c r="Y968" s="225"/>
      <c r="Z968" s="225"/>
    </row>
    <row r="969">
      <c r="A969" s="225"/>
      <c r="B969" s="225"/>
      <c r="C969" s="225"/>
      <c r="D969" s="225"/>
      <c r="E969" s="225"/>
      <c r="F969" s="225"/>
      <c r="G969" s="225"/>
      <c r="H969" s="225"/>
      <c r="I969" s="225"/>
      <c r="J969" s="225"/>
      <c r="K969" s="225"/>
      <c r="L969" s="225"/>
      <c r="M969" s="225"/>
      <c r="N969" s="225"/>
      <c r="O969" s="225"/>
      <c r="P969" s="225"/>
      <c r="Q969" s="225"/>
      <c r="R969" s="225"/>
      <c r="S969" s="225"/>
      <c r="T969" s="225"/>
      <c r="U969" s="225"/>
      <c r="V969" s="225"/>
      <c r="W969" s="225"/>
      <c r="X969" s="225"/>
      <c r="Y969" s="225"/>
      <c r="Z969" s="225"/>
    </row>
    <row r="970">
      <c r="A970" s="225"/>
      <c r="B970" s="225"/>
      <c r="C970" s="225"/>
      <c r="D970" s="225"/>
      <c r="E970" s="225"/>
      <c r="F970" s="225"/>
      <c r="G970" s="225"/>
      <c r="H970" s="225"/>
      <c r="I970" s="225"/>
      <c r="J970" s="225"/>
      <c r="K970" s="225"/>
      <c r="L970" s="225"/>
      <c r="M970" s="225"/>
      <c r="N970" s="225"/>
      <c r="O970" s="225"/>
      <c r="P970" s="225"/>
      <c r="Q970" s="225"/>
      <c r="R970" s="225"/>
      <c r="S970" s="225"/>
      <c r="T970" s="225"/>
      <c r="U970" s="225"/>
      <c r="V970" s="225"/>
      <c r="W970" s="225"/>
      <c r="X970" s="225"/>
      <c r="Y970" s="225"/>
      <c r="Z970" s="225"/>
    </row>
    <row r="971">
      <c r="A971" s="225"/>
      <c r="B971" s="225"/>
      <c r="C971" s="225"/>
      <c r="D971" s="225"/>
      <c r="E971" s="225"/>
      <c r="F971" s="225"/>
      <c r="G971" s="225"/>
      <c r="H971" s="225"/>
      <c r="I971" s="225"/>
      <c r="J971" s="225"/>
      <c r="K971" s="225"/>
      <c r="L971" s="225"/>
      <c r="M971" s="225"/>
      <c r="N971" s="225"/>
      <c r="O971" s="225"/>
      <c r="P971" s="225"/>
      <c r="Q971" s="225"/>
      <c r="R971" s="225"/>
      <c r="S971" s="225"/>
      <c r="T971" s="225"/>
      <c r="U971" s="225"/>
      <c r="V971" s="225"/>
      <c r="W971" s="225"/>
      <c r="X971" s="225"/>
      <c r="Y971" s="225"/>
      <c r="Z971" s="225"/>
    </row>
    <row r="972">
      <c r="A972" s="225"/>
      <c r="B972" s="225"/>
      <c r="C972" s="225"/>
      <c r="D972" s="225"/>
      <c r="E972" s="225"/>
      <c r="F972" s="225"/>
      <c r="G972" s="225"/>
      <c r="H972" s="225"/>
      <c r="I972" s="225"/>
      <c r="J972" s="225"/>
      <c r="K972" s="225"/>
      <c r="L972" s="225"/>
      <c r="M972" s="225"/>
      <c r="N972" s="225"/>
      <c r="O972" s="225"/>
      <c r="P972" s="225"/>
      <c r="Q972" s="225"/>
      <c r="R972" s="225"/>
      <c r="S972" s="225"/>
      <c r="T972" s="225"/>
      <c r="U972" s="225"/>
      <c r="V972" s="225"/>
      <c r="W972" s="225"/>
      <c r="X972" s="225"/>
      <c r="Y972" s="225"/>
      <c r="Z972" s="225"/>
    </row>
    <row r="973">
      <c r="A973" s="225"/>
      <c r="B973" s="225"/>
      <c r="C973" s="225"/>
      <c r="D973" s="225"/>
      <c r="E973" s="225"/>
      <c r="F973" s="225"/>
      <c r="G973" s="225"/>
      <c r="H973" s="225"/>
      <c r="I973" s="225"/>
      <c r="J973" s="225"/>
      <c r="K973" s="225"/>
      <c r="L973" s="225"/>
      <c r="M973" s="225"/>
      <c r="N973" s="225"/>
      <c r="O973" s="225"/>
      <c r="P973" s="225"/>
      <c r="Q973" s="225"/>
      <c r="R973" s="225"/>
      <c r="S973" s="225"/>
      <c r="T973" s="225"/>
      <c r="U973" s="225"/>
      <c r="V973" s="225"/>
      <c r="W973" s="225"/>
      <c r="X973" s="225"/>
      <c r="Y973" s="225"/>
      <c r="Z973" s="225"/>
    </row>
    <row r="974">
      <c r="A974" s="225"/>
      <c r="B974" s="225"/>
      <c r="C974" s="225"/>
      <c r="D974" s="225"/>
      <c r="E974" s="225"/>
      <c r="F974" s="225"/>
      <c r="G974" s="225"/>
      <c r="H974" s="225"/>
      <c r="I974" s="225"/>
      <c r="J974" s="225"/>
      <c r="K974" s="225"/>
      <c r="L974" s="225"/>
      <c r="M974" s="225"/>
      <c r="N974" s="225"/>
      <c r="O974" s="225"/>
      <c r="P974" s="225"/>
      <c r="Q974" s="225"/>
      <c r="R974" s="225"/>
      <c r="S974" s="225"/>
      <c r="T974" s="225"/>
      <c r="U974" s="225"/>
      <c r="V974" s="225"/>
      <c r="W974" s="225"/>
      <c r="X974" s="225"/>
      <c r="Y974" s="225"/>
      <c r="Z974" s="225"/>
    </row>
    <row r="975">
      <c r="A975" s="225"/>
      <c r="B975" s="225"/>
      <c r="C975" s="225"/>
      <c r="D975" s="225"/>
      <c r="E975" s="225"/>
      <c r="F975" s="225"/>
      <c r="G975" s="225"/>
      <c r="H975" s="225"/>
      <c r="I975" s="225"/>
      <c r="J975" s="225"/>
      <c r="K975" s="225"/>
      <c r="L975" s="225"/>
      <c r="M975" s="225"/>
      <c r="N975" s="225"/>
      <c r="O975" s="225"/>
      <c r="P975" s="225"/>
      <c r="Q975" s="225"/>
      <c r="R975" s="225"/>
      <c r="S975" s="225"/>
      <c r="T975" s="225"/>
      <c r="U975" s="225"/>
      <c r="V975" s="225"/>
      <c r="W975" s="225"/>
      <c r="X975" s="225"/>
      <c r="Y975" s="225"/>
      <c r="Z975" s="225"/>
    </row>
    <row r="976">
      <c r="A976" s="225"/>
      <c r="B976" s="225"/>
      <c r="C976" s="225"/>
      <c r="D976" s="225"/>
      <c r="E976" s="225"/>
      <c r="F976" s="225"/>
      <c r="G976" s="225"/>
      <c r="H976" s="225"/>
      <c r="I976" s="225"/>
      <c r="J976" s="225"/>
      <c r="K976" s="225"/>
      <c r="L976" s="225"/>
      <c r="M976" s="225"/>
      <c r="N976" s="225"/>
      <c r="O976" s="225"/>
      <c r="P976" s="225"/>
      <c r="Q976" s="225"/>
      <c r="R976" s="225"/>
      <c r="S976" s="225"/>
      <c r="T976" s="225"/>
      <c r="U976" s="225"/>
      <c r="V976" s="225"/>
      <c r="W976" s="225"/>
      <c r="X976" s="225"/>
      <c r="Y976" s="225"/>
      <c r="Z976" s="225"/>
    </row>
    <row r="977">
      <c r="A977" s="225"/>
      <c r="B977" s="225"/>
      <c r="C977" s="225"/>
      <c r="D977" s="225"/>
      <c r="E977" s="225"/>
      <c r="F977" s="225"/>
      <c r="G977" s="225"/>
      <c r="H977" s="225"/>
      <c r="I977" s="225"/>
      <c r="J977" s="225"/>
      <c r="K977" s="225"/>
      <c r="L977" s="225"/>
      <c r="M977" s="225"/>
      <c r="N977" s="225"/>
      <c r="O977" s="225"/>
      <c r="P977" s="225"/>
      <c r="Q977" s="225"/>
      <c r="R977" s="225"/>
      <c r="S977" s="225"/>
      <c r="T977" s="225"/>
      <c r="U977" s="225"/>
      <c r="V977" s="225"/>
      <c r="W977" s="225"/>
      <c r="X977" s="225"/>
      <c r="Y977" s="225"/>
      <c r="Z977" s="225"/>
    </row>
    <row r="978">
      <c r="A978" s="225"/>
      <c r="B978" s="225"/>
      <c r="C978" s="225"/>
      <c r="D978" s="225"/>
      <c r="E978" s="225"/>
      <c r="F978" s="225"/>
      <c r="G978" s="225"/>
      <c r="H978" s="225"/>
      <c r="I978" s="225"/>
      <c r="J978" s="225"/>
      <c r="K978" s="225"/>
      <c r="L978" s="225"/>
      <c r="M978" s="225"/>
      <c r="N978" s="225"/>
      <c r="O978" s="225"/>
      <c r="P978" s="225"/>
      <c r="Q978" s="225"/>
      <c r="R978" s="225"/>
      <c r="S978" s="225"/>
      <c r="T978" s="225"/>
      <c r="U978" s="225"/>
      <c r="V978" s="225"/>
      <c r="W978" s="225"/>
      <c r="X978" s="225"/>
      <c r="Y978" s="225"/>
      <c r="Z978" s="225"/>
    </row>
    <row r="979">
      <c r="A979" s="225"/>
      <c r="B979" s="225"/>
      <c r="C979" s="225"/>
      <c r="D979" s="225"/>
      <c r="E979" s="225"/>
      <c r="F979" s="225"/>
      <c r="G979" s="225"/>
      <c r="H979" s="225"/>
      <c r="I979" s="225"/>
      <c r="J979" s="225"/>
      <c r="K979" s="225"/>
      <c r="L979" s="225"/>
      <c r="M979" s="225"/>
      <c r="N979" s="225"/>
      <c r="O979" s="225"/>
      <c r="P979" s="225"/>
      <c r="Q979" s="225"/>
      <c r="R979" s="225"/>
      <c r="S979" s="225"/>
      <c r="T979" s="225"/>
      <c r="U979" s="225"/>
      <c r="V979" s="225"/>
      <c r="W979" s="225"/>
      <c r="X979" s="225"/>
      <c r="Y979" s="225"/>
      <c r="Z979" s="225"/>
    </row>
    <row r="980">
      <c r="A980" s="225"/>
      <c r="B980" s="225"/>
      <c r="C980" s="225"/>
      <c r="D980" s="225"/>
      <c r="E980" s="225"/>
      <c r="F980" s="225"/>
      <c r="G980" s="225"/>
      <c r="H980" s="225"/>
      <c r="I980" s="225"/>
      <c r="J980" s="225"/>
      <c r="K980" s="225"/>
      <c r="L980" s="225"/>
      <c r="M980" s="225"/>
      <c r="N980" s="225"/>
      <c r="O980" s="225"/>
      <c r="P980" s="225"/>
      <c r="Q980" s="225"/>
      <c r="R980" s="225"/>
      <c r="S980" s="225"/>
      <c r="T980" s="225"/>
      <c r="U980" s="225"/>
      <c r="V980" s="225"/>
      <c r="W980" s="225"/>
      <c r="X980" s="225"/>
      <c r="Y980" s="225"/>
      <c r="Z980" s="225"/>
    </row>
    <row r="981">
      <c r="A981" s="225"/>
      <c r="B981" s="225"/>
      <c r="C981" s="225"/>
      <c r="D981" s="225"/>
      <c r="E981" s="225"/>
      <c r="F981" s="225"/>
      <c r="G981" s="225"/>
      <c r="H981" s="225"/>
      <c r="I981" s="225"/>
      <c r="J981" s="225"/>
      <c r="K981" s="225"/>
      <c r="L981" s="225"/>
      <c r="M981" s="225"/>
      <c r="N981" s="225"/>
      <c r="O981" s="225"/>
      <c r="P981" s="225"/>
      <c r="Q981" s="225"/>
      <c r="R981" s="225"/>
      <c r="S981" s="225"/>
      <c r="T981" s="225"/>
      <c r="U981" s="225"/>
      <c r="V981" s="225"/>
      <c r="W981" s="225"/>
      <c r="X981" s="225"/>
      <c r="Y981" s="225"/>
      <c r="Z981" s="225"/>
    </row>
    <row r="982">
      <c r="A982" s="225"/>
      <c r="B982" s="225"/>
      <c r="C982" s="225"/>
      <c r="D982" s="225"/>
      <c r="E982" s="225"/>
      <c r="F982" s="225"/>
      <c r="G982" s="225"/>
      <c r="H982" s="225"/>
      <c r="I982" s="225"/>
      <c r="J982" s="225"/>
      <c r="K982" s="225"/>
      <c r="L982" s="225"/>
      <c r="M982" s="225"/>
      <c r="N982" s="225"/>
      <c r="O982" s="225"/>
      <c r="P982" s="225"/>
      <c r="Q982" s="225"/>
      <c r="R982" s="225"/>
      <c r="S982" s="225"/>
      <c r="T982" s="225"/>
      <c r="U982" s="225"/>
      <c r="V982" s="225"/>
      <c r="W982" s="225"/>
      <c r="X982" s="225"/>
      <c r="Y982" s="225"/>
      <c r="Z982" s="225"/>
    </row>
    <row r="983">
      <c r="A983" s="225"/>
      <c r="B983" s="225"/>
      <c r="C983" s="225"/>
      <c r="D983" s="225"/>
      <c r="E983" s="225"/>
      <c r="F983" s="225"/>
      <c r="G983" s="225"/>
      <c r="H983" s="225"/>
      <c r="I983" s="225"/>
      <c r="J983" s="225"/>
      <c r="K983" s="225"/>
      <c r="L983" s="225"/>
      <c r="M983" s="225"/>
      <c r="N983" s="225"/>
      <c r="O983" s="225"/>
      <c r="P983" s="225"/>
      <c r="Q983" s="225"/>
      <c r="R983" s="225"/>
      <c r="S983" s="225"/>
      <c r="T983" s="225"/>
      <c r="U983" s="225"/>
      <c r="V983" s="225"/>
      <c r="W983" s="225"/>
      <c r="X983" s="225"/>
      <c r="Y983" s="225"/>
      <c r="Z983" s="225"/>
    </row>
    <row r="984">
      <c r="A984" s="225"/>
      <c r="B984" s="225"/>
      <c r="C984" s="225"/>
      <c r="D984" s="225"/>
      <c r="E984" s="225"/>
      <c r="F984" s="225"/>
      <c r="G984" s="225"/>
      <c r="H984" s="225"/>
      <c r="I984" s="225"/>
      <c r="J984" s="225"/>
      <c r="K984" s="225"/>
      <c r="L984" s="225"/>
      <c r="M984" s="225"/>
      <c r="N984" s="225"/>
      <c r="O984" s="225"/>
      <c r="P984" s="225"/>
      <c r="Q984" s="225"/>
      <c r="R984" s="225"/>
      <c r="S984" s="225"/>
      <c r="T984" s="225"/>
      <c r="U984" s="225"/>
      <c r="V984" s="225"/>
      <c r="W984" s="225"/>
      <c r="X984" s="225"/>
      <c r="Y984" s="225"/>
      <c r="Z984" s="225"/>
    </row>
    <row r="985">
      <c r="A985" s="225"/>
      <c r="B985" s="225"/>
      <c r="C985" s="225"/>
      <c r="D985" s="225"/>
      <c r="E985" s="225"/>
      <c r="F985" s="225"/>
      <c r="G985" s="225"/>
      <c r="H985" s="225"/>
      <c r="I985" s="225"/>
      <c r="J985" s="225"/>
      <c r="K985" s="225"/>
      <c r="L985" s="225"/>
      <c r="M985" s="225"/>
      <c r="N985" s="225"/>
      <c r="O985" s="225"/>
      <c r="P985" s="225"/>
      <c r="Q985" s="225"/>
      <c r="R985" s="225"/>
      <c r="S985" s="225"/>
      <c r="T985" s="225"/>
      <c r="U985" s="225"/>
      <c r="V985" s="225"/>
      <c r="W985" s="225"/>
      <c r="X985" s="225"/>
      <c r="Y985" s="225"/>
      <c r="Z985" s="225"/>
    </row>
    <row r="986">
      <c r="A986" s="225"/>
      <c r="B986" s="225"/>
      <c r="C986" s="225"/>
      <c r="D986" s="225"/>
      <c r="E986" s="225"/>
      <c r="F986" s="225"/>
      <c r="G986" s="225"/>
      <c r="H986" s="225"/>
      <c r="I986" s="225"/>
      <c r="J986" s="225"/>
      <c r="K986" s="225"/>
      <c r="L986" s="225"/>
      <c r="M986" s="225"/>
      <c r="N986" s="225"/>
      <c r="O986" s="225"/>
      <c r="P986" s="225"/>
      <c r="Q986" s="225"/>
      <c r="R986" s="225"/>
      <c r="S986" s="225"/>
      <c r="T986" s="225"/>
      <c r="U986" s="225"/>
      <c r="V986" s="225"/>
      <c r="W986" s="225"/>
      <c r="X986" s="225"/>
      <c r="Y986" s="225"/>
      <c r="Z986" s="225"/>
    </row>
    <row r="987">
      <c r="A987" s="225"/>
      <c r="B987" s="225"/>
      <c r="C987" s="225"/>
      <c r="D987" s="225"/>
      <c r="E987" s="225"/>
      <c r="F987" s="225"/>
      <c r="G987" s="225"/>
      <c r="H987" s="225"/>
      <c r="I987" s="225"/>
      <c r="J987" s="225"/>
      <c r="K987" s="225"/>
      <c r="L987" s="225"/>
      <c r="M987" s="225"/>
      <c r="N987" s="225"/>
      <c r="O987" s="225"/>
      <c r="P987" s="225"/>
      <c r="Q987" s="225"/>
      <c r="R987" s="225"/>
      <c r="S987" s="225"/>
      <c r="T987" s="225"/>
      <c r="U987" s="225"/>
      <c r="V987" s="225"/>
      <c r="W987" s="225"/>
      <c r="X987" s="225"/>
      <c r="Y987" s="225"/>
      <c r="Z987" s="225"/>
    </row>
    <row r="988">
      <c r="A988" s="225"/>
      <c r="B988" s="225"/>
      <c r="C988" s="225"/>
      <c r="D988" s="225"/>
      <c r="E988" s="225"/>
      <c r="F988" s="225"/>
      <c r="G988" s="225"/>
      <c r="H988" s="225"/>
      <c r="I988" s="225"/>
      <c r="J988" s="225"/>
      <c r="K988" s="225"/>
      <c r="L988" s="225"/>
      <c r="M988" s="225"/>
      <c r="N988" s="225"/>
      <c r="O988" s="225"/>
      <c r="P988" s="225"/>
      <c r="Q988" s="225"/>
      <c r="R988" s="225"/>
      <c r="S988" s="225"/>
      <c r="T988" s="225"/>
      <c r="U988" s="225"/>
      <c r="V988" s="225"/>
      <c r="W988" s="225"/>
      <c r="X988" s="225"/>
      <c r="Y988" s="225"/>
      <c r="Z988" s="225"/>
    </row>
    <row r="989">
      <c r="A989" s="225"/>
      <c r="B989" s="225"/>
      <c r="C989" s="225"/>
      <c r="D989" s="225"/>
      <c r="E989" s="225"/>
      <c r="F989" s="225"/>
      <c r="G989" s="225"/>
      <c r="H989" s="225"/>
      <c r="I989" s="225"/>
      <c r="J989" s="225"/>
      <c r="K989" s="225"/>
      <c r="L989" s="225"/>
      <c r="M989" s="225"/>
      <c r="N989" s="225"/>
      <c r="O989" s="225"/>
      <c r="P989" s="225"/>
      <c r="Q989" s="225"/>
      <c r="R989" s="225"/>
      <c r="S989" s="225"/>
      <c r="T989" s="225"/>
      <c r="U989" s="225"/>
      <c r="V989" s="225"/>
      <c r="W989" s="225"/>
      <c r="X989" s="225"/>
      <c r="Y989" s="225"/>
      <c r="Z989" s="225"/>
    </row>
    <row r="990">
      <c r="A990" s="225"/>
      <c r="B990" s="225"/>
      <c r="C990" s="225"/>
      <c r="D990" s="225"/>
      <c r="E990" s="225"/>
      <c r="F990" s="225"/>
      <c r="G990" s="225"/>
      <c r="H990" s="225"/>
      <c r="I990" s="225"/>
      <c r="J990" s="225"/>
      <c r="K990" s="225"/>
      <c r="L990" s="225"/>
      <c r="M990" s="225"/>
      <c r="N990" s="225"/>
      <c r="O990" s="225"/>
      <c r="P990" s="225"/>
      <c r="Q990" s="225"/>
      <c r="R990" s="225"/>
      <c r="S990" s="225"/>
      <c r="T990" s="225"/>
      <c r="U990" s="225"/>
      <c r="V990" s="225"/>
      <c r="W990" s="225"/>
      <c r="X990" s="225"/>
      <c r="Y990" s="225"/>
      <c r="Z990" s="225"/>
    </row>
    <row r="991">
      <c r="A991" s="225"/>
      <c r="B991" s="225"/>
      <c r="C991" s="225"/>
      <c r="D991" s="225"/>
      <c r="E991" s="225"/>
      <c r="F991" s="225"/>
      <c r="G991" s="225"/>
      <c r="H991" s="225"/>
      <c r="I991" s="225"/>
      <c r="J991" s="225"/>
      <c r="K991" s="225"/>
      <c r="L991" s="225"/>
      <c r="M991" s="225"/>
      <c r="N991" s="225"/>
      <c r="O991" s="225"/>
      <c r="P991" s="225"/>
      <c r="Q991" s="225"/>
      <c r="R991" s="225"/>
      <c r="S991" s="225"/>
      <c r="T991" s="225"/>
      <c r="U991" s="225"/>
      <c r="V991" s="225"/>
      <c r="W991" s="225"/>
      <c r="X991" s="225"/>
      <c r="Y991" s="225"/>
      <c r="Z991" s="225"/>
    </row>
    <row r="992">
      <c r="A992" s="225"/>
      <c r="B992" s="225"/>
      <c r="C992" s="225"/>
      <c r="D992" s="225"/>
      <c r="E992" s="225"/>
      <c r="F992" s="225"/>
      <c r="G992" s="225"/>
      <c r="H992" s="225"/>
      <c r="I992" s="225"/>
      <c r="J992" s="225"/>
      <c r="K992" s="225"/>
      <c r="L992" s="225"/>
      <c r="M992" s="225"/>
      <c r="N992" s="225"/>
      <c r="O992" s="225"/>
      <c r="P992" s="225"/>
      <c r="Q992" s="225"/>
      <c r="R992" s="225"/>
      <c r="S992" s="225"/>
      <c r="T992" s="225"/>
      <c r="U992" s="225"/>
      <c r="V992" s="225"/>
      <c r="W992" s="225"/>
      <c r="X992" s="225"/>
      <c r="Y992" s="225"/>
      <c r="Z992" s="225"/>
    </row>
    <row r="993">
      <c r="A993" s="225"/>
      <c r="B993" s="225"/>
      <c r="C993" s="225"/>
      <c r="D993" s="225"/>
      <c r="E993" s="225"/>
      <c r="F993" s="225"/>
      <c r="G993" s="225"/>
      <c r="H993" s="225"/>
      <c r="I993" s="225"/>
      <c r="J993" s="225"/>
      <c r="K993" s="225"/>
      <c r="L993" s="225"/>
      <c r="M993" s="225"/>
      <c r="N993" s="225"/>
      <c r="O993" s="225"/>
      <c r="P993" s="225"/>
      <c r="Q993" s="225"/>
      <c r="R993" s="225"/>
      <c r="S993" s="225"/>
      <c r="T993" s="225"/>
      <c r="U993" s="225"/>
      <c r="V993" s="225"/>
      <c r="W993" s="225"/>
      <c r="X993" s="225"/>
      <c r="Y993" s="225"/>
      <c r="Z993" s="225"/>
    </row>
    <row r="994">
      <c r="A994" s="225"/>
      <c r="B994" s="225"/>
      <c r="C994" s="225"/>
      <c r="D994" s="225"/>
      <c r="E994" s="225"/>
      <c r="F994" s="225"/>
      <c r="G994" s="225"/>
      <c r="H994" s="225"/>
      <c r="I994" s="225"/>
      <c r="J994" s="225"/>
      <c r="K994" s="225"/>
      <c r="L994" s="225"/>
      <c r="M994" s="225"/>
      <c r="N994" s="225"/>
      <c r="O994" s="225"/>
      <c r="P994" s="225"/>
      <c r="Q994" s="225"/>
      <c r="R994" s="225"/>
      <c r="S994" s="225"/>
      <c r="T994" s="225"/>
      <c r="U994" s="225"/>
      <c r="V994" s="225"/>
      <c r="W994" s="225"/>
      <c r="X994" s="225"/>
      <c r="Y994" s="225"/>
      <c r="Z994" s="225"/>
    </row>
    <row r="995">
      <c r="A995" s="225"/>
      <c r="B995" s="225"/>
      <c r="C995" s="225"/>
      <c r="D995" s="225"/>
      <c r="E995" s="225"/>
      <c r="F995" s="225"/>
      <c r="G995" s="225"/>
      <c r="H995" s="225"/>
      <c r="I995" s="225"/>
      <c r="J995" s="225"/>
      <c r="K995" s="225"/>
      <c r="L995" s="225"/>
      <c r="M995" s="225"/>
      <c r="N995" s="225"/>
      <c r="O995" s="225"/>
      <c r="P995" s="225"/>
      <c r="Q995" s="225"/>
      <c r="R995" s="225"/>
      <c r="S995" s="225"/>
      <c r="T995" s="225"/>
      <c r="U995" s="225"/>
      <c r="V995" s="225"/>
      <c r="W995" s="225"/>
      <c r="X995" s="225"/>
      <c r="Y995" s="225"/>
      <c r="Z995" s="225"/>
    </row>
    <row r="996">
      <c r="A996" s="225"/>
      <c r="B996" s="225"/>
      <c r="C996" s="225"/>
      <c r="D996" s="225"/>
      <c r="E996" s="225"/>
      <c r="F996" s="225"/>
      <c r="G996" s="225"/>
      <c r="H996" s="225"/>
      <c r="I996" s="225"/>
      <c r="J996" s="225"/>
      <c r="K996" s="225"/>
      <c r="L996" s="225"/>
      <c r="M996" s="225"/>
      <c r="N996" s="225"/>
      <c r="O996" s="225"/>
      <c r="P996" s="225"/>
      <c r="Q996" s="225"/>
      <c r="R996" s="225"/>
      <c r="S996" s="225"/>
      <c r="T996" s="225"/>
      <c r="U996" s="225"/>
      <c r="V996" s="225"/>
      <c r="W996" s="225"/>
      <c r="X996" s="225"/>
      <c r="Y996" s="225"/>
      <c r="Z996" s="225"/>
    </row>
    <row r="997">
      <c r="A997" s="225"/>
      <c r="B997" s="225"/>
      <c r="C997" s="225"/>
      <c r="D997" s="225"/>
      <c r="E997" s="225"/>
      <c r="F997" s="225"/>
      <c r="G997" s="225"/>
      <c r="H997" s="225"/>
      <c r="I997" s="225"/>
      <c r="J997" s="225"/>
      <c r="K997" s="225"/>
      <c r="L997" s="225"/>
      <c r="M997" s="225"/>
      <c r="N997" s="225"/>
      <c r="O997" s="225"/>
      <c r="P997" s="225"/>
      <c r="Q997" s="225"/>
      <c r="R997" s="225"/>
      <c r="S997" s="225"/>
      <c r="T997" s="225"/>
      <c r="U997" s="225"/>
      <c r="V997" s="225"/>
      <c r="W997" s="225"/>
      <c r="X997" s="225"/>
      <c r="Y997" s="225"/>
      <c r="Z997" s="225"/>
    </row>
  </sheetData>
  <mergeCells count="4">
    <mergeCell ref="A8:B8"/>
    <mergeCell ref="C9:E9"/>
    <mergeCell ref="C20:E20"/>
    <mergeCell ref="C31:E3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3" t="str">
        <f>getFearAndGreedIndex()
</f>
        <v>16</v>
      </c>
    </row>
  </sheetData>
  <drawing r:id="rId1"/>
</worksheet>
</file>